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0-2021\Budget Letter\March 2021\"/>
    </mc:Choice>
  </mc:AlternateContent>
  <workbookProtection workbookPassword="D893" lockStructure="1"/>
  <bookViews>
    <workbookView xWindow="0" yWindow="0" windowWidth="28800" windowHeight="13020" tabRatio="753" firstSheet="1" activeTab="1"/>
  </bookViews>
  <sheets>
    <sheet name="1_State Summary" sheetId="8" state="hidden" r:id="rId1"/>
    <sheet name="2_State Distrib and Adjs" sheetId="9" r:id="rId2"/>
    <sheet name="2A-1_EFT (Annual)" sheetId="10" r:id="rId3"/>
    <sheet name="2A-2_EFT (Monthly)" sheetId="11" r:id="rId4"/>
    <sheet name="3_Levels 1&amp;2" sheetId="12" r:id="rId5"/>
    <sheet name="3A_Level 3" sheetId="13" r:id="rId6"/>
    <sheet name="3B_Pay Raise" sheetId="14" r:id="rId7"/>
    <sheet name="4_Level 4" sheetId="15" r:id="rId8"/>
    <sheet name="5A1_Labs" sheetId="16" r:id="rId9"/>
    <sheet name="5A2_Legacy Type 2" sheetId="17" r:id="rId10"/>
    <sheet name="5A2A_New Vision" sheetId="18" state="hidden" r:id="rId11"/>
    <sheet name="5A2B_Glencoe" sheetId="19" state="hidden" r:id="rId12"/>
    <sheet name="5A2C_ISL" sheetId="20" state="hidden" r:id="rId13"/>
    <sheet name="5A2D_Avoyelles" sheetId="21" state="hidden" r:id="rId14"/>
    <sheet name="5A2E_Delhi" sheetId="22" state="hidden" r:id="rId15"/>
    <sheet name="5A2F_Belle Chasse" sheetId="23" state="hidden" r:id="rId16"/>
    <sheet name="5A2H_MAX" sheetId="24" state="hidden" r:id="rId17"/>
    <sheet name="5A3_OJJ" sheetId="25" r:id="rId18"/>
    <sheet name="5A4_NOCCA" sheetId="26" r:id="rId19"/>
    <sheet name="5A5_LSMSA" sheetId="27" r:id="rId20"/>
    <sheet name="5A6_Thrive" sheetId="28" r:id="rId21"/>
    <sheet name="5B2_RSD LA" sheetId="29" r:id="rId22"/>
    <sheet name="5C1_New Type 2" sheetId="30" r:id="rId23"/>
    <sheet name="5C1A_Madison" sheetId="31" state="hidden" r:id="rId24"/>
    <sheet name="5C1B_DArbonne" sheetId="32" state="hidden" r:id="rId25"/>
    <sheet name="5C1C_Intl High" sheetId="33" state="hidden" r:id="rId26"/>
    <sheet name="5C1D_NOMMA" sheetId="34" state="hidden" r:id="rId27"/>
    <sheet name="5C1E_LFNO" sheetId="35" state="hidden" r:id="rId28"/>
    <sheet name="5C1F_L.C. Charter" sheetId="36" state="hidden" r:id="rId29"/>
    <sheet name="5C1G_JS Clark" sheetId="37" state="hidden" r:id="rId30"/>
    <sheet name="5C1H_Southwest" sheetId="38" state="hidden" r:id="rId31"/>
    <sheet name="5C1I_LA Key" sheetId="39" state="hidden" r:id="rId32"/>
    <sheet name="5C1J_JCFA-East" sheetId="40" state="hidden" r:id="rId33"/>
    <sheet name="5C1M_GEO Mid" sheetId="41" state="hidden" r:id="rId34"/>
    <sheet name="5C1N_Delta" sheetId="42" state="hidden" r:id="rId35"/>
    <sheet name="5C1O_Impact" sheetId="43" state="hidden" r:id="rId36"/>
    <sheet name="5C1Q_Advantage" sheetId="44" state="hidden" r:id="rId37"/>
    <sheet name="5C1R_Iberville" sheetId="45" state="hidden" r:id="rId38"/>
    <sheet name="5C1S_LC Col Prep" sheetId="46" state="hidden" r:id="rId39"/>
    <sheet name="5C1T_Northeast" sheetId="47" state="hidden" r:id="rId40"/>
    <sheet name="5C1U_Acadiana Ren" sheetId="48" state="hidden" r:id="rId41"/>
    <sheet name="5C1V_Laf Ren" sheetId="49" state="hidden" r:id="rId42"/>
    <sheet name="5C1W_Willow" sheetId="50" state="hidden" r:id="rId43"/>
    <sheet name="5C1Y_GEO" sheetId="51" state="hidden" r:id="rId44"/>
    <sheet name="5C1Z_Lincoln Prep" sheetId="52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20 SIS" sheetId="69" r:id="rId58"/>
    <sheet name="8A_2.1.20 RSD Op &amp; 5s" sheetId="70" r:id="rId59"/>
    <sheet name="9_Per Pupil Summary" sheetId="71" r:id="rId60"/>
    <sheet name="LEA Pay Raise" sheetId="72" state="hidden" r:id="rId61"/>
    <sheet name="Per Pupil_Weighted Funding" sheetId="73" state="hidden" r:id="rId62"/>
    <sheet name="Pay Raise By Residency" sheetId="76" state="hidden" r:id="rId63"/>
    <sheet name="Placeholder_Greater" sheetId="56" state="hidden" r:id="rId64"/>
  </sheets>
  <definedNames>
    <definedName name="_xlnm._FilterDatabase" localSheetId="6" hidden="1">'3B_Pay Raise'!$A$5:$O$142</definedName>
    <definedName name="_xlnm._FilterDatabase" localSheetId="58" hidden="1">'8A_2.1.20 RSD Op &amp; 5s'!$A$2:$F$2</definedName>
    <definedName name="fsyr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'1_State Summary'!$A$1:$B$11</definedName>
    <definedName name="_xlnm.Print_Area" localSheetId="1">'2_State Distrib and Adjs'!$A$1:$BF$76</definedName>
    <definedName name="_xlnm.Print_Area" localSheetId="2">'2A-1_EFT (Annual)'!$A$1:$AM$76</definedName>
    <definedName name="_xlnm.Print_Area" localSheetId="3">'2A-2_EFT (Monthly)'!$A$1:$BW$76</definedName>
    <definedName name="_xlnm.Print_Area" localSheetId="4">'3_Levels 1&amp;2'!$A$1:$BC$76</definedName>
    <definedName name="_xlnm.Print_Area" localSheetId="5">'3A_Level 3'!$A$1:$M$76</definedName>
    <definedName name="_xlnm.Print_Area" localSheetId="6">'3B_Pay Raise'!$A$1:$O$142</definedName>
    <definedName name="_xlnm.Print_Area" localSheetId="7">'4_Level 4'!$A$1:$R$140</definedName>
    <definedName name="_xlnm.Print_Area" localSheetId="8">'5A1_Labs'!$A$1:$Y$9</definedName>
    <definedName name="_xlnm.Print_Area" localSheetId="9">'5A2_Legacy Type 2'!$A$1:$AI$14</definedName>
    <definedName name="_xlnm.Print_Area" localSheetId="10">'5A2A_New Vision'!$A$1:$AF$84</definedName>
    <definedName name="_xlnm.Print_Area" localSheetId="11">'5A2B_Glencoe'!$A$1:$AF$84</definedName>
    <definedName name="_xlnm.Print_Area" localSheetId="12">'5A2C_ISL'!$A$1:$AF$87</definedName>
    <definedName name="_xlnm.Print_Area" localSheetId="13">'5A2D_Avoyelles'!$A$1:$AF$84</definedName>
    <definedName name="_xlnm.Print_Area" localSheetId="14">'5A2E_Delhi'!$A$1:$AF$84</definedName>
    <definedName name="_xlnm.Print_Area" localSheetId="15">'5A2F_Belle Chasse'!$A$1:$AF$84</definedName>
    <definedName name="_xlnm.Print_Area" localSheetId="16">'5A2H_MAX'!$A$1:$AF$84</definedName>
    <definedName name="_xlnm.Print_Area" localSheetId="17">'5A3_OJJ'!$A$1:$S$84</definedName>
    <definedName name="_xlnm.Print_Area" localSheetId="18">'5A4_NOCCA'!$A$1:$R$84</definedName>
    <definedName name="_xlnm.Print_Area" localSheetId="19">'5A5_LSMSA'!$A$1:$R$84</definedName>
    <definedName name="_xlnm.Print_Area" localSheetId="20">'5A6_Thrive'!$A$1:$R$84</definedName>
    <definedName name="_xlnm.Print_Area" localSheetId="21">'5B2_RSD LA'!$A$1:$AU$20</definedName>
    <definedName name="_xlnm.Print_Area" localSheetId="22">'5C1_New Type 2'!$A$1:$AX$41</definedName>
    <definedName name="_xlnm.Print_Area" localSheetId="23">'5C1A_Madison'!$A$1:$AX$84</definedName>
    <definedName name="_xlnm.Print_Area" localSheetId="45">'5C1AE_Noble Minds'!$A$1:$AX$84</definedName>
    <definedName name="_xlnm.Print_Area" localSheetId="46">'5C1AF_JCFA-Laf'!$A$1:$AX$84</definedName>
    <definedName name="_xlnm.Print_Area" localSheetId="47">'5C1AG_Collegiate'!$A$1:$AX$84</definedName>
    <definedName name="_xlnm.Print_Area" localSheetId="48">'5C1AH_BRUP'!$A$1:$AX$84</definedName>
    <definedName name="_xlnm.Print_Area" localSheetId="49">'5C1AI_Harmony'!$A$1:$AX$84</definedName>
    <definedName name="_xlnm.Print_Area" localSheetId="50">'5C1AJ_Athlos'!$A$1:$AX$84</definedName>
    <definedName name="_xlnm.Print_Area" localSheetId="51">'5C1AK_NxtGen'!$A$1:$AX$84</definedName>
    <definedName name="_xlnm.Print_Area" localSheetId="52">'5C1AL_Red River'!$A$1:$AX$84</definedName>
    <definedName name="_xlnm.Print_Area" localSheetId="24">'5C1B_DArbonne'!$A$1:$AX$84</definedName>
    <definedName name="_xlnm.Print_Area" localSheetId="25">'5C1C_Intl High'!$A$1:$AX$84</definedName>
    <definedName name="_xlnm.Print_Area" localSheetId="26">'5C1D_NOMMA'!$A$1:$AX$84</definedName>
    <definedName name="_xlnm.Print_Area" localSheetId="27">'5C1E_LFNO'!$A$1:$AX$87</definedName>
    <definedName name="_xlnm.Print_Area" localSheetId="28">'5C1F_L.C. Charter'!$A$1:$AX$84</definedName>
    <definedName name="_xlnm.Print_Area" localSheetId="29">'5C1G_JS Clark'!$A$1:$AX$84</definedName>
    <definedName name="_xlnm.Print_Area" localSheetId="30">'5C1H_Southwest'!$A$1:$AX$84</definedName>
    <definedName name="_xlnm.Print_Area" localSheetId="31">'5C1I_LA Key'!$A$1:$AX$84</definedName>
    <definedName name="_xlnm.Print_Area" localSheetId="32">'5C1J_JCFA-East'!$A$1:$AX$84</definedName>
    <definedName name="_xlnm.Print_Area" localSheetId="33">'5C1M_GEO Mid'!$A$1:$AX$84</definedName>
    <definedName name="_xlnm.Print_Area" localSheetId="34">'5C1N_Delta'!$A$1:$AX$84</definedName>
    <definedName name="_xlnm.Print_Area" localSheetId="35">'5C1O_Impact'!$A$1:$AX$84</definedName>
    <definedName name="_xlnm.Print_Area" localSheetId="36">'5C1Q_Advantage'!$A$1:$AX$84</definedName>
    <definedName name="_xlnm.Print_Area" localSheetId="37">'5C1R_Iberville'!$A$1:$AX$84</definedName>
    <definedName name="_xlnm.Print_Area" localSheetId="38">'5C1S_LC Col Prep'!$A$1:$AX$84</definedName>
    <definedName name="_xlnm.Print_Area" localSheetId="39">'5C1T_Northeast'!$A$1:$AX$84</definedName>
    <definedName name="_xlnm.Print_Area" localSheetId="40">'5C1U_Acadiana Ren'!$A$1:$AX$84</definedName>
    <definedName name="_xlnm.Print_Area" localSheetId="41">'5C1V_Laf Ren'!$A$1:$AX$84</definedName>
    <definedName name="_xlnm.Print_Area" localSheetId="42">'5C1W_Willow'!$A$1:$AX$84</definedName>
    <definedName name="_xlnm.Print_Area" localSheetId="43">'5C1Y_GEO'!$A$1:$AX$84</definedName>
    <definedName name="_xlnm.Print_Area" localSheetId="44">'5C1Z_Lincoln Prep'!$A$1:$AX$84</definedName>
    <definedName name="_xlnm.Print_Area" localSheetId="53">'5C2_LAVCA'!$A$1:$AY$84</definedName>
    <definedName name="_xlnm.Print_Area" localSheetId="54">'5C3_UnvView'!$A$1:$AY$84</definedName>
    <definedName name="_xlnm.Print_Area" localSheetId="55">'6_Local Deduct Calc'!$A$1:$J$76</definedName>
    <definedName name="_xlnm.Print_Area" localSheetId="56">'7_Local Revenue'!$A$1:$AT$76</definedName>
    <definedName name="_xlnm.Print_Area" localSheetId="57">'8_2.1.20 SIS'!$A$1:$BI$76</definedName>
    <definedName name="_xlnm.Print_Area" localSheetId="58">'8A_2.1.20 RSD Op &amp; 5s'!$A$1:$F$11</definedName>
    <definedName name="_xlnm.Print_Area" localSheetId="59">'9_Per Pupil Summary'!$A$1:$Q$78</definedName>
    <definedName name="_xlnm.Print_Area" localSheetId="60">'LEA Pay Raise'!$A$1:$D$21</definedName>
    <definedName name="_xlnm.Print_Area" localSheetId="62">'Pay Raise By Residency'!$A$1:$BI$76</definedName>
    <definedName name="_xlnm.Print_Area" localSheetId="61">'Per Pupil_Weighted Funding'!$A$1:$AB$76</definedName>
    <definedName name="_xlnm.Print_Area" localSheetId="63">Placeholder_Greater!$A$1:$AS$84</definedName>
    <definedName name="_xlnm.Print_Titles" localSheetId="1">'2_State Distrib and Adjs'!$A:$B</definedName>
    <definedName name="_xlnm.Print_Titles" localSheetId="2">'2A-1_EFT (Annual)'!$A:$B</definedName>
    <definedName name="_xlnm.Print_Titles" localSheetId="3">'2A-2_EFT (Monthly)'!$A:$B</definedName>
    <definedName name="_xlnm.Print_Titles" localSheetId="4">'3_Levels 1&amp;2'!$A:$B</definedName>
    <definedName name="_xlnm.Print_Titles" localSheetId="5">'3A_Level 3'!$A:$B</definedName>
    <definedName name="_xlnm.Print_Titles" localSheetId="6">'3B_Pay Raise'!$A:$C,'3B_Pay Raise'!$1:$5</definedName>
    <definedName name="_xlnm.Print_Titles" localSheetId="7">'4_Level 4'!$A:$C,'4_Level 4'!$1:$4</definedName>
    <definedName name="_xlnm.Print_Titles" localSheetId="8">'5A1_Labs'!$A:$B</definedName>
    <definedName name="_xlnm.Print_Titles" localSheetId="9">'5A2_Legacy Type 2'!$A:$B</definedName>
    <definedName name="_xlnm.Print_Titles" localSheetId="10">'5A2A_New Vision'!$A:$B</definedName>
    <definedName name="_xlnm.Print_Titles" localSheetId="11">'5A2B_Glencoe'!$A:$B</definedName>
    <definedName name="_xlnm.Print_Titles" localSheetId="12">'5A2C_ISL'!$A:$B</definedName>
    <definedName name="_xlnm.Print_Titles" localSheetId="13">'5A2D_Avoyelles'!$A:$B</definedName>
    <definedName name="_xlnm.Print_Titles" localSheetId="14">'5A2E_Delhi'!$A:$B</definedName>
    <definedName name="_xlnm.Print_Titles" localSheetId="15">'5A2F_Belle Chasse'!$A:$B</definedName>
    <definedName name="_xlnm.Print_Titles" localSheetId="16">'5A2H_MAX'!$A:$B</definedName>
    <definedName name="_xlnm.Print_Titles" localSheetId="17">'5A3_OJJ'!$A:$B</definedName>
    <definedName name="_xlnm.Print_Titles" localSheetId="18">'5A4_NOCCA'!$A:$B</definedName>
    <definedName name="_xlnm.Print_Titles" localSheetId="19">'5A5_LSMSA'!$A:$B</definedName>
    <definedName name="_xlnm.Print_Titles" localSheetId="20">'5A6_Thrive'!$A:$B</definedName>
    <definedName name="_xlnm.Print_Titles" localSheetId="21">'5B2_RSD LA'!$A:$C</definedName>
    <definedName name="_xlnm.Print_Titles" localSheetId="22">'5C1_New Type 2'!$A:$D,'5C1_New Type 2'!$1:$4</definedName>
    <definedName name="_xlnm.Print_Titles" localSheetId="23">'5C1A_Madison'!$A:$B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4">'5C1B_DArbonne'!$A:$B</definedName>
    <definedName name="_xlnm.Print_Titles" localSheetId="25">'5C1C_Intl High'!$A:$B</definedName>
    <definedName name="_xlnm.Print_Titles" localSheetId="26">'5C1D_NOMMA'!$A:$B</definedName>
    <definedName name="_xlnm.Print_Titles" localSheetId="27">'5C1E_LFNO'!$A:$B</definedName>
    <definedName name="_xlnm.Print_Titles" localSheetId="28">'5C1F_L.C. Charter'!$A:$B</definedName>
    <definedName name="_xlnm.Print_Titles" localSheetId="29">'5C1G_JS Clark'!$A:$B</definedName>
    <definedName name="_xlnm.Print_Titles" localSheetId="30">'5C1H_Southwest'!$A:$B</definedName>
    <definedName name="_xlnm.Print_Titles" localSheetId="31">'5C1I_LA Key'!$A:$B</definedName>
    <definedName name="_xlnm.Print_Titles" localSheetId="32">'5C1J_JCFA-East'!$A:$B</definedName>
    <definedName name="_xlnm.Print_Titles" localSheetId="33">'5C1M_GEO Mid'!$A:$B</definedName>
    <definedName name="_xlnm.Print_Titles" localSheetId="34">'5C1N_Delta'!$A:$B</definedName>
    <definedName name="_xlnm.Print_Titles" localSheetId="35">'5C1O_Impact'!$A:$B</definedName>
    <definedName name="_xlnm.Print_Titles" localSheetId="36">'5C1Q_Advantage'!$A:$B</definedName>
    <definedName name="_xlnm.Print_Titles" localSheetId="37">'5C1R_Iberville'!$A:$B</definedName>
    <definedName name="_xlnm.Print_Titles" localSheetId="38">'5C1S_LC Col Prep'!$A:$B</definedName>
    <definedName name="_xlnm.Print_Titles" localSheetId="39">'5C1T_Northeast'!$A:$B</definedName>
    <definedName name="_xlnm.Print_Titles" localSheetId="40">'5C1U_Acadiana Ren'!$A:$B</definedName>
    <definedName name="_xlnm.Print_Titles" localSheetId="41">'5C1V_Laf Ren'!$A:$B</definedName>
    <definedName name="_xlnm.Print_Titles" localSheetId="42">'5C1W_Willow'!$A:$B</definedName>
    <definedName name="_xlnm.Print_Titles" localSheetId="43">'5C1Y_GEO'!$A:$B</definedName>
    <definedName name="_xlnm.Print_Titles" localSheetId="44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'8_2.1.20 SIS'!$A:$B</definedName>
    <definedName name="_xlnm.Print_Titles" localSheetId="59">'9_Per Pupil Summary'!$A:$B</definedName>
    <definedName name="_xlnm.Print_Titles" localSheetId="60">'LEA Pay Raise'!$A:$C,'LEA Pay Raise'!$1:$2</definedName>
    <definedName name="_xlnm.Print_Titles" localSheetId="62">'Pay Raise By Residency'!$A:$B</definedName>
    <definedName name="_xlnm.Print_Titles" localSheetId="61">'Per Pupil_Weighted Funding'!$A:$B</definedName>
    <definedName name="_xlnm.Print_Titles" localSheetId="63">Placeholder_Greater!$A:$B</definedName>
    <definedName name="tbl_001_Base_Matrix___Summary_Reported_Personnel_Salaries">#REF!</definedName>
    <definedName name="Z_DF43B8DA_68E8_4080_9138_D41A38219876_.wvu.Cols" localSheetId="6" hidden="1">'3B_Pay Raise'!$B:$B</definedName>
    <definedName name="Z_DF43B8DA_68E8_4080_9138_D41A38219876_.wvu.Cols" localSheetId="7" hidden="1">'4_Level 4'!$B:$B</definedName>
    <definedName name="Z_DF43B8DA_68E8_4080_9138_D41A38219876_.wvu.Cols" localSheetId="21" hidden="1">'5B2_RSD LA'!$B:$B</definedName>
    <definedName name="Z_DF43B8DA_68E8_4080_9138_D41A38219876_.wvu.Cols" localSheetId="22" hidden="1">'5C1_New Type 2'!$B:$B</definedName>
    <definedName name="Z_DF43B8DA_68E8_4080_9138_D41A38219876_.wvu.Cols" localSheetId="57" hidden="1">'8_2.1.20 SIS'!$AM:$AS</definedName>
    <definedName name="Z_DF43B8DA_68E8_4080_9138_D41A38219876_.wvu.Cols" localSheetId="62" hidden="1">'Pay Raise By Residency'!$AM:$AS</definedName>
    <definedName name="Z_DF43B8DA_68E8_4080_9138_D41A38219876_.wvu.FilterData" localSheetId="6" hidden="1">'3B_Pay Raise'!$A$5:$O$142</definedName>
    <definedName name="Z_DF43B8DA_68E8_4080_9138_D41A38219876_.wvu.FilterData" localSheetId="58" hidden="1">'8A_2.1.20 RSD Op &amp; 5s'!$A$2:$F$2</definedName>
    <definedName name="Z_DF43B8DA_68E8_4080_9138_D41A38219876_.wvu.PrintArea" localSheetId="0" hidden="1">'1_State Summary'!$A$1:$B$11</definedName>
    <definedName name="Z_DF43B8DA_68E8_4080_9138_D41A38219876_.wvu.PrintArea" localSheetId="1" hidden="1">'2_State Distrib and Adjs'!$A$1:$BF$76</definedName>
    <definedName name="Z_DF43B8DA_68E8_4080_9138_D41A38219876_.wvu.PrintArea" localSheetId="2" hidden="1">'2A-1_EFT (Annual)'!$A$1:$AM$76</definedName>
    <definedName name="Z_DF43B8DA_68E8_4080_9138_D41A38219876_.wvu.PrintArea" localSheetId="3" hidden="1">'2A-2_EFT (Monthly)'!$A$1:$AM$76</definedName>
    <definedName name="Z_DF43B8DA_68E8_4080_9138_D41A38219876_.wvu.PrintArea" localSheetId="4" hidden="1">'3_Levels 1&amp;2'!$A$1:$BC$76</definedName>
    <definedName name="Z_DF43B8DA_68E8_4080_9138_D41A38219876_.wvu.PrintArea" localSheetId="5" hidden="1">'3A_Level 3'!$A$1:$M$76</definedName>
    <definedName name="Z_DF43B8DA_68E8_4080_9138_D41A38219876_.wvu.PrintArea" localSheetId="6" hidden="1">'3B_Pay Raise'!$A$1:$O$142</definedName>
    <definedName name="Z_DF43B8DA_68E8_4080_9138_D41A38219876_.wvu.PrintArea" localSheetId="7" hidden="1">'4_Level 4'!$A$1:$R$140</definedName>
    <definedName name="Z_DF43B8DA_68E8_4080_9138_D41A38219876_.wvu.PrintArea" localSheetId="8" hidden="1">'5A1_Labs'!$A$1:$Y$9</definedName>
    <definedName name="Z_DF43B8DA_68E8_4080_9138_D41A38219876_.wvu.PrintArea" localSheetId="9" hidden="1">'5A2_Legacy Type 2'!$A$1:$AI$14</definedName>
    <definedName name="Z_DF43B8DA_68E8_4080_9138_D41A38219876_.wvu.PrintArea" localSheetId="10" hidden="1">'5A2A_New Vision'!$A$1:$AF$84</definedName>
    <definedName name="Z_DF43B8DA_68E8_4080_9138_D41A38219876_.wvu.PrintArea" localSheetId="11" hidden="1">'5A2B_Glencoe'!$A$1:$AF$84</definedName>
    <definedName name="Z_DF43B8DA_68E8_4080_9138_D41A38219876_.wvu.PrintArea" localSheetId="12" hidden="1">'5A2C_ISL'!$A$1:$AF$87</definedName>
    <definedName name="Z_DF43B8DA_68E8_4080_9138_D41A38219876_.wvu.PrintArea" localSheetId="13" hidden="1">'5A2D_Avoyelles'!$A$1:$AF$84</definedName>
    <definedName name="Z_DF43B8DA_68E8_4080_9138_D41A38219876_.wvu.PrintArea" localSheetId="14" hidden="1">'5A2E_Delhi'!$A$1:$AF$84</definedName>
    <definedName name="Z_DF43B8DA_68E8_4080_9138_D41A38219876_.wvu.PrintArea" localSheetId="15" hidden="1">'5A2F_Belle Chasse'!$A$1:$AF$84</definedName>
    <definedName name="Z_DF43B8DA_68E8_4080_9138_D41A38219876_.wvu.PrintArea" localSheetId="16" hidden="1">'5A2H_MAX'!$A$1:$AF$84</definedName>
    <definedName name="Z_DF43B8DA_68E8_4080_9138_D41A38219876_.wvu.PrintArea" localSheetId="17" hidden="1">'5A3_OJJ'!$A$1:$S$84</definedName>
    <definedName name="Z_DF43B8DA_68E8_4080_9138_D41A38219876_.wvu.PrintArea" localSheetId="18" hidden="1">'5A4_NOCCA'!$A$1:$R$84</definedName>
    <definedName name="Z_DF43B8DA_68E8_4080_9138_D41A38219876_.wvu.PrintArea" localSheetId="19" hidden="1">'5A5_LSMSA'!$A$1:$R$84</definedName>
    <definedName name="Z_DF43B8DA_68E8_4080_9138_D41A38219876_.wvu.PrintArea" localSheetId="20" hidden="1">'5A6_Thrive'!$A$1:$R$84</definedName>
    <definedName name="Z_DF43B8DA_68E8_4080_9138_D41A38219876_.wvu.PrintArea" localSheetId="21" hidden="1">'5B2_RSD LA'!$A$1:$AU$20</definedName>
    <definedName name="Z_DF43B8DA_68E8_4080_9138_D41A38219876_.wvu.PrintArea" localSheetId="22" hidden="1">'5C1_New Type 2'!$A$1:$AX$41</definedName>
    <definedName name="Z_DF43B8DA_68E8_4080_9138_D41A38219876_.wvu.PrintArea" localSheetId="23" hidden="1">'5C1A_Madison'!$A$1:$AS$84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4" hidden="1">'5C1B_DArbonne'!$A$1:$AS$84</definedName>
    <definedName name="Z_DF43B8DA_68E8_4080_9138_D41A38219876_.wvu.PrintArea" localSheetId="25" hidden="1">'5C1C_Intl High'!$A$1:$AS$84</definedName>
    <definedName name="Z_DF43B8DA_68E8_4080_9138_D41A38219876_.wvu.PrintArea" localSheetId="26" hidden="1">'5C1D_NOMMA'!$A$1:$AS$84</definedName>
    <definedName name="Z_DF43B8DA_68E8_4080_9138_D41A38219876_.wvu.PrintArea" localSheetId="27" hidden="1">'5C1E_LFNO'!$A$1:$AS$87</definedName>
    <definedName name="Z_DF43B8DA_68E8_4080_9138_D41A38219876_.wvu.PrintArea" localSheetId="28" hidden="1">'5C1F_L.C. Charter'!$A$1:$AS$84</definedName>
    <definedName name="Z_DF43B8DA_68E8_4080_9138_D41A38219876_.wvu.PrintArea" localSheetId="29" hidden="1">'5C1G_JS Clark'!$A$1:$AS$84</definedName>
    <definedName name="Z_DF43B8DA_68E8_4080_9138_D41A38219876_.wvu.PrintArea" localSheetId="30" hidden="1">'5C1H_Southwest'!$A$1:$AS$84</definedName>
    <definedName name="Z_DF43B8DA_68E8_4080_9138_D41A38219876_.wvu.PrintArea" localSheetId="31" hidden="1">'5C1I_LA Key'!$A$1:$AS$84</definedName>
    <definedName name="Z_DF43B8DA_68E8_4080_9138_D41A38219876_.wvu.PrintArea" localSheetId="32" hidden="1">'5C1J_JCFA-East'!$A$1:$AS$84</definedName>
    <definedName name="Z_DF43B8DA_68E8_4080_9138_D41A38219876_.wvu.PrintArea" localSheetId="33" hidden="1">'5C1M_GEO Mid'!$A$1:$AS$84</definedName>
    <definedName name="Z_DF43B8DA_68E8_4080_9138_D41A38219876_.wvu.PrintArea" localSheetId="34" hidden="1">'5C1N_Delta'!$A$1:$AS$84</definedName>
    <definedName name="Z_DF43B8DA_68E8_4080_9138_D41A38219876_.wvu.PrintArea" localSheetId="35" hidden="1">'5C1O_Impact'!$A$1:$AS$84</definedName>
    <definedName name="Z_DF43B8DA_68E8_4080_9138_D41A38219876_.wvu.PrintArea" localSheetId="36" hidden="1">'5C1Q_Advantage'!$A$1:$AS$84</definedName>
    <definedName name="Z_DF43B8DA_68E8_4080_9138_D41A38219876_.wvu.PrintArea" localSheetId="37" hidden="1">'5C1R_Iberville'!$A$1:$AS$84</definedName>
    <definedName name="Z_DF43B8DA_68E8_4080_9138_D41A38219876_.wvu.PrintArea" localSheetId="38" hidden="1">'5C1S_LC Col Prep'!$A$1:$AS$84</definedName>
    <definedName name="Z_DF43B8DA_68E8_4080_9138_D41A38219876_.wvu.PrintArea" localSheetId="39" hidden="1">'5C1T_Northeast'!$A$1:$AS$84</definedName>
    <definedName name="Z_DF43B8DA_68E8_4080_9138_D41A38219876_.wvu.PrintArea" localSheetId="40" hidden="1">'5C1U_Acadiana Ren'!$A$1:$AS$84</definedName>
    <definedName name="Z_DF43B8DA_68E8_4080_9138_D41A38219876_.wvu.PrintArea" localSheetId="41" hidden="1">'5C1V_Laf Ren'!$A$1:$AS$84</definedName>
    <definedName name="Z_DF43B8DA_68E8_4080_9138_D41A38219876_.wvu.PrintArea" localSheetId="42" hidden="1">'5C1W_Willow'!$A$1:$AS$84</definedName>
    <definedName name="Z_DF43B8DA_68E8_4080_9138_D41A38219876_.wvu.PrintArea" localSheetId="43" hidden="1">'5C1Y_GEO'!$A$1:$AS$84</definedName>
    <definedName name="Z_DF43B8DA_68E8_4080_9138_D41A38219876_.wvu.PrintArea" localSheetId="44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Revenue'!$A$1:$AT$76</definedName>
    <definedName name="Z_DF43B8DA_68E8_4080_9138_D41A38219876_.wvu.PrintArea" localSheetId="57" hidden="1">'8_2.1.20 SIS'!$A$1:$BI$76</definedName>
    <definedName name="Z_DF43B8DA_68E8_4080_9138_D41A38219876_.wvu.PrintArea" localSheetId="58" hidden="1">'8A_2.1.20 RSD Op &amp; 5s'!$A$1:$F$12</definedName>
    <definedName name="Z_DF43B8DA_68E8_4080_9138_D41A38219876_.wvu.PrintArea" localSheetId="59" hidden="1">'9_Per Pupil Summary'!$A$1:$Q$78</definedName>
    <definedName name="Z_DF43B8DA_68E8_4080_9138_D41A38219876_.wvu.PrintArea" localSheetId="60" hidden="1">'LEA Pay Raise'!$A$1:$D$21</definedName>
    <definedName name="Z_DF43B8DA_68E8_4080_9138_D41A38219876_.wvu.PrintArea" localSheetId="62" hidden="1">'Pay Raise By Residency'!$A$1:$BI$76</definedName>
    <definedName name="Z_DF43B8DA_68E8_4080_9138_D41A38219876_.wvu.PrintArea" localSheetId="61" hidden="1">'Per Pupil_Weighted Funding'!$A$1:$AG$76</definedName>
    <definedName name="Z_DF43B8DA_68E8_4080_9138_D41A38219876_.wvu.PrintArea" localSheetId="63" hidden="1">Placeholder_Greater!$A$1:$AS$84</definedName>
    <definedName name="Z_DF43B8DA_68E8_4080_9138_D41A38219876_.wvu.PrintTitles" localSheetId="1" hidden="1">'2_State Distrib and Adjs'!$A:$B</definedName>
    <definedName name="Z_DF43B8DA_68E8_4080_9138_D41A38219876_.wvu.PrintTitles" localSheetId="2" hidden="1">'2A-1_EFT (Annual)'!$A:$B</definedName>
    <definedName name="Z_DF43B8DA_68E8_4080_9138_D41A38219876_.wvu.PrintTitles" localSheetId="3" hidden="1">'2A-2_EFT (Monthly)'!$A:$B</definedName>
    <definedName name="Z_DF43B8DA_68E8_4080_9138_D41A38219876_.wvu.PrintTitles" localSheetId="4" hidden="1">'3_Levels 1&amp;2'!$A:$B</definedName>
    <definedName name="Z_DF43B8DA_68E8_4080_9138_D41A38219876_.wvu.PrintTitles" localSheetId="5" hidden="1">'3A_Level 3'!$A:$B</definedName>
    <definedName name="Z_DF43B8DA_68E8_4080_9138_D41A38219876_.wvu.PrintTitles" localSheetId="6" hidden="1">'3B_Pay Raise'!$A:$C,'3B_Pay Raise'!$1:$5</definedName>
    <definedName name="Z_DF43B8DA_68E8_4080_9138_D41A38219876_.wvu.PrintTitles" localSheetId="7" hidden="1">'4_Level 4'!$A:$C,'4_Level 4'!$1:$4</definedName>
    <definedName name="Z_DF43B8DA_68E8_4080_9138_D41A38219876_.wvu.PrintTitles" localSheetId="8" hidden="1">'5A1_Labs'!$A:$B</definedName>
    <definedName name="Z_DF43B8DA_68E8_4080_9138_D41A38219876_.wvu.PrintTitles" localSheetId="9" hidden="1">'5A2_Legacy Type 2'!$A:$B</definedName>
    <definedName name="Z_DF43B8DA_68E8_4080_9138_D41A38219876_.wvu.PrintTitles" localSheetId="10" hidden="1">'5A2A_New Vision'!$A:$B</definedName>
    <definedName name="Z_DF43B8DA_68E8_4080_9138_D41A38219876_.wvu.PrintTitles" localSheetId="11" hidden="1">'5A2B_Glencoe'!$A:$B</definedName>
    <definedName name="Z_DF43B8DA_68E8_4080_9138_D41A38219876_.wvu.PrintTitles" localSheetId="12" hidden="1">'5A2C_ISL'!$A:$B</definedName>
    <definedName name="Z_DF43B8DA_68E8_4080_9138_D41A38219876_.wvu.PrintTitles" localSheetId="13" hidden="1">'5A2D_Avoyelles'!$A:$B</definedName>
    <definedName name="Z_DF43B8DA_68E8_4080_9138_D41A38219876_.wvu.PrintTitles" localSheetId="14" hidden="1">'5A2E_Delhi'!$A:$B</definedName>
    <definedName name="Z_DF43B8DA_68E8_4080_9138_D41A38219876_.wvu.PrintTitles" localSheetId="15" hidden="1">'5A2F_Belle Chasse'!$A:$B</definedName>
    <definedName name="Z_DF43B8DA_68E8_4080_9138_D41A38219876_.wvu.PrintTitles" localSheetId="16" hidden="1">'5A2H_MAX'!$A:$B</definedName>
    <definedName name="Z_DF43B8DA_68E8_4080_9138_D41A38219876_.wvu.PrintTitles" localSheetId="17" hidden="1">'5A3_OJJ'!$A:$B</definedName>
    <definedName name="Z_DF43B8DA_68E8_4080_9138_D41A38219876_.wvu.PrintTitles" localSheetId="18" hidden="1">'5A4_NOCCA'!$A:$B</definedName>
    <definedName name="Z_DF43B8DA_68E8_4080_9138_D41A38219876_.wvu.PrintTitles" localSheetId="19" hidden="1">'5A5_LSMSA'!$A:$B</definedName>
    <definedName name="Z_DF43B8DA_68E8_4080_9138_D41A38219876_.wvu.PrintTitles" localSheetId="20" hidden="1">'5A6_Thrive'!$A:$B</definedName>
    <definedName name="Z_DF43B8DA_68E8_4080_9138_D41A38219876_.wvu.PrintTitles" localSheetId="21" hidden="1">'5B2_RSD LA'!$A:$C</definedName>
    <definedName name="Z_DF43B8DA_68E8_4080_9138_D41A38219876_.wvu.PrintTitles" localSheetId="22" hidden="1">'5C1_New Type 2'!$A:$D,'5C1_New Type 2'!$1:$4</definedName>
    <definedName name="Z_DF43B8DA_68E8_4080_9138_D41A38219876_.wvu.PrintTitles" localSheetId="23" hidden="1">'5C1A_Madison'!$A:$B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4" hidden="1">'5C1B_DArbonne'!$A:$B</definedName>
    <definedName name="Z_DF43B8DA_68E8_4080_9138_D41A38219876_.wvu.PrintTitles" localSheetId="25" hidden="1">'5C1C_Intl High'!$A:$B</definedName>
    <definedName name="Z_DF43B8DA_68E8_4080_9138_D41A38219876_.wvu.PrintTitles" localSheetId="26" hidden="1">'5C1D_NOMMA'!$A:$B</definedName>
    <definedName name="Z_DF43B8DA_68E8_4080_9138_D41A38219876_.wvu.PrintTitles" localSheetId="27" hidden="1">'5C1E_LFNO'!$A:$B</definedName>
    <definedName name="Z_DF43B8DA_68E8_4080_9138_D41A38219876_.wvu.PrintTitles" localSheetId="28" hidden="1">'5C1F_L.C. Charter'!$A:$B</definedName>
    <definedName name="Z_DF43B8DA_68E8_4080_9138_D41A38219876_.wvu.PrintTitles" localSheetId="29" hidden="1">'5C1G_JS Clark'!$A:$B</definedName>
    <definedName name="Z_DF43B8DA_68E8_4080_9138_D41A38219876_.wvu.PrintTitles" localSheetId="30" hidden="1">'5C1H_Southwest'!$A:$B</definedName>
    <definedName name="Z_DF43B8DA_68E8_4080_9138_D41A38219876_.wvu.PrintTitles" localSheetId="31" hidden="1">'5C1I_LA Key'!$A:$B</definedName>
    <definedName name="Z_DF43B8DA_68E8_4080_9138_D41A38219876_.wvu.PrintTitles" localSheetId="32" hidden="1">'5C1J_JCFA-East'!$A:$B</definedName>
    <definedName name="Z_DF43B8DA_68E8_4080_9138_D41A38219876_.wvu.PrintTitles" localSheetId="33" hidden="1">'5C1M_GEO Mid'!$A:$B</definedName>
    <definedName name="Z_DF43B8DA_68E8_4080_9138_D41A38219876_.wvu.PrintTitles" localSheetId="34" hidden="1">'5C1N_Delta'!$A:$B</definedName>
    <definedName name="Z_DF43B8DA_68E8_4080_9138_D41A38219876_.wvu.PrintTitles" localSheetId="35" hidden="1">'5C1O_Impact'!$A:$B</definedName>
    <definedName name="Z_DF43B8DA_68E8_4080_9138_D41A38219876_.wvu.PrintTitles" localSheetId="36" hidden="1">'5C1Q_Advantage'!$A:$B</definedName>
    <definedName name="Z_DF43B8DA_68E8_4080_9138_D41A38219876_.wvu.PrintTitles" localSheetId="37" hidden="1">'5C1R_Iberville'!$A:$B</definedName>
    <definedName name="Z_DF43B8DA_68E8_4080_9138_D41A38219876_.wvu.PrintTitles" localSheetId="38" hidden="1">'5C1S_LC Col Prep'!$A:$B</definedName>
    <definedName name="Z_DF43B8DA_68E8_4080_9138_D41A38219876_.wvu.PrintTitles" localSheetId="39" hidden="1">'5C1T_Northeast'!$A:$B</definedName>
    <definedName name="Z_DF43B8DA_68E8_4080_9138_D41A38219876_.wvu.PrintTitles" localSheetId="40" hidden="1">'5C1U_Acadiana Ren'!$A:$B</definedName>
    <definedName name="Z_DF43B8DA_68E8_4080_9138_D41A38219876_.wvu.PrintTitles" localSheetId="41" hidden="1">'5C1V_Laf Ren'!$A:$B</definedName>
    <definedName name="Z_DF43B8DA_68E8_4080_9138_D41A38219876_.wvu.PrintTitles" localSheetId="42" hidden="1">'5C1W_Willow'!$A:$B</definedName>
    <definedName name="Z_DF43B8DA_68E8_4080_9138_D41A38219876_.wvu.PrintTitles" localSheetId="43" hidden="1">'5C1Y_GEO'!$A:$B</definedName>
    <definedName name="Z_DF43B8DA_68E8_4080_9138_D41A38219876_.wvu.PrintTitles" localSheetId="44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'8_2.1.20 SIS'!$A:$B</definedName>
    <definedName name="Z_DF43B8DA_68E8_4080_9138_D41A38219876_.wvu.PrintTitles" localSheetId="59" hidden="1">'9_Per Pupil Summary'!$A:$B</definedName>
    <definedName name="Z_DF43B8DA_68E8_4080_9138_D41A38219876_.wvu.PrintTitles" localSheetId="60" hidden="1">'LEA Pay Raise'!$A:$C,'LEA Pay Raise'!$1:$2</definedName>
    <definedName name="Z_DF43B8DA_68E8_4080_9138_D41A38219876_.wvu.PrintTitles" localSheetId="62" hidden="1">'Pay Raise By Residency'!$A:$B</definedName>
    <definedName name="Z_DF43B8DA_68E8_4080_9138_D41A38219876_.wvu.PrintTitles" localSheetId="61" hidden="1">'Per Pupil_Weighted Funding'!$A:$B</definedName>
    <definedName name="Z_DF43B8DA_68E8_4080_9138_D41A38219876_.wvu.PrintTitles" localSheetId="63" hidden="1">Placeholder_Greater!$A:$B</definedName>
    <definedName name="Z_DF43B8DA_68E8_4080_9138_D41A38219876_.wvu.Rows" localSheetId="1" hidden="1">'2_State Distrib and Adjs'!$3:$3</definedName>
    <definedName name="Z_DF43B8DA_68E8_4080_9138_D41A38219876_.wvu.Rows" localSheetId="2" hidden="1">'2A-1_EFT (Annual)'!$3:$3,'2A-1_EFT (Annual)'!$5:$5</definedName>
    <definedName name="Z_DF43B8DA_68E8_4080_9138_D41A38219876_.wvu.Rows" localSheetId="3" hidden="1">'2A-2_EFT (Monthly)'!$3:$3,'2A-2_EFT (Monthly)'!$5:$5</definedName>
    <definedName name="Z_DF43B8DA_68E8_4080_9138_D41A38219876_.wvu.Rows" localSheetId="4" hidden="1">'3_Levels 1&amp;2'!$6:$6</definedName>
    <definedName name="Z_DF43B8DA_68E8_4080_9138_D41A38219876_.wvu.Rows" localSheetId="5" hidden="1">'3A_Level 3'!$6:$6</definedName>
    <definedName name="Z_DF43B8DA_68E8_4080_9138_D41A38219876_.wvu.Rows" localSheetId="6" hidden="1">'3B_Pay Raise'!$2:$3,'3B_Pay Raise'!$6:$6</definedName>
    <definedName name="Z_DF43B8DA_68E8_4080_9138_D41A38219876_.wvu.Rows" localSheetId="7" hidden="1">'4_Level 4'!$6:$6</definedName>
    <definedName name="Z_DF43B8DA_68E8_4080_9138_D41A38219876_.wvu.Rows" localSheetId="8" hidden="1">'5A1_Labs'!$6:$6</definedName>
    <definedName name="Z_DF43B8DA_68E8_4080_9138_D41A38219876_.wvu.Rows" localSheetId="9" hidden="1">'5A2_Legacy Type 2'!$6:$6</definedName>
    <definedName name="Z_DF43B8DA_68E8_4080_9138_D41A38219876_.wvu.Rows" localSheetId="10" hidden="1">'5A2A_New Vision'!$6:$6</definedName>
    <definedName name="Z_DF43B8DA_68E8_4080_9138_D41A38219876_.wvu.Rows" localSheetId="11" hidden="1">'5A2B_Glencoe'!$6:$6</definedName>
    <definedName name="Z_DF43B8DA_68E8_4080_9138_D41A38219876_.wvu.Rows" localSheetId="12" hidden="1">'5A2C_ISL'!$6:$6</definedName>
    <definedName name="Z_DF43B8DA_68E8_4080_9138_D41A38219876_.wvu.Rows" localSheetId="13" hidden="1">'5A2D_Avoyelles'!$6:$6</definedName>
    <definedName name="Z_DF43B8DA_68E8_4080_9138_D41A38219876_.wvu.Rows" localSheetId="14" hidden="1">'5A2E_Delhi'!$6:$6</definedName>
    <definedName name="Z_DF43B8DA_68E8_4080_9138_D41A38219876_.wvu.Rows" localSheetId="15" hidden="1">'5A2F_Belle Chasse'!$6:$6</definedName>
    <definedName name="Z_DF43B8DA_68E8_4080_9138_D41A38219876_.wvu.Rows" localSheetId="16" hidden="1">'5A2H_MAX'!$6:$6</definedName>
    <definedName name="Z_DF43B8DA_68E8_4080_9138_D41A38219876_.wvu.Rows" localSheetId="17" hidden="1">'5A3_OJJ'!$6:$6</definedName>
    <definedName name="Z_DF43B8DA_68E8_4080_9138_D41A38219876_.wvu.Rows" localSheetId="18" hidden="1">'5A4_NOCCA'!$6:$6</definedName>
    <definedName name="Z_DF43B8DA_68E8_4080_9138_D41A38219876_.wvu.Rows" localSheetId="19" hidden="1">'5A5_LSMSA'!$6:$6</definedName>
    <definedName name="Z_DF43B8DA_68E8_4080_9138_D41A38219876_.wvu.Rows" localSheetId="20" hidden="1">'5A6_Thrive'!$6:$6</definedName>
    <definedName name="Z_DF43B8DA_68E8_4080_9138_D41A38219876_.wvu.Rows" localSheetId="21" hidden="1">'5B2_RSD LA'!$6:$6</definedName>
    <definedName name="Z_DF43B8DA_68E8_4080_9138_D41A38219876_.wvu.Rows" localSheetId="22" hidden="1">'5C1_New Type 2'!$6:$6</definedName>
    <definedName name="Z_DF43B8DA_68E8_4080_9138_D41A38219876_.wvu.Rows" localSheetId="23" hidden="1">'5C1A_Madison'!$6:$6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4" hidden="1">'5C1B_DArbonne'!$6:$6</definedName>
    <definedName name="Z_DF43B8DA_68E8_4080_9138_D41A38219876_.wvu.Rows" localSheetId="25" hidden="1">'5C1C_Intl High'!$6:$6</definedName>
    <definedName name="Z_DF43B8DA_68E8_4080_9138_D41A38219876_.wvu.Rows" localSheetId="26" hidden="1">'5C1D_NOMMA'!$6:$6</definedName>
    <definedName name="Z_DF43B8DA_68E8_4080_9138_D41A38219876_.wvu.Rows" localSheetId="27" hidden="1">'5C1E_LFNO'!$6:$6</definedName>
    <definedName name="Z_DF43B8DA_68E8_4080_9138_D41A38219876_.wvu.Rows" localSheetId="28" hidden="1">'5C1F_L.C. Charter'!$6:$6</definedName>
    <definedName name="Z_DF43B8DA_68E8_4080_9138_D41A38219876_.wvu.Rows" localSheetId="29" hidden="1">'5C1G_JS Clark'!$6:$6</definedName>
    <definedName name="Z_DF43B8DA_68E8_4080_9138_D41A38219876_.wvu.Rows" localSheetId="30" hidden="1">'5C1H_Southwest'!$6:$6</definedName>
    <definedName name="Z_DF43B8DA_68E8_4080_9138_D41A38219876_.wvu.Rows" localSheetId="31" hidden="1">'5C1I_LA Key'!$6:$6</definedName>
    <definedName name="Z_DF43B8DA_68E8_4080_9138_D41A38219876_.wvu.Rows" localSheetId="32" hidden="1">'5C1J_JCFA-East'!$6:$6</definedName>
    <definedName name="Z_DF43B8DA_68E8_4080_9138_D41A38219876_.wvu.Rows" localSheetId="33" hidden="1">'5C1M_GEO Mid'!$6:$6</definedName>
    <definedName name="Z_DF43B8DA_68E8_4080_9138_D41A38219876_.wvu.Rows" localSheetId="34" hidden="1">'5C1N_Delta'!$6:$6</definedName>
    <definedName name="Z_DF43B8DA_68E8_4080_9138_D41A38219876_.wvu.Rows" localSheetId="35" hidden="1">'5C1O_Impact'!$6:$6</definedName>
    <definedName name="Z_DF43B8DA_68E8_4080_9138_D41A38219876_.wvu.Rows" localSheetId="36" hidden="1">'5C1Q_Advantage'!$6:$6</definedName>
    <definedName name="Z_DF43B8DA_68E8_4080_9138_D41A38219876_.wvu.Rows" localSheetId="37" hidden="1">'5C1R_Iberville'!$6:$6</definedName>
    <definedName name="Z_DF43B8DA_68E8_4080_9138_D41A38219876_.wvu.Rows" localSheetId="38" hidden="1">'5C1S_LC Col Prep'!$6:$6</definedName>
    <definedName name="Z_DF43B8DA_68E8_4080_9138_D41A38219876_.wvu.Rows" localSheetId="39" hidden="1">'5C1T_Northeast'!$6:$6</definedName>
    <definedName name="Z_DF43B8DA_68E8_4080_9138_D41A38219876_.wvu.Rows" localSheetId="40" hidden="1">'5C1U_Acadiana Ren'!$6:$6</definedName>
    <definedName name="Z_DF43B8DA_68E8_4080_9138_D41A38219876_.wvu.Rows" localSheetId="41" hidden="1">'5C1V_Laf Ren'!$6:$6</definedName>
    <definedName name="Z_DF43B8DA_68E8_4080_9138_D41A38219876_.wvu.Rows" localSheetId="42" hidden="1">'5C1W_Willow'!$6:$6</definedName>
    <definedName name="Z_DF43B8DA_68E8_4080_9138_D41A38219876_.wvu.Rows" localSheetId="43" hidden="1">'5C1Y_GEO'!$6:$6</definedName>
    <definedName name="Z_DF43B8DA_68E8_4080_9138_D41A38219876_.wvu.Rows" localSheetId="44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'8_2.1.20 SIS'!$5:$6</definedName>
    <definedName name="Z_DF43B8DA_68E8_4080_9138_D41A38219876_.wvu.Rows" localSheetId="58" hidden="1">'8A_2.1.20 RSD Op &amp; 5s'!$3:$3</definedName>
    <definedName name="Z_DF43B8DA_68E8_4080_9138_D41A38219876_.wvu.Rows" localSheetId="59" hidden="1">'9_Per Pupil Summary'!$5:$6</definedName>
    <definedName name="Z_DF43B8DA_68E8_4080_9138_D41A38219876_.wvu.Rows" localSheetId="60" hidden="1">'LEA Pay Raise'!$4:$4</definedName>
    <definedName name="Z_DF43B8DA_68E8_4080_9138_D41A38219876_.wvu.Rows" localSheetId="62" hidden="1">'Pay Raise By Residency'!$6:$6</definedName>
    <definedName name="Z_DF43B8DA_68E8_4080_9138_D41A38219876_.wvu.Rows" localSheetId="61" hidden="1">'Per Pupil_Weighted Funding'!$3:$3,'Per Pupil_Weighted Funding'!$5:$6</definedName>
    <definedName name="Z_DF43B8DA_68E8_4080_9138_D41A38219876_.wvu.Rows" localSheetId="63" hidden="1">Placeholder_Greater!$6:$6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E7" i="12" l="1"/>
  <c r="G7" i="12"/>
  <c r="I7" i="12"/>
  <c r="AF7" i="68"/>
  <c r="AF11" i="68"/>
  <c r="AF15" i="68"/>
  <c r="AF19" i="68"/>
  <c r="AF23" i="68"/>
  <c r="AF27" i="68"/>
  <c r="AF31" i="68"/>
  <c r="AF35" i="68"/>
  <c r="AF39" i="68"/>
  <c r="AF43" i="68"/>
  <c r="AF47" i="68"/>
  <c r="AF51" i="68"/>
  <c r="AF55" i="68"/>
  <c r="AF59" i="68"/>
  <c r="AF63" i="68"/>
  <c r="AF67" i="68"/>
  <c r="AF71" i="68"/>
  <c r="AF75" i="68"/>
  <c r="AK7" i="68"/>
  <c r="AK8" i="68"/>
  <c r="AM8" i="68" s="1"/>
  <c r="AK9" i="68"/>
  <c r="AK10" i="68"/>
  <c r="AM10" i="68" s="1"/>
  <c r="AK11" i="68"/>
  <c r="AK12" i="68"/>
  <c r="AM12" i="68" s="1"/>
  <c r="AK13" i="68"/>
  <c r="AM13" i="68" s="1"/>
  <c r="AO13" i="68" s="1"/>
  <c r="G13" i="67"/>
  <c r="AK14" i="68"/>
  <c r="AM14" i="68" s="1"/>
  <c r="AO14" i="68" s="1"/>
  <c r="G14" i="67" s="1"/>
  <c r="AK15" i="68"/>
  <c r="AK16" i="68"/>
  <c r="AM16" i="68"/>
  <c r="AO16" i="68" s="1"/>
  <c r="G16" i="67" s="1"/>
  <c r="AK17" i="68"/>
  <c r="AK18" i="68"/>
  <c r="AK19" i="68"/>
  <c r="AM19" i="68" s="1"/>
  <c r="AO19" i="68" s="1"/>
  <c r="G19" i="67"/>
  <c r="AK20" i="68"/>
  <c r="AM20" i="68" s="1"/>
  <c r="AO20" i="68" s="1"/>
  <c r="G20" i="67" s="1"/>
  <c r="AK21" i="68"/>
  <c r="AM21" i="68"/>
  <c r="AO21" i="68" s="1"/>
  <c r="G21" i="67"/>
  <c r="AK22" i="68"/>
  <c r="AM22" i="68" s="1"/>
  <c r="AO22" i="68" s="1"/>
  <c r="G22" i="67" s="1"/>
  <c r="AK23" i="68"/>
  <c r="AM23" i="68" s="1"/>
  <c r="AO23" i="68" s="1"/>
  <c r="G23" i="67"/>
  <c r="AK24" i="68"/>
  <c r="AM24" i="68" s="1"/>
  <c r="AK25" i="68"/>
  <c r="AK26" i="68"/>
  <c r="AM26" i="68"/>
  <c r="AK27" i="68"/>
  <c r="F27" i="67" s="1"/>
  <c r="AK28" i="68"/>
  <c r="AK29" i="68"/>
  <c r="AK30" i="68"/>
  <c r="AM30" i="68" s="1"/>
  <c r="AK31" i="68"/>
  <c r="AM31" i="68" s="1"/>
  <c r="AO31" i="68" s="1"/>
  <c r="G31" i="67" s="1"/>
  <c r="AK32" i="68"/>
  <c r="AM32" i="68"/>
  <c r="AK33" i="68"/>
  <c r="AM33" i="68" s="1"/>
  <c r="AK34" i="68"/>
  <c r="AK35" i="68"/>
  <c r="AK36" i="68"/>
  <c r="AM36" i="68" s="1"/>
  <c r="AK37" i="68"/>
  <c r="AM37" i="68" s="1"/>
  <c r="AK38" i="68"/>
  <c r="AM38" i="68" s="1"/>
  <c r="AK39" i="68"/>
  <c r="AM39" i="68" s="1"/>
  <c r="AK40" i="68"/>
  <c r="AM40" i="68" s="1"/>
  <c r="AK41" i="68"/>
  <c r="AK42" i="68"/>
  <c r="AM42" i="68" s="1"/>
  <c r="AO42" i="68" s="1"/>
  <c r="G42" i="67" s="1"/>
  <c r="AK43" i="68"/>
  <c r="AK44" i="68"/>
  <c r="AM44" i="68"/>
  <c r="AK45" i="68"/>
  <c r="AM45" i="68" s="1"/>
  <c r="AO45" i="68" s="1"/>
  <c r="G45" i="67" s="1"/>
  <c r="AK46" i="68"/>
  <c r="AM46" i="68" s="1"/>
  <c r="AO46" i="68" s="1"/>
  <c r="G46" i="67" s="1"/>
  <c r="AK47" i="68"/>
  <c r="AM47" i="68" s="1"/>
  <c r="AO47" i="68" s="1"/>
  <c r="G47" i="67" s="1"/>
  <c r="AK48" i="68"/>
  <c r="AM48" i="68" s="1"/>
  <c r="AK49" i="68"/>
  <c r="AK50" i="68"/>
  <c r="AK51" i="68"/>
  <c r="AK52" i="68"/>
  <c r="AM52" i="68" s="1"/>
  <c r="AK53" i="68"/>
  <c r="AK54" i="68"/>
  <c r="AM54" i="68" s="1"/>
  <c r="AK55" i="68"/>
  <c r="AM55" i="68" s="1"/>
  <c r="AO55" i="68" s="1"/>
  <c r="G55" i="67" s="1"/>
  <c r="AK56" i="68"/>
  <c r="AM56" i="68" s="1"/>
  <c r="AK57" i="68"/>
  <c r="AK58" i="68"/>
  <c r="AM58" i="68" s="1"/>
  <c r="AO58" i="68"/>
  <c r="G58" i="67" s="1"/>
  <c r="AK59" i="68"/>
  <c r="AK60" i="68"/>
  <c r="AK61" i="68"/>
  <c r="AM61" i="68"/>
  <c r="AO61" i="68" s="1"/>
  <c r="G61" i="67" s="1"/>
  <c r="AK62" i="68"/>
  <c r="AM62" i="68" s="1"/>
  <c r="AO62" i="68" s="1"/>
  <c r="G62" i="67" s="1"/>
  <c r="AK63" i="68"/>
  <c r="AM63" i="68"/>
  <c r="AO63" i="68" s="1"/>
  <c r="G63" i="67" s="1"/>
  <c r="AK64" i="68"/>
  <c r="AK65" i="68"/>
  <c r="AM65" i="68" s="1"/>
  <c r="AO65" i="68" s="1"/>
  <c r="G65" i="67" s="1"/>
  <c r="AK66" i="68"/>
  <c r="AK67" i="68"/>
  <c r="AM67" i="68" s="1"/>
  <c r="AK68" i="68"/>
  <c r="AK69" i="68"/>
  <c r="AM69" i="68" s="1"/>
  <c r="AO69" i="68" s="1"/>
  <c r="G69" i="67" s="1"/>
  <c r="AK70" i="68"/>
  <c r="AK71" i="68"/>
  <c r="AM71" i="68" s="1"/>
  <c r="AK72" i="68"/>
  <c r="AK73" i="68"/>
  <c r="AM73" i="68" s="1"/>
  <c r="AO73" i="68" s="1"/>
  <c r="G73" i="67" s="1"/>
  <c r="AK74" i="68"/>
  <c r="AM74" i="68" s="1"/>
  <c r="AK75" i="68"/>
  <c r="AM75" i="68" s="1"/>
  <c r="AO75" i="68"/>
  <c r="G75" i="67" s="1"/>
  <c r="AM34" i="68"/>
  <c r="AO34" i="68" s="1"/>
  <c r="G34" i="67" s="1"/>
  <c r="E8" i="12"/>
  <c r="I8" i="12"/>
  <c r="E9" i="12"/>
  <c r="G9" i="12"/>
  <c r="I9" i="12"/>
  <c r="K9" i="12"/>
  <c r="E10" i="12"/>
  <c r="G10" i="12"/>
  <c r="I10" i="12"/>
  <c r="K10" i="12"/>
  <c r="E11" i="12"/>
  <c r="G11" i="12"/>
  <c r="I11" i="12"/>
  <c r="K11" i="12"/>
  <c r="E12" i="12"/>
  <c r="G12" i="12"/>
  <c r="I12" i="12"/>
  <c r="K12" i="12"/>
  <c r="E13" i="12"/>
  <c r="G13" i="12"/>
  <c r="I13" i="12"/>
  <c r="K13" i="12"/>
  <c r="E14" i="12"/>
  <c r="G14" i="12"/>
  <c r="I14" i="12"/>
  <c r="K14" i="12"/>
  <c r="E15" i="12"/>
  <c r="G15" i="12"/>
  <c r="I15" i="12"/>
  <c r="K15" i="12"/>
  <c r="E16" i="12"/>
  <c r="G16" i="12"/>
  <c r="I16" i="12"/>
  <c r="K16" i="12"/>
  <c r="E17" i="12"/>
  <c r="G17" i="12"/>
  <c r="I17" i="12"/>
  <c r="K17" i="12"/>
  <c r="E18" i="12"/>
  <c r="G18" i="12"/>
  <c r="I18" i="12"/>
  <c r="K18" i="12"/>
  <c r="E19" i="12"/>
  <c r="G19" i="12"/>
  <c r="I19" i="12"/>
  <c r="K19" i="12"/>
  <c r="E20" i="12"/>
  <c r="G20" i="12"/>
  <c r="I20" i="12"/>
  <c r="K20" i="12"/>
  <c r="E21" i="12"/>
  <c r="G21" i="12"/>
  <c r="I21" i="12"/>
  <c r="K21" i="12"/>
  <c r="E22" i="12"/>
  <c r="G22" i="12"/>
  <c r="I22" i="12"/>
  <c r="K22" i="12"/>
  <c r="E23" i="12"/>
  <c r="G23" i="12"/>
  <c r="I23" i="12"/>
  <c r="K23" i="12"/>
  <c r="E24" i="12"/>
  <c r="G24" i="12"/>
  <c r="I24" i="12"/>
  <c r="K24" i="12"/>
  <c r="G25" i="12"/>
  <c r="K25" i="12"/>
  <c r="G26" i="12"/>
  <c r="K26" i="12"/>
  <c r="E27" i="12"/>
  <c r="G27" i="12"/>
  <c r="I27" i="12"/>
  <c r="K27" i="12"/>
  <c r="G28" i="12"/>
  <c r="I28" i="12"/>
  <c r="K28" i="12"/>
  <c r="G29" i="12"/>
  <c r="I29" i="12"/>
  <c r="K29" i="12"/>
  <c r="E30" i="12"/>
  <c r="G30" i="12"/>
  <c r="K30" i="12"/>
  <c r="G31" i="12"/>
  <c r="I31" i="12"/>
  <c r="K31" i="12"/>
  <c r="E32" i="12"/>
  <c r="G32" i="12"/>
  <c r="K32" i="12"/>
  <c r="E33" i="12"/>
  <c r="G33" i="12"/>
  <c r="I33" i="12"/>
  <c r="K33" i="12"/>
  <c r="E34" i="12"/>
  <c r="G34" i="12"/>
  <c r="I34" i="12"/>
  <c r="K34" i="12"/>
  <c r="E35" i="12"/>
  <c r="G35" i="12"/>
  <c r="I35" i="12"/>
  <c r="K35" i="12"/>
  <c r="E36" i="12"/>
  <c r="G36" i="12"/>
  <c r="I36" i="12"/>
  <c r="K36" i="12"/>
  <c r="E37" i="12"/>
  <c r="G37" i="12"/>
  <c r="I37" i="12"/>
  <c r="K37" i="12"/>
  <c r="AO37" i="68"/>
  <c r="G37" i="67" s="1"/>
  <c r="E38" i="12"/>
  <c r="G38" i="12"/>
  <c r="I38" i="12"/>
  <c r="K38" i="12"/>
  <c r="E39" i="12"/>
  <c r="G39" i="12"/>
  <c r="I39" i="12"/>
  <c r="K39" i="12"/>
  <c r="E40" i="12"/>
  <c r="G40" i="12"/>
  <c r="K40" i="12"/>
  <c r="G41" i="12"/>
  <c r="I41" i="12"/>
  <c r="K41" i="12"/>
  <c r="E42" i="12"/>
  <c r="G42" i="12"/>
  <c r="I42" i="12"/>
  <c r="K42" i="12"/>
  <c r="E43" i="12"/>
  <c r="G43" i="12"/>
  <c r="I43" i="12"/>
  <c r="K43" i="12"/>
  <c r="E44" i="12"/>
  <c r="G44" i="12"/>
  <c r="I44" i="12"/>
  <c r="K44" i="12"/>
  <c r="E45" i="12"/>
  <c r="G45" i="12"/>
  <c r="K45" i="12"/>
  <c r="E46" i="12"/>
  <c r="G46" i="12"/>
  <c r="I46" i="12"/>
  <c r="E47" i="12"/>
  <c r="I47" i="12"/>
  <c r="K47" i="12"/>
  <c r="E48" i="12"/>
  <c r="G48" i="12"/>
  <c r="I48" i="12"/>
  <c r="E49" i="12"/>
  <c r="G49" i="12"/>
  <c r="I49" i="12"/>
  <c r="E50" i="12"/>
  <c r="G50" i="12"/>
  <c r="I50" i="12"/>
  <c r="E51" i="12"/>
  <c r="I51" i="12"/>
  <c r="E52" i="12"/>
  <c r="G52" i="12"/>
  <c r="I52" i="12"/>
  <c r="E53" i="12"/>
  <c r="I53" i="12"/>
  <c r="E54" i="12"/>
  <c r="G54" i="12"/>
  <c r="I54" i="12"/>
  <c r="E55" i="12"/>
  <c r="I55" i="12"/>
  <c r="E56" i="12"/>
  <c r="I56" i="12"/>
  <c r="E57" i="12"/>
  <c r="G57" i="12"/>
  <c r="I57" i="12"/>
  <c r="E58" i="12"/>
  <c r="G58" i="12"/>
  <c r="I58" i="12"/>
  <c r="E59" i="12"/>
  <c r="I59" i="12"/>
  <c r="E60" i="12"/>
  <c r="G60" i="12"/>
  <c r="I60" i="12"/>
  <c r="K60" i="12"/>
  <c r="E61" i="12"/>
  <c r="G61" i="12"/>
  <c r="I61" i="12"/>
  <c r="K61" i="12"/>
  <c r="E62" i="12"/>
  <c r="G62" i="12"/>
  <c r="I62" i="12"/>
  <c r="K62" i="12"/>
  <c r="E63" i="12"/>
  <c r="G63" i="12"/>
  <c r="K63" i="12"/>
  <c r="E64" i="12"/>
  <c r="G64" i="12"/>
  <c r="I64" i="12"/>
  <c r="K64" i="12"/>
  <c r="E65" i="12"/>
  <c r="G65" i="12"/>
  <c r="I65" i="12"/>
  <c r="K65" i="12"/>
  <c r="E66" i="12"/>
  <c r="G66" i="12"/>
  <c r="I66" i="12"/>
  <c r="K66" i="12"/>
  <c r="E67" i="12"/>
  <c r="G67" i="12"/>
  <c r="I67" i="12"/>
  <c r="K67" i="12"/>
  <c r="E68" i="12"/>
  <c r="G68" i="12"/>
  <c r="I68" i="12"/>
  <c r="K68" i="12"/>
  <c r="E69" i="12"/>
  <c r="G69" i="12"/>
  <c r="I69" i="12"/>
  <c r="K69" i="12"/>
  <c r="E70" i="12"/>
  <c r="I70" i="12"/>
  <c r="K70" i="12"/>
  <c r="E71" i="12"/>
  <c r="G71" i="12"/>
  <c r="I71" i="12"/>
  <c r="K71" i="12"/>
  <c r="E72" i="12"/>
  <c r="G72" i="12"/>
  <c r="I72" i="12"/>
  <c r="K72" i="12"/>
  <c r="E73" i="12"/>
  <c r="G73" i="12"/>
  <c r="I73" i="12"/>
  <c r="K73" i="12"/>
  <c r="E74" i="12"/>
  <c r="G74" i="12"/>
  <c r="I74" i="12"/>
  <c r="E75" i="12"/>
  <c r="G75" i="12"/>
  <c r="I75" i="12"/>
  <c r="K75" i="12"/>
  <c r="AS75" i="68"/>
  <c r="Y75" i="12" s="1"/>
  <c r="O129" i="15"/>
  <c r="Q129" i="15" s="1"/>
  <c r="V7" i="29" s="1"/>
  <c r="O130" i="15"/>
  <c r="Q130" i="15" s="1"/>
  <c r="V8" i="29" s="1"/>
  <c r="O131" i="15"/>
  <c r="Q131" i="15" s="1"/>
  <c r="V11" i="29" s="1"/>
  <c r="O132" i="15"/>
  <c r="Q132" i="15"/>
  <c r="V12" i="29" s="1"/>
  <c r="O133" i="15"/>
  <c r="Q133" i="15" s="1"/>
  <c r="V13" i="29" s="1"/>
  <c r="O134" i="15"/>
  <c r="Q134" i="15" s="1"/>
  <c r="V14" i="29" s="1"/>
  <c r="O135" i="15"/>
  <c r="Q135" i="15" s="1"/>
  <c r="V15" i="29" s="1"/>
  <c r="O95" i="15"/>
  <c r="Q95" i="15" s="1"/>
  <c r="O96" i="15"/>
  <c r="Q96" i="15" s="1"/>
  <c r="O97" i="15"/>
  <c r="Q97" i="15" s="1"/>
  <c r="O98" i="15"/>
  <c r="Q98" i="15" s="1"/>
  <c r="O99" i="15"/>
  <c r="Q99" i="15" s="1"/>
  <c r="O100" i="15"/>
  <c r="Q100" i="15" s="1"/>
  <c r="O101" i="15"/>
  <c r="Q101" i="15" s="1"/>
  <c r="O102" i="15"/>
  <c r="Q102" i="15" s="1"/>
  <c r="O103" i="15"/>
  <c r="Q103" i="15" s="1"/>
  <c r="O104" i="15"/>
  <c r="Q104" i="15" s="1"/>
  <c r="O105" i="15"/>
  <c r="Q105" i="15" s="1"/>
  <c r="O106" i="15"/>
  <c r="Q106" i="15" s="1"/>
  <c r="O107" i="15"/>
  <c r="Q107" i="15" s="1"/>
  <c r="O108" i="15"/>
  <c r="Q108" i="15" s="1"/>
  <c r="O109" i="15"/>
  <c r="Q109" i="15" s="1"/>
  <c r="O110" i="15"/>
  <c r="Q110" i="15" s="1"/>
  <c r="O111" i="15"/>
  <c r="Q111" i="15" s="1"/>
  <c r="O112" i="15"/>
  <c r="Q112" i="15" s="1"/>
  <c r="O113" i="15"/>
  <c r="Q113" i="15" s="1"/>
  <c r="O114" i="15"/>
  <c r="Q114" i="15" s="1"/>
  <c r="O115" i="15"/>
  <c r="Q115" i="15" s="1"/>
  <c r="O116" i="15"/>
  <c r="Q116" i="15" s="1"/>
  <c r="O117" i="15"/>
  <c r="Q117" i="15" s="1"/>
  <c r="O118" i="15"/>
  <c r="Q118" i="15" s="1"/>
  <c r="O119" i="15"/>
  <c r="Q119" i="15" s="1"/>
  <c r="O120" i="15"/>
  <c r="Q120" i="15" s="1"/>
  <c r="O121" i="15"/>
  <c r="Q121" i="15" s="1"/>
  <c r="O122" i="15"/>
  <c r="Q122" i="15" s="1"/>
  <c r="O123" i="15"/>
  <c r="Q123" i="15" s="1"/>
  <c r="O124" i="15"/>
  <c r="Q124" i="15" s="1"/>
  <c r="O125" i="15"/>
  <c r="Q125" i="15" s="1"/>
  <c r="O126" i="15"/>
  <c r="Q126" i="15" s="1"/>
  <c r="O86" i="15"/>
  <c r="Q86" i="15" s="1"/>
  <c r="O87" i="15"/>
  <c r="Q87" i="15" s="1"/>
  <c r="O88" i="15"/>
  <c r="Q88" i="15" s="1"/>
  <c r="O89" i="15"/>
  <c r="Q89" i="15" s="1"/>
  <c r="O90" i="15"/>
  <c r="Q90" i="15" s="1"/>
  <c r="O91" i="15"/>
  <c r="Q91" i="15" s="1"/>
  <c r="O92" i="15"/>
  <c r="Q92" i="15" s="1"/>
  <c r="O78" i="15"/>
  <c r="Q78" i="15" s="1"/>
  <c r="Q7" i="16" s="1"/>
  <c r="O79" i="15"/>
  <c r="Q79" i="15" s="1"/>
  <c r="Q8" i="16" s="1"/>
  <c r="O80" i="15"/>
  <c r="Q80" i="15" s="1"/>
  <c r="O81" i="15"/>
  <c r="Q81" i="15" s="1"/>
  <c r="O82" i="15"/>
  <c r="Q82" i="15" s="1"/>
  <c r="O83" i="15"/>
  <c r="Q83" i="15" s="1"/>
  <c r="O7" i="15"/>
  <c r="Q7" i="15" s="1"/>
  <c r="AX7" i="9" s="1"/>
  <c r="O8" i="15"/>
  <c r="Q8" i="15" s="1"/>
  <c r="AX8" i="9" s="1"/>
  <c r="O9" i="15"/>
  <c r="Q9" i="15" s="1"/>
  <c r="AX9" i="9" s="1"/>
  <c r="O10" i="15"/>
  <c r="Q10" i="15" s="1"/>
  <c r="AX10" i="9" s="1"/>
  <c r="O11" i="15"/>
  <c r="Q11" i="15" s="1"/>
  <c r="AX11" i="9" s="1"/>
  <c r="O12" i="15"/>
  <c r="Q12" i="15" s="1"/>
  <c r="AX12" i="9" s="1"/>
  <c r="O13" i="15"/>
  <c r="Q13" i="15" s="1"/>
  <c r="AX13" i="9" s="1"/>
  <c r="O14" i="15"/>
  <c r="Q14" i="15" s="1"/>
  <c r="AX14" i="9" s="1"/>
  <c r="O15" i="15"/>
  <c r="Q15" i="15" s="1"/>
  <c r="AX15" i="9" s="1"/>
  <c r="O16" i="15"/>
  <c r="Q16" i="15" s="1"/>
  <c r="AX16" i="9" s="1"/>
  <c r="O17" i="15"/>
  <c r="Q17" i="15" s="1"/>
  <c r="AX17" i="9" s="1"/>
  <c r="O18" i="15"/>
  <c r="Q18" i="15" s="1"/>
  <c r="AX18" i="9" s="1"/>
  <c r="O19" i="15"/>
  <c r="Q19" i="15" s="1"/>
  <c r="AX19" i="9" s="1"/>
  <c r="O20" i="15"/>
  <c r="Q20" i="15" s="1"/>
  <c r="AX20" i="9" s="1"/>
  <c r="O21" i="15"/>
  <c r="Q21" i="15" s="1"/>
  <c r="AX21" i="9" s="1"/>
  <c r="O22" i="15"/>
  <c r="Q22" i="15" s="1"/>
  <c r="AX22" i="9" s="1"/>
  <c r="O23" i="15"/>
  <c r="Q23" i="15" s="1"/>
  <c r="AX23" i="9" s="1"/>
  <c r="O24" i="15"/>
  <c r="Q24" i="15" s="1"/>
  <c r="AX24" i="9" s="1"/>
  <c r="O25" i="15"/>
  <c r="Q25" i="15" s="1"/>
  <c r="AX25" i="9" s="1"/>
  <c r="O26" i="15"/>
  <c r="Q26" i="15" s="1"/>
  <c r="AX26" i="9" s="1"/>
  <c r="O27" i="15"/>
  <c r="Q27" i="15" s="1"/>
  <c r="AX27" i="9" s="1"/>
  <c r="O28" i="15"/>
  <c r="Q28" i="15" s="1"/>
  <c r="AX28" i="9" s="1"/>
  <c r="O29" i="15"/>
  <c r="Q29" i="15" s="1"/>
  <c r="AX29" i="9" s="1"/>
  <c r="O30" i="15"/>
  <c r="Q30" i="15" s="1"/>
  <c r="AX30" i="9" s="1"/>
  <c r="O31" i="15"/>
  <c r="Q31" i="15" s="1"/>
  <c r="O32" i="15"/>
  <c r="Q32" i="15" s="1"/>
  <c r="AX32" i="9" s="1"/>
  <c r="O33" i="15"/>
  <c r="Q33" i="15" s="1"/>
  <c r="AX33" i="9" s="1"/>
  <c r="O34" i="15"/>
  <c r="Q34" i="15" s="1"/>
  <c r="AX34" i="9" s="1"/>
  <c r="O35" i="15"/>
  <c r="Q35" i="15" s="1"/>
  <c r="AX35" i="9" s="1"/>
  <c r="O36" i="15"/>
  <c r="Q36" i="15" s="1"/>
  <c r="AX36" i="9" s="1"/>
  <c r="O37" i="15"/>
  <c r="Q37" i="15" s="1"/>
  <c r="AX37" i="9" s="1"/>
  <c r="O38" i="15"/>
  <c r="Q38" i="15" s="1"/>
  <c r="AX38" i="9" s="1"/>
  <c r="O39" i="15"/>
  <c r="Q39" i="15" s="1"/>
  <c r="O40" i="15"/>
  <c r="Q40" i="15" s="1"/>
  <c r="AX40" i="9" s="1"/>
  <c r="O41" i="15"/>
  <c r="Q41" i="15" s="1"/>
  <c r="AX41" i="9" s="1"/>
  <c r="O43" i="15"/>
  <c r="Q43" i="15" s="1"/>
  <c r="O44" i="15"/>
  <c r="Q44" i="15" s="1"/>
  <c r="AX44" i="9" s="1"/>
  <c r="O45" i="15"/>
  <c r="Q45" i="15" s="1"/>
  <c r="AX45" i="9" s="1"/>
  <c r="O46" i="15"/>
  <c r="Q46" i="15" s="1"/>
  <c r="AX46" i="9" s="1"/>
  <c r="O47" i="15"/>
  <c r="Q47" i="15" s="1"/>
  <c r="AX47" i="9" s="1"/>
  <c r="O48" i="15"/>
  <c r="Q48" i="15" s="1"/>
  <c r="AX48" i="9" s="1"/>
  <c r="O49" i="15"/>
  <c r="Q49" i="15" s="1"/>
  <c r="AX49" i="9" s="1"/>
  <c r="O50" i="15"/>
  <c r="Q50" i="15" s="1"/>
  <c r="O51" i="15"/>
  <c r="Q51" i="15" s="1"/>
  <c r="AX51" i="9" s="1"/>
  <c r="O52" i="15"/>
  <c r="Q52" i="15" s="1"/>
  <c r="AX52" i="9" s="1"/>
  <c r="O53" i="15"/>
  <c r="Q53" i="15" s="1"/>
  <c r="AX53" i="9" s="1"/>
  <c r="O54" i="15"/>
  <c r="Q54" i="15" s="1"/>
  <c r="AX54" i="9" s="1"/>
  <c r="O55" i="15"/>
  <c r="Q55" i="15" s="1"/>
  <c r="AX55" i="9" s="1"/>
  <c r="O56" i="15"/>
  <c r="Q56" i="15" s="1"/>
  <c r="AX56" i="9" s="1"/>
  <c r="O57" i="15"/>
  <c r="Q57" i="15" s="1"/>
  <c r="AX57" i="9" s="1"/>
  <c r="O58" i="15"/>
  <c r="Q58" i="15" s="1"/>
  <c r="AX58" i="9" s="1"/>
  <c r="O59" i="15"/>
  <c r="Q59" i="15" s="1"/>
  <c r="AX59" i="9" s="1"/>
  <c r="O60" i="15"/>
  <c r="Q60" i="15" s="1"/>
  <c r="AX60" i="9" s="1"/>
  <c r="O61" i="15"/>
  <c r="Q61" i="15" s="1"/>
  <c r="AX61" i="9" s="1"/>
  <c r="O62" i="15"/>
  <c r="Q62" i="15" s="1"/>
  <c r="AX62" i="9" s="1"/>
  <c r="O63" i="15"/>
  <c r="Q63" i="15" s="1"/>
  <c r="AX63" i="9" s="1"/>
  <c r="O64" i="15"/>
  <c r="Q64" i="15" s="1"/>
  <c r="AX64" i="9" s="1"/>
  <c r="O65" i="15"/>
  <c r="Q65" i="15" s="1"/>
  <c r="AX65" i="9" s="1"/>
  <c r="O66" i="15"/>
  <c r="Q66" i="15" s="1"/>
  <c r="AX66" i="9" s="1"/>
  <c r="O67" i="15"/>
  <c r="Q67" i="15" s="1"/>
  <c r="AX67" i="9" s="1"/>
  <c r="O68" i="15"/>
  <c r="Q68" i="15" s="1"/>
  <c r="AX68" i="9" s="1"/>
  <c r="O69" i="15"/>
  <c r="Q69" i="15" s="1"/>
  <c r="AX69" i="9" s="1"/>
  <c r="O70" i="15"/>
  <c r="Q70" i="15" s="1"/>
  <c r="AX70" i="9" s="1"/>
  <c r="O71" i="15"/>
  <c r="Q71" i="15" s="1"/>
  <c r="AX71" i="9" s="1"/>
  <c r="O72" i="15"/>
  <c r="Q72" i="15" s="1"/>
  <c r="AX72" i="9" s="1"/>
  <c r="O73" i="15"/>
  <c r="Q73" i="15" s="1"/>
  <c r="AX73" i="9" s="1"/>
  <c r="O74" i="15"/>
  <c r="Q74" i="15" s="1"/>
  <c r="AX74" i="9" s="1"/>
  <c r="O75" i="15"/>
  <c r="Q75" i="15" s="1"/>
  <c r="AX75" i="9" s="1"/>
  <c r="E123" i="14"/>
  <c r="E136" i="14"/>
  <c r="E134" i="14"/>
  <c r="E132" i="14"/>
  <c r="E126" i="14"/>
  <c r="E114" i="14"/>
  <c r="M114" i="14" s="1"/>
  <c r="E112" i="14"/>
  <c r="E104" i="14"/>
  <c r="E98" i="14"/>
  <c r="F98" i="14"/>
  <c r="E96" i="14"/>
  <c r="F96" i="14" s="1"/>
  <c r="E90" i="14"/>
  <c r="E88" i="14"/>
  <c r="F88" i="14" s="1"/>
  <c r="E82" i="14"/>
  <c r="F82" i="14" s="1"/>
  <c r="E80" i="14"/>
  <c r="E74" i="14"/>
  <c r="M74" i="14" s="1"/>
  <c r="E68" i="14"/>
  <c r="F68" i="14" s="1"/>
  <c r="G68" i="14" s="1"/>
  <c r="E66" i="14"/>
  <c r="E64" i="14"/>
  <c r="E62" i="14"/>
  <c r="E60" i="14"/>
  <c r="E58" i="14"/>
  <c r="E54" i="14"/>
  <c r="F54" i="14" s="1"/>
  <c r="G54" i="14" s="1"/>
  <c r="E52" i="14"/>
  <c r="F52" i="14" s="1"/>
  <c r="N52" i="14" s="1"/>
  <c r="E50" i="14"/>
  <c r="E48" i="14"/>
  <c r="F48" i="14" s="1"/>
  <c r="E44" i="14"/>
  <c r="M44" i="14" s="1"/>
  <c r="E42" i="14"/>
  <c r="F42" i="14"/>
  <c r="E40" i="14"/>
  <c r="E38" i="14"/>
  <c r="E34" i="14"/>
  <c r="E32" i="14"/>
  <c r="E30" i="14"/>
  <c r="E28" i="14"/>
  <c r="F28" i="14" s="1"/>
  <c r="G28" i="14" s="1"/>
  <c r="E26" i="14"/>
  <c r="E24" i="14"/>
  <c r="M24" i="14" s="1"/>
  <c r="E20" i="14"/>
  <c r="E18" i="14"/>
  <c r="E16" i="14"/>
  <c r="E14" i="14"/>
  <c r="F14" i="14" s="1"/>
  <c r="G14" i="14" s="1"/>
  <c r="E12" i="14"/>
  <c r="F12" i="14" s="1"/>
  <c r="G12" i="14" s="1"/>
  <c r="E10" i="14"/>
  <c r="E8" i="14"/>
  <c r="F8" i="14"/>
  <c r="AX39" i="9"/>
  <c r="AX31" i="9"/>
  <c r="E134" i="15"/>
  <c r="U14" i="29" s="1"/>
  <c r="E132" i="15"/>
  <c r="E131" i="15"/>
  <c r="U11" i="29" s="1"/>
  <c r="E129" i="15"/>
  <c r="U7" i="29" s="1"/>
  <c r="E126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6" i="15"/>
  <c r="E105" i="15"/>
  <c r="E104" i="15"/>
  <c r="E102" i="15"/>
  <c r="E101" i="15"/>
  <c r="E100" i="15"/>
  <c r="E99" i="15"/>
  <c r="E96" i="15"/>
  <c r="E95" i="15"/>
  <c r="E92" i="15"/>
  <c r="E91" i="15"/>
  <c r="E90" i="15"/>
  <c r="E89" i="15"/>
  <c r="E88" i="15"/>
  <c r="E87" i="15"/>
  <c r="E82" i="15"/>
  <c r="E81" i="15"/>
  <c r="P79" i="26" s="1"/>
  <c r="Q79" i="26" s="1"/>
  <c r="E79" i="15"/>
  <c r="P8" i="16"/>
  <c r="E78" i="15"/>
  <c r="P7" i="16" s="1"/>
  <c r="E75" i="15"/>
  <c r="AW75" i="9" s="1"/>
  <c r="E74" i="15"/>
  <c r="AW74" i="9" s="1"/>
  <c r="E73" i="15"/>
  <c r="AW73" i="9" s="1"/>
  <c r="E72" i="15"/>
  <c r="AW72" i="9" s="1"/>
  <c r="E71" i="15"/>
  <c r="AW71" i="9" s="1"/>
  <c r="E70" i="15"/>
  <c r="E69" i="15"/>
  <c r="AW69" i="9" s="1"/>
  <c r="E67" i="15"/>
  <c r="AW67" i="9" s="1"/>
  <c r="E66" i="15"/>
  <c r="AW66" i="9" s="1"/>
  <c r="E65" i="15"/>
  <c r="AW65" i="9" s="1"/>
  <c r="E64" i="15"/>
  <c r="AW64" i="9" s="1"/>
  <c r="E63" i="15"/>
  <c r="AW63" i="9" s="1"/>
  <c r="E62" i="15"/>
  <c r="AW62" i="9" s="1"/>
  <c r="E61" i="15"/>
  <c r="AW61" i="9" s="1"/>
  <c r="E60" i="15"/>
  <c r="E59" i="15"/>
  <c r="AW59" i="9" s="1"/>
  <c r="E58" i="15"/>
  <c r="AW58" i="9" s="1"/>
  <c r="E57" i="15"/>
  <c r="AW57" i="9" s="1"/>
  <c r="E56" i="15"/>
  <c r="AW56" i="9" s="1"/>
  <c r="E55" i="15"/>
  <c r="AW55" i="9" s="1"/>
  <c r="E54" i="15"/>
  <c r="AW54" i="9" s="1"/>
  <c r="E53" i="15"/>
  <c r="AW53" i="9" s="1"/>
  <c r="E52" i="15"/>
  <c r="AW52" i="9" s="1"/>
  <c r="E51" i="15"/>
  <c r="AW51" i="9" s="1"/>
  <c r="E49" i="15"/>
  <c r="AW49" i="9" s="1"/>
  <c r="E47" i="15"/>
  <c r="AW47" i="9" s="1"/>
  <c r="E46" i="15"/>
  <c r="AW46" i="9" s="1"/>
  <c r="E45" i="15"/>
  <c r="AW45" i="9" s="1"/>
  <c r="E44" i="15"/>
  <c r="AW44" i="9" s="1"/>
  <c r="E43" i="15"/>
  <c r="AW43" i="9"/>
  <c r="E41" i="15"/>
  <c r="AW41" i="9" s="1"/>
  <c r="E40" i="15"/>
  <c r="AW40" i="9" s="1"/>
  <c r="E39" i="15"/>
  <c r="AW39" i="9" s="1"/>
  <c r="E38" i="15"/>
  <c r="AW38" i="9" s="1"/>
  <c r="E37" i="15"/>
  <c r="AW37" i="9" s="1"/>
  <c r="E36" i="15"/>
  <c r="AW36" i="9" s="1"/>
  <c r="E34" i="15"/>
  <c r="AW34" i="9" s="1"/>
  <c r="E33" i="15"/>
  <c r="AW33" i="9" s="1"/>
  <c r="E32" i="15"/>
  <c r="AW32" i="9" s="1"/>
  <c r="E31" i="15"/>
  <c r="AW31" i="9" s="1"/>
  <c r="E30" i="15"/>
  <c r="AW30" i="9" s="1"/>
  <c r="E29" i="15"/>
  <c r="AW29" i="9" s="1"/>
  <c r="E28" i="15"/>
  <c r="AW28" i="9" s="1"/>
  <c r="E27" i="15"/>
  <c r="AW27" i="9" s="1"/>
  <c r="E26" i="15"/>
  <c r="AW26" i="9" s="1"/>
  <c r="E25" i="15"/>
  <c r="AW25" i="9" s="1"/>
  <c r="E24" i="15"/>
  <c r="AW24" i="9" s="1"/>
  <c r="E23" i="15"/>
  <c r="AW23" i="9" s="1"/>
  <c r="E22" i="15"/>
  <c r="AW22" i="9" s="1"/>
  <c r="E21" i="15"/>
  <c r="AW21" i="9" s="1"/>
  <c r="E20" i="15"/>
  <c r="AW20" i="9" s="1"/>
  <c r="E19" i="15"/>
  <c r="AW19" i="9" s="1"/>
  <c r="E18" i="15"/>
  <c r="E17" i="15"/>
  <c r="AW17" i="9" s="1"/>
  <c r="E16" i="15"/>
  <c r="AW16" i="9" s="1"/>
  <c r="E15" i="15"/>
  <c r="AW15" i="9" s="1"/>
  <c r="E14" i="15"/>
  <c r="AW14" i="9" s="1"/>
  <c r="E13" i="15"/>
  <c r="AW13" i="9" s="1"/>
  <c r="E12" i="15"/>
  <c r="AW12" i="9" s="1"/>
  <c r="E11" i="15"/>
  <c r="AW11" i="9" s="1"/>
  <c r="E10" i="15"/>
  <c r="AW10" i="9" s="1"/>
  <c r="E9" i="15"/>
  <c r="AW9" i="9" s="1"/>
  <c r="E8" i="15"/>
  <c r="AW8" i="9" s="1"/>
  <c r="E7" i="15"/>
  <c r="N1" i="12"/>
  <c r="X7" i="68"/>
  <c r="Q7" i="68"/>
  <c r="X8" i="68"/>
  <c r="AF8" i="68" s="1"/>
  <c r="Q8" i="68"/>
  <c r="X9" i="68"/>
  <c r="AF9" i="68" s="1"/>
  <c r="Q9" i="68"/>
  <c r="X10" i="68"/>
  <c r="AF10" i="68" s="1"/>
  <c r="Q10" i="68"/>
  <c r="X11" i="68"/>
  <c r="Q11" i="68"/>
  <c r="X12" i="68"/>
  <c r="AF12" i="68" s="1"/>
  <c r="Q12" i="68"/>
  <c r="X13" i="68"/>
  <c r="AF13" i="68" s="1"/>
  <c r="Q13" i="68"/>
  <c r="X14" i="68"/>
  <c r="AF14" i="68" s="1"/>
  <c r="Q14" i="68"/>
  <c r="X15" i="68"/>
  <c r="Q15" i="68"/>
  <c r="X16" i="68"/>
  <c r="AF16" i="68" s="1"/>
  <c r="Q16" i="68"/>
  <c r="X17" i="68"/>
  <c r="AF17" i="68" s="1"/>
  <c r="Q17" i="68"/>
  <c r="X18" i="68"/>
  <c r="AF18" i="68" s="1"/>
  <c r="Q18" i="68"/>
  <c r="X19" i="68"/>
  <c r="Q19" i="68"/>
  <c r="X20" i="68"/>
  <c r="AF20" i="68" s="1"/>
  <c r="Q20" i="68"/>
  <c r="X21" i="68"/>
  <c r="AF21" i="68" s="1"/>
  <c r="Q21" i="68"/>
  <c r="X22" i="68"/>
  <c r="AF22" i="68" s="1"/>
  <c r="Q22" i="68"/>
  <c r="X23" i="68"/>
  <c r="Q23" i="68"/>
  <c r="X24" i="68"/>
  <c r="AF24" i="68" s="1"/>
  <c r="Q24" i="68"/>
  <c r="X25" i="68"/>
  <c r="AF25" i="68" s="1"/>
  <c r="Q25" i="68"/>
  <c r="X26" i="68"/>
  <c r="AF26" i="68" s="1"/>
  <c r="Q26" i="68"/>
  <c r="X27" i="68"/>
  <c r="Q27" i="68"/>
  <c r="X28" i="68"/>
  <c r="AF28" i="68" s="1"/>
  <c r="Q28" i="68"/>
  <c r="X29" i="68"/>
  <c r="AF29" i="68" s="1"/>
  <c r="Q29" i="68"/>
  <c r="X30" i="68"/>
  <c r="AF30" i="68" s="1"/>
  <c r="Q30" i="68"/>
  <c r="X31" i="68"/>
  <c r="Q31" i="68"/>
  <c r="X32" i="68"/>
  <c r="AF32" i="68" s="1"/>
  <c r="Q32" i="68"/>
  <c r="X33" i="68"/>
  <c r="AF33" i="68" s="1"/>
  <c r="Q33" i="68"/>
  <c r="X34" i="68"/>
  <c r="AF34" i="68" s="1"/>
  <c r="Q34" i="68"/>
  <c r="X35" i="68"/>
  <c r="Q35" i="68"/>
  <c r="X36" i="68"/>
  <c r="AF36" i="68" s="1"/>
  <c r="Q36" i="68"/>
  <c r="X37" i="68"/>
  <c r="AF37" i="68" s="1"/>
  <c r="Q37" i="68"/>
  <c r="X38" i="68"/>
  <c r="AF38" i="68" s="1"/>
  <c r="Q38" i="68"/>
  <c r="X39" i="68"/>
  <c r="Q39" i="68"/>
  <c r="X40" i="68"/>
  <c r="AF40" i="68" s="1"/>
  <c r="Q40" i="68"/>
  <c r="X41" i="68"/>
  <c r="AF41" i="68" s="1"/>
  <c r="Q41" i="68"/>
  <c r="X42" i="68"/>
  <c r="AF42" i="68" s="1"/>
  <c r="Q42" i="68"/>
  <c r="X43" i="68"/>
  <c r="Q43" i="68"/>
  <c r="X44" i="68"/>
  <c r="AF44" i="68" s="1"/>
  <c r="Q44" i="68"/>
  <c r="X45" i="68"/>
  <c r="AF45" i="68" s="1"/>
  <c r="Q45" i="68"/>
  <c r="X46" i="68"/>
  <c r="AF46" i="68" s="1"/>
  <c r="Q46" i="68"/>
  <c r="X47" i="68"/>
  <c r="Q47" i="68"/>
  <c r="X48" i="68"/>
  <c r="AF48" i="68" s="1"/>
  <c r="Q48" i="68"/>
  <c r="X49" i="68"/>
  <c r="AF49" i="68" s="1"/>
  <c r="Q49" i="68"/>
  <c r="X50" i="68"/>
  <c r="AF50" i="68" s="1"/>
  <c r="Q50" i="68"/>
  <c r="X51" i="68"/>
  <c r="Q51" i="68"/>
  <c r="X52" i="68"/>
  <c r="AF52" i="68" s="1"/>
  <c r="Q52" i="68"/>
  <c r="X53" i="68"/>
  <c r="AF53" i="68" s="1"/>
  <c r="Q53" i="68"/>
  <c r="X54" i="68"/>
  <c r="AF54" i="68" s="1"/>
  <c r="C54" i="67" s="1"/>
  <c r="Q54" i="68"/>
  <c r="X55" i="68"/>
  <c r="Q55" i="68"/>
  <c r="X56" i="68"/>
  <c r="AF56" i="68" s="1"/>
  <c r="Q56" i="68"/>
  <c r="X57" i="68"/>
  <c r="AF57" i="68" s="1"/>
  <c r="Q57" i="68"/>
  <c r="X58" i="68"/>
  <c r="AF58" i="68" s="1"/>
  <c r="Q58" i="68"/>
  <c r="X59" i="68"/>
  <c r="Q59" i="68"/>
  <c r="X60" i="68"/>
  <c r="AF60" i="68" s="1"/>
  <c r="Q60" i="68"/>
  <c r="X61" i="68"/>
  <c r="AF61" i="68" s="1"/>
  <c r="Q61" i="68"/>
  <c r="X62" i="68"/>
  <c r="AF62" i="68" s="1"/>
  <c r="Q62" i="68"/>
  <c r="X63" i="68"/>
  <c r="Q63" i="68"/>
  <c r="X64" i="68"/>
  <c r="AF64" i="68" s="1"/>
  <c r="Q64" i="68"/>
  <c r="X65" i="68"/>
  <c r="AF65" i="68" s="1"/>
  <c r="Q65" i="68"/>
  <c r="X66" i="68"/>
  <c r="AF66" i="68" s="1"/>
  <c r="Q66" i="68"/>
  <c r="X67" i="68"/>
  <c r="Q67" i="68"/>
  <c r="X68" i="68"/>
  <c r="AF68" i="68" s="1"/>
  <c r="Q68" i="68"/>
  <c r="X69" i="68"/>
  <c r="AF69" i="68" s="1"/>
  <c r="Q69" i="68"/>
  <c r="X70" i="68"/>
  <c r="AF70" i="68" s="1"/>
  <c r="Q70" i="68"/>
  <c r="X71" i="68"/>
  <c r="Q71" i="68"/>
  <c r="X72" i="68"/>
  <c r="AF72" i="68" s="1"/>
  <c r="Q72" i="68"/>
  <c r="X73" i="68"/>
  <c r="AF73" i="68" s="1"/>
  <c r="Q73" i="68"/>
  <c r="X74" i="68"/>
  <c r="AF74" i="68" s="1"/>
  <c r="Q74" i="68"/>
  <c r="X75" i="68"/>
  <c r="Q75" i="68"/>
  <c r="I7" i="67"/>
  <c r="I8" i="67"/>
  <c r="I9" i="67"/>
  <c r="I10" i="67"/>
  <c r="I11" i="67"/>
  <c r="I12" i="67"/>
  <c r="I13" i="67"/>
  <c r="I14" i="67"/>
  <c r="I15" i="67"/>
  <c r="I16" i="67"/>
  <c r="I17" i="67"/>
  <c r="AO18" i="68"/>
  <c r="G18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E91" i="14"/>
  <c r="I91" i="14"/>
  <c r="J91" i="14" s="1"/>
  <c r="K91" i="14" s="1"/>
  <c r="I92" i="14"/>
  <c r="E93" i="14"/>
  <c r="F93" i="14" s="1"/>
  <c r="G93" i="14" s="1"/>
  <c r="I93" i="14"/>
  <c r="I94" i="14"/>
  <c r="J94" i="14" s="1"/>
  <c r="I95" i="14"/>
  <c r="I96" i="14"/>
  <c r="I97" i="14"/>
  <c r="I99" i="14"/>
  <c r="I100" i="14"/>
  <c r="E101" i="14"/>
  <c r="F101" i="14" s="1"/>
  <c r="I101" i="14"/>
  <c r="I102" i="14"/>
  <c r="I103" i="14"/>
  <c r="I104" i="14"/>
  <c r="I105" i="14"/>
  <c r="E106" i="14"/>
  <c r="I107" i="14"/>
  <c r="J107" i="14" s="1"/>
  <c r="I108" i="14"/>
  <c r="I109" i="14"/>
  <c r="E78" i="14"/>
  <c r="E79" i="14"/>
  <c r="I79" i="14"/>
  <c r="J79" i="14" s="1"/>
  <c r="I80" i="14"/>
  <c r="I81" i="14"/>
  <c r="I82" i="14"/>
  <c r="I83" i="14"/>
  <c r="J83" i="14" s="1"/>
  <c r="N83" i="14" s="1"/>
  <c r="I84" i="14"/>
  <c r="E85" i="14"/>
  <c r="I85" i="14"/>
  <c r="E86" i="14"/>
  <c r="E87" i="14"/>
  <c r="M87" i="14" s="1"/>
  <c r="I87" i="14"/>
  <c r="J87" i="14" s="1"/>
  <c r="E89" i="14"/>
  <c r="I89" i="14"/>
  <c r="J89" i="14" s="1"/>
  <c r="K89" i="14" s="1"/>
  <c r="I90" i="14"/>
  <c r="J90" i="14" s="1"/>
  <c r="I7" i="14"/>
  <c r="E9" i="14"/>
  <c r="F9" i="14" s="1"/>
  <c r="E11" i="14"/>
  <c r="E13" i="14"/>
  <c r="F13" i="14" s="1"/>
  <c r="I14" i="14"/>
  <c r="E15" i="14"/>
  <c r="I15" i="14"/>
  <c r="J15" i="14" s="1"/>
  <c r="E17" i="14"/>
  <c r="I17" i="14"/>
  <c r="E19" i="14"/>
  <c r="I19" i="14"/>
  <c r="E21" i="14"/>
  <c r="I21" i="14"/>
  <c r="E22" i="14"/>
  <c r="F22" i="14" s="1"/>
  <c r="E23" i="14"/>
  <c r="I23" i="14"/>
  <c r="J23" i="14" s="1"/>
  <c r="E25" i="14"/>
  <c r="I25" i="14"/>
  <c r="I26" i="14"/>
  <c r="E27" i="14"/>
  <c r="I29" i="14"/>
  <c r="J29" i="14" s="1"/>
  <c r="E31" i="14"/>
  <c r="F31" i="14" s="1"/>
  <c r="I31" i="14"/>
  <c r="I32" i="14"/>
  <c r="E33" i="14"/>
  <c r="E35" i="14"/>
  <c r="I35" i="14"/>
  <c r="J35" i="14" s="1"/>
  <c r="K35" i="14" s="1"/>
  <c r="E36" i="14"/>
  <c r="E37" i="14"/>
  <c r="I37" i="14"/>
  <c r="I38" i="14"/>
  <c r="J38" i="14" s="1"/>
  <c r="E39" i="14"/>
  <c r="I39" i="14"/>
  <c r="E41" i="14"/>
  <c r="F41" i="14" s="1"/>
  <c r="I42" i="14"/>
  <c r="M42" i="14" s="1"/>
  <c r="E43" i="14"/>
  <c r="I43" i="14"/>
  <c r="E45" i="14"/>
  <c r="I45" i="14"/>
  <c r="E46" i="14"/>
  <c r="F46" i="14" s="1"/>
  <c r="G46" i="14" s="1"/>
  <c r="E47" i="14"/>
  <c r="I47" i="14"/>
  <c r="I48" i="14"/>
  <c r="E49" i="14"/>
  <c r="I49" i="14"/>
  <c r="E51" i="14"/>
  <c r="M51" i="14" s="1"/>
  <c r="I51" i="14"/>
  <c r="E53" i="14"/>
  <c r="I53" i="14"/>
  <c r="E55" i="14"/>
  <c r="I55" i="14"/>
  <c r="I56" i="14"/>
  <c r="E57" i="14"/>
  <c r="I57" i="14"/>
  <c r="J57" i="14" s="1"/>
  <c r="N57" i="14" s="1"/>
  <c r="I58" i="14"/>
  <c r="E59" i="14"/>
  <c r="I59" i="14"/>
  <c r="J59" i="14"/>
  <c r="E61" i="14"/>
  <c r="I61" i="14"/>
  <c r="I62" i="14"/>
  <c r="E63" i="14"/>
  <c r="I63" i="14"/>
  <c r="E65" i="14"/>
  <c r="I65" i="14"/>
  <c r="I66" i="14"/>
  <c r="E67" i="14"/>
  <c r="I67" i="14"/>
  <c r="E69" i="14"/>
  <c r="I69" i="14"/>
  <c r="E70" i="14"/>
  <c r="I70" i="14"/>
  <c r="J70" i="14"/>
  <c r="E71" i="14"/>
  <c r="I71" i="14"/>
  <c r="E72" i="14"/>
  <c r="E73" i="14"/>
  <c r="I73" i="14"/>
  <c r="E75" i="14"/>
  <c r="I75" i="14"/>
  <c r="I112" i="14"/>
  <c r="E113" i="14"/>
  <c r="I113" i="14"/>
  <c r="J113" i="14" s="1"/>
  <c r="E115" i="14"/>
  <c r="E116" i="14"/>
  <c r="I116" i="14"/>
  <c r="E117" i="14"/>
  <c r="I117" i="14"/>
  <c r="E118" i="14"/>
  <c r="I118" i="14"/>
  <c r="M118" i="14" s="1"/>
  <c r="I124" i="14"/>
  <c r="I125" i="14"/>
  <c r="J125" i="14" s="1"/>
  <c r="E127" i="14"/>
  <c r="I127" i="14"/>
  <c r="E128" i="14"/>
  <c r="I128" i="14"/>
  <c r="I131" i="14"/>
  <c r="I132" i="14"/>
  <c r="E133" i="14"/>
  <c r="I133" i="14"/>
  <c r="E135" i="14"/>
  <c r="I135" i="14"/>
  <c r="I136" i="14"/>
  <c r="E137" i="14"/>
  <c r="Q18" i="30"/>
  <c r="Q20" i="30"/>
  <c r="N35" i="30"/>
  <c r="G7" i="29"/>
  <c r="G8" i="29"/>
  <c r="G11" i="29"/>
  <c r="G12" i="29"/>
  <c r="G13" i="29"/>
  <c r="G14" i="29"/>
  <c r="G15" i="29"/>
  <c r="D42" i="13"/>
  <c r="AR76" i="68"/>
  <c r="E103" i="15"/>
  <c r="E50" i="15"/>
  <c r="AW50" i="9" s="1"/>
  <c r="S86" i="25"/>
  <c r="AC12" i="29"/>
  <c r="M93" i="15"/>
  <c r="M84" i="15"/>
  <c r="BE73" i="9"/>
  <c r="BE70" i="9"/>
  <c r="BE66" i="9"/>
  <c r="BE65" i="9"/>
  <c r="BE61" i="9"/>
  <c r="BE58" i="9"/>
  <c r="BE54" i="9"/>
  <c r="BE53" i="9"/>
  <c r="BE49" i="9"/>
  <c r="BE46" i="9"/>
  <c r="BE45" i="9"/>
  <c r="BE40" i="9"/>
  <c r="BE37" i="9"/>
  <c r="BE32" i="9"/>
  <c r="BE28" i="9"/>
  <c r="BE20" i="9"/>
  <c r="G135" i="15"/>
  <c r="G132" i="15"/>
  <c r="G126" i="15"/>
  <c r="G125" i="15"/>
  <c r="G122" i="15"/>
  <c r="G121" i="15"/>
  <c r="G118" i="15"/>
  <c r="G117" i="15"/>
  <c r="G114" i="15"/>
  <c r="G113" i="15"/>
  <c r="G110" i="15"/>
  <c r="G109" i="15"/>
  <c r="G107" i="15"/>
  <c r="G106" i="15"/>
  <c r="G103" i="15"/>
  <c r="G102" i="15"/>
  <c r="G99" i="15"/>
  <c r="G95" i="15"/>
  <c r="G92" i="15"/>
  <c r="G88" i="15"/>
  <c r="G82" i="15"/>
  <c r="G78" i="15"/>
  <c r="G75" i="15"/>
  <c r="G72" i="15"/>
  <c r="G71" i="15"/>
  <c r="G68" i="15"/>
  <c r="G67" i="15"/>
  <c r="G64" i="15"/>
  <c r="G63" i="15"/>
  <c r="G60" i="15"/>
  <c r="G59" i="15"/>
  <c r="G56" i="15"/>
  <c r="G55" i="15"/>
  <c r="G52" i="15"/>
  <c r="G51" i="15"/>
  <c r="G48" i="15"/>
  <c r="G47" i="15"/>
  <c r="G44" i="15"/>
  <c r="G43" i="15"/>
  <c r="G40" i="15"/>
  <c r="G39" i="15"/>
  <c r="G36" i="15"/>
  <c r="G35" i="15"/>
  <c r="G32" i="15"/>
  <c r="G31" i="15"/>
  <c r="G28" i="15"/>
  <c r="G27" i="15"/>
  <c r="G24" i="15"/>
  <c r="G23" i="15"/>
  <c r="G20" i="15"/>
  <c r="G19" i="15"/>
  <c r="G16" i="15"/>
  <c r="G15" i="15"/>
  <c r="G12" i="15"/>
  <c r="G8" i="15"/>
  <c r="G7" i="15"/>
  <c r="AN9" i="29"/>
  <c r="P9" i="29"/>
  <c r="AR7" i="9"/>
  <c r="AQ11" i="9"/>
  <c r="AR12" i="9"/>
  <c r="AQ18" i="9"/>
  <c r="AQ20" i="9"/>
  <c r="AR22" i="9"/>
  <c r="AQ24" i="9"/>
  <c r="AR30" i="9"/>
  <c r="AQ31" i="9"/>
  <c r="AR32" i="9"/>
  <c r="AR33" i="9"/>
  <c r="AQ36" i="9"/>
  <c r="AR37" i="9"/>
  <c r="AQ38" i="9"/>
  <c r="AR39" i="9"/>
  <c r="AR40" i="9"/>
  <c r="AQ43" i="9"/>
  <c r="AQ47" i="9"/>
  <c r="AQ49" i="9"/>
  <c r="AQ52" i="9"/>
  <c r="AR53" i="9"/>
  <c r="AR55" i="9"/>
  <c r="AQ61" i="9"/>
  <c r="AQ63" i="9"/>
  <c r="AR64" i="9"/>
  <c r="AQ65" i="9"/>
  <c r="AR66" i="9"/>
  <c r="AR67" i="9"/>
  <c r="AQ69" i="9"/>
  <c r="AQ71" i="9"/>
  <c r="AQ72" i="9"/>
  <c r="AQ73" i="9"/>
  <c r="AT16" i="30"/>
  <c r="BS5" i="11"/>
  <c r="AP75" i="68"/>
  <c r="F63" i="67"/>
  <c r="F43" i="67"/>
  <c r="F32" i="67"/>
  <c r="AN23" i="68"/>
  <c r="F16" i="67"/>
  <c r="E107" i="15"/>
  <c r="E68" i="15"/>
  <c r="E48" i="15"/>
  <c r="AW48" i="9" s="1"/>
  <c r="E35" i="15"/>
  <c r="AW35" i="9" s="1"/>
  <c r="AV70" i="69"/>
  <c r="C70" i="12" s="1"/>
  <c r="AV68" i="69"/>
  <c r="AV66" i="69"/>
  <c r="AV64" i="69"/>
  <c r="C64" i="12"/>
  <c r="AV50" i="69"/>
  <c r="AV44" i="69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Q1" i="12"/>
  <c r="Q16" i="12" s="1"/>
  <c r="L112" i="14"/>
  <c r="L91" i="14"/>
  <c r="L82" i="14"/>
  <c r="L127" i="14"/>
  <c r="L70" i="14"/>
  <c r="L57" i="14"/>
  <c r="L42" i="14"/>
  <c r="L35" i="14"/>
  <c r="L26" i="14"/>
  <c r="L7" i="14"/>
  <c r="O5" i="14"/>
  <c r="K5" i="14"/>
  <c r="G5" i="14"/>
  <c r="H76" i="15"/>
  <c r="E76" i="13"/>
  <c r="AV7" i="69"/>
  <c r="Q8" i="12"/>
  <c r="Q12" i="12"/>
  <c r="Q24" i="12"/>
  <c r="Q28" i="12"/>
  <c r="Q40" i="12"/>
  <c r="Q44" i="12"/>
  <c r="Q56" i="12"/>
  <c r="Q60" i="12"/>
  <c r="Q72" i="12"/>
  <c r="BD76" i="69"/>
  <c r="BE76" i="69"/>
  <c r="C8" i="16" s="1"/>
  <c r="G8" i="16" s="1"/>
  <c r="G9" i="16" s="1"/>
  <c r="C7" i="27"/>
  <c r="C8" i="27"/>
  <c r="C9" i="27"/>
  <c r="C10" i="27"/>
  <c r="G10" i="27" s="1"/>
  <c r="C11" i="27"/>
  <c r="C12" i="27"/>
  <c r="C13" i="27"/>
  <c r="C14" i="27"/>
  <c r="G14" i="27" s="1"/>
  <c r="C15" i="27"/>
  <c r="C16" i="27"/>
  <c r="G16" i="27" s="1"/>
  <c r="C17" i="27"/>
  <c r="C18" i="27"/>
  <c r="C19" i="27"/>
  <c r="C20" i="27"/>
  <c r="C21" i="27"/>
  <c r="C22" i="27"/>
  <c r="G22" i="27" s="1"/>
  <c r="C23" i="27"/>
  <c r="C24" i="27"/>
  <c r="C25" i="27"/>
  <c r="C26" i="27"/>
  <c r="G26" i="27" s="1"/>
  <c r="C27" i="27"/>
  <c r="C28" i="27"/>
  <c r="G28" i="27" s="1"/>
  <c r="C29" i="27"/>
  <c r="C30" i="27"/>
  <c r="C31" i="27"/>
  <c r="C32" i="27"/>
  <c r="G32" i="27" s="1"/>
  <c r="C33" i="27"/>
  <c r="C34" i="27"/>
  <c r="C35" i="27"/>
  <c r="C36" i="27"/>
  <c r="G36" i="27" s="1"/>
  <c r="C37" i="27"/>
  <c r="C38" i="27"/>
  <c r="C39" i="27"/>
  <c r="C40" i="27"/>
  <c r="G40" i="27" s="1"/>
  <c r="C41" i="27"/>
  <c r="C42" i="27"/>
  <c r="G42" i="27" s="1"/>
  <c r="C43" i="27"/>
  <c r="C44" i="27"/>
  <c r="G44" i="27" s="1"/>
  <c r="C45" i="27"/>
  <c r="C46" i="27"/>
  <c r="C47" i="27"/>
  <c r="C48" i="27"/>
  <c r="G48" i="27" s="1"/>
  <c r="C49" i="27"/>
  <c r="C50" i="27"/>
  <c r="G50" i="27" s="1"/>
  <c r="C51" i="27"/>
  <c r="C52" i="27"/>
  <c r="G52" i="27" s="1"/>
  <c r="C53" i="27"/>
  <c r="C54" i="27"/>
  <c r="G54" i="27" s="1"/>
  <c r="C55" i="27"/>
  <c r="C56" i="27"/>
  <c r="G56" i="27" s="1"/>
  <c r="C57" i="27"/>
  <c r="C58" i="27"/>
  <c r="G58" i="27" s="1"/>
  <c r="C59" i="27"/>
  <c r="C60" i="27"/>
  <c r="G60" i="27" s="1"/>
  <c r="C61" i="27"/>
  <c r="C62" i="27"/>
  <c r="G62" i="27" s="1"/>
  <c r="C63" i="27"/>
  <c r="C64" i="27"/>
  <c r="G64" i="27" s="1"/>
  <c r="C65" i="27"/>
  <c r="C66" i="27"/>
  <c r="G66" i="27" s="1"/>
  <c r="C67" i="27"/>
  <c r="C68" i="27"/>
  <c r="G68" i="27" s="1"/>
  <c r="C69" i="27"/>
  <c r="C70" i="27"/>
  <c r="G70" i="27" s="1"/>
  <c r="C71" i="27"/>
  <c r="C72" i="27"/>
  <c r="G72" i="27" s="1"/>
  <c r="C73" i="27"/>
  <c r="C74" i="27"/>
  <c r="C75" i="27"/>
  <c r="C7" i="26"/>
  <c r="C8" i="26"/>
  <c r="C9" i="26"/>
  <c r="G9" i="26" s="1"/>
  <c r="C10" i="26"/>
  <c r="C11" i="26"/>
  <c r="C12" i="26"/>
  <c r="C13" i="26"/>
  <c r="G13" i="26" s="1"/>
  <c r="C14" i="26"/>
  <c r="C15" i="26"/>
  <c r="C16" i="26"/>
  <c r="C17" i="26"/>
  <c r="C18" i="26"/>
  <c r="C19" i="26"/>
  <c r="C20" i="26"/>
  <c r="C21" i="26"/>
  <c r="G21" i="26" s="1"/>
  <c r="C22" i="26"/>
  <c r="C23" i="26"/>
  <c r="C24" i="26"/>
  <c r="C25" i="26"/>
  <c r="G25" i="26" s="1"/>
  <c r="C26" i="26"/>
  <c r="C27" i="26"/>
  <c r="C28" i="26"/>
  <c r="C29" i="26"/>
  <c r="G29" i="26" s="1"/>
  <c r="C30" i="26"/>
  <c r="C31" i="26"/>
  <c r="C32" i="26"/>
  <c r="C33" i="26"/>
  <c r="G33" i="26" s="1"/>
  <c r="C34" i="26"/>
  <c r="C35" i="26"/>
  <c r="C36" i="26"/>
  <c r="C37" i="26"/>
  <c r="G37" i="26" s="1"/>
  <c r="C38" i="26"/>
  <c r="C39" i="26"/>
  <c r="C40" i="26"/>
  <c r="C41" i="26"/>
  <c r="G41" i="26" s="1"/>
  <c r="C42" i="26"/>
  <c r="C43" i="26"/>
  <c r="C44" i="26"/>
  <c r="C45" i="26"/>
  <c r="G45" i="26" s="1"/>
  <c r="C46" i="26"/>
  <c r="C47" i="26"/>
  <c r="C48" i="26"/>
  <c r="C49" i="26"/>
  <c r="G49" i="26" s="1"/>
  <c r="C50" i="26"/>
  <c r="C51" i="26"/>
  <c r="C52" i="26"/>
  <c r="C53" i="26"/>
  <c r="G53" i="26" s="1"/>
  <c r="C54" i="26"/>
  <c r="C55" i="26"/>
  <c r="C56" i="26"/>
  <c r="C57" i="26"/>
  <c r="G57" i="26" s="1"/>
  <c r="C58" i="26"/>
  <c r="C59" i="26"/>
  <c r="C60" i="26"/>
  <c r="C61" i="26"/>
  <c r="G61" i="26" s="1"/>
  <c r="C62" i="26"/>
  <c r="C63" i="26"/>
  <c r="C64" i="26"/>
  <c r="C65" i="26"/>
  <c r="G65" i="26" s="1"/>
  <c r="C66" i="26"/>
  <c r="C67" i="26"/>
  <c r="C68" i="26"/>
  <c r="G68" i="26" s="1"/>
  <c r="C69" i="26"/>
  <c r="G69" i="26" s="1"/>
  <c r="C70" i="26"/>
  <c r="C71" i="26"/>
  <c r="G71" i="26"/>
  <c r="C72" i="26"/>
  <c r="G72" i="26" s="1"/>
  <c r="C73" i="26"/>
  <c r="C74" i="26"/>
  <c r="C75" i="26"/>
  <c r="G75" i="26" s="1"/>
  <c r="C7" i="28"/>
  <c r="G7" i="28" s="1"/>
  <c r="C8" i="28"/>
  <c r="C9" i="28"/>
  <c r="C10" i="28"/>
  <c r="C11" i="28"/>
  <c r="G11" i="28" s="1"/>
  <c r="C12" i="28"/>
  <c r="C13" i="28"/>
  <c r="C14" i="28"/>
  <c r="G14" i="28" s="1"/>
  <c r="C15" i="28"/>
  <c r="G15" i="28" s="1"/>
  <c r="C16" i="28"/>
  <c r="C17" i="28"/>
  <c r="C18" i="28"/>
  <c r="C19" i="28"/>
  <c r="G19" i="28" s="1"/>
  <c r="C20" i="28"/>
  <c r="C21" i="28"/>
  <c r="C22" i="28"/>
  <c r="C23" i="28"/>
  <c r="G23" i="28" s="1"/>
  <c r="C24" i="28"/>
  <c r="C25" i="28"/>
  <c r="C26" i="28"/>
  <c r="C27" i="28"/>
  <c r="C28" i="28"/>
  <c r="C29" i="28"/>
  <c r="C30" i="28"/>
  <c r="G30" i="28" s="1"/>
  <c r="C31" i="28"/>
  <c r="G31" i="28" s="1"/>
  <c r="C32" i="28"/>
  <c r="C33" i="28"/>
  <c r="C34" i="28"/>
  <c r="G34" i="28" s="1"/>
  <c r="C35" i="28"/>
  <c r="G35" i="28" s="1"/>
  <c r="F35" i="28"/>
  <c r="C36" i="28"/>
  <c r="G36" i="28" s="1"/>
  <c r="C37" i="28"/>
  <c r="C38" i="28"/>
  <c r="C39" i="28"/>
  <c r="G39" i="28" s="1"/>
  <c r="F39" i="28"/>
  <c r="C40" i="28"/>
  <c r="C41" i="28"/>
  <c r="G41" i="28" s="1"/>
  <c r="C42" i="28"/>
  <c r="G42" i="28" s="1"/>
  <c r="C43" i="28"/>
  <c r="G43" i="28" s="1"/>
  <c r="F43" i="28"/>
  <c r="C44" i="28"/>
  <c r="G44" i="28" s="1"/>
  <c r="C45" i="28"/>
  <c r="C46" i="28"/>
  <c r="C47" i="28"/>
  <c r="G47" i="28" s="1"/>
  <c r="C48" i="28"/>
  <c r="G48" i="28" s="1"/>
  <c r="C49" i="28"/>
  <c r="G49" i="28" s="1"/>
  <c r="C50" i="28"/>
  <c r="C51" i="28"/>
  <c r="G51" i="28" s="1"/>
  <c r="F51" i="28"/>
  <c r="C52" i="28"/>
  <c r="C53" i="28"/>
  <c r="G53" i="28" s="1"/>
  <c r="C54" i="28"/>
  <c r="G54" i="28" s="1"/>
  <c r="C55" i="28"/>
  <c r="G55" i="28" s="1"/>
  <c r="C56" i="28"/>
  <c r="C57" i="28"/>
  <c r="G57" i="28" s="1"/>
  <c r="C58" i="28"/>
  <c r="C59" i="28"/>
  <c r="G59" i="28" s="1"/>
  <c r="C60" i="28"/>
  <c r="C61" i="28"/>
  <c r="G61" i="28" s="1"/>
  <c r="C62" i="28"/>
  <c r="C63" i="28"/>
  <c r="C64" i="28"/>
  <c r="G64" i="28" s="1"/>
  <c r="C65" i="28"/>
  <c r="C66" i="28"/>
  <c r="G66" i="28" s="1"/>
  <c r="C67" i="28"/>
  <c r="G67" i="28" s="1"/>
  <c r="F67" i="28"/>
  <c r="C68" i="28"/>
  <c r="C69" i="28"/>
  <c r="G69" i="28" s="1"/>
  <c r="C70" i="28"/>
  <c r="G70" i="28" s="1"/>
  <c r="C71" i="28"/>
  <c r="F71" i="28"/>
  <c r="G71" i="28"/>
  <c r="C72" i="28"/>
  <c r="G72" i="28" s="1"/>
  <c r="C73" i="28"/>
  <c r="C74" i="28"/>
  <c r="G74" i="28" s="1"/>
  <c r="F74" i="28"/>
  <c r="C75" i="28"/>
  <c r="F75" i="28"/>
  <c r="G75" i="28"/>
  <c r="G129" i="15"/>
  <c r="G130" i="15"/>
  <c r="G133" i="15"/>
  <c r="G134" i="15"/>
  <c r="G96" i="15"/>
  <c r="G97" i="15"/>
  <c r="G100" i="15"/>
  <c r="G101" i="15"/>
  <c r="G104" i="15"/>
  <c r="G105" i="15"/>
  <c r="G108" i="15"/>
  <c r="G111" i="15"/>
  <c r="G112" i="15"/>
  <c r="G115" i="15"/>
  <c r="G116" i="15"/>
  <c r="G119" i="15"/>
  <c r="G120" i="15"/>
  <c r="G123" i="15"/>
  <c r="G124" i="15"/>
  <c r="J124" i="15" s="1"/>
  <c r="G86" i="15"/>
  <c r="G87" i="15"/>
  <c r="G90" i="15"/>
  <c r="G91" i="15"/>
  <c r="J91" i="15" s="1"/>
  <c r="G79" i="15"/>
  <c r="G80" i="15"/>
  <c r="G83" i="15"/>
  <c r="G9" i="15"/>
  <c r="G10" i="15"/>
  <c r="G11" i="15"/>
  <c r="G13" i="15"/>
  <c r="G14" i="15"/>
  <c r="G17" i="15"/>
  <c r="G18" i="15"/>
  <c r="G21" i="15"/>
  <c r="G22" i="15"/>
  <c r="G25" i="15"/>
  <c r="G26" i="15"/>
  <c r="G29" i="15"/>
  <c r="G30" i="15"/>
  <c r="G33" i="15"/>
  <c r="G34" i="15"/>
  <c r="G37" i="15"/>
  <c r="G38" i="15"/>
  <c r="G41" i="15"/>
  <c r="G45" i="15"/>
  <c r="G46" i="15"/>
  <c r="G49" i="15"/>
  <c r="G50" i="15"/>
  <c r="G53" i="15"/>
  <c r="G54" i="15"/>
  <c r="G57" i="15"/>
  <c r="G58" i="15"/>
  <c r="G61" i="15"/>
  <c r="G62" i="15"/>
  <c r="G65" i="15"/>
  <c r="G66" i="15"/>
  <c r="G69" i="15"/>
  <c r="G70" i="15"/>
  <c r="G73" i="15"/>
  <c r="G74" i="15"/>
  <c r="AC7" i="29"/>
  <c r="BE24" i="9"/>
  <c r="BE50" i="9"/>
  <c r="BE55" i="9"/>
  <c r="BE62" i="9"/>
  <c r="BE71" i="9"/>
  <c r="BE74" i="9"/>
  <c r="AX43" i="9"/>
  <c r="E130" i="15"/>
  <c r="E135" i="15"/>
  <c r="U15" i="29" s="1"/>
  <c r="E125" i="15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G27" i="27" s="1"/>
  <c r="F26" i="27"/>
  <c r="F25" i="27"/>
  <c r="F24" i="27"/>
  <c r="F23" i="27"/>
  <c r="G23" i="27" s="1"/>
  <c r="F22" i="27"/>
  <c r="F21" i="27"/>
  <c r="F20" i="27"/>
  <c r="F19" i="27"/>
  <c r="G19" i="27" s="1"/>
  <c r="F18" i="27"/>
  <c r="F17" i="27"/>
  <c r="F16" i="27"/>
  <c r="F15" i="27"/>
  <c r="F14" i="27"/>
  <c r="F13" i="27"/>
  <c r="F12" i="27"/>
  <c r="F11" i="27"/>
  <c r="G11" i="27" s="1"/>
  <c r="F10" i="27"/>
  <c r="F9" i="27"/>
  <c r="F8" i="27"/>
  <c r="F73" i="28"/>
  <c r="G73" i="28" s="1"/>
  <c r="F72" i="28"/>
  <c r="F70" i="28"/>
  <c r="F69" i="28"/>
  <c r="F68" i="28"/>
  <c r="G68" i="28" s="1"/>
  <c r="F66" i="28"/>
  <c r="F65" i="28"/>
  <c r="F64" i="28"/>
  <c r="F63" i="28"/>
  <c r="F62" i="28"/>
  <c r="F61" i="28"/>
  <c r="F60" i="28"/>
  <c r="G60" i="28" s="1"/>
  <c r="F59" i="28"/>
  <c r="F58" i="28"/>
  <c r="G58" i="28"/>
  <c r="F57" i="28"/>
  <c r="F56" i="28"/>
  <c r="G56" i="28"/>
  <c r="F55" i="28"/>
  <c r="F54" i="28"/>
  <c r="F53" i="28"/>
  <c r="F52" i="28"/>
  <c r="F50" i="28"/>
  <c r="G50" i="28"/>
  <c r="F49" i="28"/>
  <c r="F48" i="28"/>
  <c r="F47" i="28"/>
  <c r="F46" i="28"/>
  <c r="F45" i="28"/>
  <c r="F44" i="28"/>
  <c r="F42" i="28"/>
  <c r="F41" i="28"/>
  <c r="F40" i="28"/>
  <c r="F38" i="28"/>
  <c r="F37" i="28"/>
  <c r="F36" i="28"/>
  <c r="F34" i="28"/>
  <c r="F33" i="28"/>
  <c r="F32" i="28"/>
  <c r="G32" i="28"/>
  <c r="F31" i="28"/>
  <c r="F30" i="28"/>
  <c r="F29" i="28"/>
  <c r="G29" i="28" s="1"/>
  <c r="F28" i="28"/>
  <c r="G28" i="28"/>
  <c r="F27" i="28"/>
  <c r="F26" i="28"/>
  <c r="F25" i="28"/>
  <c r="G25" i="28"/>
  <c r="F24" i="28"/>
  <c r="G24" i="28"/>
  <c r="F23" i="28"/>
  <c r="F22" i="28"/>
  <c r="G22" i="28" s="1"/>
  <c r="F21" i="28"/>
  <c r="G21" i="28"/>
  <c r="F20" i="28"/>
  <c r="F19" i="28"/>
  <c r="F18" i="28"/>
  <c r="F17" i="28"/>
  <c r="F16" i="28"/>
  <c r="G16" i="28" s="1"/>
  <c r="F15" i="28"/>
  <c r="F14" i="28"/>
  <c r="F13" i="28"/>
  <c r="G13" i="28" s="1"/>
  <c r="F12" i="28"/>
  <c r="F11" i="28"/>
  <c r="F10" i="28"/>
  <c r="G10" i="28"/>
  <c r="F9" i="28"/>
  <c r="F8" i="28"/>
  <c r="F75" i="26"/>
  <c r="F74" i="26"/>
  <c r="G74" i="26" s="1"/>
  <c r="F73" i="26"/>
  <c r="F72" i="26"/>
  <c r="F71" i="26"/>
  <c r="F70" i="26"/>
  <c r="F69" i="26"/>
  <c r="F68" i="26"/>
  <c r="F67" i="26"/>
  <c r="G67" i="26" s="1"/>
  <c r="F66" i="26"/>
  <c r="G66" i="26" s="1"/>
  <c r="F65" i="26"/>
  <c r="F64" i="26"/>
  <c r="F63" i="26"/>
  <c r="G63" i="26"/>
  <c r="F62" i="26"/>
  <c r="F61" i="26"/>
  <c r="F60" i="26"/>
  <c r="F59" i="26"/>
  <c r="G59" i="26" s="1"/>
  <c r="F58" i="26"/>
  <c r="F57" i="26"/>
  <c r="F56" i="26"/>
  <c r="F55" i="26"/>
  <c r="G55" i="26" s="1"/>
  <c r="F54" i="26"/>
  <c r="F53" i="26"/>
  <c r="F52" i="26"/>
  <c r="F51" i="26"/>
  <c r="G51" i="26"/>
  <c r="F50" i="26"/>
  <c r="F49" i="26"/>
  <c r="F48" i="26"/>
  <c r="F47" i="26"/>
  <c r="G47" i="26"/>
  <c r="F46" i="26"/>
  <c r="F45" i="26"/>
  <c r="F44" i="26"/>
  <c r="F43" i="26"/>
  <c r="G43" i="26" s="1"/>
  <c r="F42" i="26"/>
  <c r="F41" i="26"/>
  <c r="F40" i="26"/>
  <c r="G40" i="26" s="1"/>
  <c r="F39" i="26"/>
  <c r="G39" i="26" s="1"/>
  <c r="F38" i="26"/>
  <c r="F37" i="26"/>
  <c r="F36" i="26"/>
  <c r="F35" i="26"/>
  <c r="G35" i="26"/>
  <c r="F34" i="26"/>
  <c r="G34" i="26" s="1"/>
  <c r="F33" i="26"/>
  <c r="F32" i="26"/>
  <c r="F31" i="26"/>
  <c r="G31" i="26"/>
  <c r="F30" i="26"/>
  <c r="F29" i="26"/>
  <c r="F28" i="26"/>
  <c r="F27" i="26"/>
  <c r="G27" i="26" s="1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7"/>
  <c r="F7" i="28"/>
  <c r="F7" i="26"/>
  <c r="I124" i="15"/>
  <c r="E124" i="15"/>
  <c r="I123" i="15"/>
  <c r="E123" i="15"/>
  <c r="AK76" i="69"/>
  <c r="AL76" i="69"/>
  <c r="AM76" i="69"/>
  <c r="AN76" i="69"/>
  <c r="AO76" i="69"/>
  <c r="AP76" i="69"/>
  <c r="AQ76" i="69"/>
  <c r="AR76" i="69"/>
  <c r="AS76" i="69"/>
  <c r="C4" i="69"/>
  <c r="D4" i="69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/>
  <c r="U4" i="69"/>
  <c r="V4" i="69" s="1"/>
  <c r="W4" i="69" s="1"/>
  <c r="X4" i="69" s="1"/>
  <c r="Y4" i="69"/>
  <c r="AA4" i="69"/>
  <c r="AB4" i="69"/>
  <c r="AF4" i="69"/>
  <c r="AG4" i="69"/>
  <c r="AH4" i="69" s="1"/>
  <c r="AI4" i="69" s="1"/>
  <c r="AJ4" i="69" s="1"/>
  <c r="AK4" i="69"/>
  <c r="AL4" i="69" s="1"/>
  <c r="AM4" i="69" s="1"/>
  <c r="AN4" i="69" s="1"/>
  <c r="AT4" i="69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R63" i="9"/>
  <c r="E83" i="15"/>
  <c r="I129" i="15"/>
  <c r="I130" i="15"/>
  <c r="I131" i="15"/>
  <c r="I132" i="15"/>
  <c r="I133" i="15"/>
  <c r="J133" i="15" s="1"/>
  <c r="AA13" i="29" s="1"/>
  <c r="I135" i="15"/>
  <c r="J135" i="15" s="1"/>
  <c r="AA15" i="29" s="1"/>
  <c r="I134" i="15"/>
  <c r="I95" i="15"/>
  <c r="J95" i="15" s="1"/>
  <c r="I96" i="15"/>
  <c r="I97" i="15"/>
  <c r="I98" i="15"/>
  <c r="I99" i="15"/>
  <c r="I100" i="15"/>
  <c r="J100" i="15" s="1"/>
  <c r="I101" i="15"/>
  <c r="J101" i="15" s="1"/>
  <c r="I102" i="15"/>
  <c r="I103" i="15"/>
  <c r="I104" i="15"/>
  <c r="I105" i="15"/>
  <c r="I106" i="15"/>
  <c r="I107" i="15"/>
  <c r="I108" i="15"/>
  <c r="J108" i="15" s="1"/>
  <c r="I109" i="15"/>
  <c r="I110" i="15"/>
  <c r="I111" i="15"/>
  <c r="I112" i="15"/>
  <c r="I113" i="15"/>
  <c r="I114" i="15"/>
  <c r="I115" i="15"/>
  <c r="I116" i="15"/>
  <c r="J116" i="15" s="1"/>
  <c r="I117" i="15"/>
  <c r="I118" i="15"/>
  <c r="I119" i="15"/>
  <c r="I120" i="15"/>
  <c r="I121" i="15"/>
  <c r="I122" i="15"/>
  <c r="I125" i="15"/>
  <c r="J125" i="15" s="1"/>
  <c r="I126" i="15"/>
  <c r="I86" i="15"/>
  <c r="I87" i="15"/>
  <c r="I88" i="15"/>
  <c r="I89" i="15"/>
  <c r="I90" i="15"/>
  <c r="I91" i="15"/>
  <c r="I92" i="15"/>
  <c r="I78" i="15"/>
  <c r="I79" i="15"/>
  <c r="I80" i="15"/>
  <c r="I81" i="15"/>
  <c r="I82" i="15"/>
  <c r="I83" i="15"/>
  <c r="I7" i="15"/>
  <c r="J7" i="15" s="1"/>
  <c r="BC7" i="9" s="1"/>
  <c r="I8" i="15"/>
  <c r="I9" i="15"/>
  <c r="J9" i="15" s="1"/>
  <c r="BC9" i="9" s="1"/>
  <c r="I10" i="15"/>
  <c r="J10" i="15" s="1"/>
  <c r="BC10" i="9" s="1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J24" i="15" s="1"/>
  <c r="BC24" i="9" s="1"/>
  <c r="I25" i="15"/>
  <c r="I26" i="15"/>
  <c r="J26" i="15" s="1"/>
  <c r="BC26" i="9" s="1"/>
  <c r="I27" i="15"/>
  <c r="I28" i="15"/>
  <c r="I29" i="15"/>
  <c r="I30" i="15"/>
  <c r="I31" i="15"/>
  <c r="I32" i="15"/>
  <c r="I33" i="15"/>
  <c r="I34" i="15"/>
  <c r="J34" i="15" s="1"/>
  <c r="BC34" i="9" s="1"/>
  <c r="I35" i="15"/>
  <c r="I36" i="15"/>
  <c r="I37" i="15"/>
  <c r="I38" i="15"/>
  <c r="I39" i="15"/>
  <c r="I40" i="15"/>
  <c r="J40" i="15" s="1"/>
  <c r="BC40" i="9" s="1"/>
  <c r="I41" i="15"/>
  <c r="I43" i="15"/>
  <c r="I44" i="15"/>
  <c r="J44" i="15" s="1"/>
  <c r="BC44" i="9" s="1"/>
  <c r="I45" i="15"/>
  <c r="I46" i="15"/>
  <c r="I47" i="15"/>
  <c r="J47" i="15" s="1"/>
  <c r="BC47" i="9" s="1"/>
  <c r="I48" i="15"/>
  <c r="J48" i="15" s="1"/>
  <c r="BC48" i="9" s="1"/>
  <c r="I49" i="15"/>
  <c r="I50" i="15"/>
  <c r="I51" i="15"/>
  <c r="I52" i="15"/>
  <c r="J52" i="15" s="1"/>
  <c r="BC52" i="9" s="1"/>
  <c r="I53" i="15"/>
  <c r="I54" i="15"/>
  <c r="I55" i="15"/>
  <c r="J55" i="15" s="1"/>
  <c r="BC55" i="9" s="1"/>
  <c r="I56" i="15"/>
  <c r="I57" i="15"/>
  <c r="I58" i="15"/>
  <c r="I59" i="15"/>
  <c r="I60" i="15"/>
  <c r="J60" i="15" s="1"/>
  <c r="BC60" i="9" s="1"/>
  <c r="I61" i="15"/>
  <c r="J61" i="15" s="1"/>
  <c r="BC61" i="9" s="1"/>
  <c r="I62" i="15"/>
  <c r="I63" i="15"/>
  <c r="J63" i="15" s="1"/>
  <c r="BC63" i="9" s="1"/>
  <c r="I64" i="15"/>
  <c r="I65" i="15"/>
  <c r="I66" i="15"/>
  <c r="I67" i="15"/>
  <c r="I68" i="15"/>
  <c r="J68" i="15" s="1"/>
  <c r="BC68" i="9" s="1"/>
  <c r="I69" i="15"/>
  <c r="I70" i="15"/>
  <c r="I71" i="15"/>
  <c r="J71" i="15" s="1"/>
  <c r="BC71" i="9" s="1"/>
  <c r="I72" i="15"/>
  <c r="J72" i="15" s="1"/>
  <c r="I73" i="15"/>
  <c r="I74" i="15"/>
  <c r="I75" i="15"/>
  <c r="P136" i="15"/>
  <c r="P127" i="15"/>
  <c r="P93" i="15"/>
  <c r="P84" i="15"/>
  <c r="H136" i="15"/>
  <c r="H127" i="15"/>
  <c r="H93" i="15"/>
  <c r="H84" i="15"/>
  <c r="BE75" i="9"/>
  <c r="BE72" i="9"/>
  <c r="BE69" i="9"/>
  <c r="BE68" i="9"/>
  <c r="BE67" i="9"/>
  <c r="BE64" i="9"/>
  <c r="BE63" i="9"/>
  <c r="BE60" i="9"/>
  <c r="BE59" i="9"/>
  <c r="BE57" i="9"/>
  <c r="BE56" i="9"/>
  <c r="BE52" i="9"/>
  <c r="BE51" i="9"/>
  <c r="BE48" i="9"/>
  <c r="BE47" i="9"/>
  <c r="BE44" i="9"/>
  <c r="BE43" i="9"/>
  <c r="BE41" i="9"/>
  <c r="BE39" i="9"/>
  <c r="BE38" i="9"/>
  <c r="BE36" i="9"/>
  <c r="BE35" i="9"/>
  <c r="BE34" i="9"/>
  <c r="BE33" i="9"/>
  <c r="BE31" i="9"/>
  <c r="BE30" i="9"/>
  <c r="BE29" i="9"/>
  <c r="BE27" i="9"/>
  <c r="BE26" i="9"/>
  <c r="BE25" i="9"/>
  <c r="BE23" i="9"/>
  <c r="BE22" i="9"/>
  <c r="BE21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BF4" i="9" s="1"/>
  <c r="E4" i="15"/>
  <c r="F4" i="15" s="1"/>
  <c r="G4" i="15" s="1"/>
  <c r="H4" i="15" s="1"/>
  <c r="I4" i="15" s="1"/>
  <c r="J4" i="15" s="1"/>
  <c r="K4" i="15" s="1"/>
  <c r="E4" i="29"/>
  <c r="F4" i="29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AW76" i="69"/>
  <c r="AX76" i="69"/>
  <c r="AY76" i="69"/>
  <c r="AZ76" i="69"/>
  <c r="BA76" i="69"/>
  <c r="BB76" i="69"/>
  <c r="BC76" i="69"/>
  <c r="BF76" i="69"/>
  <c r="BG76" i="69"/>
  <c r="BH76" i="69"/>
  <c r="D14" i="29"/>
  <c r="F10" i="70"/>
  <c r="D15" i="29"/>
  <c r="H15" i="29" s="1"/>
  <c r="F9" i="70"/>
  <c r="F8" i="70"/>
  <c r="D13" i="29" s="1"/>
  <c r="H13" i="29" s="1"/>
  <c r="D12" i="29"/>
  <c r="F7" i="70"/>
  <c r="F5" i="70"/>
  <c r="D8" i="29" s="1"/>
  <c r="H8" i="29" s="1"/>
  <c r="F6" i="70"/>
  <c r="F11" i="70" s="1"/>
  <c r="F4" i="70"/>
  <c r="D7" i="29" s="1"/>
  <c r="E2" i="70"/>
  <c r="F2" i="70" s="1"/>
  <c r="D11" i="70"/>
  <c r="E11" i="70"/>
  <c r="AJ4" i="30"/>
  <c r="AK4" i="30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E4" i="30"/>
  <c r="AF4" i="30" s="1"/>
  <c r="AG4" i="30" s="1"/>
  <c r="F4" i="30"/>
  <c r="G4" i="30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 s="1"/>
  <c r="AG4" i="17" s="1"/>
  <c r="D4" i="17"/>
  <c r="E4" i="17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AG76" i="69"/>
  <c r="AH76" i="69"/>
  <c r="AI76" i="69"/>
  <c r="AJ76" i="69"/>
  <c r="D4" i="28"/>
  <c r="E4" i="28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/>
  <c r="E4" i="71"/>
  <c r="F4" i="71"/>
  <c r="G4" i="71"/>
  <c r="H4" i="71"/>
  <c r="I4" i="71"/>
  <c r="J4" i="71"/>
  <c r="K4" i="71"/>
  <c r="L4" i="71"/>
  <c r="M4" i="71"/>
  <c r="N4" i="71"/>
  <c r="O4" i="71"/>
  <c r="P4" i="71"/>
  <c r="Q4" i="71"/>
  <c r="F18" i="67"/>
  <c r="AU24" i="29"/>
  <c r="Y76" i="68"/>
  <c r="U76" i="68"/>
  <c r="T76" i="68"/>
  <c r="N76" i="68"/>
  <c r="M76" i="68"/>
  <c r="D4" i="27"/>
  <c r="E4" i="27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Z68" i="68"/>
  <c r="AI76" i="68"/>
  <c r="AH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 s="1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AS4" i="68" s="1"/>
  <c r="AT4" i="68" s="1"/>
  <c r="D4" i="68"/>
  <c r="D4" i="67"/>
  <c r="E4" i="67"/>
  <c r="F4" i="67" s="1"/>
  <c r="G4" i="67" s="1"/>
  <c r="H4" i="67" s="1"/>
  <c r="I4" i="67" s="1"/>
  <c r="J4" i="67" s="1"/>
  <c r="AA7" i="68"/>
  <c r="AA8" i="68"/>
  <c r="AA76" i="68" s="1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76" i="68" s="1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P18" i="68"/>
  <c r="AQ18" i="68"/>
  <c r="D76" i="68"/>
  <c r="AL76" i="68"/>
  <c r="AN18" i="68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F30" i="67"/>
  <c r="F33" i="67"/>
  <c r="F49" i="67"/>
  <c r="F51" i="67"/>
  <c r="D76" i="69"/>
  <c r="AC14" i="29"/>
  <c r="F74" i="67"/>
  <c r="F66" i="67"/>
  <c r="F14" i="67"/>
  <c r="F50" i="67"/>
  <c r="AC15" i="29"/>
  <c r="F26" i="67"/>
  <c r="F58" i="67"/>
  <c r="F9" i="67"/>
  <c r="F29" i="67"/>
  <c r="F22" i="67"/>
  <c r="AC11" i="29"/>
  <c r="AQ22" i="9"/>
  <c r="AR71" i="9"/>
  <c r="AC13" i="29"/>
  <c r="X7" i="16"/>
  <c r="AC8" i="29"/>
  <c r="AQ67" i="9"/>
  <c r="AQ75" i="9"/>
  <c r="F68" i="67"/>
  <c r="F36" i="67"/>
  <c r="F69" i="67"/>
  <c r="AN65" i="68"/>
  <c r="F65" i="67"/>
  <c r="F61" i="67"/>
  <c r="F53" i="67"/>
  <c r="F41" i="67"/>
  <c r="F25" i="67"/>
  <c r="F17" i="67"/>
  <c r="F13" i="67"/>
  <c r="AN62" i="68"/>
  <c r="F62" i="67"/>
  <c r="F46" i="67"/>
  <c r="F42" i="67"/>
  <c r="F38" i="67"/>
  <c r="F52" i="67"/>
  <c r="F44" i="67"/>
  <c r="F12" i="67"/>
  <c r="Q76" i="68"/>
  <c r="AR44" i="9"/>
  <c r="F21" i="67"/>
  <c r="F10" i="67"/>
  <c r="AQ37" i="68"/>
  <c r="F37" i="67"/>
  <c r="F70" i="67"/>
  <c r="F11" i="67"/>
  <c r="AN73" i="68"/>
  <c r="F73" i="67"/>
  <c r="F64" i="67"/>
  <c r="F57" i="67"/>
  <c r="F54" i="67"/>
  <c r="F45" i="67"/>
  <c r="F34" i="67"/>
  <c r="AN63" i="68"/>
  <c r="X76" i="68"/>
  <c r="P76" i="69"/>
  <c r="AR31" i="9"/>
  <c r="AR75" i="9"/>
  <c r="AO8" i="29"/>
  <c r="AO7" i="29"/>
  <c r="AO9" i="29" s="1"/>
  <c r="Q8" i="29"/>
  <c r="Q7" i="29"/>
  <c r="Q9" i="29" s="1"/>
  <c r="C7" i="16"/>
  <c r="G7" i="16"/>
  <c r="AN58" i="68"/>
  <c r="G73" i="26"/>
  <c r="G46" i="28"/>
  <c r="G23" i="26"/>
  <c r="G11" i="26"/>
  <c r="G15" i="26"/>
  <c r="G19" i="26"/>
  <c r="G27" i="28"/>
  <c r="G71" i="27"/>
  <c r="G39" i="27"/>
  <c r="G40" i="28"/>
  <c r="G52" i="28"/>
  <c r="G12" i="27"/>
  <c r="G7" i="27"/>
  <c r="G9" i="27"/>
  <c r="G13" i="27"/>
  <c r="G15" i="27"/>
  <c r="G17" i="27"/>
  <c r="G18" i="27"/>
  <c r="G20" i="27"/>
  <c r="G21" i="27"/>
  <c r="G24" i="27"/>
  <c r="G25" i="27"/>
  <c r="G29" i="27"/>
  <c r="G31" i="27"/>
  <c r="G33" i="27"/>
  <c r="G35" i="27"/>
  <c r="G37" i="27"/>
  <c r="G41" i="27"/>
  <c r="G43" i="27"/>
  <c r="G45" i="27"/>
  <c r="G46" i="27"/>
  <c r="G47" i="27"/>
  <c r="G49" i="27"/>
  <c r="G51" i="27"/>
  <c r="G53" i="27"/>
  <c r="G55" i="27"/>
  <c r="G57" i="27"/>
  <c r="G59" i="27"/>
  <c r="G61" i="27"/>
  <c r="G63" i="27"/>
  <c r="G65" i="27"/>
  <c r="G67" i="27"/>
  <c r="G69" i="27"/>
  <c r="G73" i="27"/>
  <c r="G75" i="27"/>
  <c r="G33" i="28"/>
  <c r="G37" i="28"/>
  <c r="G45" i="28"/>
  <c r="G65" i="28"/>
  <c r="G8" i="28"/>
  <c r="G18" i="28"/>
  <c r="G58" i="26"/>
  <c r="G26" i="26"/>
  <c r="G17" i="28"/>
  <c r="G50" i="26"/>
  <c r="G18" i="26"/>
  <c r="G20" i="28"/>
  <c r="G12" i="28"/>
  <c r="G42" i="26"/>
  <c r="G17" i="26"/>
  <c r="G10" i="26"/>
  <c r="G64" i="26"/>
  <c r="G48" i="26"/>
  <c r="G32" i="26"/>
  <c r="K136" i="15"/>
  <c r="G60" i="26"/>
  <c r="G52" i="26"/>
  <c r="G44" i="26"/>
  <c r="G36" i="26"/>
  <c r="G28" i="26"/>
  <c r="G70" i="26"/>
  <c r="G62" i="26"/>
  <c r="G54" i="26"/>
  <c r="G46" i="26"/>
  <c r="G38" i="26"/>
  <c r="G30" i="26"/>
  <c r="G22" i="26"/>
  <c r="G14" i="26"/>
  <c r="AQ39" i="9"/>
  <c r="AR35" i="9"/>
  <c r="AQ35" i="9"/>
  <c r="AQ59" i="9"/>
  <c r="AQ51" i="9"/>
  <c r="AR65" i="9"/>
  <c r="AQ29" i="9"/>
  <c r="BE42" i="9"/>
  <c r="C7" i="17"/>
  <c r="C8" i="17"/>
  <c r="AN14" i="68"/>
  <c r="C7" i="12"/>
  <c r="F7" i="13"/>
  <c r="BI7" i="69"/>
  <c r="AV14" i="69"/>
  <c r="AV22" i="69"/>
  <c r="AV30" i="69"/>
  <c r="AV38" i="69"/>
  <c r="AV46" i="69"/>
  <c r="AV72" i="69"/>
  <c r="BI72" i="69"/>
  <c r="AV12" i="69"/>
  <c r="AV20" i="69"/>
  <c r="C20" i="12" s="1"/>
  <c r="D20" i="13" s="1"/>
  <c r="AV28" i="69"/>
  <c r="AV36" i="69"/>
  <c r="C50" i="12"/>
  <c r="BI50" i="69"/>
  <c r="AV54" i="69"/>
  <c r="AV58" i="69"/>
  <c r="AV62" i="69"/>
  <c r="BI62" i="69"/>
  <c r="BI66" i="69"/>
  <c r="C66" i="12"/>
  <c r="F66" i="13"/>
  <c r="AV10" i="69"/>
  <c r="C10" i="12"/>
  <c r="AV18" i="69"/>
  <c r="AV26" i="69"/>
  <c r="AV34" i="69"/>
  <c r="AV8" i="69"/>
  <c r="C8" i="12" s="1"/>
  <c r="AV16" i="69"/>
  <c r="C16" i="12" s="1"/>
  <c r="AV24" i="69"/>
  <c r="AV32" i="69"/>
  <c r="AV40" i="69"/>
  <c r="BI40" i="69" s="1"/>
  <c r="C40" i="12"/>
  <c r="D40" i="13" s="1"/>
  <c r="AV48" i="69"/>
  <c r="AV52" i="69"/>
  <c r="AV56" i="69"/>
  <c r="AV60" i="69"/>
  <c r="C68" i="12"/>
  <c r="H68" i="13" s="1"/>
  <c r="I68" i="13" s="1"/>
  <c r="BI68" i="69"/>
  <c r="AV74" i="69"/>
  <c r="BI10" i="69"/>
  <c r="AV9" i="69"/>
  <c r="C76" i="69"/>
  <c r="AV11" i="69"/>
  <c r="C11" i="12" s="1"/>
  <c r="AV13" i="69"/>
  <c r="BI13" i="69" s="1"/>
  <c r="AV15" i="69"/>
  <c r="BI15" i="69"/>
  <c r="AV17" i="69"/>
  <c r="AV19" i="69"/>
  <c r="AV21" i="69"/>
  <c r="AV23" i="69"/>
  <c r="AV25" i="69"/>
  <c r="C25" i="12" s="1"/>
  <c r="AV27" i="69"/>
  <c r="AV29" i="69"/>
  <c r="C29" i="12" s="1"/>
  <c r="D29" i="13" s="1"/>
  <c r="AV31" i="69"/>
  <c r="AV33" i="69"/>
  <c r="AV35" i="69"/>
  <c r="BI35" i="69" s="1"/>
  <c r="AV37" i="69"/>
  <c r="AV39" i="69"/>
  <c r="AV41" i="69"/>
  <c r="AV43" i="69"/>
  <c r="BI43" i="69"/>
  <c r="AV45" i="69"/>
  <c r="BI45" i="69"/>
  <c r="AV47" i="69"/>
  <c r="AV49" i="69"/>
  <c r="BI49" i="69" s="1"/>
  <c r="AV51" i="69"/>
  <c r="AV53" i="69"/>
  <c r="C53" i="12" s="1"/>
  <c r="AV55" i="69"/>
  <c r="C55" i="12" s="1"/>
  <c r="AV57" i="69"/>
  <c r="C57" i="12"/>
  <c r="F57" i="13"/>
  <c r="AV59" i="69"/>
  <c r="AV61" i="69"/>
  <c r="AV63" i="69"/>
  <c r="C63" i="12"/>
  <c r="AV65" i="69"/>
  <c r="C65" i="12" s="1"/>
  <c r="D65" i="13" s="1"/>
  <c r="AV67" i="69"/>
  <c r="BI67" i="69"/>
  <c r="AV69" i="69"/>
  <c r="C69" i="12" s="1"/>
  <c r="H69" i="13" s="1"/>
  <c r="I69" i="13" s="1"/>
  <c r="AV71" i="69"/>
  <c r="C71" i="12" s="1"/>
  <c r="H71" i="13" s="1"/>
  <c r="I71" i="13" s="1"/>
  <c r="AV73" i="69"/>
  <c r="AV75" i="69"/>
  <c r="C75" i="12"/>
  <c r="BI22" i="69"/>
  <c r="C22" i="12"/>
  <c r="BI44" i="69"/>
  <c r="C44" i="12"/>
  <c r="BI64" i="69"/>
  <c r="C28" i="12"/>
  <c r="L28" i="12" s="1"/>
  <c r="M28" i="12" s="1"/>
  <c r="BI52" i="69"/>
  <c r="AV42" i="69"/>
  <c r="BI30" i="69"/>
  <c r="C54" i="12"/>
  <c r="C30" i="12"/>
  <c r="C72" i="12"/>
  <c r="C52" i="12"/>
  <c r="BI36" i="69"/>
  <c r="C36" i="12"/>
  <c r="D36" i="13" s="1"/>
  <c r="L70" i="12"/>
  <c r="M70" i="12" s="1"/>
  <c r="C62" i="12"/>
  <c r="M50" i="25"/>
  <c r="N50" i="25" s="1"/>
  <c r="F50" i="13"/>
  <c r="D50" i="13"/>
  <c r="C74" i="12"/>
  <c r="D74" i="13" s="1"/>
  <c r="BI74" i="69"/>
  <c r="F72" i="13"/>
  <c r="C43" i="12"/>
  <c r="C27" i="12"/>
  <c r="D27" i="13" s="1"/>
  <c r="BI42" i="69"/>
  <c r="C42" i="12"/>
  <c r="F42" i="13" s="1"/>
  <c r="BI69" i="69"/>
  <c r="C21" i="12"/>
  <c r="M21" i="25" s="1"/>
  <c r="N21" i="25" s="1"/>
  <c r="BI21" i="69"/>
  <c r="C45" i="12"/>
  <c r="L45" i="12" s="1"/>
  <c r="M45" i="12" s="1"/>
  <c r="N45" i="12" s="1"/>
  <c r="D45" i="13"/>
  <c r="H44" i="13"/>
  <c r="I44" i="13" s="1"/>
  <c r="L44" i="12"/>
  <c r="M44" i="12"/>
  <c r="N44" i="12"/>
  <c r="M44" i="25"/>
  <c r="N44" i="25" s="1"/>
  <c r="D44" i="13"/>
  <c r="D22" i="13"/>
  <c r="F54" i="13"/>
  <c r="C51" i="12"/>
  <c r="BI51" i="69"/>
  <c r="C39" i="12"/>
  <c r="L39" i="12" s="1"/>
  <c r="M39" i="12" s="1"/>
  <c r="N39" i="12" s="1"/>
  <c r="BI39" i="69"/>
  <c r="BI31" i="69"/>
  <c r="C31" i="12"/>
  <c r="D31" i="13" s="1"/>
  <c r="F31" i="13"/>
  <c r="C15" i="12"/>
  <c r="BI11" i="69"/>
  <c r="L72" i="12"/>
  <c r="M72" i="12" s="1"/>
  <c r="N72" i="12" s="1"/>
  <c r="M31" i="25"/>
  <c r="N31" i="25" s="1"/>
  <c r="D39" i="13"/>
  <c r="L21" i="12"/>
  <c r="M21" i="12" s="1"/>
  <c r="N21" i="12" s="1"/>
  <c r="D21" i="13"/>
  <c r="H21" i="13"/>
  <c r="I21" i="13" s="1"/>
  <c r="L15" i="12"/>
  <c r="M15" i="12" s="1"/>
  <c r="N15" i="12" s="1"/>
  <c r="F55" i="13"/>
  <c r="L57" i="12"/>
  <c r="M57" i="12" s="1"/>
  <c r="N57" i="12" s="1"/>
  <c r="M42" i="25"/>
  <c r="N42" i="25" s="1"/>
  <c r="H42" i="13"/>
  <c r="I42" i="13" s="1"/>
  <c r="F43" i="13"/>
  <c r="H43" i="13"/>
  <c r="I43" i="13" s="1"/>
  <c r="L51" i="12"/>
  <c r="M51" i="12" s="1"/>
  <c r="N51" i="12" s="1"/>
  <c r="D51" i="13"/>
  <c r="H51" i="13"/>
  <c r="I51" i="13" s="1"/>
  <c r="H45" i="13"/>
  <c r="I45" i="13" s="1"/>
  <c r="M45" i="25"/>
  <c r="N45" i="25" s="1"/>
  <c r="AW70" i="9"/>
  <c r="AX50" i="9"/>
  <c r="AR41" i="9"/>
  <c r="AR25" i="9"/>
  <c r="AR29" i="9"/>
  <c r="AR69" i="9"/>
  <c r="AR11" i="9"/>
  <c r="AQ41" i="9"/>
  <c r="AR45" i="9"/>
  <c r="AR20" i="9"/>
  <c r="AQ25" i="9"/>
  <c r="AQ57" i="9"/>
  <c r="AQ33" i="9"/>
  <c r="AQ7" i="9"/>
  <c r="AR49" i="9"/>
  <c r="L54" i="12"/>
  <c r="M54" i="12" s="1"/>
  <c r="N54" i="12" s="1"/>
  <c r="M54" i="25"/>
  <c r="N54" i="25" s="1"/>
  <c r="D54" i="13"/>
  <c r="H22" i="13"/>
  <c r="I22" i="13" s="1"/>
  <c r="M22" i="25"/>
  <c r="N22" i="25" s="1"/>
  <c r="L22" i="12"/>
  <c r="M22" i="12" s="1"/>
  <c r="N22" i="12" s="1"/>
  <c r="BI73" i="69"/>
  <c r="BI17" i="69"/>
  <c r="C32" i="12"/>
  <c r="BI32" i="69"/>
  <c r="F25" i="13"/>
  <c r="M57" i="25"/>
  <c r="N57" i="25" s="1"/>
  <c r="H57" i="13"/>
  <c r="I57" i="13" s="1"/>
  <c r="F22" i="13"/>
  <c r="BI57" i="69"/>
  <c r="C73" i="12"/>
  <c r="M72" i="25"/>
  <c r="N72" i="25" s="1"/>
  <c r="D72" i="13"/>
  <c r="H72" i="13"/>
  <c r="I72" i="13" s="1"/>
  <c r="M28" i="25"/>
  <c r="N28" i="25" s="1"/>
  <c r="H28" i="13"/>
  <c r="I28" i="13" s="1"/>
  <c r="D28" i="13"/>
  <c r="D68" i="13"/>
  <c r="BI54" i="69"/>
  <c r="F45" i="13"/>
  <c r="H54" i="13"/>
  <c r="I54" i="13" s="1"/>
  <c r="C17" i="12"/>
  <c r="BI29" i="69"/>
  <c r="F8" i="13"/>
  <c r="BI75" i="69"/>
  <c r="BI71" i="69"/>
  <c r="C67" i="12"/>
  <c r="BI47" i="69"/>
  <c r="C47" i="12"/>
  <c r="C24" i="12"/>
  <c r="F24" i="13" s="1"/>
  <c r="BI24" i="69"/>
  <c r="BI8" i="69"/>
  <c r="BI34" i="69"/>
  <c r="C34" i="12"/>
  <c r="H34" i="13" s="1"/>
  <c r="I34" i="13" s="1"/>
  <c r="BI53" i="69"/>
  <c r="C33" i="12"/>
  <c r="M33" i="25" s="1"/>
  <c r="N33" i="25" s="1"/>
  <c r="BI33" i="69"/>
  <c r="D57" i="13"/>
  <c r="M66" i="25"/>
  <c r="N66" i="25"/>
  <c r="H66" i="13"/>
  <c r="I66" i="13" s="1"/>
  <c r="C58" i="12"/>
  <c r="BI58" i="69"/>
  <c r="C13" i="17"/>
  <c r="C10" i="17"/>
  <c r="C11" i="17"/>
  <c r="C12" i="17"/>
  <c r="H32" i="13"/>
  <c r="I32" i="13" s="1"/>
  <c r="BI27" i="69"/>
  <c r="BI23" i="69"/>
  <c r="D10" i="13"/>
  <c r="L10" i="12"/>
  <c r="M10" i="12" s="1"/>
  <c r="F10" i="13"/>
  <c r="M10" i="25"/>
  <c r="N10" i="25" s="1"/>
  <c r="BI20" i="69"/>
  <c r="L31" i="12"/>
  <c r="M31" i="12"/>
  <c r="N31" i="12" s="1"/>
  <c r="BI28" i="69"/>
  <c r="E9" i="30"/>
  <c r="D25" i="13"/>
  <c r="M27" i="25"/>
  <c r="N27" i="25" s="1"/>
  <c r="H31" i="13"/>
  <c r="I31" i="13" s="1"/>
  <c r="C23" i="12"/>
  <c r="D23" i="13" s="1"/>
  <c r="M7" i="25"/>
  <c r="H7" i="13"/>
  <c r="I7" i="13" s="1"/>
  <c r="D7" i="13"/>
  <c r="L7" i="12"/>
  <c r="M7" i="12" s="1"/>
  <c r="N7" i="12" s="1"/>
  <c r="AP16" i="68"/>
  <c r="AQ55" i="68"/>
  <c r="F59" i="67"/>
  <c r="F71" i="67"/>
  <c r="F35" i="67"/>
  <c r="F23" i="67"/>
  <c r="F60" i="67"/>
  <c r="F7" i="67"/>
  <c r="F24" i="67"/>
  <c r="F39" i="67"/>
  <c r="F75" i="67"/>
  <c r="F15" i="67"/>
  <c r="F47" i="67"/>
  <c r="C75" i="67"/>
  <c r="C71" i="67"/>
  <c r="C63" i="67"/>
  <c r="C47" i="67"/>
  <c r="C35" i="67"/>
  <c r="C23" i="67"/>
  <c r="AP73" i="68"/>
  <c r="AN19" i="68"/>
  <c r="AP14" i="68"/>
  <c r="AQ14" i="68"/>
  <c r="AP21" i="68"/>
  <c r="AQ21" i="68"/>
  <c r="AN61" i="68"/>
  <c r="AQ73" i="68"/>
  <c r="AQ61" i="68"/>
  <c r="AP47" i="68"/>
  <c r="AN22" i="68"/>
  <c r="AN42" i="68"/>
  <c r="AQ42" i="68"/>
  <c r="AP62" i="68"/>
  <c r="AN69" i="68"/>
  <c r="AQ46" i="68"/>
  <c r="AQ58" i="68"/>
  <c r="AQ22" i="68"/>
  <c r="AP37" i="68"/>
  <c r="AP55" i="68"/>
  <c r="AQ63" i="68"/>
  <c r="AP63" i="68"/>
  <c r="AQ69" i="68"/>
  <c r="AQ31" i="68"/>
  <c r="AP31" i="68"/>
  <c r="AN37" i="68"/>
  <c r="AN45" i="68"/>
  <c r="AQ45" i="68"/>
  <c r="AP13" i="68"/>
  <c r="AV76" i="69"/>
  <c r="H63" i="13"/>
  <c r="I63" i="13" s="1"/>
  <c r="M63" i="25"/>
  <c r="N63" i="25" s="1"/>
  <c r="D63" i="13"/>
  <c r="L63" i="12"/>
  <c r="F63" i="13"/>
  <c r="BI63" i="69"/>
  <c r="AN47" i="68"/>
  <c r="AQ47" i="68"/>
  <c r="AN13" i="68"/>
  <c r="AQ13" i="68"/>
  <c r="AQ65" i="68"/>
  <c r="AP65" i="68"/>
  <c r="AQ75" i="68"/>
  <c r="AN75" i="68"/>
  <c r="AQ34" i="68"/>
  <c r="AP34" i="68"/>
  <c r="AN34" i="68"/>
  <c r="AM9" i="29"/>
  <c r="AP23" i="68"/>
  <c r="AQ23" i="68"/>
  <c r="AN31" i="68"/>
  <c r="AP42" i="68"/>
  <c r="I42" i="15"/>
  <c r="E80" i="15"/>
  <c r="P79" i="27" s="1"/>
  <c r="Q79" i="27" s="1"/>
  <c r="E97" i="15"/>
  <c r="P76" i="15"/>
  <c r="O138" i="15"/>
  <c r="Q138" i="15" s="1"/>
  <c r="R138" i="15" s="1"/>
  <c r="U8" i="29"/>
  <c r="M58" i="25"/>
  <c r="N58" i="25" s="1"/>
  <c r="H58" i="13"/>
  <c r="I58" i="13" s="1"/>
  <c r="L58" i="12"/>
  <c r="M58" i="12" s="1"/>
  <c r="N58" i="12" s="1"/>
  <c r="D58" i="13"/>
  <c r="F58" i="13"/>
  <c r="M34" i="25"/>
  <c r="N34" i="25" s="1"/>
  <c r="F34" i="13"/>
  <c r="D34" i="13"/>
  <c r="L34" i="12"/>
  <c r="M34" i="12" s="1"/>
  <c r="N34" i="12" s="1"/>
  <c r="H17" i="13"/>
  <c r="I17" i="13" s="1"/>
  <c r="M17" i="25"/>
  <c r="N17" i="25" s="1"/>
  <c r="F17" i="13"/>
  <c r="L17" i="12"/>
  <c r="M17" i="12" s="1"/>
  <c r="N17" i="12" s="1"/>
  <c r="D17" i="13"/>
  <c r="H73" i="13"/>
  <c r="I73" i="13" s="1"/>
  <c r="L73" i="12"/>
  <c r="M73" i="12" s="1"/>
  <c r="N73" i="12" s="1"/>
  <c r="D73" i="13"/>
  <c r="M73" i="25"/>
  <c r="N73" i="25" s="1"/>
  <c r="F73" i="13"/>
  <c r="L29" i="12"/>
  <c r="M29" i="12" s="1"/>
  <c r="N29" i="12" s="1"/>
  <c r="F29" i="13"/>
  <c r="M29" i="25"/>
  <c r="N29" i="25" s="1"/>
  <c r="H29" i="13"/>
  <c r="I29" i="13" s="1"/>
  <c r="F67" i="13"/>
  <c r="L67" i="12"/>
  <c r="M67" i="12" s="1"/>
  <c r="N67" i="12" s="1"/>
  <c r="M67" i="25"/>
  <c r="N67" i="25" s="1"/>
  <c r="H67" i="13"/>
  <c r="I67" i="13" s="1"/>
  <c r="D67" i="13"/>
  <c r="F33" i="13"/>
  <c r="L33" i="12"/>
  <c r="M33" i="12" s="1"/>
  <c r="N33" i="12" s="1"/>
  <c r="H47" i="13"/>
  <c r="I47" i="13" s="1"/>
  <c r="F47" i="13"/>
  <c r="L47" i="12"/>
  <c r="M47" i="12" s="1"/>
  <c r="N47" i="12" s="1"/>
  <c r="D47" i="13"/>
  <c r="M47" i="25"/>
  <c r="N47" i="25" s="1"/>
  <c r="G12" i="17"/>
  <c r="L23" i="12"/>
  <c r="M23" i="12" s="1"/>
  <c r="N23" i="12" s="1"/>
  <c r="H20" i="13"/>
  <c r="I20" i="13" s="1"/>
  <c r="M20" i="25"/>
  <c r="N20" i="25" s="1"/>
  <c r="F20" i="13"/>
  <c r="L20" i="12"/>
  <c r="M20" i="12" s="1"/>
  <c r="N20" i="12" s="1"/>
  <c r="AN55" i="68"/>
  <c r="C55" i="67"/>
  <c r="C7" i="67"/>
  <c r="C39" i="67"/>
  <c r="C27" i="67"/>
  <c r="C43" i="67"/>
  <c r="C51" i="67"/>
  <c r="C11" i="67"/>
  <c r="C15" i="67"/>
  <c r="C19" i="67"/>
  <c r="C31" i="67"/>
  <c r="C59" i="67"/>
  <c r="C67" i="67"/>
  <c r="M63" i="12"/>
  <c r="N63" i="12" s="1"/>
  <c r="O9" i="29"/>
  <c r="AR15" i="9"/>
  <c r="W40" i="30"/>
  <c r="AR73" i="9"/>
  <c r="AQ37" i="9"/>
  <c r="AQ45" i="9"/>
  <c r="AR57" i="9"/>
  <c r="AR16" i="9"/>
  <c r="AR61" i="9"/>
  <c r="AQ53" i="9"/>
  <c r="AQ16" i="9"/>
  <c r="M76" i="15"/>
  <c r="M127" i="15"/>
  <c r="M136" i="15"/>
  <c r="X8" i="16"/>
  <c r="AR36" i="9"/>
  <c r="E81" i="14"/>
  <c r="F81" i="14" s="1"/>
  <c r="G81" i="14" s="1"/>
  <c r="L81" i="14"/>
  <c r="E109" i="14"/>
  <c r="M109" i="14" s="1"/>
  <c r="L109" i="14"/>
  <c r="E107" i="14"/>
  <c r="F107" i="14" s="1"/>
  <c r="L107" i="14"/>
  <c r="E105" i="14"/>
  <c r="F105" i="14"/>
  <c r="G105" i="14" s="1"/>
  <c r="L105" i="14"/>
  <c r="E99" i="14"/>
  <c r="L99" i="14"/>
  <c r="E97" i="14"/>
  <c r="L97" i="14"/>
  <c r="E131" i="14"/>
  <c r="F131" i="14"/>
  <c r="D138" i="14"/>
  <c r="L131" i="14"/>
  <c r="I114" i="14"/>
  <c r="L114" i="14"/>
  <c r="I72" i="14"/>
  <c r="J72" i="14" s="1"/>
  <c r="L72" i="14"/>
  <c r="I68" i="14"/>
  <c r="J68" i="14"/>
  <c r="L68" i="14"/>
  <c r="I64" i="14"/>
  <c r="L64" i="14"/>
  <c r="I60" i="14"/>
  <c r="J60" i="14" s="1"/>
  <c r="K60" i="14" s="1"/>
  <c r="L60" i="14"/>
  <c r="I54" i="14"/>
  <c r="J54" i="14"/>
  <c r="K54" i="14" s="1"/>
  <c r="L54" i="14"/>
  <c r="I50" i="14"/>
  <c r="L50" i="14"/>
  <c r="I46" i="14"/>
  <c r="L46" i="14"/>
  <c r="I40" i="14"/>
  <c r="J40" i="14" s="1"/>
  <c r="L40" i="14"/>
  <c r="I34" i="14"/>
  <c r="L34" i="14"/>
  <c r="I30" i="14"/>
  <c r="L30" i="14"/>
  <c r="I28" i="14"/>
  <c r="L28" i="14"/>
  <c r="I22" i="14"/>
  <c r="M22" i="14" s="1"/>
  <c r="L22" i="14"/>
  <c r="I18" i="14"/>
  <c r="L18" i="14"/>
  <c r="I12" i="14"/>
  <c r="L12" i="14"/>
  <c r="I10" i="14"/>
  <c r="L10" i="14"/>
  <c r="I86" i="14"/>
  <c r="L86" i="14"/>
  <c r="T40" i="30"/>
  <c r="K84" i="15"/>
  <c r="AR72" i="9"/>
  <c r="AR68" i="9"/>
  <c r="AQ68" i="9"/>
  <c r="AQ60" i="9"/>
  <c r="AR56" i="9"/>
  <c r="AR52" i="9"/>
  <c r="AQ48" i="9"/>
  <c r="AR48" i="9"/>
  <c r="AQ40" i="9"/>
  <c r="AQ19" i="9"/>
  <c r="AR19" i="9"/>
  <c r="AQ14" i="9"/>
  <c r="AR14" i="9"/>
  <c r="F59" i="14"/>
  <c r="G59" i="14" s="1"/>
  <c r="H14" i="29"/>
  <c r="AQ74" i="9"/>
  <c r="AR74" i="9"/>
  <c r="AQ70" i="9"/>
  <c r="AR70" i="9"/>
  <c r="AQ66" i="9"/>
  <c r="AR62" i="9"/>
  <c r="AQ62" i="9"/>
  <c r="AQ58" i="9"/>
  <c r="AR58" i="9"/>
  <c r="AQ46" i="9"/>
  <c r="AR46" i="9"/>
  <c r="AQ42" i="9"/>
  <c r="AR42" i="9"/>
  <c r="AR38" i="9"/>
  <c r="AR34" i="9"/>
  <c r="AQ34" i="9"/>
  <c r="AQ30" i="9"/>
  <c r="AQ26" i="9"/>
  <c r="AR26" i="9"/>
  <c r="AQ12" i="9"/>
  <c r="AQ8" i="9"/>
  <c r="AR8" i="9"/>
  <c r="G89" i="15"/>
  <c r="F93" i="15"/>
  <c r="AT12" i="30"/>
  <c r="AT25" i="30"/>
  <c r="AT27" i="30"/>
  <c r="AT23" i="30"/>
  <c r="AT34" i="30"/>
  <c r="AR27" i="9"/>
  <c r="AQ28" i="9"/>
  <c r="AQ55" i="9"/>
  <c r="AR59" i="9"/>
  <c r="AR24" i="9"/>
  <c r="AQ64" i="9"/>
  <c r="AQ56" i="9"/>
  <c r="AQ27" i="9"/>
  <c r="AR60" i="9"/>
  <c r="AR28" i="9"/>
  <c r="AQ32" i="9"/>
  <c r="AQ9" i="9"/>
  <c r="AR9" i="9"/>
  <c r="AT33" i="30"/>
  <c r="AT31" i="30"/>
  <c r="AT37" i="30"/>
  <c r="AT26" i="30"/>
  <c r="AT22" i="30"/>
  <c r="AT20" i="30"/>
  <c r="AT21" i="30"/>
  <c r="AT38" i="30"/>
  <c r="AT29" i="30"/>
  <c r="AT30" i="30"/>
  <c r="AT9" i="30"/>
  <c r="AQ23" i="9"/>
  <c r="AT8" i="30"/>
  <c r="K93" i="15"/>
  <c r="K127" i="15"/>
  <c r="AR54" i="9"/>
  <c r="AQ54" i="9"/>
  <c r="AQ50" i="9"/>
  <c r="AR50" i="9"/>
  <c r="AR47" i="9"/>
  <c r="AQ44" i="9"/>
  <c r="AR21" i="9"/>
  <c r="AQ21" i="9"/>
  <c r="AR17" i="9"/>
  <c r="AQ17" i="9"/>
  <c r="AR13" i="9"/>
  <c r="AQ13" i="9"/>
  <c r="AR10" i="9"/>
  <c r="AQ10" i="9"/>
  <c r="AQ76" i="9" s="1"/>
  <c r="J116" i="14"/>
  <c r="K116" i="14" s="1"/>
  <c r="M116" i="14"/>
  <c r="I74" i="14"/>
  <c r="J74" i="14" s="1"/>
  <c r="L74" i="14"/>
  <c r="E29" i="14"/>
  <c r="L29" i="14"/>
  <c r="I27" i="14"/>
  <c r="J27" i="14" s="1"/>
  <c r="L27" i="14"/>
  <c r="F26" i="14"/>
  <c r="G26" i="14" s="1"/>
  <c r="I24" i="14"/>
  <c r="J24" i="14" s="1"/>
  <c r="K24" i="14" s="1"/>
  <c r="L24" i="14"/>
  <c r="I11" i="14"/>
  <c r="L11" i="14"/>
  <c r="E83" i="14"/>
  <c r="L83" i="14"/>
  <c r="D110" i="14"/>
  <c r="I78" i="14"/>
  <c r="M78" i="14"/>
  <c r="L78" i="14"/>
  <c r="H110" i="14"/>
  <c r="E108" i="14"/>
  <c r="M108" i="14"/>
  <c r="L108" i="14"/>
  <c r="E102" i="14"/>
  <c r="L102" i="14"/>
  <c r="E100" i="14"/>
  <c r="F100" i="14" s="1"/>
  <c r="M100" i="14"/>
  <c r="L100" i="14"/>
  <c r="E94" i="14"/>
  <c r="L94" i="14"/>
  <c r="E92" i="14"/>
  <c r="L92" i="14"/>
  <c r="G81" i="15"/>
  <c r="F84" i="15"/>
  <c r="G98" i="15"/>
  <c r="J98" i="15" s="1"/>
  <c r="F127" i="15"/>
  <c r="G131" i="15"/>
  <c r="F136" i="15"/>
  <c r="F76" i="15"/>
  <c r="I134" i="14"/>
  <c r="L134" i="14"/>
  <c r="I123" i="14"/>
  <c r="J123" i="14"/>
  <c r="K123" i="14" s="1"/>
  <c r="H129" i="14"/>
  <c r="I16" i="14"/>
  <c r="L16" i="14"/>
  <c r="I13" i="14"/>
  <c r="L13" i="14"/>
  <c r="I8" i="14"/>
  <c r="H76" i="14"/>
  <c r="L8" i="14"/>
  <c r="E7" i="14"/>
  <c r="D76" i="14"/>
  <c r="I88" i="14"/>
  <c r="L88" i="14"/>
  <c r="E84" i="14"/>
  <c r="L84" i="14"/>
  <c r="I137" i="14"/>
  <c r="L137" i="14"/>
  <c r="I126" i="14"/>
  <c r="J126" i="14" s="1"/>
  <c r="K126" i="14" s="1"/>
  <c r="L126" i="14"/>
  <c r="E125" i="14"/>
  <c r="D129" i="14"/>
  <c r="L125" i="14"/>
  <c r="E56" i="14"/>
  <c r="L56" i="14"/>
  <c r="I52" i="14"/>
  <c r="L52" i="14"/>
  <c r="I44" i="14"/>
  <c r="L44" i="14"/>
  <c r="I41" i="14"/>
  <c r="M41" i="14"/>
  <c r="L41" i="14"/>
  <c r="I36" i="14"/>
  <c r="L36" i="14"/>
  <c r="I33" i="14"/>
  <c r="L33" i="14"/>
  <c r="E103" i="14"/>
  <c r="L103" i="14"/>
  <c r="E95" i="14"/>
  <c r="L95" i="14"/>
  <c r="I115" i="14"/>
  <c r="H119" i="14"/>
  <c r="L115" i="14"/>
  <c r="I20" i="14"/>
  <c r="L20" i="14"/>
  <c r="I9" i="14"/>
  <c r="L9" i="14"/>
  <c r="I106" i="14"/>
  <c r="M106" i="14" s="1"/>
  <c r="L106" i="14"/>
  <c r="I98" i="14"/>
  <c r="L98" i="14"/>
  <c r="AR23" i="9"/>
  <c r="AQ15" i="9"/>
  <c r="J62" i="14"/>
  <c r="K62" i="14" s="1"/>
  <c r="F132" i="14"/>
  <c r="G132" i="14" s="1"/>
  <c r="J124" i="14"/>
  <c r="K124" i="14" s="1"/>
  <c r="F74" i="14"/>
  <c r="G74" i="14"/>
  <c r="J136" i="14"/>
  <c r="F127" i="14"/>
  <c r="G127" i="14" s="1"/>
  <c r="F133" i="14"/>
  <c r="K125" i="14"/>
  <c r="F113" i="14"/>
  <c r="G113" i="14" s="1"/>
  <c r="F64" i="14"/>
  <c r="G64" i="14"/>
  <c r="J51" i="14"/>
  <c r="K51" i="14" s="1"/>
  <c r="K38" i="14"/>
  <c r="J48" i="14"/>
  <c r="K48" i="14" s="1"/>
  <c r="F47" i="14"/>
  <c r="F16" i="14"/>
  <c r="G16" i="14" s="1"/>
  <c r="F51" i="14"/>
  <c r="J32" i="14"/>
  <c r="K32" i="14" s="1"/>
  <c r="F32" i="14"/>
  <c r="F15" i="14"/>
  <c r="G15" i="14" s="1"/>
  <c r="J85" i="14"/>
  <c r="K85" i="14" s="1"/>
  <c r="F78" i="14"/>
  <c r="N78" i="14" s="1"/>
  <c r="J109" i="14"/>
  <c r="K109" i="14" s="1"/>
  <c r="J104" i="14"/>
  <c r="K104" i="14"/>
  <c r="J99" i="14"/>
  <c r="J96" i="14"/>
  <c r="K96" i="14" s="1"/>
  <c r="J93" i="14"/>
  <c r="J80" i="14"/>
  <c r="K80" i="14" s="1"/>
  <c r="F91" i="14"/>
  <c r="F19" i="14"/>
  <c r="J7" i="14"/>
  <c r="K7" i="14"/>
  <c r="F80" i="14"/>
  <c r="G80" i="14" s="1"/>
  <c r="J108" i="14"/>
  <c r="K108" i="14" s="1"/>
  <c r="J102" i="14"/>
  <c r="K102" i="14" s="1"/>
  <c r="G88" i="14"/>
  <c r="AP58" i="68"/>
  <c r="G52" i="14"/>
  <c r="O52" i="14" s="1"/>
  <c r="AO52" i="9" s="1"/>
  <c r="M54" i="14"/>
  <c r="M59" i="14"/>
  <c r="AE76" i="68"/>
  <c r="L21" i="14"/>
  <c r="L93" i="14"/>
  <c r="L25" i="14"/>
  <c r="L43" i="14"/>
  <c r="L71" i="14"/>
  <c r="L87" i="14"/>
  <c r="L55" i="14"/>
  <c r="L73" i="14"/>
  <c r="L117" i="14"/>
  <c r="L124" i="14"/>
  <c r="D127" i="15"/>
  <c r="E98" i="15"/>
  <c r="H40" i="30"/>
  <c r="K11" i="17"/>
  <c r="N10" i="30"/>
  <c r="Q40" i="30"/>
  <c r="Q33" i="30"/>
  <c r="M20" i="14"/>
  <c r="AT75" i="68"/>
  <c r="J78" i="14"/>
  <c r="K78" i="14" s="1"/>
  <c r="AN46" i="68"/>
  <c r="AQ62" i="68"/>
  <c r="C76" i="25"/>
  <c r="L14" i="14"/>
  <c r="L32" i="14"/>
  <c r="L58" i="14"/>
  <c r="L133" i="14"/>
  <c r="L118" i="14"/>
  <c r="L48" i="14"/>
  <c r="L62" i="14"/>
  <c r="L135" i="14"/>
  <c r="L90" i="14"/>
  <c r="L96" i="14"/>
  <c r="L116" i="14"/>
  <c r="E124" i="14"/>
  <c r="AP46" i="68"/>
  <c r="AP22" i="68"/>
  <c r="L38" i="14"/>
  <c r="L66" i="14"/>
  <c r="L80" i="14"/>
  <c r="L104" i="14"/>
  <c r="D76" i="12"/>
  <c r="N10" i="17"/>
  <c r="N7" i="17"/>
  <c r="N9" i="17"/>
  <c r="L17" i="14"/>
  <c r="L37" i="14"/>
  <c r="L67" i="14"/>
  <c r="L79" i="14"/>
  <c r="L89" i="14"/>
  <c r="L19" i="14"/>
  <c r="L31" i="14"/>
  <c r="L49" i="14"/>
  <c r="L61" i="14"/>
  <c r="M99" i="14"/>
  <c r="F99" i="14"/>
  <c r="G99" i="14" s="1"/>
  <c r="J115" i="14"/>
  <c r="J22" i="14"/>
  <c r="J50" i="14"/>
  <c r="M68" i="14"/>
  <c r="M91" i="14"/>
  <c r="L123" i="14"/>
  <c r="D93" i="15"/>
  <c r="D136" i="15"/>
  <c r="C76" i="68"/>
  <c r="J134" i="14"/>
  <c r="G19" i="14"/>
  <c r="J52" i="14"/>
  <c r="K52" i="14" s="1"/>
  <c r="L45" i="14"/>
  <c r="L51" i="14"/>
  <c r="L63" i="14"/>
  <c r="L69" i="14"/>
  <c r="L75" i="14"/>
  <c r="L128" i="14"/>
  <c r="L136" i="14"/>
  <c r="D119" i="14"/>
  <c r="L15" i="14"/>
  <c r="L23" i="14"/>
  <c r="L39" i="14"/>
  <c r="L47" i="14"/>
  <c r="L53" i="14"/>
  <c r="L59" i="14"/>
  <c r="L65" i="14"/>
  <c r="L132" i="14"/>
  <c r="H138" i="14"/>
  <c r="L85" i="14"/>
  <c r="L101" i="14"/>
  <c r="L113" i="14"/>
  <c r="AP69" i="68"/>
  <c r="AP61" i="68"/>
  <c r="AP45" i="68"/>
  <c r="AN21" i="68"/>
  <c r="AJ76" i="68"/>
  <c r="AQ16" i="68"/>
  <c r="AN16" i="68"/>
  <c r="F20" i="67"/>
  <c r="F28" i="67"/>
  <c r="F40" i="67"/>
  <c r="F56" i="67"/>
  <c r="F72" i="67"/>
  <c r="H13" i="17"/>
  <c r="K12" i="17"/>
  <c r="N12" i="17"/>
  <c r="N40" i="30"/>
  <c r="E86" i="15"/>
  <c r="E133" i="15"/>
  <c r="U13" i="29" s="1"/>
  <c r="D84" i="15"/>
  <c r="M19" i="14"/>
  <c r="Q7" i="17"/>
  <c r="J95" i="14"/>
  <c r="F72" i="14"/>
  <c r="J56" i="14"/>
  <c r="F24" i="14"/>
  <c r="G24" i="14"/>
  <c r="F17" i="14"/>
  <c r="J82" i="14"/>
  <c r="F106" i="14"/>
  <c r="G106" i="14" s="1"/>
  <c r="J131" i="14"/>
  <c r="K131" i="14" s="1"/>
  <c r="M131" i="14"/>
  <c r="F90" i="14"/>
  <c r="G90" i="14" s="1"/>
  <c r="M96" i="14"/>
  <c r="F75" i="14"/>
  <c r="G75" i="14" s="1"/>
  <c r="J67" i="14"/>
  <c r="K67" i="14" s="1"/>
  <c r="J63" i="14"/>
  <c r="K63" i="14" s="1"/>
  <c r="J42" i="14"/>
  <c r="F25" i="14"/>
  <c r="G25" i="14" s="1"/>
  <c r="M23" i="14"/>
  <c r="J135" i="14"/>
  <c r="F71" i="14"/>
  <c r="G71" i="14" s="1"/>
  <c r="F69" i="14"/>
  <c r="G69" i="14" s="1"/>
  <c r="F67" i="14"/>
  <c r="M67" i="14"/>
  <c r="F65" i="14"/>
  <c r="G65" i="14" s="1"/>
  <c r="F40" i="14"/>
  <c r="N40" i="14" s="1"/>
  <c r="F37" i="14"/>
  <c r="F87" i="14"/>
  <c r="F112" i="14"/>
  <c r="M57" i="14"/>
  <c r="F57" i="14"/>
  <c r="J49" i="14"/>
  <c r="K49" i="14" s="1"/>
  <c r="J45" i="14"/>
  <c r="M70" i="14"/>
  <c r="F70" i="14"/>
  <c r="N70" i="14" s="1"/>
  <c r="F66" i="14"/>
  <c r="F58" i="14"/>
  <c r="G58" i="14" s="1"/>
  <c r="F53" i="14"/>
  <c r="F43" i="14"/>
  <c r="F39" i="14"/>
  <c r="G39" i="14"/>
  <c r="F21" i="14"/>
  <c r="G21" i="14" s="1"/>
  <c r="M93" i="14"/>
  <c r="M88" i="14"/>
  <c r="M102" i="14"/>
  <c r="M48" i="14"/>
  <c r="S93" i="15"/>
  <c r="M80" i="14"/>
  <c r="S76" i="15"/>
  <c r="N93" i="15"/>
  <c r="N136" i="15"/>
  <c r="N84" i="15"/>
  <c r="N127" i="15"/>
  <c r="G42" i="15"/>
  <c r="AW7" i="9"/>
  <c r="U12" i="29"/>
  <c r="G13" i="17"/>
  <c r="H10" i="13"/>
  <c r="I10" i="13" s="1"/>
  <c r="N10" i="12"/>
  <c r="C9" i="17"/>
  <c r="M51" i="25"/>
  <c r="N51" i="25" s="1"/>
  <c r="L68" i="12"/>
  <c r="M68" i="12"/>
  <c r="N68" i="12" s="1"/>
  <c r="M68" i="25"/>
  <c r="N68" i="25" s="1"/>
  <c r="F68" i="13"/>
  <c r="BI16" i="69"/>
  <c r="L66" i="12"/>
  <c r="M66" i="12" s="1"/>
  <c r="N66" i="12" s="1"/>
  <c r="D66" i="13"/>
  <c r="C38" i="12"/>
  <c r="BI38" i="69"/>
  <c r="L36" i="12"/>
  <c r="M36" i="12" s="1"/>
  <c r="N36" i="12" s="1"/>
  <c r="H36" i="13"/>
  <c r="I36" i="13" s="1"/>
  <c r="M36" i="25"/>
  <c r="N36" i="25" s="1"/>
  <c r="BI61" i="69"/>
  <c r="C61" i="12"/>
  <c r="H40" i="13"/>
  <c r="I40" i="13" s="1"/>
  <c r="BI41" i="69"/>
  <c r="C41" i="12"/>
  <c r="D41" i="13" s="1"/>
  <c r="BI37" i="69"/>
  <c r="C37" i="12"/>
  <c r="BI26" i="69"/>
  <c r="C26" i="12"/>
  <c r="L26" i="12" s="1"/>
  <c r="M26" i="12" s="1"/>
  <c r="N26" i="12" s="1"/>
  <c r="C12" i="12"/>
  <c r="L12" i="12" s="1"/>
  <c r="M12" i="12" s="1"/>
  <c r="N12" i="12" s="1"/>
  <c r="BI12" i="69"/>
  <c r="BI9" i="69"/>
  <c r="C9" i="12"/>
  <c r="D9" i="13" s="1"/>
  <c r="C56" i="12"/>
  <c r="BI56" i="69"/>
  <c r="BI48" i="69"/>
  <c r="C48" i="12"/>
  <c r="C46" i="12"/>
  <c r="L46" i="12" s="1"/>
  <c r="M46" i="12" s="1"/>
  <c r="N46" i="12" s="1"/>
  <c r="BI46" i="69"/>
  <c r="C9" i="16"/>
  <c r="E28" i="30"/>
  <c r="E19" i="30"/>
  <c r="S136" i="15"/>
  <c r="S84" i="15"/>
  <c r="S127" i="15"/>
  <c r="J118" i="14"/>
  <c r="K118" i="14" s="1"/>
  <c r="M71" i="14"/>
  <c r="J71" i="14"/>
  <c r="K71" i="14" s="1"/>
  <c r="J61" i="14"/>
  <c r="K61" i="14" s="1"/>
  <c r="M32" i="14"/>
  <c r="J17" i="14"/>
  <c r="K17" i="14" s="1"/>
  <c r="M17" i="14"/>
  <c r="M85" i="14"/>
  <c r="F85" i="14"/>
  <c r="N85" i="14" s="1"/>
  <c r="F118" i="14"/>
  <c r="M113" i="14"/>
  <c r="E119" i="14"/>
  <c r="F61" i="14"/>
  <c r="G61" i="14"/>
  <c r="M61" i="14"/>
  <c r="J55" i="14"/>
  <c r="M49" i="14"/>
  <c r="F49" i="14"/>
  <c r="G49" i="14" s="1"/>
  <c r="O49" i="14" s="1"/>
  <c r="M90" i="14"/>
  <c r="M89" i="14"/>
  <c r="F89" i="14"/>
  <c r="M104" i="14"/>
  <c r="F128" i="14"/>
  <c r="F116" i="14"/>
  <c r="G116" i="14" s="1"/>
  <c r="F114" i="14"/>
  <c r="J75" i="14"/>
  <c r="K75" i="14"/>
  <c r="M75" i="14"/>
  <c r="F55" i="14"/>
  <c r="M53" i="14"/>
  <c r="J53" i="14"/>
  <c r="K53" i="14" s="1"/>
  <c r="M43" i="14"/>
  <c r="J43" i="14"/>
  <c r="K43" i="14" s="1"/>
  <c r="M39" i="14"/>
  <c r="J39" i="14"/>
  <c r="M15" i="14"/>
  <c r="J73" i="14"/>
  <c r="K73" i="14" s="1"/>
  <c r="J58" i="14"/>
  <c r="M58" i="14"/>
  <c r="J26" i="14"/>
  <c r="M21" i="14"/>
  <c r="J21" i="14"/>
  <c r="K21" i="14" s="1"/>
  <c r="K29" i="14"/>
  <c r="AT24" i="30"/>
  <c r="AT10" i="30"/>
  <c r="AQ16" i="29"/>
  <c r="AQ18" i="29" s="1"/>
  <c r="AQ9" i="29"/>
  <c r="AR43" i="9"/>
  <c r="AR18" i="9"/>
  <c r="AR51" i="9"/>
  <c r="F124" i="14"/>
  <c r="K135" i="14"/>
  <c r="L138" i="14"/>
  <c r="K74" i="14"/>
  <c r="N74" i="14"/>
  <c r="K27" i="14"/>
  <c r="K134" i="14"/>
  <c r="AQ40" i="68"/>
  <c r="AP40" i="68"/>
  <c r="AP32" i="68"/>
  <c r="AN32" i="68"/>
  <c r="AP20" i="68"/>
  <c r="AN20" i="68"/>
  <c r="AQ20" i="68"/>
  <c r="AN52" i="68"/>
  <c r="AP52" i="68"/>
  <c r="F8" i="67"/>
  <c r="N71" i="14"/>
  <c r="K56" i="14"/>
  <c r="G72" i="14"/>
  <c r="G57" i="14"/>
  <c r="G37" i="14"/>
  <c r="G70" i="14"/>
  <c r="H9" i="13"/>
  <c r="L9" i="12"/>
  <c r="M9" i="12" s="1"/>
  <c r="F37" i="13"/>
  <c r="M37" i="25"/>
  <c r="N37" i="25" s="1"/>
  <c r="L37" i="12"/>
  <c r="M37" i="12" s="1"/>
  <c r="N37" i="12" s="1"/>
  <c r="D37" i="13"/>
  <c r="H37" i="13"/>
  <c r="I37" i="13" s="1"/>
  <c r="G9" i="17"/>
  <c r="F12" i="13"/>
  <c r="F61" i="13"/>
  <c r="L61" i="12"/>
  <c r="M61" i="12"/>
  <c r="N61" i="12" s="1"/>
  <c r="H61" i="13"/>
  <c r="I61" i="13" s="1"/>
  <c r="D61" i="13"/>
  <c r="M61" i="25"/>
  <c r="N61" i="25" s="1"/>
  <c r="D46" i="13"/>
  <c r="G8" i="17"/>
  <c r="D26" i="13"/>
  <c r="H26" i="13"/>
  <c r="I26" i="13" s="1"/>
  <c r="M26" i="25"/>
  <c r="N26" i="25" s="1"/>
  <c r="L41" i="12"/>
  <c r="M41" i="12" s="1"/>
  <c r="N41" i="12" s="1"/>
  <c r="H41" i="13"/>
  <c r="I41" i="13" s="1"/>
  <c r="G10" i="17"/>
  <c r="D48" i="13"/>
  <c r="H48" i="13"/>
  <c r="I48" i="13" s="1"/>
  <c r="D56" i="13"/>
  <c r="G11" i="17"/>
  <c r="D38" i="13"/>
  <c r="M38" i="25"/>
  <c r="N38" i="25" s="1"/>
  <c r="H38" i="13"/>
  <c r="I38" i="13" s="1"/>
  <c r="L38" i="12"/>
  <c r="M38" i="12" s="1"/>
  <c r="N38" i="12" s="1"/>
  <c r="F38" i="13"/>
  <c r="E10" i="30"/>
  <c r="G7" i="17"/>
  <c r="N75" i="14"/>
  <c r="K90" i="14"/>
  <c r="I9" i="13"/>
  <c r="K76" i="15"/>
  <c r="AH34" i="30"/>
  <c r="G85" i="14"/>
  <c r="O85" i="14" s="1"/>
  <c r="H140" i="14"/>
  <c r="G133" i="14"/>
  <c r="AO52" i="68"/>
  <c r="G52" i="67" s="1"/>
  <c r="AQ52" i="68"/>
  <c r="AO40" i="68"/>
  <c r="G40" i="67"/>
  <c r="AN40" i="68"/>
  <c r="AO32" i="68"/>
  <c r="G32" i="67" s="1"/>
  <c r="AQ32" i="68"/>
  <c r="J11" i="14"/>
  <c r="K11" i="14" s="1"/>
  <c r="K68" i="14"/>
  <c r="G100" i="14"/>
  <c r="E129" i="14"/>
  <c r="M124" i="14"/>
  <c r="F84" i="14"/>
  <c r="G84" i="14"/>
  <c r="F18" i="14"/>
  <c r="G18" i="14"/>
  <c r="F30" i="14"/>
  <c r="F34" i="14"/>
  <c r="G34" i="14" s="1"/>
  <c r="N54" i="14"/>
  <c r="G96" i="14"/>
  <c r="F104" i="14"/>
  <c r="G104" i="14" s="1"/>
  <c r="O104" i="14" s="1"/>
  <c r="N104" i="14"/>
  <c r="T36" i="30"/>
  <c r="N68" i="14"/>
  <c r="O71" i="14"/>
  <c r="F109" i="14"/>
  <c r="N109" i="14" s="1"/>
  <c r="K93" i="14"/>
  <c r="N93" i="14"/>
  <c r="D121" i="14"/>
  <c r="O93" i="14"/>
  <c r="J86" i="14"/>
  <c r="M52" i="14"/>
  <c r="AS71" i="68"/>
  <c r="Y71" i="12" s="1"/>
  <c r="AS67" i="68"/>
  <c r="AS47" i="68"/>
  <c r="Y47" i="12" s="1"/>
  <c r="AS39" i="68"/>
  <c r="AS31" i="68"/>
  <c r="Y31" i="12" s="1"/>
  <c r="AO38" i="68"/>
  <c r="G38" i="67" s="1"/>
  <c r="AP38" i="68"/>
  <c r="AN38" i="68"/>
  <c r="AQ38" i="68"/>
  <c r="AP30" i="68"/>
  <c r="AN30" i="68"/>
  <c r="AQ30" i="68"/>
  <c r="AO30" i="68"/>
  <c r="G30" i="67" s="1"/>
  <c r="AO26" i="68"/>
  <c r="G26" i="67" s="1"/>
  <c r="AN26" i="68"/>
  <c r="AP26" i="68"/>
  <c r="AQ26" i="68"/>
  <c r="Y67" i="12"/>
  <c r="AT67" i="68"/>
  <c r="AT47" i="68"/>
  <c r="Y39" i="12"/>
  <c r="AT39" i="68"/>
  <c r="AT35" i="30"/>
  <c r="AT14" i="30"/>
  <c r="AT32" i="30"/>
  <c r="AT18" i="30"/>
  <c r="AT15" i="30"/>
  <c r="AT11" i="30"/>
  <c r="E18" i="68"/>
  <c r="E14" i="68"/>
  <c r="AB9" i="17"/>
  <c r="AS63" i="68"/>
  <c r="AS23" i="68"/>
  <c r="E65" i="68"/>
  <c r="E23" i="68"/>
  <c r="E19" i="68"/>
  <c r="E17" i="68"/>
  <c r="AB17" i="68" s="1"/>
  <c r="AT28" i="30"/>
  <c r="AO44" i="68"/>
  <c r="G44" i="67" s="1"/>
  <c r="AN44" i="68"/>
  <c r="AP44" i="68"/>
  <c r="AQ44" i="68"/>
  <c r="AP36" i="68"/>
  <c r="AO36" i="68"/>
  <c r="G36" i="67"/>
  <c r="AQ36" i="68"/>
  <c r="AN36" i="68"/>
  <c r="AN24" i="68"/>
  <c r="AP24" i="68"/>
  <c r="AO24" i="68"/>
  <c r="G24" i="67" s="1"/>
  <c r="AQ24" i="68"/>
  <c r="AO12" i="68"/>
  <c r="G12" i="67" s="1"/>
  <c r="AN12" i="68"/>
  <c r="AQ12" i="68"/>
  <c r="AP12" i="68"/>
  <c r="AT36" i="30"/>
  <c r="N9" i="16"/>
  <c r="AM60" i="68"/>
  <c r="E33" i="68"/>
  <c r="G31" i="14"/>
  <c r="N67" i="14"/>
  <c r="N49" i="14"/>
  <c r="T19" i="30"/>
  <c r="N17" i="14"/>
  <c r="N24" i="14"/>
  <c r="N61" i="14"/>
  <c r="K22" i="14"/>
  <c r="F102" i="14"/>
  <c r="N102" i="14" s="1"/>
  <c r="F83" i="14"/>
  <c r="M83" i="14"/>
  <c r="M50" i="14"/>
  <c r="K50" i="14"/>
  <c r="M134" i="14"/>
  <c r="G89" i="14"/>
  <c r="O89" i="14" s="1"/>
  <c r="J41" i="14"/>
  <c r="K41" i="14" s="1"/>
  <c r="M64" i="14"/>
  <c r="J64" i="14"/>
  <c r="K64" i="14" s="1"/>
  <c r="AW68" i="9"/>
  <c r="E74" i="68"/>
  <c r="N90" i="14"/>
  <c r="O96" i="14"/>
  <c r="K86" i="14"/>
  <c r="E71" i="68"/>
  <c r="E56" i="68"/>
  <c r="E24" i="68"/>
  <c r="AB24" i="68" s="1"/>
  <c r="O24" i="14"/>
  <c r="E63" i="68"/>
  <c r="E61" i="68"/>
  <c r="E59" i="68"/>
  <c r="E57" i="68"/>
  <c r="E55" i="68"/>
  <c r="E15" i="68"/>
  <c r="E13" i="68"/>
  <c r="E11" i="68"/>
  <c r="E38" i="30"/>
  <c r="E13" i="30"/>
  <c r="E12" i="30"/>
  <c r="E34" i="30"/>
  <c r="E37" i="30"/>
  <c r="E31" i="30"/>
  <c r="E18" i="30"/>
  <c r="E11" i="30"/>
  <c r="E33" i="30"/>
  <c r="E36" i="30"/>
  <c r="T16" i="30"/>
  <c r="AT19" i="30"/>
  <c r="E35" i="30"/>
  <c r="K29" i="30"/>
  <c r="K21" i="30"/>
  <c r="E27" i="30"/>
  <c r="E17" i="30"/>
  <c r="E21" i="30"/>
  <c r="E29" i="30"/>
  <c r="E22" i="30"/>
  <c r="K32" i="30"/>
  <c r="K36" i="30"/>
  <c r="N11" i="30"/>
  <c r="N25" i="30"/>
  <c r="N16" i="30"/>
  <c r="N22" i="30"/>
  <c r="N24" i="30"/>
  <c r="N19" i="30"/>
  <c r="N14" i="30"/>
  <c r="N17" i="30"/>
  <c r="N37" i="30"/>
  <c r="N34" i="30"/>
  <c r="AP19" i="68"/>
  <c r="AQ19" i="68"/>
  <c r="F19" i="67"/>
  <c r="AM25" i="68"/>
  <c r="AQ20" i="29"/>
  <c r="H11" i="17"/>
  <c r="E73" i="68"/>
  <c r="E20" i="68"/>
  <c r="Q7" i="30"/>
  <c r="Q30" i="30"/>
  <c r="Q23" i="30"/>
  <c r="Q32" i="30"/>
  <c r="Q31" i="30"/>
  <c r="Q35" i="30"/>
  <c r="AB11" i="30"/>
  <c r="E49" i="68"/>
  <c r="E47" i="68"/>
  <c r="E45" i="68"/>
  <c r="E43" i="68"/>
  <c r="E41" i="68"/>
  <c r="M76" i="27"/>
  <c r="M84" i="27" s="1"/>
  <c r="E46" i="68"/>
  <c r="E42" i="68"/>
  <c r="H36" i="30"/>
  <c r="N7" i="30"/>
  <c r="N38" i="30"/>
  <c r="N23" i="30"/>
  <c r="N26" i="30"/>
  <c r="Q37" i="30"/>
  <c r="S9" i="16"/>
  <c r="AT17" i="30"/>
  <c r="AW18" i="9"/>
  <c r="AT7" i="30"/>
  <c r="AO24" i="9"/>
  <c r="J10" i="14"/>
  <c r="AM66" i="68"/>
  <c r="AM43" i="68"/>
  <c r="AS43" i="68"/>
  <c r="AM27" i="68"/>
  <c r="AS27" i="68"/>
  <c r="H121" i="14"/>
  <c r="S9" i="29"/>
  <c r="S20" i="29" s="1"/>
  <c r="AS19" i="68"/>
  <c r="AM50" i="68"/>
  <c r="E31" i="68"/>
  <c r="E29" i="68"/>
  <c r="E27" i="68"/>
  <c r="E25" i="68"/>
  <c r="E8" i="68"/>
  <c r="E7" i="68"/>
  <c r="AM28" i="68"/>
  <c r="E48" i="68"/>
  <c r="E30" i="68"/>
  <c r="E26" i="68"/>
  <c r="E62" i="68"/>
  <c r="E58" i="68"/>
  <c r="E39" i="68"/>
  <c r="P83" i="26"/>
  <c r="Q83" i="26" s="1"/>
  <c r="H26" i="30"/>
  <c r="N59" i="14"/>
  <c r="F94" i="14"/>
  <c r="J16" i="14"/>
  <c r="M16" i="14"/>
  <c r="J114" i="14"/>
  <c r="K114" i="14" s="1"/>
  <c r="J44" i="14"/>
  <c r="K44" i="14" s="1"/>
  <c r="L119" i="14"/>
  <c r="M26" i="14"/>
  <c r="S16" i="29"/>
  <c r="S18" i="29" s="1"/>
  <c r="AM70" i="68"/>
  <c r="AM41" i="68"/>
  <c r="AM11" i="68"/>
  <c r="AS11" i="68"/>
  <c r="AM7" i="68"/>
  <c r="AS7" i="68"/>
  <c r="M76" i="28"/>
  <c r="M84" i="28" s="1"/>
  <c r="AP76" i="9"/>
  <c r="AM59" i="68"/>
  <c r="AS59" i="68"/>
  <c r="AM51" i="68"/>
  <c r="AS51" i="68"/>
  <c r="AM29" i="68"/>
  <c r="AM17" i="68"/>
  <c r="M76" i="26"/>
  <c r="M84" i="26" s="1"/>
  <c r="AM72" i="68"/>
  <c r="AM68" i="68"/>
  <c r="AM35" i="68"/>
  <c r="AS35" i="68"/>
  <c r="AM9" i="68"/>
  <c r="O72" i="12"/>
  <c r="P72" i="12" s="1"/>
  <c r="R72" i="12" s="1"/>
  <c r="AB72" i="12" s="1"/>
  <c r="AM64" i="68"/>
  <c r="AM57" i="68"/>
  <c r="AM53" i="68"/>
  <c r="AM49" i="68"/>
  <c r="E64" i="68"/>
  <c r="E32" i="68"/>
  <c r="E16" i="68"/>
  <c r="E9" i="68"/>
  <c r="E69" i="68"/>
  <c r="E67" i="68"/>
  <c r="E53" i="68"/>
  <c r="E51" i="68"/>
  <c r="E37" i="68"/>
  <c r="E35" i="68"/>
  <c r="E21" i="68"/>
  <c r="E12" i="68"/>
  <c r="E10" i="68"/>
  <c r="E75" i="68"/>
  <c r="E72" i="68"/>
  <c r="E70" i="68"/>
  <c r="E66" i="68"/>
  <c r="E54" i="68"/>
  <c r="E50" i="68"/>
  <c r="E40" i="68"/>
  <c r="E38" i="68"/>
  <c r="E34" i="68"/>
  <c r="E22" i="68"/>
  <c r="AH14" i="30"/>
  <c r="G124" i="14"/>
  <c r="Q11" i="30"/>
  <c r="K10" i="17"/>
  <c r="G78" i="14"/>
  <c r="O78" i="14" s="1"/>
  <c r="K136" i="14"/>
  <c r="AT13" i="30"/>
  <c r="N8" i="17"/>
  <c r="N32" i="30"/>
  <c r="N15" i="30"/>
  <c r="N91" i="14"/>
  <c r="G91" i="14"/>
  <c r="G48" i="14"/>
  <c r="O48" i="14" s="1"/>
  <c r="M8" i="14"/>
  <c r="J8" i="14"/>
  <c r="N8" i="14" s="1"/>
  <c r="M12" i="14"/>
  <c r="J12" i="14"/>
  <c r="AH37" i="30"/>
  <c r="AH15" i="30"/>
  <c r="AW60" i="9"/>
  <c r="K40" i="30"/>
  <c r="F103" i="14"/>
  <c r="J36" i="14"/>
  <c r="K36" i="14" s="1"/>
  <c r="M7" i="14"/>
  <c r="F7" i="14"/>
  <c r="G7" i="14" s="1"/>
  <c r="F92" i="14"/>
  <c r="F108" i="14"/>
  <c r="K72" i="14"/>
  <c r="O72" i="14" s="1"/>
  <c r="AH18" i="30"/>
  <c r="H9" i="30"/>
  <c r="Q9" i="30"/>
  <c r="J137" i="14"/>
  <c r="M137" i="14"/>
  <c r="J18" i="14"/>
  <c r="N18" i="14" s="1"/>
  <c r="M18" i="14"/>
  <c r="K40" i="14"/>
  <c r="BC72" i="9"/>
  <c r="H8" i="30"/>
  <c r="H13" i="30"/>
  <c r="J88" i="14"/>
  <c r="K57" i="14"/>
  <c r="K79" i="14"/>
  <c r="AK76" i="68"/>
  <c r="AM15" i="68"/>
  <c r="AO9" i="68"/>
  <c r="E68" i="68"/>
  <c r="E60" i="68"/>
  <c r="E52" i="68"/>
  <c r="E44" i="68"/>
  <c r="E36" i="68"/>
  <c r="E28" i="68"/>
  <c r="AH10" i="30"/>
  <c r="AH23" i="30"/>
  <c r="AH33" i="30"/>
  <c r="AC26" i="30"/>
  <c r="AC23" i="30"/>
  <c r="AC24" i="30"/>
  <c r="AC12" i="30"/>
  <c r="AH17" i="30"/>
  <c r="AC31" i="30"/>
  <c r="AC10" i="17"/>
  <c r="AC16" i="30"/>
  <c r="AC12" i="17"/>
  <c r="AC29" i="30"/>
  <c r="AH31" i="30"/>
  <c r="AH38" i="30"/>
  <c r="AC35" i="30"/>
  <c r="AC11" i="30"/>
  <c r="AC13" i="30"/>
  <c r="AC36" i="30"/>
  <c r="AC15" i="30"/>
  <c r="AC17" i="30"/>
  <c r="AC18" i="30"/>
  <c r="AC27" i="30"/>
  <c r="AC34" i="30"/>
  <c r="AC13" i="17"/>
  <c r="AH12" i="17"/>
  <c r="AC30" i="30"/>
  <c r="AC38" i="30"/>
  <c r="AC9" i="17"/>
  <c r="AC21" i="30"/>
  <c r="AC11" i="17"/>
  <c r="AC28" i="30"/>
  <c r="AC8" i="30"/>
  <c r="AC7" i="17"/>
  <c r="AH10" i="17"/>
  <c r="AH22" i="30"/>
  <c r="AH26" i="30"/>
  <c r="AC14" i="30"/>
  <c r="AH7" i="17"/>
  <c r="AH13" i="17"/>
  <c r="AC32" i="30"/>
  <c r="AC20" i="30"/>
  <c r="AC33" i="30"/>
  <c r="AC25" i="30"/>
  <c r="AH35" i="30"/>
  <c r="AH8" i="17"/>
  <c r="AC10" i="30"/>
  <c r="AH8" i="30"/>
  <c r="AH30" i="30"/>
  <c r="AH13" i="30"/>
  <c r="AH25" i="30"/>
  <c r="AH19" i="30"/>
  <c r="AH21" i="30"/>
  <c r="G109" i="14"/>
  <c r="O109" i="14" s="1"/>
  <c r="H19" i="68"/>
  <c r="D19" i="67" s="1"/>
  <c r="AC19" i="68"/>
  <c r="G19" i="68"/>
  <c r="AB19" i="68"/>
  <c r="AD19" i="68"/>
  <c r="H23" i="68"/>
  <c r="D23" i="67" s="1"/>
  <c r="AB23" i="68"/>
  <c r="AC23" i="68"/>
  <c r="G23" i="68"/>
  <c r="AD23" i="68"/>
  <c r="Y23" i="12"/>
  <c r="H14" i="68"/>
  <c r="D14" i="67" s="1"/>
  <c r="AC14" i="68"/>
  <c r="G14" i="68"/>
  <c r="AB14" i="68"/>
  <c r="H65" i="68"/>
  <c r="D65" i="67" s="1"/>
  <c r="AB65" i="68"/>
  <c r="AC65" i="68"/>
  <c r="G65" i="68"/>
  <c r="Y63" i="12"/>
  <c r="AT63" i="68"/>
  <c r="H18" i="68"/>
  <c r="D18" i="67" s="1"/>
  <c r="AD18" i="68"/>
  <c r="G18" i="68"/>
  <c r="AB18" i="68"/>
  <c r="AC18" i="68"/>
  <c r="H17" i="68"/>
  <c r="D17" i="67" s="1"/>
  <c r="G17" i="68"/>
  <c r="AC22" i="30"/>
  <c r="AO60" i="68"/>
  <c r="G60" i="67" s="1"/>
  <c r="AN60" i="68"/>
  <c r="AP60" i="68"/>
  <c r="AQ60" i="68"/>
  <c r="H33" i="68"/>
  <c r="D33" i="67"/>
  <c r="G33" i="68"/>
  <c r="AC33" i="68"/>
  <c r="AB33" i="68"/>
  <c r="Q19" i="30"/>
  <c r="Q34" i="30"/>
  <c r="N64" i="14"/>
  <c r="O64" i="14"/>
  <c r="AO64" i="9" s="1"/>
  <c r="N31" i="30"/>
  <c r="AD24" i="68"/>
  <c r="H15" i="68"/>
  <c r="D15" i="67" s="1"/>
  <c r="AC15" i="68"/>
  <c r="G15" i="68"/>
  <c r="AB15" i="68"/>
  <c r="AD15" i="68"/>
  <c r="H61" i="68"/>
  <c r="D61" i="67" s="1"/>
  <c r="AC61" i="68"/>
  <c r="G61" i="68"/>
  <c r="AB61" i="68"/>
  <c r="AC37" i="30"/>
  <c r="N12" i="30"/>
  <c r="H11" i="68"/>
  <c r="D11" i="67" s="1"/>
  <c r="G11" i="68"/>
  <c r="AD11" i="68"/>
  <c r="AB11" i="68"/>
  <c r="AC11" i="68"/>
  <c r="H57" i="68"/>
  <c r="D57" i="67" s="1"/>
  <c r="G57" i="68"/>
  <c r="AC57" i="68"/>
  <c r="AB57" i="68"/>
  <c r="H71" i="68"/>
  <c r="D71" i="67" s="1"/>
  <c r="AB71" i="68"/>
  <c r="AC71" i="68"/>
  <c r="AD71" i="68"/>
  <c r="G71" i="68"/>
  <c r="T18" i="30"/>
  <c r="G13" i="68"/>
  <c r="H13" i="68"/>
  <c r="D13" i="67" s="1"/>
  <c r="AC13" i="68"/>
  <c r="AB13" i="68"/>
  <c r="AB59" i="68"/>
  <c r="G59" i="68"/>
  <c r="H59" i="68"/>
  <c r="D59" i="67"/>
  <c r="AD59" i="68"/>
  <c r="AC59" i="68"/>
  <c r="H74" i="68"/>
  <c r="D74" i="67" s="1"/>
  <c r="AC74" i="68"/>
  <c r="G74" i="68"/>
  <c r="AB74" i="68"/>
  <c r="H55" i="68"/>
  <c r="D55" i="67"/>
  <c r="AC55" i="68"/>
  <c r="AB55" i="68"/>
  <c r="AD55" i="68"/>
  <c r="G55" i="68"/>
  <c r="H63" i="68"/>
  <c r="D63" i="67" s="1"/>
  <c r="AB63" i="68"/>
  <c r="AC63" i="68"/>
  <c r="G63" i="68"/>
  <c r="AD63" i="68"/>
  <c r="H56" i="68"/>
  <c r="D56" i="67"/>
  <c r="AC56" i="68"/>
  <c r="G56" i="68"/>
  <c r="AB56" i="68"/>
  <c r="G83" i="14"/>
  <c r="E24" i="30"/>
  <c r="AC7" i="30"/>
  <c r="AC9" i="30"/>
  <c r="E7" i="30"/>
  <c r="AC19" i="30"/>
  <c r="Q29" i="30"/>
  <c r="E23" i="30"/>
  <c r="E8" i="30"/>
  <c r="E16" i="30"/>
  <c r="E30" i="30"/>
  <c r="E14" i="30"/>
  <c r="E20" i="30"/>
  <c r="E32" i="30"/>
  <c r="E25" i="30"/>
  <c r="AH20" i="30"/>
  <c r="E15" i="30"/>
  <c r="E26" i="30"/>
  <c r="H45" i="68"/>
  <c r="D45" i="67" s="1"/>
  <c r="G45" i="68"/>
  <c r="AD45" i="68"/>
  <c r="AC45" i="68"/>
  <c r="AB45" i="68"/>
  <c r="H73" i="68"/>
  <c r="D73" i="67" s="1"/>
  <c r="AC73" i="68"/>
  <c r="G73" i="68"/>
  <c r="AB73" i="68"/>
  <c r="AC8" i="17"/>
  <c r="AC42" i="68"/>
  <c r="AB42" i="68"/>
  <c r="AB10" i="30"/>
  <c r="H47" i="68"/>
  <c r="D47" i="67" s="1"/>
  <c r="AC47" i="68"/>
  <c r="AD47" i="68"/>
  <c r="AB47" i="68"/>
  <c r="G47" i="68"/>
  <c r="AB23" i="30"/>
  <c r="AB8" i="30"/>
  <c r="AB7" i="17"/>
  <c r="AB7" i="30"/>
  <c r="H46" i="68"/>
  <c r="D46" i="67" s="1"/>
  <c r="AC46" i="68"/>
  <c r="AB46" i="68"/>
  <c r="G46" i="68"/>
  <c r="H41" i="68"/>
  <c r="D41" i="67"/>
  <c r="AC41" i="68"/>
  <c r="AB41" i="68"/>
  <c r="G41" i="68"/>
  <c r="AD41" i="68"/>
  <c r="H49" i="68"/>
  <c r="D49" i="67" s="1"/>
  <c r="AB49" i="68"/>
  <c r="AC49" i="68"/>
  <c r="AD49" i="68"/>
  <c r="G49" i="68"/>
  <c r="AB13" i="30"/>
  <c r="AB12" i="30"/>
  <c r="AB9" i="30"/>
  <c r="AB19" i="30"/>
  <c r="AH29" i="30"/>
  <c r="AH9" i="30"/>
  <c r="AM76" i="68"/>
  <c r="AB11" i="17"/>
  <c r="H43" i="68"/>
  <c r="D43" i="67"/>
  <c r="G43" i="68"/>
  <c r="AB43" i="68"/>
  <c r="AC43" i="68"/>
  <c r="AD43" i="68"/>
  <c r="AB13" i="17"/>
  <c r="AB15" i="30"/>
  <c r="H20" i="68"/>
  <c r="D20" i="67"/>
  <c r="G20" i="68"/>
  <c r="AB20" i="68"/>
  <c r="AC20" i="68"/>
  <c r="AD20" i="68"/>
  <c r="AO25" i="68"/>
  <c r="G25" i="67"/>
  <c r="AQ25" i="68"/>
  <c r="AN25" i="68"/>
  <c r="AP25" i="68"/>
  <c r="N13" i="30"/>
  <c r="AB31" i="30"/>
  <c r="AO27" i="68"/>
  <c r="G27" i="67" s="1"/>
  <c r="AQ27" i="68"/>
  <c r="AP27" i="68"/>
  <c r="AN27" i="68"/>
  <c r="AB26" i="30"/>
  <c r="AB33" i="30"/>
  <c r="K10" i="14"/>
  <c r="AH9" i="17"/>
  <c r="AH11" i="30"/>
  <c r="H39" i="68"/>
  <c r="D39" i="67" s="1"/>
  <c r="AC39" i="68"/>
  <c r="AD39" i="68"/>
  <c r="AB39" i="68"/>
  <c r="G39" i="68"/>
  <c r="H26" i="68"/>
  <c r="D26" i="67" s="1"/>
  <c r="AD26" i="68"/>
  <c r="G26" i="68"/>
  <c r="AC26" i="68"/>
  <c r="AB26" i="68"/>
  <c r="H8" i="68"/>
  <c r="D8" i="67" s="1"/>
  <c r="AD8" i="68"/>
  <c r="AC8" i="68"/>
  <c r="G8" i="68"/>
  <c r="AB8" i="68"/>
  <c r="H31" i="68"/>
  <c r="D31" i="67" s="1"/>
  <c r="G31" i="68"/>
  <c r="AB31" i="68"/>
  <c r="AD31" i="68"/>
  <c r="AC31" i="68"/>
  <c r="AB16" i="30"/>
  <c r="AB32" i="30"/>
  <c r="H58" i="68"/>
  <c r="D58" i="67" s="1"/>
  <c r="G58" i="68"/>
  <c r="AB58" i="68"/>
  <c r="AD58" i="68"/>
  <c r="AC58" i="68"/>
  <c r="H30" i="68"/>
  <c r="D30" i="67" s="1"/>
  <c r="AD30" i="68"/>
  <c r="G30" i="68"/>
  <c r="AB30" i="68"/>
  <c r="AC30" i="68"/>
  <c r="H25" i="68"/>
  <c r="D25" i="67" s="1"/>
  <c r="AD25" i="68"/>
  <c r="AC25" i="68"/>
  <c r="G25" i="68"/>
  <c r="AB25" i="68"/>
  <c r="AO50" i="68"/>
  <c r="G50" i="67" s="1"/>
  <c r="AN50" i="68"/>
  <c r="AP50" i="68"/>
  <c r="AQ50" i="68"/>
  <c r="AB12" i="17"/>
  <c r="AB20" i="30"/>
  <c r="AB36" i="30"/>
  <c r="AB17" i="30"/>
  <c r="AB35" i="30"/>
  <c r="Y43" i="12"/>
  <c r="AT43" i="68"/>
  <c r="AB14" i="30"/>
  <c r="AB30" i="30"/>
  <c r="AB37" i="30"/>
  <c r="T30" i="30"/>
  <c r="T8" i="17"/>
  <c r="H62" i="68"/>
  <c r="D62" i="67" s="1"/>
  <c r="G62" i="68"/>
  <c r="AC62" i="68"/>
  <c r="AD62" i="68"/>
  <c r="AB62" i="68"/>
  <c r="H48" i="68"/>
  <c r="D48" i="67" s="1"/>
  <c r="AD48" i="68"/>
  <c r="G48" i="68"/>
  <c r="AC48" i="68"/>
  <c r="AB48" i="68"/>
  <c r="H7" i="68"/>
  <c r="D7" i="67" s="1"/>
  <c r="AD7" i="68"/>
  <c r="G7" i="68"/>
  <c r="AB7" i="68"/>
  <c r="AC7" i="68"/>
  <c r="H27" i="68"/>
  <c r="D27" i="67" s="1"/>
  <c r="G27" i="68"/>
  <c r="AC27" i="68"/>
  <c r="AD27" i="68"/>
  <c r="AB27" i="68"/>
  <c r="Y19" i="12"/>
  <c r="AB24" i="30"/>
  <c r="AB21" i="30"/>
  <c r="AO43" i="68"/>
  <c r="G43" i="67" s="1"/>
  <c r="AP43" i="68"/>
  <c r="AN43" i="68"/>
  <c r="AQ43" i="68"/>
  <c r="AB18" i="30"/>
  <c r="AB34" i="30"/>
  <c r="AB25" i="30"/>
  <c r="AB8" i="17"/>
  <c r="AO28" i="68"/>
  <c r="G28" i="67"/>
  <c r="AP28" i="68"/>
  <c r="AN28" i="68"/>
  <c r="AQ28" i="68"/>
  <c r="H29" i="68"/>
  <c r="D29" i="67" s="1"/>
  <c r="AC29" i="68"/>
  <c r="AB29" i="68"/>
  <c r="AD29" i="68"/>
  <c r="G29" i="68"/>
  <c r="AB10" i="17"/>
  <c r="AB28" i="30"/>
  <c r="AB27" i="30"/>
  <c r="Y27" i="12"/>
  <c r="AT27" i="68"/>
  <c r="AO66" i="68"/>
  <c r="G66" i="67" s="1"/>
  <c r="H66" i="67" s="1"/>
  <c r="AP66" i="68"/>
  <c r="AN66" i="68"/>
  <c r="AQ66" i="68"/>
  <c r="AB22" i="30"/>
  <c r="AB38" i="30"/>
  <c r="AB29" i="30"/>
  <c r="H40" i="68"/>
  <c r="D40" i="67" s="1"/>
  <c r="AD40" i="68"/>
  <c r="G40" i="68"/>
  <c r="AC40" i="68"/>
  <c r="AB40" i="68"/>
  <c r="H70" i="68"/>
  <c r="D70" i="67" s="1"/>
  <c r="AB70" i="68"/>
  <c r="AC70" i="68"/>
  <c r="AD70" i="68"/>
  <c r="G70" i="68"/>
  <c r="H10" i="68"/>
  <c r="D10" i="67" s="1"/>
  <c r="AD10" i="68"/>
  <c r="AB10" i="68"/>
  <c r="AC10" i="68"/>
  <c r="G10" i="68"/>
  <c r="H37" i="68"/>
  <c r="D37" i="67" s="1"/>
  <c r="G37" i="68"/>
  <c r="AB37" i="68"/>
  <c r="AC37" i="68"/>
  <c r="AD37" i="68"/>
  <c r="H69" i="68"/>
  <c r="D69" i="67" s="1"/>
  <c r="G69" i="68"/>
  <c r="AD69" i="68"/>
  <c r="AC69" i="68"/>
  <c r="AB69" i="68"/>
  <c r="H16" i="68"/>
  <c r="D16" i="67" s="1"/>
  <c r="AD16" i="68"/>
  <c r="AC16" i="68"/>
  <c r="G16" i="68"/>
  <c r="AB16" i="68"/>
  <c r="AO53" i="68"/>
  <c r="G53" i="67" s="1"/>
  <c r="AN53" i="68"/>
  <c r="AP53" i="68"/>
  <c r="AQ53" i="68"/>
  <c r="AP9" i="68"/>
  <c r="AN9" i="68"/>
  <c r="AQ9" i="68"/>
  <c r="AO59" i="68"/>
  <c r="G59" i="67" s="1"/>
  <c r="AN59" i="68"/>
  <c r="AP59" i="68"/>
  <c r="AQ59" i="68"/>
  <c r="Y11" i="12"/>
  <c r="N16" i="14"/>
  <c r="K16" i="14"/>
  <c r="O16" i="14"/>
  <c r="AO16" i="9" s="1"/>
  <c r="H22" i="68"/>
  <c r="D22" i="67" s="1"/>
  <c r="AC22" i="68"/>
  <c r="AB22" i="68"/>
  <c r="AD22" i="68"/>
  <c r="G22" i="68"/>
  <c r="H50" i="68"/>
  <c r="D50" i="67" s="1"/>
  <c r="AB50" i="68"/>
  <c r="AD50" i="68"/>
  <c r="G50" i="68"/>
  <c r="AC50" i="68"/>
  <c r="H72" i="68"/>
  <c r="D72" i="67" s="1"/>
  <c r="G72" i="68"/>
  <c r="AD72" i="68"/>
  <c r="AB72" i="68"/>
  <c r="AC72" i="68"/>
  <c r="H12" i="68"/>
  <c r="D12" i="67" s="1"/>
  <c r="AC12" i="68"/>
  <c r="AB12" i="68"/>
  <c r="G12" i="68"/>
  <c r="AD12" i="68"/>
  <c r="H51" i="68"/>
  <c r="D51" i="67" s="1"/>
  <c r="G51" i="68"/>
  <c r="AC51" i="68"/>
  <c r="AD51" i="68"/>
  <c r="AB51" i="68"/>
  <c r="H32" i="68"/>
  <c r="D32" i="67" s="1"/>
  <c r="AC32" i="68"/>
  <c r="AD32" i="68"/>
  <c r="G32" i="68"/>
  <c r="AB32" i="68"/>
  <c r="AO57" i="68"/>
  <c r="G57" i="67" s="1"/>
  <c r="H57" i="67" s="1"/>
  <c r="AP57" i="68"/>
  <c r="AN57" i="68"/>
  <c r="AQ57" i="68"/>
  <c r="AO68" i="68"/>
  <c r="G68" i="67" s="1"/>
  <c r="AN68" i="68"/>
  <c r="AQ68" i="68"/>
  <c r="AP68" i="68"/>
  <c r="Y51" i="12"/>
  <c r="AT51" i="68"/>
  <c r="AO11" i="68"/>
  <c r="G11" i="67"/>
  <c r="AN11" i="68"/>
  <c r="AQ11" i="68"/>
  <c r="AP11" i="68"/>
  <c r="AO70" i="68"/>
  <c r="G70" i="67" s="1"/>
  <c r="AP70" i="68"/>
  <c r="AQ70" i="68"/>
  <c r="AN70" i="68"/>
  <c r="H34" i="68"/>
  <c r="D34" i="67" s="1"/>
  <c r="G34" i="68"/>
  <c r="AB34" i="68"/>
  <c r="AC34" i="68"/>
  <c r="AD34" i="68"/>
  <c r="H54" i="68"/>
  <c r="D54" i="67" s="1"/>
  <c r="AD54" i="68"/>
  <c r="AB54" i="68"/>
  <c r="G54" i="68"/>
  <c r="AC54" i="68"/>
  <c r="H75" i="68"/>
  <c r="D75" i="67" s="1"/>
  <c r="AC75" i="68"/>
  <c r="G75" i="68"/>
  <c r="AB75" i="68"/>
  <c r="AD75" i="68"/>
  <c r="H21" i="68"/>
  <c r="D21" i="67" s="1"/>
  <c r="G21" i="68"/>
  <c r="AB21" i="68"/>
  <c r="AD21" i="68"/>
  <c r="AC21" i="68"/>
  <c r="H53" i="68"/>
  <c r="D53" i="67" s="1"/>
  <c r="G53" i="68"/>
  <c r="AB53" i="68"/>
  <c r="AC53" i="68"/>
  <c r="AD53" i="68"/>
  <c r="H64" i="68"/>
  <c r="D64" i="67" s="1"/>
  <c r="AC64" i="68"/>
  <c r="AB64" i="68"/>
  <c r="G64" i="68"/>
  <c r="AD64" i="68"/>
  <c r="AO49" i="68"/>
  <c r="G49" i="67" s="1"/>
  <c r="AN49" i="68"/>
  <c r="AQ49" i="68"/>
  <c r="AP49" i="68"/>
  <c r="Y35" i="12"/>
  <c r="AO17" i="68"/>
  <c r="G17" i="67" s="1"/>
  <c r="AQ17" i="68"/>
  <c r="AN17" i="68"/>
  <c r="AP17" i="68"/>
  <c r="AO51" i="68"/>
  <c r="G51" i="67"/>
  <c r="AP51" i="68"/>
  <c r="AQ51" i="68"/>
  <c r="AN51" i="68"/>
  <c r="Y7" i="12"/>
  <c r="AT7" i="68"/>
  <c r="N94" i="14"/>
  <c r="G94" i="14"/>
  <c r="H38" i="68"/>
  <c r="D38" i="67" s="1"/>
  <c r="G38" i="68"/>
  <c r="AC38" i="68"/>
  <c r="AB38" i="68"/>
  <c r="AD38" i="68"/>
  <c r="H66" i="68"/>
  <c r="D66" i="67" s="1"/>
  <c r="AB66" i="68"/>
  <c r="G66" i="68"/>
  <c r="AD66" i="68"/>
  <c r="AC66" i="68"/>
  <c r="H35" i="68"/>
  <c r="D35" i="67" s="1"/>
  <c r="AC35" i="68"/>
  <c r="AB35" i="68"/>
  <c r="AD35" i="68"/>
  <c r="G35" i="68"/>
  <c r="H67" i="68"/>
  <c r="D67" i="67" s="1"/>
  <c r="G67" i="68"/>
  <c r="AB67" i="68"/>
  <c r="AC67" i="68"/>
  <c r="AD67" i="68"/>
  <c r="H9" i="68"/>
  <c r="D9" i="67" s="1"/>
  <c r="AB9" i="68"/>
  <c r="G9" i="68"/>
  <c r="AC9" i="68"/>
  <c r="AD9" i="68"/>
  <c r="AO64" i="68"/>
  <c r="G64" i="67" s="1"/>
  <c r="AN64" i="68"/>
  <c r="AQ64" i="68"/>
  <c r="AP64" i="68"/>
  <c r="O42" i="15"/>
  <c r="N76" i="15"/>
  <c r="AO35" i="68"/>
  <c r="G35" i="67" s="1"/>
  <c r="AP35" i="68"/>
  <c r="AQ35" i="68"/>
  <c r="AN35" i="68"/>
  <c r="AO72" i="68"/>
  <c r="G72" i="67"/>
  <c r="AN72" i="68"/>
  <c r="AQ72" i="68"/>
  <c r="AP72" i="68"/>
  <c r="AO29" i="68"/>
  <c r="G29" i="67" s="1"/>
  <c r="AN29" i="68"/>
  <c r="AQ29" i="68"/>
  <c r="AP29" i="68"/>
  <c r="Y59" i="12"/>
  <c r="AO7" i="68"/>
  <c r="G7" i="67" s="1"/>
  <c r="AP7" i="68"/>
  <c r="AN7" i="68"/>
  <c r="AQ7" i="68"/>
  <c r="AO41" i="68"/>
  <c r="G41" i="67" s="1"/>
  <c r="AP41" i="68"/>
  <c r="AN41" i="68"/>
  <c r="AQ41" i="68"/>
  <c r="AN76" i="68"/>
  <c r="AQ76" i="68"/>
  <c r="AP76" i="68"/>
  <c r="H60" i="68"/>
  <c r="D60" i="67" s="1"/>
  <c r="G60" i="68"/>
  <c r="AD60" i="68"/>
  <c r="AB60" i="68"/>
  <c r="AC60" i="68"/>
  <c r="H7" i="30"/>
  <c r="K137" i="14"/>
  <c r="H29" i="30"/>
  <c r="H36" i="68"/>
  <c r="D36" i="67" s="1"/>
  <c r="AC36" i="68"/>
  <c r="G36" i="68"/>
  <c r="AD36" i="68"/>
  <c r="AB36" i="68"/>
  <c r="H68" i="68"/>
  <c r="D68" i="67" s="1"/>
  <c r="AB68" i="68"/>
  <c r="G68" i="68"/>
  <c r="AC68" i="68"/>
  <c r="AD68" i="68"/>
  <c r="H17" i="30"/>
  <c r="K12" i="14"/>
  <c r="O12" i="14"/>
  <c r="N12" i="14"/>
  <c r="T11" i="30"/>
  <c r="AH27" i="30"/>
  <c r="H44" i="68"/>
  <c r="D44" i="67" s="1"/>
  <c r="AB44" i="68"/>
  <c r="AD44" i="68"/>
  <c r="G44" i="68"/>
  <c r="AC44" i="68"/>
  <c r="E42" i="15"/>
  <c r="D76" i="15"/>
  <c r="T14" i="30"/>
  <c r="AG76" i="68"/>
  <c r="H15" i="30"/>
  <c r="AH36" i="30"/>
  <c r="H52" i="68"/>
  <c r="D52" i="67"/>
  <c r="AC52" i="68"/>
  <c r="AB52" i="68"/>
  <c r="G52" i="68"/>
  <c r="AD52" i="68"/>
  <c r="G9" i="67"/>
  <c r="AO15" i="68"/>
  <c r="G15" i="67" s="1"/>
  <c r="AP15" i="68"/>
  <c r="AN15" i="68"/>
  <c r="AQ15" i="68"/>
  <c r="N88" i="14"/>
  <c r="K18" i="14"/>
  <c r="O18" i="14"/>
  <c r="G103" i="14"/>
  <c r="H14" i="30"/>
  <c r="H27" i="30"/>
  <c r="E76" i="68"/>
  <c r="H28" i="68"/>
  <c r="AC28" i="68"/>
  <c r="G28" i="68"/>
  <c r="AD28" i="68"/>
  <c r="AB28" i="68"/>
  <c r="K88" i="14"/>
  <c r="T28" i="30"/>
  <c r="T13" i="30"/>
  <c r="H16" i="30"/>
  <c r="AH32" i="30"/>
  <c r="AH16" i="30"/>
  <c r="AH24" i="30"/>
  <c r="AH28" i="30"/>
  <c r="AH12" i="30"/>
  <c r="T11" i="17"/>
  <c r="T22" i="30"/>
  <c r="T33" i="30"/>
  <c r="T24" i="30"/>
  <c r="T15" i="30"/>
  <c r="T25" i="30"/>
  <c r="T29" i="30"/>
  <c r="T27" i="30"/>
  <c r="T34" i="30"/>
  <c r="T31" i="30"/>
  <c r="T20" i="30"/>
  <c r="AH11" i="17"/>
  <c r="T10" i="17"/>
  <c r="AH7" i="30"/>
  <c r="T26" i="30"/>
  <c r="T12" i="17"/>
  <c r="O7" i="14"/>
  <c r="T23" i="30"/>
  <c r="D28" i="67"/>
  <c r="AO18" i="9"/>
  <c r="H3" i="67"/>
  <c r="H42" i="67" s="1"/>
  <c r="H77" i="67"/>
  <c r="AO12" i="9"/>
  <c r="AB76" i="68"/>
  <c r="G76" i="68"/>
  <c r="T9" i="30"/>
  <c r="T35" i="30"/>
  <c r="T38" i="30"/>
  <c r="T12" i="30"/>
  <c r="T10" i="30"/>
  <c r="T21" i="30"/>
  <c r="T9" i="17"/>
  <c r="T7" i="17"/>
  <c r="T13" i="17"/>
  <c r="T8" i="30"/>
  <c r="T7" i="30"/>
  <c r="T17" i="30"/>
  <c r="T37" i="30"/>
  <c r="H36" i="67"/>
  <c r="H22" i="67"/>
  <c r="H20" i="67"/>
  <c r="T32" i="30"/>
  <c r="D9" i="29" l="1"/>
  <c r="H7" i="29"/>
  <c r="H9" i="29" s="1"/>
  <c r="D11" i="29"/>
  <c r="H11" i="29" s="1"/>
  <c r="H12" i="29"/>
  <c r="H16" i="13"/>
  <c r="I16" i="13" s="1"/>
  <c r="M16" i="25"/>
  <c r="N16" i="25" s="1"/>
  <c r="F16" i="13"/>
  <c r="BI19" i="69"/>
  <c r="C19" i="12"/>
  <c r="L19" i="12" s="1"/>
  <c r="M19" i="12" s="1"/>
  <c r="N19" i="12" s="1"/>
  <c r="E40" i="30"/>
  <c r="M24" i="25"/>
  <c r="N24" i="25" s="1"/>
  <c r="M15" i="25"/>
  <c r="N15" i="25" s="1"/>
  <c r="H15" i="13"/>
  <c r="I15" i="13" s="1"/>
  <c r="D15" i="13"/>
  <c r="F15" i="13"/>
  <c r="BI55" i="69"/>
  <c r="H30" i="13"/>
  <c r="I30" i="13" s="1"/>
  <c r="D30" i="13"/>
  <c r="L30" i="12"/>
  <c r="M30" i="12" s="1"/>
  <c r="N30" i="12" s="1"/>
  <c r="L53" i="12"/>
  <c r="M53" i="12" s="1"/>
  <c r="N53" i="12" s="1"/>
  <c r="D53" i="13"/>
  <c r="M53" i="25"/>
  <c r="N53" i="25" s="1"/>
  <c r="H25" i="13"/>
  <c r="I25" i="13" s="1"/>
  <c r="L25" i="12"/>
  <c r="M25" i="12" s="1"/>
  <c r="N25" i="12" s="1"/>
  <c r="M25" i="25"/>
  <c r="N25" i="25" s="1"/>
  <c r="F11" i="13"/>
  <c r="L11" i="12"/>
  <c r="M11" i="12" s="1"/>
  <c r="N11" i="12" s="1"/>
  <c r="M11" i="25"/>
  <c r="N11" i="25" s="1"/>
  <c r="M8" i="25"/>
  <c r="N8" i="25" s="1"/>
  <c r="H8" i="13"/>
  <c r="I8" i="13" s="1"/>
  <c r="L8" i="12"/>
  <c r="M8" i="12" s="1"/>
  <c r="N8" i="12" s="1"/>
  <c r="D8" i="13"/>
  <c r="M64" i="25"/>
  <c r="N64" i="25" s="1"/>
  <c r="F64" i="13"/>
  <c r="D64" i="13"/>
  <c r="H64" i="13"/>
  <c r="I64" i="13" s="1"/>
  <c r="L64" i="12"/>
  <c r="M64" i="12" s="1"/>
  <c r="N64" i="12" s="1"/>
  <c r="F70" i="13"/>
  <c r="H70" i="13"/>
  <c r="I70" i="13" s="1"/>
  <c r="M70" i="25"/>
  <c r="N70" i="25" s="1"/>
  <c r="L55" i="12"/>
  <c r="M55" i="12" s="1"/>
  <c r="N55" i="12" s="1"/>
  <c r="D55" i="13"/>
  <c r="H55" i="13"/>
  <c r="I55" i="13" s="1"/>
  <c r="C18" i="12"/>
  <c r="BI18" i="69"/>
  <c r="AT23" i="68"/>
  <c r="N9" i="12"/>
  <c r="F48" i="13"/>
  <c r="L48" i="12"/>
  <c r="M48" i="12" s="1"/>
  <c r="N48" i="12" s="1"/>
  <c r="F41" i="13"/>
  <c r="F46" i="13"/>
  <c r="H12" i="13"/>
  <c r="I12" i="13" s="1"/>
  <c r="M9" i="25"/>
  <c r="N9" i="25" s="1"/>
  <c r="F9" i="13"/>
  <c r="F36" i="13"/>
  <c r="H11" i="13"/>
  <c r="H23" i="13"/>
  <c r="I23" i="13" s="1"/>
  <c r="D33" i="13"/>
  <c r="H24" i="13"/>
  <c r="I24" i="13" s="1"/>
  <c r="F65" i="13"/>
  <c r="D70" i="13"/>
  <c r="M71" i="25"/>
  <c r="N71" i="25" s="1"/>
  <c r="M30" i="25"/>
  <c r="N30" i="25" s="1"/>
  <c r="C49" i="12"/>
  <c r="C13" i="12"/>
  <c r="G38" i="28"/>
  <c r="D71" i="13"/>
  <c r="L71" i="12"/>
  <c r="M71" i="12" s="1"/>
  <c r="N71" i="12" s="1"/>
  <c r="C59" i="12"/>
  <c r="BI59" i="69"/>
  <c r="C60" i="12"/>
  <c r="BI60" i="69"/>
  <c r="L56" i="12"/>
  <c r="M56" i="12" s="1"/>
  <c r="H46" i="13"/>
  <c r="I46" i="13" s="1"/>
  <c r="M12" i="25"/>
  <c r="N12" i="25" s="1"/>
  <c r="F40" i="13"/>
  <c r="M23" i="25"/>
  <c r="N23" i="25" s="1"/>
  <c r="L65" i="12"/>
  <c r="M65" i="12" s="1"/>
  <c r="N65" i="12" s="1"/>
  <c r="BI65" i="69"/>
  <c r="F75" i="13"/>
  <c r="D75" i="13"/>
  <c r="M75" i="25"/>
  <c r="N75" i="25" s="1"/>
  <c r="L75" i="12"/>
  <c r="M75" i="12" s="1"/>
  <c r="N75" i="12" s="1"/>
  <c r="AT11" i="68"/>
  <c r="AT71" i="68"/>
  <c r="M48" i="25"/>
  <c r="N48" i="25" s="1"/>
  <c r="M41" i="25"/>
  <c r="N41" i="25" s="1"/>
  <c r="M46" i="25"/>
  <c r="N46" i="25" s="1"/>
  <c r="D12" i="13"/>
  <c r="M40" i="25"/>
  <c r="N40" i="25" s="1"/>
  <c r="D11" i="13"/>
  <c r="H65" i="13"/>
  <c r="I65" i="13" s="1"/>
  <c r="H33" i="13"/>
  <c r="I33" i="13" s="1"/>
  <c r="D24" i="13"/>
  <c r="M65" i="25"/>
  <c r="N65" i="25" s="1"/>
  <c r="H53" i="13"/>
  <c r="I53" i="13" s="1"/>
  <c r="F71" i="13"/>
  <c r="L24" i="12"/>
  <c r="M24" i="12" s="1"/>
  <c r="N24" i="12" s="1"/>
  <c r="BI25" i="69"/>
  <c r="M55" i="25"/>
  <c r="N55" i="25" s="1"/>
  <c r="H75" i="13"/>
  <c r="I75" i="13" s="1"/>
  <c r="H27" i="13"/>
  <c r="I27" i="13" s="1"/>
  <c r="L27" i="12"/>
  <c r="M27" i="12" s="1"/>
  <c r="N27" i="12" s="1"/>
  <c r="F27" i="13"/>
  <c r="BI70" i="69"/>
  <c r="BI14" i="69"/>
  <c r="BI76" i="69" s="1"/>
  <c r="C14" i="12"/>
  <c r="D43" i="13"/>
  <c r="L43" i="12"/>
  <c r="M43" i="12" s="1"/>
  <c r="N43" i="12" s="1"/>
  <c r="L42" i="12"/>
  <c r="M42" i="12" s="1"/>
  <c r="N42" i="12" s="1"/>
  <c r="M39" i="25"/>
  <c r="N39" i="25" s="1"/>
  <c r="F39" i="13"/>
  <c r="C35" i="12"/>
  <c r="H50" i="13"/>
  <c r="I50" i="13" s="1"/>
  <c r="G8" i="26"/>
  <c r="G12" i="26"/>
  <c r="G16" i="26"/>
  <c r="G20" i="26"/>
  <c r="G24" i="26"/>
  <c r="G56" i="26"/>
  <c r="G26" i="28"/>
  <c r="G62" i="28"/>
  <c r="C76" i="28"/>
  <c r="C84" i="28" s="1"/>
  <c r="C76" i="26"/>
  <c r="C84" i="26" s="1"/>
  <c r="C76" i="27"/>
  <c r="C84" i="27" s="1"/>
  <c r="M43" i="25"/>
  <c r="N43" i="25" s="1"/>
  <c r="L50" i="12"/>
  <c r="M50" i="12" s="1"/>
  <c r="N50" i="12" s="1"/>
  <c r="G63" i="28"/>
  <c r="G30" i="27"/>
  <c r="G34" i="27"/>
  <c r="G38" i="27"/>
  <c r="G74" i="27"/>
  <c r="H14" i="67"/>
  <c r="H37" i="67"/>
  <c r="AC76" i="68"/>
  <c r="H9" i="67"/>
  <c r="H64" i="67"/>
  <c r="C74" i="67"/>
  <c r="AD74" i="68"/>
  <c r="C72" i="67"/>
  <c r="AS72" i="68"/>
  <c r="C70" i="67"/>
  <c r="AS70" i="68"/>
  <c r="C68" i="67"/>
  <c r="AS68" i="68"/>
  <c r="C66" i="67"/>
  <c r="AS66" i="68"/>
  <c r="C64" i="67"/>
  <c r="AS64" i="68"/>
  <c r="C62" i="67"/>
  <c r="AS62" i="68"/>
  <c r="Y62" i="12" s="1"/>
  <c r="C60" i="67"/>
  <c r="AS60" i="68"/>
  <c r="C58" i="67"/>
  <c r="AS58" i="68"/>
  <c r="AD56" i="68"/>
  <c r="AS56" i="68"/>
  <c r="Y56" i="12" s="1"/>
  <c r="C56" i="67"/>
  <c r="C52" i="67"/>
  <c r="AS52" i="68"/>
  <c r="AS50" i="68"/>
  <c r="C50" i="67"/>
  <c r="C48" i="67"/>
  <c r="AS48" i="68"/>
  <c r="AS46" i="68"/>
  <c r="AD46" i="68"/>
  <c r="C46" i="67"/>
  <c r="C44" i="67"/>
  <c r="AS44" i="68"/>
  <c r="AS42" i="68"/>
  <c r="C42" i="67"/>
  <c r="AS40" i="68"/>
  <c r="C40" i="67"/>
  <c r="C38" i="67"/>
  <c r="AS38" i="68"/>
  <c r="C36" i="67"/>
  <c r="AS36" i="68"/>
  <c r="AS34" i="68"/>
  <c r="C34" i="67"/>
  <c r="AS32" i="68"/>
  <c r="C32" i="67"/>
  <c r="C30" i="67"/>
  <c r="AS30" i="68"/>
  <c r="AS28" i="68"/>
  <c r="C28" i="67"/>
  <c r="AS26" i="68"/>
  <c r="C26" i="67"/>
  <c r="C24" i="67"/>
  <c r="AS24" i="68"/>
  <c r="C22" i="67"/>
  <c r="AS22" i="68"/>
  <c r="C20" i="67"/>
  <c r="AS20" i="68"/>
  <c r="AS18" i="68"/>
  <c r="C18" i="67"/>
  <c r="C16" i="67"/>
  <c r="AS16" i="68"/>
  <c r="Y16" i="12" s="1"/>
  <c r="AS14" i="68"/>
  <c r="C14" i="67"/>
  <c r="AD14" i="68"/>
  <c r="AS12" i="68"/>
  <c r="C12" i="67"/>
  <c r="AS10" i="68"/>
  <c r="C10" i="67"/>
  <c r="AF76" i="68"/>
  <c r="C8" i="67"/>
  <c r="AS8" i="68"/>
  <c r="H73" i="67"/>
  <c r="AO48" i="68"/>
  <c r="G48" i="67" s="1"/>
  <c r="AP48" i="68"/>
  <c r="AQ48" i="68"/>
  <c r="AN48" i="68"/>
  <c r="AO33" i="68"/>
  <c r="G33" i="67" s="1"/>
  <c r="H33" i="67" s="1"/>
  <c r="AQ33" i="68"/>
  <c r="AP33" i="68"/>
  <c r="AN33" i="68"/>
  <c r="C73" i="67"/>
  <c r="AS73" i="68"/>
  <c r="AD73" i="68"/>
  <c r="AS69" i="68"/>
  <c r="C69" i="67"/>
  <c r="AD65" i="68"/>
  <c r="C65" i="67"/>
  <c r="AD61" i="68"/>
  <c r="C61" i="67"/>
  <c r="AS61" i="68"/>
  <c r="AS57" i="68"/>
  <c r="AD57" i="68"/>
  <c r="C57" i="67"/>
  <c r="C53" i="67"/>
  <c r="AS53" i="68"/>
  <c r="C49" i="67"/>
  <c r="AS49" i="68"/>
  <c r="C45" i="67"/>
  <c r="AS45" i="68"/>
  <c r="AS41" i="68"/>
  <c r="C41" i="67"/>
  <c r="C37" i="67"/>
  <c r="AS37" i="68"/>
  <c r="AS33" i="68"/>
  <c r="C33" i="67"/>
  <c r="AD33" i="68"/>
  <c r="C29" i="67"/>
  <c r="AS29" i="68"/>
  <c r="AS25" i="68"/>
  <c r="C25" i="67"/>
  <c r="C21" i="67"/>
  <c r="AS21" i="68"/>
  <c r="C17" i="67"/>
  <c r="AD17" i="68"/>
  <c r="AS17" i="68"/>
  <c r="C13" i="67"/>
  <c r="AD13" i="68"/>
  <c r="AS13" i="68"/>
  <c r="C9" i="67"/>
  <c r="AS9" i="68"/>
  <c r="AO71" i="68"/>
  <c r="G71" i="67" s="1"/>
  <c r="H71" i="67" s="1"/>
  <c r="AP71" i="68"/>
  <c r="AQ71" i="68"/>
  <c r="AN71" i="68"/>
  <c r="AO67" i="68"/>
  <c r="G67" i="67" s="1"/>
  <c r="AQ67" i="68"/>
  <c r="AN67" i="68"/>
  <c r="AP67" i="68"/>
  <c r="AO39" i="68"/>
  <c r="G39" i="67" s="1"/>
  <c r="H39" i="67" s="1"/>
  <c r="AN39" i="68"/>
  <c r="AQ39" i="68"/>
  <c r="AP39" i="68"/>
  <c r="H24" i="67"/>
  <c r="H32" i="67"/>
  <c r="H18" i="67"/>
  <c r="H34" i="67"/>
  <c r="H63" i="67"/>
  <c r="H61" i="67"/>
  <c r="H58" i="67"/>
  <c r="H55" i="67"/>
  <c r="H21" i="67"/>
  <c r="H19" i="67"/>
  <c r="H16" i="67"/>
  <c r="H13" i="67"/>
  <c r="H24" i="68"/>
  <c r="D24" i="67" s="1"/>
  <c r="AC17" i="68"/>
  <c r="AT31" i="68"/>
  <c r="AT62" i="68"/>
  <c r="F67" i="67"/>
  <c r="AC24" i="68"/>
  <c r="F48" i="67"/>
  <c r="AS15" i="68"/>
  <c r="G24" i="68"/>
  <c r="F31" i="67"/>
  <c r="F55" i="67"/>
  <c r="H26" i="67"/>
  <c r="H31" i="67"/>
  <c r="H72" i="67"/>
  <c r="H11" i="67"/>
  <c r="H30" i="67"/>
  <c r="H38" i="67"/>
  <c r="H49" i="67"/>
  <c r="H75" i="67"/>
  <c r="H51" i="67"/>
  <c r="H46" i="67"/>
  <c r="H48" i="67"/>
  <c r="H25" i="67"/>
  <c r="I76" i="67"/>
  <c r="H69" i="67"/>
  <c r="H65" i="67"/>
  <c r="H45" i="67"/>
  <c r="H67" i="67"/>
  <c r="H47" i="67"/>
  <c r="H12" i="67"/>
  <c r="C76" i="67"/>
  <c r="H62" i="67"/>
  <c r="H23" i="67"/>
  <c r="H40" i="67"/>
  <c r="H60" i="67"/>
  <c r="H7" i="67"/>
  <c r="H52" i="67"/>
  <c r="H53" i="67"/>
  <c r="H28" i="67"/>
  <c r="H50" i="67"/>
  <c r="H44" i="67"/>
  <c r="H15" i="67"/>
  <c r="H29" i="67"/>
  <c r="H70" i="67"/>
  <c r="H27" i="67"/>
  <c r="F76" i="67"/>
  <c r="H41" i="67"/>
  <c r="H35" i="67"/>
  <c r="H17" i="67"/>
  <c r="H68" i="67"/>
  <c r="H59" i="67"/>
  <c r="H43" i="67"/>
  <c r="G9" i="28"/>
  <c r="G7" i="26"/>
  <c r="G8" i="27"/>
  <c r="G76" i="27" s="1"/>
  <c r="G84" i="27" s="1"/>
  <c r="J73" i="15"/>
  <c r="BC73" i="9" s="1"/>
  <c r="J57" i="15"/>
  <c r="BC57" i="9" s="1"/>
  <c r="J22" i="15"/>
  <c r="BC22" i="9" s="1"/>
  <c r="J14" i="15"/>
  <c r="BC14" i="9" s="1"/>
  <c r="D140" i="15"/>
  <c r="J81" i="15"/>
  <c r="J27" i="15"/>
  <c r="BC27" i="9" s="1"/>
  <c r="BE76" i="9"/>
  <c r="P83" i="27"/>
  <c r="Q83" i="27" s="1"/>
  <c r="J66" i="15"/>
  <c r="BC66" i="9" s="1"/>
  <c r="J50" i="15"/>
  <c r="BC50" i="9" s="1"/>
  <c r="J33" i="15"/>
  <c r="BC33" i="9" s="1"/>
  <c r="J111" i="15"/>
  <c r="J54" i="15"/>
  <c r="BC54" i="9" s="1"/>
  <c r="J29" i="15"/>
  <c r="BC29" i="9" s="1"/>
  <c r="J83" i="15"/>
  <c r="G127" i="15"/>
  <c r="J51" i="15"/>
  <c r="BC51" i="9" s="1"/>
  <c r="J75" i="15"/>
  <c r="BC75" i="9" s="1"/>
  <c r="J92" i="15"/>
  <c r="J126" i="15"/>
  <c r="Q42" i="15"/>
  <c r="J39" i="15"/>
  <c r="BC39" i="9" s="1"/>
  <c r="J31" i="15"/>
  <c r="BC31" i="9" s="1"/>
  <c r="J122" i="15"/>
  <c r="J134" i="15"/>
  <c r="AA14" i="29" s="1"/>
  <c r="J69" i="15"/>
  <c r="BC69" i="9" s="1"/>
  <c r="J104" i="15"/>
  <c r="J28" i="15"/>
  <c r="BC28" i="9" s="1"/>
  <c r="J118" i="15"/>
  <c r="J90" i="15"/>
  <c r="I93" i="15"/>
  <c r="J97" i="15"/>
  <c r="G76" i="15"/>
  <c r="P9" i="16"/>
  <c r="E84" i="15"/>
  <c r="J131" i="15"/>
  <c r="H140" i="15"/>
  <c r="J62" i="15"/>
  <c r="BC62" i="9" s="1"/>
  <c r="J37" i="15"/>
  <c r="BC37" i="9" s="1"/>
  <c r="J21" i="15"/>
  <c r="BC21" i="9" s="1"/>
  <c r="J13" i="15"/>
  <c r="BC13" i="9" s="1"/>
  <c r="J78" i="15"/>
  <c r="V7" i="16" s="1"/>
  <c r="J96" i="15"/>
  <c r="I136" i="15"/>
  <c r="J123" i="15"/>
  <c r="J58" i="15"/>
  <c r="BC58" i="9" s="1"/>
  <c r="J36" i="15"/>
  <c r="BC36" i="9" s="1"/>
  <c r="J20" i="15"/>
  <c r="BC20" i="9" s="1"/>
  <c r="J115" i="15"/>
  <c r="J132" i="15"/>
  <c r="AA12" i="29" s="1"/>
  <c r="J65" i="15"/>
  <c r="BC65" i="9" s="1"/>
  <c r="J49" i="15"/>
  <c r="BC49" i="9" s="1"/>
  <c r="J32" i="15"/>
  <c r="BC32" i="9" s="1"/>
  <c r="P83" i="28"/>
  <c r="Q83" i="28" s="1"/>
  <c r="Q93" i="15"/>
  <c r="Q127" i="15"/>
  <c r="J25" i="15"/>
  <c r="BC25" i="9" s="1"/>
  <c r="E76" i="15"/>
  <c r="Q84" i="15"/>
  <c r="K140" i="15"/>
  <c r="P79" i="28"/>
  <c r="Q79" i="28" s="1"/>
  <c r="I84" i="15"/>
  <c r="J89" i="15"/>
  <c r="J120" i="15"/>
  <c r="I127" i="15"/>
  <c r="J74" i="15"/>
  <c r="BC74" i="9" s="1"/>
  <c r="J53" i="15"/>
  <c r="BC53" i="9" s="1"/>
  <c r="J70" i="15"/>
  <c r="BC70" i="9" s="1"/>
  <c r="J110" i="15"/>
  <c r="N140" i="15"/>
  <c r="O93" i="15"/>
  <c r="S140" i="15"/>
  <c r="O127" i="15"/>
  <c r="I83" i="25"/>
  <c r="J83" i="25" s="1"/>
  <c r="E93" i="15"/>
  <c r="G93" i="15"/>
  <c r="J35" i="15"/>
  <c r="BC35" i="9" s="1"/>
  <c r="J23" i="15"/>
  <c r="BC23" i="9" s="1"/>
  <c r="J112" i="15"/>
  <c r="J129" i="15"/>
  <c r="AA7" i="29" s="1"/>
  <c r="J103" i="15"/>
  <c r="O136" i="15"/>
  <c r="O84" i="15"/>
  <c r="E127" i="15"/>
  <c r="F140" i="15"/>
  <c r="J38" i="15"/>
  <c r="BC38" i="9" s="1"/>
  <c r="E136" i="15"/>
  <c r="J41" i="15"/>
  <c r="BC41" i="9" s="1"/>
  <c r="J18" i="15"/>
  <c r="BC18" i="9" s="1"/>
  <c r="J130" i="15"/>
  <c r="AA8" i="29" s="1"/>
  <c r="J117" i="15"/>
  <c r="AC9" i="29"/>
  <c r="V9" i="29"/>
  <c r="L4" i="15"/>
  <c r="M4" i="15" s="1"/>
  <c r="N4" i="15" s="1"/>
  <c r="O4" i="15" s="1"/>
  <c r="P4" i="15" s="1"/>
  <c r="Q4" i="15" s="1"/>
  <c r="R4" i="15" s="1"/>
  <c r="AA11" i="29"/>
  <c r="J30" i="15"/>
  <c r="BC30" i="9" s="1"/>
  <c r="J119" i="15"/>
  <c r="J8" i="15"/>
  <c r="BC8" i="9" s="1"/>
  <c r="J19" i="15"/>
  <c r="BC19" i="9" s="1"/>
  <c r="J59" i="15"/>
  <c r="BC59" i="9" s="1"/>
  <c r="J67" i="15"/>
  <c r="BC67" i="9" s="1"/>
  <c r="J88" i="15"/>
  <c r="J102" i="15"/>
  <c r="J109" i="15"/>
  <c r="J12" i="15"/>
  <c r="BC12" i="9" s="1"/>
  <c r="G84" i="15"/>
  <c r="G136" i="15"/>
  <c r="P140" i="15"/>
  <c r="J46" i="15"/>
  <c r="BC46" i="9" s="1"/>
  <c r="J17" i="15"/>
  <c r="BC17" i="9" s="1"/>
  <c r="J11" i="15"/>
  <c r="BC11" i="9" s="1"/>
  <c r="J80" i="15"/>
  <c r="J87" i="15"/>
  <c r="J15" i="15"/>
  <c r="BC15" i="9" s="1"/>
  <c r="J106" i="15"/>
  <c r="J113" i="15"/>
  <c r="J121" i="15"/>
  <c r="O76" i="15"/>
  <c r="Q136" i="15"/>
  <c r="M140" i="15"/>
  <c r="J45" i="15"/>
  <c r="BC45" i="9" s="1"/>
  <c r="J79" i="15"/>
  <c r="V8" i="16" s="1"/>
  <c r="J86" i="15"/>
  <c r="J105" i="15"/>
  <c r="J16" i="15"/>
  <c r="BC16" i="9" s="1"/>
  <c r="J43" i="15"/>
  <c r="BC43" i="9" s="1"/>
  <c r="J56" i="15"/>
  <c r="BC56" i="9" s="1"/>
  <c r="J64" i="15"/>
  <c r="BC64" i="9" s="1"/>
  <c r="J82" i="15"/>
  <c r="J99" i="15"/>
  <c r="J107" i="15"/>
  <c r="J114" i="15"/>
  <c r="U16" i="29"/>
  <c r="U18" i="29" s="1"/>
  <c r="AW42" i="9"/>
  <c r="AW76" i="9" s="1"/>
  <c r="Q9" i="16"/>
  <c r="I76" i="15"/>
  <c r="U9" i="29"/>
  <c r="J42" i="15"/>
  <c r="X9" i="16"/>
  <c r="AO49" i="9"/>
  <c r="K8" i="14"/>
  <c r="O57" i="14"/>
  <c r="N42" i="14"/>
  <c r="K42" i="14"/>
  <c r="N32" i="14"/>
  <c r="G32" i="14"/>
  <c r="O32" i="14" s="1"/>
  <c r="AO32" i="9" s="1"/>
  <c r="G47" i="14"/>
  <c r="M125" i="14"/>
  <c r="F125" i="14"/>
  <c r="M46" i="14"/>
  <c r="J46" i="14"/>
  <c r="N113" i="14"/>
  <c r="K113" i="14"/>
  <c r="F23" i="14"/>
  <c r="G23" i="14"/>
  <c r="J19" i="14"/>
  <c r="N19" i="14" s="1"/>
  <c r="M11" i="14"/>
  <c r="F11" i="14"/>
  <c r="N11" i="14" s="1"/>
  <c r="F20" i="14"/>
  <c r="G20" i="14" s="1"/>
  <c r="N82" i="14"/>
  <c r="G98" i="14"/>
  <c r="F136" i="14"/>
  <c r="M136" i="14"/>
  <c r="E138" i="14"/>
  <c r="N26" i="14"/>
  <c r="K26" i="14"/>
  <c r="O26" i="14" s="1"/>
  <c r="O58" i="14"/>
  <c r="E140" i="14"/>
  <c r="N58" i="14"/>
  <c r="K58" i="14"/>
  <c r="G87" i="14"/>
  <c r="N87" i="14"/>
  <c r="K99" i="14"/>
  <c r="N99" i="14"/>
  <c r="F56" i="14"/>
  <c r="M56" i="14"/>
  <c r="J69" i="14"/>
  <c r="M69" i="14"/>
  <c r="M66" i="14"/>
  <c r="J66" i="14"/>
  <c r="K66" i="14"/>
  <c r="F63" i="14"/>
  <c r="N63" i="14" s="1"/>
  <c r="G63" i="14"/>
  <c r="O63" i="14" s="1"/>
  <c r="AO63" i="9" s="1"/>
  <c r="M63" i="14"/>
  <c r="G55" i="14"/>
  <c r="M55" i="14"/>
  <c r="J47" i="14"/>
  <c r="K47" i="14" s="1"/>
  <c r="M47" i="14"/>
  <c r="F45" i="14"/>
  <c r="N45" i="14" s="1"/>
  <c r="M45" i="14"/>
  <c r="G45" i="14"/>
  <c r="G41" i="14"/>
  <c r="O41" i="14" s="1"/>
  <c r="N41" i="14"/>
  <c r="J37" i="14"/>
  <c r="N37" i="14" s="1"/>
  <c r="M37" i="14"/>
  <c r="M35" i="14"/>
  <c r="F35" i="14"/>
  <c r="J25" i="14"/>
  <c r="N25" i="14" s="1"/>
  <c r="M25" i="14"/>
  <c r="K82" i="14"/>
  <c r="M79" i="14"/>
  <c r="F79" i="14"/>
  <c r="N79" i="14" s="1"/>
  <c r="G79" i="14"/>
  <c r="O79" i="14" s="1"/>
  <c r="J103" i="14"/>
  <c r="N103" i="14" s="1"/>
  <c r="M103" i="14"/>
  <c r="J100" i="14"/>
  <c r="N100" i="14" s="1"/>
  <c r="K95" i="14"/>
  <c r="M60" i="14"/>
  <c r="G60" i="14"/>
  <c r="O60" i="14" s="1"/>
  <c r="AO60" i="9" s="1"/>
  <c r="F60" i="14"/>
  <c r="O68" i="14"/>
  <c r="G114" i="14"/>
  <c r="O114" i="14" s="1"/>
  <c r="I11" i="29" s="1"/>
  <c r="N114" i="14"/>
  <c r="F95" i="14"/>
  <c r="M95" i="14"/>
  <c r="F97" i="14"/>
  <c r="G97" i="14" s="1"/>
  <c r="M97" i="14"/>
  <c r="M112" i="14"/>
  <c r="J112" i="14"/>
  <c r="I119" i="14"/>
  <c r="F73" i="14"/>
  <c r="M73" i="14"/>
  <c r="J98" i="14"/>
  <c r="K98" i="14" s="1"/>
  <c r="M98" i="14"/>
  <c r="J13" i="14"/>
  <c r="N13" i="14" s="1"/>
  <c r="I76" i="14"/>
  <c r="M92" i="14"/>
  <c r="G92" i="14"/>
  <c r="G131" i="14"/>
  <c r="O131" i="14" s="1"/>
  <c r="N131" i="14"/>
  <c r="F137" i="14"/>
  <c r="G137" i="14" s="1"/>
  <c r="O137" i="14" s="1"/>
  <c r="J133" i="14"/>
  <c r="K133" i="14" s="1"/>
  <c r="O133" i="14" s="1"/>
  <c r="M133" i="14"/>
  <c r="I138" i="14"/>
  <c r="M128" i="14"/>
  <c r="J128" i="14"/>
  <c r="K128" i="14"/>
  <c r="J117" i="14"/>
  <c r="K117" i="14"/>
  <c r="F115" i="14"/>
  <c r="G115" i="14" s="1"/>
  <c r="M115" i="14"/>
  <c r="M119" i="14" s="1"/>
  <c r="J84" i="14"/>
  <c r="N84" i="14" s="1"/>
  <c r="K84" i="14"/>
  <c r="O84" i="14" s="1"/>
  <c r="M84" i="14"/>
  <c r="F38" i="14"/>
  <c r="N38" i="14" s="1"/>
  <c r="M38" i="14"/>
  <c r="O54" i="14"/>
  <c r="N137" i="14"/>
  <c r="N124" i="14"/>
  <c r="N116" i="14"/>
  <c r="L110" i="14"/>
  <c r="O99" i="14"/>
  <c r="K70" i="14"/>
  <c r="O70" i="14" s="1"/>
  <c r="K59" i="14"/>
  <c r="O59" i="14" s="1"/>
  <c r="K83" i="14"/>
  <c r="O83" i="14" s="1"/>
  <c r="G8" i="14"/>
  <c r="O8" i="14" s="1"/>
  <c r="M30" i="14"/>
  <c r="N48" i="14"/>
  <c r="O116" i="14"/>
  <c r="I13" i="29" s="1"/>
  <c r="O61" i="14"/>
  <c r="N66" i="14"/>
  <c r="N133" i="14"/>
  <c r="J106" i="14"/>
  <c r="K106" i="14" s="1"/>
  <c r="K23" i="14"/>
  <c r="K87" i="14"/>
  <c r="O124" i="14"/>
  <c r="O74" i="14"/>
  <c r="N89" i="14"/>
  <c r="O21" i="14"/>
  <c r="N53" i="14"/>
  <c r="N115" i="14"/>
  <c r="O113" i="14"/>
  <c r="I8" i="29" s="1"/>
  <c r="N72" i="14"/>
  <c r="D140" i="14"/>
  <c r="D142" i="14" s="1"/>
  <c r="N23" i="14"/>
  <c r="G42" i="14"/>
  <c r="O42" i="14" s="1"/>
  <c r="AO48" i="9"/>
  <c r="AO72" i="9"/>
  <c r="O47" i="14"/>
  <c r="G136" i="14"/>
  <c r="O136" i="14" s="1"/>
  <c r="N136" i="14"/>
  <c r="AO7" i="9"/>
  <c r="N108" i="14"/>
  <c r="G108" i="14"/>
  <c r="O108" i="14" s="1"/>
  <c r="N15" i="14"/>
  <c r="K15" i="14"/>
  <c r="O15" i="14" s="1"/>
  <c r="N51" i="14"/>
  <c r="G51" i="14"/>
  <c r="O51" i="14" s="1"/>
  <c r="F29" i="14"/>
  <c r="N29" i="14" s="1"/>
  <c r="M29" i="14"/>
  <c r="G107" i="14"/>
  <c r="N107" i="14"/>
  <c r="M86" i="14"/>
  <c r="F86" i="14"/>
  <c r="N86" i="14" s="1"/>
  <c r="G86" i="14"/>
  <c r="O86" i="14" s="1"/>
  <c r="F126" i="14"/>
  <c r="N126" i="14" s="1"/>
  <c r="F123" i="14"/>
  <c r="M123" i="14"/>
  <c r="K94" i="14"/>
  <c r="O94" i="14" s="1"/>
  <c r="G30" i="14"/>
  <c r="M94" i="14"/>
  <c r="H142" i="14"/>
  <c r="G53" i="14"/>
  <c r="O53" i="14" s="1"/>
  <c r="G66" i="14"/>
  <c r="O66" i="14" s="1"/>
  <c r="N35" i="14"/>
  <c r="G35" i="14"/>
  <c r="O35" i="14" s="1"/>
  <c r="K55" i="14"/>
  <c r="O55" i="14" s="1"/>
  <c r="N55" i="14"/>
  <c r="N118" i="14"/>
  <c r="G118" i="14"/>
  <c r="O118" i="14" s="1"/>
  <c r="I15" i="29" s="1"/>
  <c r="O75" i="14"/>
  <c r="O90" i="14"/>
  <c r="O106" i="14"/>
  <c r="O80" i="14"/>
  <c r="J33" i="14"/>
  <c r="K33" i="14" s="1"/>
  <c r="L76" i="14"/>
  <c r="L121" i="14" s="1"/>
  <c r="M13" i="14"/>
  <c r="K13" i="14"/>
  <c r="J28" i="14"/>
  <c r="M28" i="14"/>
  <c r="M34" i="14"/>
  <c r="J34" i="14"/>
  <c r="J132" i="14"/>
  <c r="K132" i="14" s="1"/>
  <c r="M132" i="14"/>
  <c r="J127" i="14"/>
  <c r="M127" i="14"/>
  <c r="I129" i="14"/>
  <c r="I140" i="14" s="1"/>
  <c r="M36" i="14"/>
  <c r="F36" i="14"/>
  <c r="N36" i="14" s="1"/>
  <c r="M27" i="14"/>
  <c r="F27" i="14"/>
  <c r="N27" i="14" s="1"/>
  <c r="J14" i="14"/>
  <c r="N14" i="14" s="1"/>
  <c r="M14" i="14"/>
  <c r="J105" i="14"/>
  <c r="N105" i="14" s="1"/>
  <c r="M105" i="14"/>
  <c r="J101" i="14"/>
  <c r="M101" i="14"/>
  <c r="J97" i="14"/>
  <c r="N97" i="14" s="1"/>
  <c r="K97" i="14"/>
  <c r="O97" i="14" s="1"/>
  <c r="M10" i="14"/>
  <c r="F10" i="14"/>
  <c r="N10" i="14" s="1"/>
  <c r="K39" i="14"/>
  <c r="O39" i="14" s="1"/>
  <c r="N39" i="14"/>
  <c r="G128" i="14"/>
  <c r="O128" i="14" s="1"/>
  <c r="N128" i="14"/>
  <c r="G43" i="14"/>
  <c r="O43" i="14" s="1"/>
  <c r="N43" i="14"/>
  <c r="G82" i="14"/>
  <c r="O82" i="14" s="1"/>
  <c r="AO21" i="9"/>
  <c r="O88" i="14"/>
  <c r="E76" i="14"/>
  <c r="G22" i="14"/>
  <c r="O22" i="14" s="1"/>
  <c r="N22" i="14"/>
  <c r="G9" i="14"/>
  <c r="K81" i="14"/>
  <c r="I110" i="14"/>
  <c r="I121" i="14" s="1"/>
  <c r="I142" i="14" s="1"/>
  <c r="J81" i="14"/>
  <c r="N81" i="14" s="1"/>
  <c r="M81" i="14"/>
  <c r="G40" i="14"/>
  <c r="O40" i="14" s="1"/>
  <c r="M40" i="14"/>
  <c r="F62" i="14"/>
  <c r="N62" i="14" s="1"/>
  <c r="N7" i="14"/>
  <c r="G102" i="14"/>
  <c r="O102" i="14" s="1"/>
  <c r="AO71" i="9"/>
  <c r="F44" i="14"/>
  <c r="N44" i="14" s="1"/>
  <c r="O91" i="14"/>
  <c r="N80" i="14"/>
  <c r="M72" i="14"/>
  <c r="E110" i="14"/>
  <c r="N21" i="14"/>
  <c r="M62" i="14"/>
  <c r="AO74" i="9"/>
  <c r="M82" i="14"/>
  <c r="N60" i="14"/>
  <c r="G112" i="14"/>
  <c r="M126" i="14"/>
  <c r="K115" i="14"/>
  <c r="O115" i="14" s="1"/>
  <c r="I12" i="29" s="1"/>
  <c r="M9" i="14"/>
  <c r="J9" i="14"/>
  <c r="M135" i="14"/>
  <c r="F135" i="14"/>
  <c r="G67" i="14"/>
  <c r="O67" i="14" s="1"/>
  <c r="K45" i="14"/>
  <c r="O45" i="14" s="1"/>
  <c r="J31" i="14"/>
  <c r="N31" i="14" s="1"/>
  <c r="K31" i="14"/>
  <c r="O31" i="14" s="1"/>
  <c r="M31" i="14"/>
  <c r="N69" i="14"/>
  <c r="L129" i="14"/>
  <c r="L140" i="14" s="1"/>
  <c r="K69" i="14"/>
  <c r="O69" i="14" s="1"/>
  <c r="G17" i="14"/>
  <c r="O17" i="14" s="1"/>
  <c r="F50" i="14"/>
  <c r="N50" i="14" s="1"/>
  <c r="J20" i="14"/>
  <c r="N20" i="14" s="1"/>
  <c r="J30" i="14"/>
  <c r="N30" i="14" s="1"/>
  <c r="F117" i="14"/>
  <c r="N117" i="14" s="1"/>
  <c r="M117" i="14"/>
  <c r="J65" i="14"/>
  <c r="N65" i="14" s="1"/>
  <c r="K65" i="14"/>
  <c r="O65" i="14" s="1"/>
  <c r="M65" i="14"/>
  <c r="M33" i="14"/>
  <c r="F33" i="14"/>
  <c r="G33" i="14"/>
  <c r="M107" i="14"/>
  <c r="K107" i="14"/>
  <c r="J92" i="14"/>
  <c r="N92" i="14" s="1"/>
  <c r="K92" i="14"/>
  <c r="O92" i="14" s="1"/>
  <c r="N96" i="14"/>
  <c r="F134" i="14"/>
  <c r="G134" i="14" s="1"/>
  <c r="G13" i="14"/>
  <c r="O13" i="14" s="1"/>
  <c r="G101" i="14"/>
  <c r="F56" i="13"/>
  <c r="H56" i="13"/>
  <c r="I56" i="13" s="1"/>
  <c r="F74" i="13"/>
  <c r="M74" i="25"/>
  <c r="N74" i="25" s="1"/>
  <c r="H74" i="13"/>
  <c r="I74" i="13" s="1"/>
  <c r="L74" i="12"/>
  <c r="M74" i="12" s="1"/>
  <c r="N74" i="12" s="1"/>
  <c r="M52" i="25"/>
  <c r="N52" i="25" s="1"/>
  <c r="D52" i="13"/>
  <c r="L52" i="12"/>
  <c r="M52" i="12" s="1"/>
  <c r="F52" i="13"/>
  <c r="H52" i="13"/>
  <c r="I52" i="13" s="1"/>
  <c r="N52" i="12"/>
  <c r="Q68" i="12"/>
  <c r="Q52" i="12"/>
  <c r="Q36" i="12"/>
  <c r="Q20" i="12"/>
  <c r="L62" i="12"/>
  <c r="M62" i="12" s="1"/>
  <c r="N62" i="12" s="1"/>
  <c r="D62" i="13"/>
  <c r="M62" i="25"/>
  <c r="N62" i="25" s="1"/>
  <c r="F62" i="13"/>
  <c r="AT16" i="68"/>
  <c r="O61" i="12"/>
  <c r="P61" i="12" s="1"/>
  <c r="R61" i="12" s="1"/>
  <c r="N56" i="12"/>
  <c r="M56" i="25"/>
  <c r="N56" i="25" s="1"/>
  <c r="L16" i="12"/>
  <c r="D16" i="13"/>
  <c r="D32" i="13"/>
  <c r="L32" i="12"/>
  <c r="M32" i="12" s="1"/>
  <c r="N32" i="12" s="1"/>
  <c r="M32" i="25"/>
  <c r="N32" i="25" s="1"/>
  <c r="D69" i="13"/>
  <c r="L69" i="12"/>
  <c r="M69" i="12" s="1"/>
  <c r="N69" i="12" s="1"/>
  <c r="M69" i="25"/>
  <c r="N69" i="25" s="1"/>
  <c r="N28" i="12"/>
  <c r="L40" i="12"/>
  <c r="M40" i="12" s="1"/>
  <c r="N40" i="12" s="1"/>
  <c r="Q64" i="12"/>
  <c r="Q48" i="12"/>
  <c r="Q32" i="12"/>
  <c r="O34" i="12"/>
  <c r="P34" i="12" s="1"/>
  <c r="H62" i="13"/>
  <c r="I62" i="13" s="1"/>
  <c r="N70" i="12"/>
  <c r="Q9" i="12"/>
  <c r="Q13" i="12"/>
  <c r="Q17" i="12"/>
  <c r="Q21" i="12"/>
  <c r="Q25" i="12"/>
  <c r="Q29" i="12"/>
  <c r="Q33" i="12"/>
  <c r="Q37" i="12"/>
  <c r="Q41" i="12"/>
  <c r="Q45" i="12"/>
  <c r="Q49" i="12"/>
  <c r="Q53" i="12"/>
  <c r="Q57" i="12"/>
  <c r="Q61" i="12"/>
  <c r="Q65" i="12"/>
  <c r="Q69" i="12"/>
  <c r="Q73" i="12"/>
  <c r="L3" i="15"/>
  <c r="L23" i="15" s="1"/>
  <c r="Q76" i="12"/>
  <c r="Q10" i="12"/>
  <c r="Q14" i="12"/>
  <c r="Q18" i="12"/>
  <c r="Q22" i="12"/>
  <c r="Q26" i="12"/>
  <c r="Q30" i="12"/>
  <c r="Q34" i="12"/>
  <c r="Q38" i="12"/>
  <c r="Q42" i="12"/>
  <c r="Q46" i="12"/>
  <c r="Q50" i="12"/>
  <c r="Q54" i="12"/>
  <c r="Q58" i="12"/>
  <c r="Q62" i="12"/>
  <c r="Q66" i="12"/>
  <c r="Q70" i="12"/>
  <c r="Q74" i="12"/>
  <c r="Q7" i="12"/>
  <c r="Q11" i="12"/>
  <c r="Q15" i="12"/>
  <c r="Q19" i="12"/>
  <c r="Q23" i="12"/>
  <c r="Q27" i="12"/>
  <c r="Q31" i="12"/>
  <c r="Q35" i="12"/>
  <c r="Q39" i="12"/>
  <c r="Q43" i="12"/>
  <c r="Q47" i="12"/>
  <c r="Q51" i="12"/>
  <c r="Q55" i="12"/>
  <c r="Q59" i="12"/>
  <c r="Q63" i="12"/>
  <c r="Q67" i="12"/>
  <c r="Q71" i="12"/>
  <c r="Q75" i="12"/>
  <c r="V16" i="29"/>
  <c r="V18" i="29" s="1"/>
  <c r="AC16" i="29"/>
  <c r="AC18" i="29" s="1"/>
  <c r="F28" i="13"/>
  <c r="H39" i="13"/>
  <c r="I39" i="13" s="1"/>
  <c r="I11" i="13"/>
  <c r="N7" i="25"/>
  <c r="L19" i="15"/>
  <c r="L111" i="15"/>
  <c r="R111" i="15" s="1"/>
  <c r="L73" i="15"/>
  <c r="L126" i="15"/>
  <c r="R126" i="15" s="1"/>
  <c r="L92" i="15"/>
  <c r="L56" i="15"/>
  <c r="L32" i="15"/>
  <c r="L86" i="15"/>
  <c r="L17" i="15"/>
  <c r="L51" i="15"/>
  <c r="L121" i="15"/>
  <c r="L34" i="15"/>
  <c r="L90" i="15"/>
  <c r="AR76" i="9"/>
  <c r="AC14" i="17"/>
  <c r="T14" i="17"/>
  <c r="C14" i="17"/>
  <c r="AB14" i="17"/>
  <c r="AH14" i="17"/>
  <c r="G14" i="17"/>
  <c r="T39" i="30"/>
  <c r="T41" i="30" s="1"/>
  <c r="AC39" i="30"/>
  <c r="AC41" i="30" s="1"/>
  <c r="AH39" i="30"/>
  <c r="AH41" i="30" s="1"/>
  <c r="E39" i="30"/>
  <c r="E41" i="30" s="1"/>
  <c r="AB39" i="30"/>
  <c r="AB41" i="30" s="1"/>
  <c r="AT39" i="30"/>
  <c r="AT41" i="30" s="1"/>
  <c r="H42" i="68"/>
  <c r="AD42" i="68"/>
  <c r="G42" i="68"/>
  <c r="O64" i="12"/>
  <c r="P64" i="12" s="1"/>
  <c r="AT42" i="68"/>
  <c r="Y42" i="12"/>
  <c r="Y34" i="12"/>
  <c r="AT34" i="68"/>
  <c r="AT26" i="68"/>
  <c r="Y26" i="12"/>
  <c r="Y18" i="12"/>
  <c r="Y45" i="12"/>
  <c r="AT45" i="68"/>
  <c r="O68" i="12"/>
  <c r="P68" i="12" s="1"/>
  <c r="O67" i="12"/>
  <c r="P67" i="12" s="1"/>
  <c r="AN10" i="68"/>
  <c r="AO10" i="68"/>
  <c r="G10" i="67" s="1"/>
  <c r="H10" i="67" s="1"/>
  <c r="AQ10" i="68"/>
  <c r="AP10" i="68"/>
  <c r="AP74" i="68"/>
  <c r="AN74" i="68"/>
  <c r="AO74" i="68"/>
  <c r="G74" i="67" s="1"/>
  <c r="H74" i="67" s="1"/>
  <c r="AQ74" i="68"/>
  <c r="AO54" i="68"/>
  <c r="G54" i="67" s="1"/>
  <c r="H54" i="67" s="1"/>
  <c r="AN54" i="68"/>
  <c r="AQ54" i="68"/>
  <c r="AP54" i="68"/>
  <c r="AN56" i="68"/>
  <c r="AP56" i="68"/>
  <c r="AQ56" i="68"/>
  <c r="AO56" i="68"/>
  <c r="G56" i="67" s="1"/>
  <c r="H56" i="67" s="1"/>
  <c r="AO8" i="68"/>
  <c r="AQ8" i="68"/>
  <c r="AP8" i="68"/>
  <c r="AN8" i="68"/>
  <c r="AT56" i="68"/>
  <c r="AS55" i="68"/>
  <c r="Q12" i="30"/>
  <c r="Q25" i="30"/>
  <c r="Q38" i="30"/>
  <c r="O24" i="12"/>
  <c r="P24" i="12" s="1"/>
  <c r="R24" i="12" s="1"/>
  <c r="AS65" i="68"/>
  <c r="H11" i="30"/>
  <c r="H23" i="30"/>
  <c r="H24" i="30"/>
  <c r="H31" i="30"/>
  <c r="H35" i="30"/>
  <c r="K11" i="30"/>
  <c r="K30" i="30"/>
  <c r="K38" i="30"/>
  <c r="K27" i="30"/>
  <c r="K24" i="30"/>
  <c r="K18" i="30"/>
  <c r="K14" i="30"/>
  <c r="K31" i="30"/>
  <c r="K34" i="30"/>
  <c r="K35" i="30"/>
  <c r="AS74" i="68"/>
  <c r="AS54" i="68"/>
  <c r="AE7" i="17"/>
  <c r="H76" i="25"/>
  <c r="H84" i="25" s="1"/>
  <c r="Q76" i="25"/>
  <c r="Q84" i="25" s="1"/>
  <c r="O76" i="26"/>
  <c r="O84" i="26" s="1"/>
  <c r="O76" i="27"/>
  <c r="O84" i="27" s="1"/>
  <c r="O76" i="28"/>
  <c r="O84" i="28" s="1"/>
  <c r="X16" i="29"/>
  <c r="X18" i="29" s="1"/>
  <c r="AE31" i="30"/>
  <c r="AE24" i="30"/>
  <c r="AV10" i="30"/>
  <c r="L63" i="13"/>
  <c r="L32" i="13"/>
  <c r="AV18" i="30"/>
  <c r="H22" i="30"/>
  <c r="N8" i="30"/>
  <c r="H32" i="30"/>
  <c r="H7" i="17"/>
  <c r="C84" i="25"/>
  <c r="Q28" i="30"/>
  <c r="Q13" i="17"/>
  <c r="K10" i="30"/>
  <c r="H12" i="30"/>
  <c r="AE7" i="30"/>
  <c r="AV29" i="30"/>
  <c r="K17" i="30"/>
  <c r="K12" i="30"/>
  <c r="O23" i="12"/>
  <c r="P23" i="12" s="1"/>
  <c r="O21" i="12"/>
  <c r="P21" i="12" s="1"/>
  <c r="O20" i="12"/>
  <c r="P20" i="12" s="1"/>
  <c r="O17" i="12"/>
  <c r="P17" i="12" s="1"/>
  <c r="H19" i="30"/>
  <c r="N33" i="30"/>
  <c r="N27" i="30"/>
  <c r="K33" i="30"/>
  <c r="K22" i="30"/>
  <c r="L52" i="13"/>
  <c r="R34" i="12"/>
  <c r="H25" i="30"/>
  <c r="H38" i="30"/>
  <c r="N36" i="30"/>
  <c r="N20" i="30"/>
  <c r="K26" i="30"/>
  <c r="K28" i="30"/>
  <c r="N13" i="17"/>
  <c r="AB24" i="12"/>
  <c r="O22" i="12"/>
  <c r="P22" i="12" s="1"/>
  <c r="O15" i="12"/>
  <c r="P15" i="12" s="1"/>
  <c r="R68" i="12"/>
  <c r="H21" i="30"/>
  <c r="Q36" i="30"/>
  <c r="Q17" i="30"/>
  <c r="Q26" i="30"/>
  <c r="Q16" i="30"/>
  <c r="H34" i="30"/>
  <c r="K16" i="30"/>
  <c r="K15" i="30"/>
  <c r="H9" i="17"/>
  <c r="N11" i="17"/>
  <c r="H28" i="30"/>
  <c r="O12" i="12"/>
  <c r="P12" i="12" s="1"/>
  <c r="O11" i="12"/>
  <c r="P11" i="12" s="1"/>
  <c r="O10" i="12"/>
  <c r="P10" i="12" s="1"/>
  <c r="G8" i="12"/>
  <c r="F76" i="12"/>
  <c r="AZ76" i="9"/>
  <c r="X9" i="29"/>
  <c r="X20" i="29" s="1"/>
  <c r="AS9" i="29"/>
  <c r="AS20" i="29" s="1"/>
  <c r="AS16" i="29"/>
  <c r="AS18" i="29" s="1"/>
  <c r="AE20" i="30"/>
  <c r="AE36" i="30"/>
  <c r="AE35" i="30"/>
  <c r="AE32" i="30"/>
  <c r="AE18" i="30"/>
  <c r="AE23" i="30"/>
  <c r="AE21" i="30"/>
  <c r="AE13" i="30"/>
  <c r="AV36" i="30"/>
  <c r="AV31" i="30"/>
  <c r="AV24" i="30"/>
  <c r="H30" i="30"/>
  <c r="H37" i="30"/>
  <c r="H20" i="30"/>
  <c r="Q14" i="30"/>
  <c r="Q24" i="30"/>
  <c r="Q13" i="30"/>
  <c r="N18" i="30"/>
  <c r="N21" i="30"/>
  <c r="H8" i="17"/>
  <c r="K59" i="12"/>
  <c r="K58" i="12"/>
  <c r="K57" i="12"/>
  <c r="K56" i="12"/>
  <c r="K55" i="12"/>
  <c r="K54" i="12"/>
  <c r="K53" i="12"/>
  <c r="K52" i="12"/>
  <c r="K51" i="12"/>
  <c r="K50" i="12"/>
  <c r="K49" i="12"/>
  <c r="K48" i="12"/>
  <c r="K46" i="12"/>
  <c r="O39" i="12"/>
  <c r="P39" i="12" s="1"/>
  <c r="O9" i="12"/>
  <c r="P9" i="12" s="1"/>
  <c r="K9" i="30"/>
  <c r="Q22" i="30"/>
  <c r="Q15" i="30"/>
  <c r="H18" i="30"/>
  <c r="N30" i="30"/>
  <c r="K23" i="30"/>
  <c r="H33" i="30"/>
  <c r="K13" i="17"/>
  <c r="Q27" i="30"/>
  <c r="K37" i="30"/>
  <c r="K19" i="30"/>
  <c r="H12" i="17"/>
  <c r="H10" i="30"/>
  <c r="K74" i="12"/>
  <c r="G70" i="12"/>
  <c r="I40" i="12"/>
  <c r="O33" i="12"/>
  <c r="P33" i="12" s="1"/>
  <c r="E31" i="12"/>
  <c r="E29" i="12"/>
  <c r="E28" i="12"/>
  <c r="E26" i="12"/>
  <c r="E25" i="12"/>
  <c r="K13" i="30"/>
  <c r="K20" i="30"/>
  <c r="N28" i="30"/>
  <c r="Q8" i="17"/>
  <c r="H10" i="17"/>
  <c r="N29" i="30"/>
  <c r="O66" i="12"/>
  <c r="P66" i="12" s="1"/>
  <c r="O65" i="12"/>
  <c r="P65" i="12" s="1"/>
  <c r="G59" i="12"/>
  <c r="G56" i="12"/>
  <c r="G55" i="12"/>
  <c r="G53" i="12"/>
  <c r="G51" i="12"/>
  <c r="G47" i="12"/>
  <c r="K8" i="12"/>
  <c r="K7" i="12"/>
  <c r="O7" i="12" s="1"/>
  <c r="J76" i="12"/>
  <c r="K25" i="30"/>
  <c r="N9" i="30"/>
  <c r="O73" i="12"/>
  <c r="P73" i="12" s="1"/>
  <c r="I63" i="12"/>
  <c r="O58" i="12"/>
  <c r="P58" i="12" s="1"/>
  <c r="I45" i="12"/>
  <c r="O44" i="12"/>
  <c r="P44" i="12" s="1"/>
  <c r="O43" i="12"/>
  <c r="P43" i="12" s="1"/>
  <c r="O42" i="12"/>
  <c r="P42" i="12" s="1"/>
  <c r="E41" i="12"/>
  <c r="O40" i="12"/>
  <c r="P40" i="12" s="1"/>
  <c r="O38" i="12"/>
  <c r="P38" i="12" s="1"/>
  <c r="O37" i="12"/>
  <c r="P37" i="12" s="1"/>
  <c r="O36" i="12"/>
  <c r="P36" i="12" s="1"/>
  <c r="I32" i="12"/>
  <c r="I30" i="12"/>
  <c r="I26" i="12"/>
  <c r="I25" i="12"/>
  <c r="H76" i="12"/>
  <c r="AV30" i="30"/>
  <c r="AE19" i="30"/>
  <c r="AV9" i="30"/>
  <c r="AE15" i="30"/>
  <c r="AE26" i="30"/>
  <c r="AV12" i="30"/>
  <c r="AV33" i="30"/>
  <c r="AE9" i="17"/>
  <c r="AE12" i="17"/>
  <c r="AE13" i="17"/>
  <c r="AE22" i="30"/>
  <c r="AV27" i="30"/>
  <c r="AV26" i="30"/>
  <c r="AE16" i="30"/>
  <c r="AE10" i="30"/>
  <c r="L49" i="13"/>
  <c r="L64" i="13"/>
  <c r="AE11" i="17"/>
  <c r="AE30" i="30"/>
  <c r="AV7" i="30"/>
  <c r="AV11" i="30"/>
  <c r="AV25" i="30"/>
  <c r="AV16" i="30"/>
  <c r="AV14" i="30"/>
  <c r="AE29" i="30"/>
  <c r="AE11" i="30"/>
  <c r="AE28" i="30"/>
  <c r="AE33" i="30"/>
  <c r="AV37" i="30"/>
  <c r="AV21" i="30"/>
  <c r="AV35" i="30"/>
  <c r="AE9" i="30"/>
  <c r="AE25" i="30"/>
  <c r="AV23" i="30"/>
  <c r="AV15" i="30"/>
  <c r="AV20" i="30"/>
  <c r="AV17" i="30"/>
  <c r="AV34" i="30"/>
  <c r="AE8" i="30"/>
  <c r="AE17" i="30"/>
  <c r="AE27" i="30"/>
  <c r="AE8" i="17"/>
  <c r="AV28" i="30"/>
  <c r="AE10" i="17"/>
  <c r="AE34" i="30"/>
  <c r="AE38" i="30"/>
  <c r="AV13" i="30"/>
  <c r="AV32" i="30"/>
  <c r="AE37" i="30"/>
  <c r="AV22" i="30"/>
  <c r="AE12" i="30"/>
  <c r="AE14" i="30"/>
  <c r="AV38" i="30"/>
  <c r="AV19" i="30"/>
  <c r="D16" i="29" l="1"/>
  <c r="H16" i="29"/>
  <c r="O75" i="12"/>
  <c r="P75" i="12" s="1"/>
  <c r="O27" i="12"/>
  <c r="P27" i="12" s="1"/>
  <c r="R27" i="12" s="1"/>
  <c r="G76" i="26"/>
  <c r="G84" i="26" s="1"/>
  <c r="O71" i="12"/>
  <c r="P71" i="12" s="1"/>
  <c r="H60" i="13"/>
  <c r="I60" i="13" s="1"/>
  <c r="D60" i="13"/>
  <c r="L60" i="12"/>
  <c r="M60" i="12" s="1"/>
  <c r="N60" i="12" s="1"/>
  <c r="M60" i="25"/>
  <c r="N60" i="25" s="1"/>
  <c r="F60" i="13"/>
  <c r="M13" i="25"/>
  <c r="N13" i="25" s="1"/>
  <c r="N76" i="25" s="1"/>
  <c r="N84" i="25" s="1"/>
  <c r="L13" i="12"/>
  <c r="M13" i="12" s="1"/>
  <c r="N13" i="12" s="1"/>
  <c r="F13" i="13"/>
  <c r="D13" i="13"/>
  <c r="H13" i="13"/>
  <c r="I13" i="13" s="1"/>
  <c r="F18" i="13"/>
  <c r="L18" i="12"/>
  <c r="M18" i="12" s="1"/>
  <c r="N18" i="12" s="1"/>
  <c r="D18" i="13"/>
  <c r="M18" i="25"/>
  <c r="N18" i="25" s="1"/>
  <c r="H18" i="13"/>
  <c r="I18" i="13" s="1"/>
  <c r="D14" i="13"/>
  <c r="D76" i="13" s="1"/>
  <c r="M14" i="25"/>
  <c r="N14" i="25" s="1"/>
  <c r="F14" i="13"/>
  <c r="L14" i="12"/>
  <c r="M14" i="12" s="1"/>
  <c r="N14" i="12" s="1"/>
  <c r="H14" i="13"/>
  <c r="I14" i="13" s="1"/>
  <c r="H19" i="13"/>
  <c r="I19" i="13" s="1"/>
  <c r="M19" i="25"/>
  <c r="N19" i="25" s="1"/>
  <c r="F19" i="13"/>
  <c r="F76" i="13" s="1"/>
  <c r="G3" i="13" s="1"/>
  <c r="G76" i="28"/>
  <c r="G84" i="28" s="1"/>
  <c r="L35" i="12"/>
  <c r="M35" i="12" s="1"/>
  <c r="D35" i="13"/>
  <c r="M35" i="25"/>
  <c r="N35" i="25" s="1"/>
  <c r="N35" i="12"/>
  <c r="AT35" i="68"/>
  <c r="H35" i="13"/>
  <c r="I35" i="13" s="1"/>
  <c r="F35" i="13"/>
  <c r="M49" i="25"/>
  <c r="N49" i="25" s="1"/>
  <c r="D49" i="13"/>
  <c r="H49" i="13"/>
  <c r="I49" i="13" s="1"/>
  <c r="F49" i="13"/>
  <c r="L49" i="12"/>
  <c r="M49" i="12" s="1"/>
  <c r="N49" i="12" s="1"/>
  <c r="I76" i="13"/>
  <c r="D19" i="13"/>
  <c r="AT18" i="68"/>
  <c r="C76" i="12"/>
  <c r="AT19" i="68"/>
  <c r="H59" i="13"/>
  <c r="I59" i="13" s="1"/>
  <c r="L59" i="12"/>
  <c r="M59" i="12" s="1"/>
  <c r="N59" i="12" s="1"/>
  <c r="F59" i="13"/>
  <c r="D59" i="13"/>
  <c r="M59" i="25"/>
  <c r="N59" i="25" s="1"/>
  <c r="AT59" i="68"/>
  <c r="Y25" i="12"/>
  <c r="AT25" i="68"/>
  <c r="AT49" i="68"/>
  <c r="Y49" i="12"/>
  <c r="Y12" i="12"/>
  <c r="AT12" i="68"/>
  <c r="Y20" i="12"/>
  <c r="AT20" i="68"/>
  <c r="Y24" i="12"/>
  <c r="AT24" i="68"/>
  <c r="Y36" i="12"/>
  <c r="AT36" i="68"/>
  <c r="Y44" i="12"/>
  <c r="AT44" i="68"/>
  <c r="AT46" i="68"/>
  <c r="Y46" i="12"/>
  <c r="Y50" i="12"/>
  <c r="AT50" i="68"/>
  <c r="Y60" i="12"/>
  <c r="AT60" i="68"/>
  <c r="AT64" i="68"/>
  <c r="Y64" i="12"/>
  <c r="Y68" i="12"/>
  <c r="AT68" i="68"/>
  <c r="Y72" i="12"/>
  <c r="AT72" i="68"/>
  <c r="Y15" i="12"/>
  <c r="AT15" i="68"/>
  <c r="AT9" i="68"/>
  <c r="Y9" i="12"/>
  <c r="Y21" i="12"/>
  <c r="AT21" i="68"/>
  <c r="Y29" i="12"/>
  <c r="AT29" i="68"/>
  <c r="AT33" i="68"/>
  <c r="Y33" i="12"/>
  <c r="Y41" i="12"/>
  <c r="AT41" i="68"/>
  <c r="Y69" i="12"/>
  <c r="AT69" i="68"/>
  <c r="Y28" i="12"/>
  <c r="AT28" i="68"/>
  <c r="Y32" i="12"/>
  <c r="AT32" i="68"/>
  <c r="Y40" i="12"/>
  <c r="AT40" i="68"/>
  <c r="AT48" i="68"/>
  <c r="Y48" i="12"/>
  <c r="Y52" i="12"/>
  <c r="AT52" i="68"/>
  <c r="Y17" i="12"/>
  <c r="AT17" i="68"/>
  <c r="Y37" i="12"/>
  <c r="AT37" i="68"/>
  <c r="Y53" i="12"/>
  <c r="AT53" i="68"/>
  <c r="AT57" i="68"/>
  <c r="Y57" i="12"/>
  <c r="AT8" i="68"/>
  <c r="Y8" i="12"/>
  <c r="Y10" i="12"/>
  <c r="AT10" i="68"/>
  <c r="Y22" i="12"/>
  <c r="AT22" i="68"/>
  <c r="AT30" i="68"/>
  <c r="Y30" i="12"/>
  <c r="AT38" i="68"/>
  <c r="Y38" i="12"/>
  <c r="Y58" i="12"/>
  <c r="AT58" i="68"/>
  <c r="Y66" i="12"/>
  <c r="AT66" i="68"/>
  <c r="AT70" i="68"/>
  <c r="Y70" i="12"/>
  <c r="AT13" i="68"/>
  <c r="Y13" i="12"/>
  <c r="AT61" i="68"/>
  <c r="Y61" i="12"/>
  <c r="Y73" i="12"/>
  <c r="AT73" i="68"/>
  <c r="Y14" i="12"/>
  <c r="AT14" i="68"/>
  <c r="AD76" i="68"/>
  <c r="L134" i="15"/>
  <c r="L62" i="15"/>
  <c r="L22" i="15"/>
  <c r="L97" i="15"/>
  <c r="R97" i="15" s="1"/>
  <c r="L37" i="15"/>
  <c r="L130" i="15"/>
  <c r="L58" i="15"/>
  <c r="L20" i="15"/>
  <c r="BD20" i="9" s="1"/>
  <c r="L68" i="15"/>
  <c r="L106" i="15"/>
  <c r="R106" i="15" s="1"/>
  <c r="L53" i="15"/>
  <c r="L89" i="15"/>
  <c r="R89" i="15" s="1"/>
  <c r="L123" i="15"/>
  <c r="L124" i="15"/>
  <c r="R124" i="15" s="1"/>
  <c r="L54" i="15"/>
  <c r="L18" i="15"/>
  <c r="BD18" i="9" s="1"/>
  <c r="L87" i="15"/>
  <c r="L33" i="15"/>
  <c r="L120" i="15"/>
  <c r="L50" i="15"/>
  <c r="BD50" i="9" s="1"/>
  <c r="L16" i="15"/>
  <c r="L72" i="15"/>
  <c r="L110" i="15"/>
  <c r="L57" i="15"/>
  <c r="R57" i="15" s="1"/>
  <c r="L95" i="15"/>
  <c r="L125" i="15"/>
  <c r="R125" i="15" s="1"/>
  <c r="L100" i="15"/>
  <c r="R100" i="15" s="1"/>
  <c r="L38" i="15"/>
  <c r="BD38" i="9" s="1"/>
  <c r="L131" i="15"/>
  <c r="L59" i="15"/>
  <c r="L21" i="15"/>
  <c r="L96" i="15"/>
  <c r="R96" i="15" s="1"/>
  <c r="L36" i="15"/>
  <c r="L52" i="15"/>
  <c r="L88" i="15"/>
  <c r="R88" i="15" s="1"/>
  <c r="L122" i="15"/>
  <c r="R122" i="15" s="1"/>
  <c r="L69" i="15"/>
  <c r="L107" i="15"/>
  <c r="L55" i="15"/>
  <c r="L116" i="15"/>
  <c r="R116" i="15" s="1"/>
  <c r="L47" i="15"/>
  <c r="L14" i="15"/>
  <c r="L46" i="15"/>
  <c r="R46" i="15" s="1"/>
  <c r="L29" i="15"/>
  <c r="R29" i="15" s="1"/>
  <c r="L112" i="15"/>
  <c r="R112" i="15" s="1"/>
  <c r="L74" i="15"/>
  <c r="L45" i="15"/>
  <c r="R45" i="15" s="1"/>
  <c r="L28" i="15"/>
  <c r="BD28" i="9" s="1"/>
  <c r="L12" i="15"/>
  <c r="L60" i="15"/>
  <c r="L78" i="15"/>
  <c r="L98" i="15"/>
  <c r="R98" i="15" s="1"/>
  <c r="L114" i="15"/>
  <c r="R114" i="15" s="1"/>
  <c r="L132" i="15"/>
  <c r="L61" i="15"/>
  <c r="R61" i="15" s="1"/>
  <c r="L79" i="15"/>
  <c r="R79" i="15" s="1"/>
  <c r="L99" i="15"/>
  <c r="R99" i="15" s="1"/>
  <c r="L115" i="15"/>
  <c r="L133" i="15"/>
  <c r="R133" i="15" s="1"/>
  <c r="L91" i="15"/>
  <c r="R91" i="15" s="1"/>
  <c r="L129" i="15"/>
  <c r="L101" i="15"/>
  <c r="R101" i="15" s="1"/>
  <c r="L39" i="15"/>
  <c r="BD39" i="9" s="1"/>
  <c r="L7" i="15"/>
  <c r="BD7" i="9" s="1"/>
  <c r="L80" i="15"/>
  <c r="L30" i="15"/>
  <c r="L113" i="15"/>
  <c r="R113" i="15" s="1"/>
  <c r="L75" i="15"/>
  <c r="BD75" i="9" s="1"/>
  <c r="L13" i="15"/>
  <c r="L35" i="15"/>
  <c r="L108" i="15"/>
  <c r="R108" i="15" s="1"/>
  <c r="L70" i="15"/>
  <c r="BD70" i="9" s="1"/>
  <c r="L43" i="15"/>
  <c r="L26" i="15"/>
  <c r="L10" i="15"/>
  <c r="BD10" i="9" s="1"/>
  <c r="L105" i="15"/>
  <c r="R105" i="15" s="1"/>
  <c r="L67" i="15"/>
  <c r="L41" i="15"/>
  <c r="L25" i="15"/>
  <c r="BD25" i="9" s="1"/>
  <c r="L9" i="15"/>
  <c r="R9" i="15" s="1"/>
  <c r="L104" i="15"/>
  <c r="R104" i="15" s="1"/>
  <c r="L66" i="15"/>
  <c r="L40" i="15"/>
  <c r="BD40" i="9" s="1"/>
  <c r="L24" i="15"/>
  <c r="R24" i="15" s="1"/>
  <c r="L8" i="15"/>
  <c r="L64" i="15"/>
  <c r="L82" i="15"/>
  <c r="R82" i="15" s="1"/>
  <c r="L102" i="15"/>
  <c r="R102" i="15" s="1"/>
  <c r="L118" i="15"/>
  <c r="R118" i="15" s="1"/>
  <c r="L49" i="15"/>
  <c r="L65" i="15"/>
  <c r="BD65" i="9" s="1"/>
  <c r="L83" i="15"/>
  <c r="L103" i="15"/>
  <c r="L119" i="15"/>
  <c r="L135" i="15"/>
  <c r="AB15" i="29" s="1"/>
  <c r="L63" i="15"/>
  <c r="BD63" i="9" s="1"/>
  <c r="R123" i="15"/>
  <c r="R90" i="15"/>
  <c r="R92" i="15"/>
  <c r="AA9" i="29"/>
  <c r="AA20" i="29" s="1"/>
  <c r="R115" i="15"/>
  <c r="AA16" i="29"/>
  <c r="E140" i="15"/>
  <c r="R107" i="15"/>
  <c r="V9" i="16"/>
  <c r="I140" i="15"/>
  <c r="AX42" i="9"/>
  <c r="AX76" i="9" s="1"/>
  <c r="Q76" i="15"/>
  <c r="Q140" i="15" s="1"/>
  <c r="O140" i="15"/>
  <c r="L117" i="15"/>
  <c r="R117" i="15" s="1"/>
  <c r="L81" i="15"/>
  <c r="L48" i="15"/>
  <c r="BD48" i="9" s="1"/>
  <c r="L31" i="15"/>
  <c r="BD31" i="9" s="1"/>
  <c r="L15" i="15"/>
  <c r="R121" i="15"/>
  <c r="R87" i="15"/>
  <c r="L109" i="15"/>
  <c r="R109" i="15" s="1"/>
  <c r="L71" i="15"/>
  <c r="L44" i="15"/>
  <c r="R44" i="15" s="1"/>
  <c r="L27" i="15"/>
  <c r="BD27" i="9" s="1"/>
  <c r="L11" i="15"/>
  <c r="R11" i="15" s="1"/>
  <c r="G140" i="15"/>
  <c r="J136" i="15"/>
  <c r="R120" i="15"/>
  <c r="R110" i="15"/>
  <c r="R103" i="15"/>
  <c r="R119" i="15"/>
  <c r="J127" i="15"/>
  <c r="J93" i="15"/>
  <c r="J84" i="15"/>
  <c r="I79" i="25"/>
  <c r="J79" i="25" s="1"/>
  <c r="AA18" i="29"/>
  <c r="U20" i="29"/>
  <c r="V20" i="29"/>
  <c r="BC42" i="9"/>
  <c r="BC76" i="9" s="1"/>
  <c r="J76" i="15"/>
  <c r="L59" i="13"/>
  <c r="AO59" i="9"/>
  <c r="AO70" i="9"/>
  <c r="G126" i="14"/>
  <c r="O126" i="14" s="1"/>
  <c r="AO61" i="9"/>
  <c r="AO68" i="9"/>
  <c r="O98" i="14"/>
  <c r="N119" i="14"/>
  <c r="M76" i="14"/>
  <c r="K14" i="14"/>
  <c r="O14" i="14" s="1"/>
  <c r="H8" i="16"/>
  <c r="AO54" i="9"/>
  <c r="K112" i="14"/>
  <c r="J119" i="14"/>
  <c r="N112" i="14"/>
  <c r="K100" i="14"/>
  <c r="O100" i="14" s="1"/>
  <c r="N56" i="14"/>
  <c r="G56" i="14"/>
  <c r="O56" i="14" s="1"/>
  <c r="O87" i="14"/>
  <c r="AO58" i="9"/>
  <c r="O23" i="14"/>
  <c r="K46" i="14"/>
  <c r="O46" i="14" s="1"/>
  <c r="N46" i="14"/>
  <c r="N47" i="14"/>
  <c r="N106" i="14"/>
  <c r="AO8" i="9"/>
  <c r="G95" i="14"/>
  <c r="O95" i="14" s="1"/>
  <c r="N95" i="14"/>
  <c r="AO26" i="9"/>
  <c r="G11" i="14"/>
  <c r="O11" i="14" s="1"/>
  <c r="G27" i="14"/>
  <c r="O27" i="14" s="1"/>
  <c r="AO42" i="9"/>
  <c r="G38" i="14"/>
  <c r="O38" i="14" s="1"/>
  <c r="G73" i="14"/>
  <c r="O73" i="14" s="1"/>
  <c r="N73" i="14"/>
  <c r="K103" i="14"/>
  <c r="O103" i="14" s="1"/>
  <c r="K25" i="14"/>
  <c r="O25" i="14" s="1"/>
  <c r="K37" i="14"/>
  <c r="O37" i="14" s="1"/>
  <c r="AO41" i="9"/>
  <c r="N98" i="14"/>
  <c r="K19" i="14"/>
  <c r="O19" i="14" s="1"/>
  <c r="N125" i="14"/>
  <c r="G125" i="14"/>
  <c r="O125" i="14" s="1"/>
  <c r="AO57" i="9"/>
  <c r="O134" i="14"/>
  <c r="L74" i="13"/>
  <c r="AR74" i="12" s="1"/>
  <c r="L21" i="13"/>
  <c r="AR21" i="12" s="1"/>
  <c r="AO39" i="9"/>
  <c r="AO14" i="9"/>
  <c r="O132" i="14"/>
  <c r="K138" i="14"/>
  <c r="AO69" i="9"/>
  <c r="AO31" i="9"/>
  <c r="AO13" i="9"/>
  <c r="O112" i="14"/>
  <c r="AO46" i="9"/>
  <c r="AO15" i="9"/>
  <c r="N33" i="14"/>
  <c r="K30" i="14"/>
  <c r="O30" i="14" s="1"/>
  <c r="G50" i="14"/>
  <c r="O50" i="14" s="1"/>
  <c r="J110" i="14"/>
  <c r="G62" i="14"/>
  <c r="O62" i="14" s="1"/>
  <c r="M110" i="14"/>
  <c r="M121" i="14" s="1"/>
  <c r="E121" i="14"/>
  <c r="E142" i="14" s="1"/>
  <c r="G10" i="14"/>
  <c r="O10" i="14" s="1"/>
  <c r="K105" i="14"/>
  <c r="O105" i="14" s="1"/>
  <c r="G36" i="14"/>
  <c r="O36" i="14" s="1"/>
  <c r="F76" i="14"/>
  <c r="G135" i="14"/>
  <c r="O135" i="14" s="1"/>
  <c r="N135" i="14"/>
  <c r="AO40" i="9"/>
  <c r="O81" i="14"/>
  <c r="L43" i="13"/>
  <c r="AO43" i="9"/>
  <c r="K34" i="14"/>
  <c r="O34" i="14" s="1"/>
  <c r="N34" i="14"/>
  <c r="AO75" i="9"/>
  <c r="L77" i="26"/>
  <c r="N77" i="26" s="1"/>
  <c r="AO45" i="9"/>
  <c r="N134" i="14"/>
  <c r="F138" i="14"/>
  <c r="J76" i="14"/>
  <c r="J121" i="14" s="1"/>
  <c r="N9" i="14"/>
  <c r="G44" i="14"/>
  <c r="O44" i="14" s="1"/>
  <c r="I77" i="25"/>
  <c r="J77" i="25" s="1"/>
  <c r="AO27" i="9"/>
  <c r="M138" i="14"/>
  <c r="L142" i="14"/>
  <c r="AO55" i="9"/>
  <c r="AO66" i="9"/>
  <c r="M129" i="14"/>
  <c r="M140" i="14" s="1"/>
  <c r="O107" i="14"/>
  <c r="AO51" i="9"/>
  <c r="K119" i="14"/>
  <c r="G110" i="14"/>
  <c r="L16" i="13"/>
  <c r="O33" i="14"/>
  <c r="AO65" i="9"/>
  <c r="L65" i="13"/>
  <c r="AR65" i="12" s="1"/>
  <c r="AO22" i="9"/>
  <c r="J129" i="14"/>
  <c r="N127" i="14"/>
  <c r="G117" i="14"/>
  <c r="O117" i="14" s="1"/>
  <c r="I14" i="29" s="1"/>
  <c r="I16" i="29" s="1"/>
  <c r="I18" i="29" s="1"/>
  <c r="K20" i="14"/>
  <c r="O20" i="14" s="1"/>
  <c r="AO17" i="9"/>
  <c r="AO67" i="9"/>
  <c r="K9" i="14"/>
  <c r="F119" i="14"/>
  <c r="N101" i="14"/>
  <c r="N110" i="14" s="1"/>
  <c r="K101" i="14"/>
  <c r="K110" i="14" s="1"/>
  <c r="K127" i="14"/>
  <c r="N132" i="14"/>
  <c r="J138" i="14"/>
  <c r="N28" i="14"/>
  <c r="N76" i="14" s="1"/>
  <c r="K28" i="14"/>
  <c r="O28" i="14" s="1"/>
  <c r="AO35" i="9"/>
  <c r="AO53" i="9"/>
  <c r="F129" i="14"/>
  <c r="N123" i="14"/>
  <c r="N129" i="14" s="1"/>
  <c r="G123" i="14"/>
  <c r="G29" i="14"/>
  <c r="O29" i="14" s="1"/>
  <c r="F110" i="14"/>
  <c r="AO47" i="9"/>
  <c r="G76" i="14"/>
  <c r="O62" i="12"/>
  <c r="P62" i="12" s="1"/>
  <c r="O19" i="12"/>
  <c r="P19" i="12" s="1"/>
  <c r="O69" i="12"/>
  <c r="P69" i="12" s="1"/>
  <c r="O52" i="12"/>
  <c r="P52" i="12" s="1"/>
  <c r="AC20" i="29"/>
  <c r="O46" i="12"/>
  <c r="P46" i="12" s="1"/>
  <c r="O74" i="12"/>
  <c r="P74" i="12" s="1"/>
  <c r="R74" i="12" s="1"/>
  <c r="L76" i="12"/>
  <c r="M16" i="12"/>
  <c r="N16" i="12" s="1"/>
  <c r="AB14" i="29"/>
  <c r="R134" i="15"/>
  <c r="BD62" i="9"/>
  <c r="R62" i="15"/>
  <c r="BD22" i="9"/>
  <c r="R22" i="15"/>
  <c r="BD46" i="9"/>
  <c r="BD29" i="9"/>
  <c r="BD13" i="9"/>
  <c r="R13" i="15"/>
  <c r="BD74" i="9"/>
  <c r="R74" i="15"/>
  <c r="BD45" i="9"/>
  <c r="R28" i="15"/>
  <c r="R12" i="15"/>
  <c r="BD12" i="9"/>
  <c r="BD60" i="9"/>
  <c r="R60" i="15"/>
  <c r="W7" i="16"/>
  <c r="AB12" i="29"/>
  <c r="R132" i="15"/>
  <c r="BD53" i="9"/>
  <c r="R53" i="15"/>
  <c r="BD69" i="9"/>
  <c r="R69" i="15"/>
  <c r="BD55" i="9"/>
  <c r="R55" i="15"/>
  <c r="BD35" i="9"/>
  <c r="R35" i="15"/>
  <c r="BD19" i="9"/>
  <c r="R19" i="15"/>
  <c r="BD54" i="9"/>
  <c r="R54" i="15"/>
  <c r="R34" i="15"/>
  <c r="BD34" i="9"/>
  <c r="BD67" i="9"/>
  <c r="R67" i="15"/>
  <c r="BD41" i="9"/>
  <c r="R41" i="15"/>
  <c r="BD9" i="9"/>
  <c r="R66" i="15"/>
  <c r="BD66" i="9"/>
  <c r="R40" i="15"/>
  <c r="R8" i="15"/>
  <c r="BD8" i="9"/>
  <c r="BD64" i="9"/>
  <c r="R64" i="15"/>
  <c r="BD57" i="9"/>
  <c r="BD73" i="9"/>
  <c r="R73" i="15"/>
  <c r="R95" i="15"/>
  <c r="AB7" i="29"/>
  <c r="R129" i="15"/>
  <c r="L136" i="15"/>
  <c r="BD15" i="9"/>
  <c r="R15" i="15"/>
  <c r="R80" i="15"/>
  <c r="BD47" i="9"/>
  <c r="R47" i="15"/>
  <c r="BD30" i="9"/>
  <c r="R30" i="15"/>
  <c r="BD14" i="9"/>
  <c r="R14" i="15"/>
  <c r="AB11" i="29"/>
  <c r="R131" i="15"/>
  <c r="BD59" i="9"/>
  <c r="R59" i="15"/>
  <c r="BD37" i="9"/>
  <c r="R37" i="15"/>
  <c r="BD21" i="9"/>
  <c r="R21" i="15"/>
  <c r="AB8" i="29"/>
  <c r="R130" i="15"/>
  <c r="R58" i="15"/>
  <c r="BD58" i="9"/>
  <c r="R36" i="15"/>
  <c r="BD36" i="9"/>
  <c r="BD52" i="9"/>
  <c r="R52" i="15"/>
  <c r="BD68" i="9"/>
  <c r="R68" i="15"/>
  <c r="BD61" i="9"/>
  <c r="W8" i="16"/>
  <c r="AB13" i="29"/>
  <c r="BD71" i="9"/>
  <c r="R71" i="15"/>
  <c r="BD44" i="9"/>
  <c r="BD43" i="9"/>
  <c r="R43" i="15"/>
  <c r="BD26" i="9"/>
  <c r="R26" i="15"/>
  <c r="R10" i="15"/>
  <c r="BD51" i="9"/>
  <c r="R51" i="15"/>
  <c r="BD33" i="9"/>
  <c r="R33" i="15"/>
  <c r="BD17" i="9"/>
  <c r="R17" i="15"/>
  <c r="R86" i="15"/>
  <c r="L93" i="15"/>
  <c r="BD32" i="9"/>
  <c r="R32" i="15"/>
  <c r="R16" i="15"/>
  <c r="BD16" i="9"/>
  <c r="BD56" i="9"/>
  <c r="R56" i="15"/>
  <c r="BD72" i="9"/>
  <c r="R72" i="15"/>
  <c r="R49" i="15"/>
  <c r="BD49" i="9"/>
  <c r="R63" i="15"/>
  <c r="BD23" i="9"/>
  <c r="R23" i="15"/>
  <c r="R7" i="15"/>
  <c r="B9" i="8"/>
  <c r="N14" i="17"/>
  <c r="AE14" i="17"/>
  <c r="G8" i="67"/>
  <c r="AO76" i="68"/>
  <c r="H39" i="30"/>
  <c r="H41" i="30" s="1"/>
  <c r="Y54" i="12"/>
  <c r="AT54" i="68"/>
  <c r="AS76" i="68"/>
  <c r="Y65" i="12"/>
  <c r="AT65" i="68"/>
  <c r="R67" i="12"/>
  <c r="R64" i="12"/>
  <c r="D42" i="67"/>
  <c r="H76" i="68"/>
  <c r="Y74" i="12"/>
  <c r="AT74" i="68"/>
  <c r="O30" i="12"/>
  <c r="P30" i="12" s="1"/>
  <c r="Y55" i="12"/>
  <c r="Y76" i="12" s="1"/>
  <c r="AT55" i="68"/>
  <c r="AV8" i="30"/>
  <c r="AV39" i="30" s="1"/>
  <c r="AV41" i="30" s="1"/>
  <c r="AR63" i="12"/>
  <c r="L72" i="13"/>
  <c r="L68" i="13"/>
  <c r="P7" i="12"/>
  <c r="Q10" i="30"/>
  <c r="R38" i="12"/>
  <c r="R43" i="12"/>
  <c r="O49" i="12"/>
  <c r="P49" i="12" s="1"/>
  <c r="O53" i="12"/>
  <c r="P53" i="12" s="1"/>
  <c r="O47" i="12"/>
  <c r="P47" i="12" s="1"/>
  <c r="O56" i="12"/>
  <c r="P56" i="12" s="1"/>
  <c r="O63" i="12"/>
  <c r="P63" i="12" s="1"/>
  <c r="R66" i="12"/>
  <c r="Q9" i="17"/>
  <c r="Q10" i="17"/>
  <c r="O8" i="12"/>
  <c r="P8" i="12" s="1"/>
  <c r="O28" i="12"/>
  <c r="P28" i="12" s="1"/>
  <c r="R9" i="12"/>
  <c r="L35" i="13"/>
  <c r="L8" i="13"/>
  <c r="R75" i="12"/>
  <c r="L48" i="13"/>
  <c r="R15" i="12"/>
  <c r="AR72" i="12"/>
  <c r="R19" i="12"/>
  <c r="L58" i="13"/>
  <c r="R21" i="12"/>
  <c r="H14" i="17"/>
  <c r="R36" i="12"/>
  <c r="R46" i="12"/>
  <c r="R58" i="12"/>
  <c r="Q8" i="30"/>
  <c r="K8" i="30"/>
  <c r="O25" i="12"/>
  <c r="P25" i="12" s="1"/>
  <c r="R33" i="12"/>
  <c r="L31" i="13"/>
  <c r="L12" i="13"/>
  <c r="R10" i="12"/>
  <c r="R22" i="12"/>
  <c r="AR52" i="12"/>
  <c r="O41" i="12"/>
  <c r="P41" i="12" s="1"/>
  <c r="I76" i="12"/>
  <c r="R37" i="12"/>
  <c r="O59" i="12"/>
  <c r="P59" i="12" s="1"/>
  <c r="K7" i="30"/>
  <c r="Q11" i="17"/>
  <c r="O26" i="12"/>
  <c r="P26" i="12" s="1"/>
  <c r="O31" i="12"/>
  <c r="P31" i="12" s="1"/>
  <c r="Q21" i="30"/>
  <c r="L41" i="13"/>
  <c r="O48" i="12"/>
  <c r="P48" i="12" s="1"/>
  <c r="O50" i="12"/>
  <c r="P50" i="12" s="1"/>
  <c r="O54" i="12"/>
  <c r="P54" i="12" s="1"/>
  <c r="L70" i="13"/>
  <c r="AB34" i="12"/>
  <c r="AB61" i="12"/>
  <c r="N39" i="30"/>
  <c r="N41" i="30" s="1"/>
  <c r="AR32" i="12"/>
  <c r="R44" i="12"/>
  <c r="K76" i="12"/>
  <c r="K9" i="17"/>
  <c r="R30" i="12"/>
  <c r="L13" i="13"/>
  <c r="R17" i="12"/>
  <c r="R23" i="12"/>
  <c r="R40" i="12"/>
  <c r="R42" i="12"/>
  <c r="R52" i="12"/>
  <c r="O57" i="12"/>
  <c r="P57" i="12" s="1"/>
  <c r="R73" i="12"/>
  <c r="O51" i="12"/>
  <c r="P51" i="12" s="1"/>
  <c r="O55" i="12"/>
  <c r="P55" i="12" s="1"/>
  <c r="R65" i="12"/>
  <c r="K7" i="17"/>
  <c r="K8" i="17"/>
  <c r="Q12" i="17"/>
  <c r="O29" i="12"/>
  <c r="P29" i="12" s="1"/>
  <c r="O32" i="12"/>
  <c r="P32" i="12" s="1"/>
  <c r="O45" i="12"/>
  <c r="P45" i="12" s="1"/>
  <c r="O70" i="12"/>
  <c r="P70" i="12" s="1"/>
  <c r="L60" i="13"/>
  <c r="R39" i="12"/>
  <c r="G76" i="12"/>
  <c r="R11" i="12"/>
  <c r="R12" i="12"/>
  <c r="E76" i="12"/>
  <c r="AB68" i="12"/>
  <c r="L7" i="13"/>
  <c r="R20" i="12"/>
  <c r="AR16" i="12"/>
  <c r="L71" i="13"/>
  <c r="L18" i="13"/>
  <c r="L75" i="13"/>
  <c r="L61" i="13"/>
  <c r="AR43" i="12"/>
  <c r="L17" i="13"/>
  <c r="L39" i="13"/>
  <c r="L24" i="13"/>
  <c r="AR49" i="12"/>
  <c r="AR59" i="12"/>
  <c r="L42" i="13"/>
  <c r="L40" i="13"/>
  <c r="L57" i="13"/>
  <c r="L51" i="13"/>
  <c r="AR64" i="12"/>
  <c r="AR68" i="12"/>
  <c r="AE39" i="30"/>
  <c r="AE41" i="30" s="1"/>
  <c r="H18" i="29" l="1"/>
  <c r="H20" i="29"/>
  <c r="D18" i="29"/>
  <c r="D20" i="29"/>
  <c r="O60" i="12"/>
  <c r="P60" i="12" s="1"/>
  <c r="O13" i="12"/>
  <c r="P13" i="12" s="1"/>
  <c r="O14" i="12"/>
  <c r="P14" i="12" s="1"/>
  <c r="R71" i="12"/>
  <c r="AB71" i="12" s="1"/>
  <c r="M76" i="25"/>
  <c r="M84" i="25" s="1"/>
  <c r="O35" i="12"/>
  <c r="P35" i="12" s="1"/>
  <c r="O18" i="12"/>
  <c r="P18" i="12" s="1"/>
  <c r="H76" i="13"/>
  <c r="E77" i="67"/>
  <c r="E3" i="67"/>
  <c r="R93" i="15"/>
  <c r="R70" i="15"/>
  <c r="R18" i="15"/>
  <c r="L84" i="15"/>
  <c r="R83" i="15"/>
  <c r="R50" i="15"/>
  <c r="R20" i="15"/>
  <c r="BD24" i="9"/>
  <c r="R75" i="15"/>
  <c r="R38" i="15"/>
  <c r="R39" i="15"/>
  <c r="R135" i="15"/>
  <c r="R136" i="15" s="1"/>
  <c r="R65" i="15"/>
  <c r="R25" i="15"/>
  <c r="R78" i="15"/>
  <c r="BD11" i="9"/>
  <c r="R31" i="15"/>
  <c r="L127" i="15"/>
  <c r="R81" i="15"/>
  <c r="R127" i="15"/>
  <c r="J140" i="15"/>
  <c r="R48" i="15"/>
  <c r="R27" i="15"/>
  <c r="N121" i="14"/>
  <c r="L77" i="27"/>
  <c r="N77" i="27" s="1"/>
  <c r="M142" i="14"/>
  <c r="G119" i="14"/>
  <c r="L26" i="13"/>
  <c r="AR26" i="12" s="1"/>
  <c r="AO23" i="9"/>
  <c r="AO56" i="9"/>
  <c r="O101" i="14"/>
  <c r="AO19" i="9"/>
  <c r="AO37" i="9"/>
  <c r="AO73" i="9"/>
  <c r="G121" i="14"/>
  <c r="AO25" i="9"/>
  <c r="AO38" i="9"/>
  <c r="AO11" i="9"/>
  <c r="L54" i="13"/>
  <c r="AR54" i="12" s="1"/>
  <c r="AO30" i="9"/>
  <c r="AO29" i="9"/>
  <c r="L53" i="13"/>
  <c r="AR53" i="12" s="1"/>
  <c r="AO28" i="9"/>
  <c r="K129" i="14"/>
  <c r="K140" i="14" s="1"/>
  <c r="O127" i="14"/>
  <c r="L27" i="13"/>
  <c r="AR27" i="12" s="1"/>
  <c r="L45" i="13"/>
  <c r="AR45" i="12" s="1"/>
  <c r="I7" i="29"/>
  <c r="I9" i="29" s="1"/>
  <c r="I20" i="29" s="1"/>
  <c r="O119" i="14"/>
  <c r="L69" i="13"/>
  <c r="AR69" i="12" s="1"/>
  <c r="L47" i="13"/>
  <c r="AR47" i="12" s="1"/>
  <c r="O123" i="14"/>
  <c r="G129" i="14"/>
  <c r="K76" i="14"/>
  <c r="K121" i="14" s="1"/>
  <c r="K142" i="14" s="1"/>
  <c r="L22" i="13"/>
  <c r="AR22" i="12" s="1"/>
  <c r="L55" i="13"/>
  <c r="AR55" i="12" s="1"/>
  <c r="AO44" i="9"/>
  <c r="AO10" i="9"/>
  <c r="AO62" i="9"/>
  <c r="N140" i="14"/>
  <c r="N142" i="14" s="1"/>
  <c r="AO20" i="9"/>
  <c r="AO33" i="9"/>
  <c r="L66" i="13"/>
  <c r="AR66" i="12" s="1"/>
  <c r="R77" i="26"/>
  <c r="P77" i="26"/>
  <c r="Q77" i="26" s="1"/>
  <c r="F121" i="14"/>
  <c r="L46" i="13"/>
  <c r="AR46" i="12" s="1"/>
  <c r="O138" i="14"/>
  <c r="G138" i="14"/>
  <c r="O110" i="14"/>
  <c r="F140" i="14"/>
  <c r="N138" i="14"/>
  <c r="L67" i="13"/>
  <c r="AR67" i="12" s="1"/>
  <c r="J140" i="14"/>
  <c r="J142" i="14" s="1"/>
  <c r="AO34" i="9"/>
  <c r="AO36" i="9"/>
  <c r="O9" i="14"/>
  <c r="AO50" i="9"/>
  <c r="L14" i="13"/>
  <c r="AR14" i="12" s="1"/>
  <c r="C76" i="13"/>
  <c r="G76" i="71" s="1"/>
  <c r="F76" i="27" s="1"/>
  <c r="F84" i="27" s="1"/>
  <c r="N76" i="12"/>
  <c r="O16" i="12"/>
  <c r="P16" i="12" s="1"/>
  <c r="R69" i="12"/>
  <c r="R62" i="12"/>
  <c r="G23" i="13"/>
  <c r="G25" i="13"/>
  <c r="G14" i="13"/>
  <c r="G33" i="13"/>
  <c r="G59" i="13"/>
  <c r="G18" i="13"/>
  <c r="G48" i="13"/>
  <c r="G69" i="13"/>
  <c r="G9" i="13"/>
  <c r="G24" i="13"/>
  <c r="G7" i="13"/>
  <c r="G41" i="13"/>
  <c r="G46" i="13"/>
  <c r="G64" i="13"/>
  <c r="G55" i="13"/>
  <c r="G61" i="13"/>
  <c r="G66" i="13"/>
  <c r="G67" i="13"/>
  <c r="G19" i="13"/>
  <c r="G53" i="13"/>
  <c r="G40" i="13"/>
  <c r="G42" i="13"/>
  <c r="G10" i="13"/>
  <c r="G49" i="13"/>
  <c r="G20" i="13"/>
  <c r="G27" i="13"/>
  <c r="G17" i="13"/>
  <c r="G73" i="13"/>
  <c r="G71" i="13"/>
  <c r="G26" i="13"/>
  <c r="G30" i="13"/>
  <c r="G38" i="13"/>
  <c r="G60" i="13"/>
  <c r="G75" i="13"/>
  <c r="G22" i="13"/>
  <c r="G32" i="13"/>
  <c r="G8" i="13"/>
  <c r="G50" i="13"/>
  <c r="G52" i="13"/>
  <c r="G13" i="13"/>
  <c r="G43" i="13"/>
  <c r="G39" i="13"/>
  <c r="G16" i="13"/>
  <c r="G74" i="13"/>
  <c r="G54" i="13"/>
  <c r="G31" i="13"/>
  <c r="G68" i="13"/>
  <c r="G56" i="13"/>
  <c r="G51" i="13"/>
  <c r="G15" i="13"/>
  <c r="G37" i="13"/>
  <c r="G58" i="13"/>
  <c r="G34" i="13"/>
  <c r="G47" i="13"/>
  <c r="G44" i="13"/>
  <c r="G36" i="13"/>
  <c r="G70" i="13"/>
  <c r="G12" i="13"/>
  <c r="G57" i="13"/>
  <c r="G65" i="13"/>
  <c r="G45" i="13"/>
  <c r="G11" i="13"/>
  <c r="G63" i="13"/>
  <c r="G28" i="13"/>
  <c r="G72" i="13"/>
  <c r="G21" i="13"/>
  <c r="G62" i="13"/>
  <c r="G29" i="13"/>
  <c r="G35" i="13"/>
  <c r="AB9" i="29"/>
  <c r="W9" i="16"/>
  <c r="F76" i="28"/>
  <c r="F84" i="28" s="1"/>
  <c r="F76" i="26"/>
  <c r="F84" i="26" s="1"/>
  <c r="AB16" i="29"/>
  <c r="AB18" i="29" s="1"/>
  <c r="K39" i="30"/>
  <c r="K41" i="30" s="1"/>
  <c r="E42" i="67"/>
  <c r="J42" i="67" s="1"/>
  <c r="S42" i="12" s="1"/>
  <c r="T42" i="12" s="1"/>
  <c r="D76" i="67"/>
  <c r="AB67" i="12"/>
  <c r="AT76" i="68"/>
  <c r="Q14" i="17"/>
  <c r="AB64" i="12"/>
  <c r="H8" i="67"/>
  <c r="G76" i="67"/>
  <c r="R57" i="12"/>
  <c r="AB44" i="12"/>
  <c r="AB37" i="12"/>
  <c r="R49" i="12"/>
  <c r="R45" i="12"/>
  <c r="K14" i="17"/>
  <c r="AB42" i="12"/>
  <c r="AB23" i="12"/>
  <c r="AR13" i="12"/>
  <c r="R54" i="12"/>
  <c r="R26" i="12"/>
  <c r="AB22" i="12"/>
  <c r="AR31" i="12"/>
  <c r="R8" i="12"/>
  <c r="R56" i="12"/>
  <c r="AB38" i="12"/>
  <c r="AB20" i="12"/>
  <c r="AB11" i="12"/>
  <c r="AR60" i="12"/>
  <c r="R50" i="12"/>
  <c r="AB75" i="12"/>
  <c r="R47" i="12"/>
  <c r="AB27" i="12"/>
  <c r="AR7" i="12"/>
  <c r="AB12" i="12"/>
  <c r="AB39" i="12"/>
  <c r="R32" i="12"/>
  <c r="R55" i="12"/>
  <c r="AB73" i="12"/>
  <c r="AB52" i="12"/>
  <c r="AR70" i="12"/>
  <c r="R48" i="12"/>
  <c r="AR41" i="12"/>
  <c r="AB10" i="12"/>
  <c r="AB33" i="12"/>
  <c r="AB74" i="12"/>
  <c r="AB36" i="12"/>
  <c r="AR48" i="12"/>
  <c r="AR35" i="12"/>
  <c r="AB66" i="12"/>
  <c r="AB43" i="12"/>
  <c r="O76" i="12"/>
  <c r="AB65" i="12"/>
  <c r="R51" i="12"/>
  <c r="AB30" i="12"/>
  <c r="AB58" i="12"/>
  <c r="AB21" i="12"/>
  <c r="R63" i="12"/>
  <c r="R70" i="12"/>
  <c r="R29" i="12"/>
  <c r="AB40" i="12"/>
  <c r="AB17" i="12"/>
  <c r="R31" i="12"/>
  <c r="R59" i="12"/>
  <c r="R41" i="12"/>
  <c r="AR12" i="12"/>
  <c r="R25" i="12"/>
  <c r="Q39" i="30"/>
  <c r="Q41" i="30" s="1"/>
  <c r="AB46" i="12"/>
  <c r="AR58" i="12"/>
  <c r="AB19" i="12"/>
  <c r="AB15" i="12"/>
  <c r="AR8" i="12"/>
  <c r="AB9" i="12"/>
  <c r="R28" i="12"/>
  <c r="R53" i="12"/>
  <c r="P76" i="12"/>
  <c r="R7" i="12"/>
  <c r="AR24" i="12"/>
  <c r="AR75" i="12"/>
  <c r="AR57" i="12"/>
  <c r="AR40" i="12"/>
  <c r="AR71" i="12"/>
  <c r="AR51" i="12"/>
  <c r="AR42" i="12"/>
  <c r="AR17" i="12"/>
  <c r="AR61" i="12"/>
  <c r="AR18" i="12"/>
  <c r="AR39" i="12"/>
  <c r="R35" i="12" l="1"/>
  <c r="AB35" i="12" s="1"/>
  <c r="R13" i="12"/>
  <c r="AB13" i="12" s="1"/>
  <c r="R14" i="12"/>
  <c r="AB14" i="12" s="1"/>
  <c r="R18" i="12"/>
  <c r="AB18" i="12" s="1"/>
  <c r="R60" i="12"/>
  <c r="AB60" i="12" s="1"/>
  <c r="E31" i="67"/>
  <c r="J31" i="67" s="1"/>
  <c r="S31" i="12" s="1"/>
  <c r="E9" i="67"/>
  <c r="J9" i="67" s="1"/>
  <c r="S9" i="12" s="1"/>
  <c r="T9" i="12" s="1"/>
  <c r="U9" i="12" s="1"/>
  <c r="E70" i="67"/>
  <c r="J70" i="67" s="1"/>
  <c r="S70" i="12" s="1"/>
  <c r="E40" i="67"/>
  <c r="J40" i="67" s="1"/>
  <c r="S40" i="12" s="1"/>
  <c r="T40" i="12" s="1"/>
  <c r="U40" i="12" s="1"/>
  <c r="E13" i="67"/>
  <c r="J13" i="67" s="1"/>
  <c r="S13" i="12" s="1"/>
  <c r="T13" i="12" s="1"/>
  <c r="X13" i="12" s="1"/>
  <c r="E67" i="67"/>
  <c r="J67" i="67" s="1"/>
  <c r="S67" i="12" s="1"/>
  <c r="T67" i="12" s="1"/>
  <c r="U67" i="12" s="1"/>
  <c r="E35" i="67"/>
  <c r="J35" i="67" s="1"/>
  <c r="S35" i="12" s="1"/>
  <c r="T35" i="12" s="1"/>
  <c r="E29" i="67"/>
  <c r="J29" i="67" s="1"/>
  <c r="S29" i="12" s="1"/>
  <c r="E68" i="67"/>
  <c r="J68" i="67" s="1"/>
  <c r="S68" i="12" s="1"/>
  <c r="T68" i="12" s="1"/>
  <c r="E66" i="67"/>
  <c r="J66" i="67" s="1"/>
  <c r="S66" i="12" s="1"/>
  <c r="T66" i="12" s="1"/>
  <c r="U66" i="12" s="1"/>
  <c r="E45" i="67"/>
  <c r="J45" i="67" s="1"/>
  <c r="S45" i="12" s="1"/>
  <c r="E33" i="67"/>
  <c r="J33" i="67" s="1"/>
  <c r="S33" i="12" s="1"/>
  <c r="T33" i="12" s="1"/>
  <c r="U33" i="12" s="1"/>
  <c r="E32" i="67"/>
  <c r="J32" i="67" s="1"/>
  <c r="S32" i="12" s="1"/>
  <c r="E74" i="67"/>
  <c r="J74" i="67" s="1"/>
  <c r="S74" i="12" s="1"/>
  <c r="T74" i="12" s="1"/>
  <c r="E28" i="67"/>
  <c r="J28" i="67" s="1"/>
  <c r="S28" i="12" s="1"/>
  <c r="E61" i="67"/>
  <c r="J61" i="67" s="1"/>
  <c r="S61" i="12" s="1"/>
  <c r="T61" i="12" s="1"/>
  <c r="E51" i="67"/>
  <c r="J51" i="67" s="1"/>
  <c r="S51" i="12" s="1"/>
  <c r="E65" i="67"/>
  <c r="J65" i="67" s="1"/>
  <c r="S65" i="12" s="1"/>
  <c r="T65" i="12" s="1"/>
  <c r="U65" i="12" s="1"/>
  <c r="E16" i="67"/>
  <c r="J16" i="67" s="1"/>
  <c r="S16" i="12" s="1"/>
  <c r="E37" i="67"/>
  <c r="J37" i="67" s="1"/>
  <c r="S37" i="12" s="1"/>
  <c r="T37" i="12" s="1"/>
  <c r="U37" i="12" s="1"/>
  <c r="V37" i="12" s="1"/>
  <c r="E39" i="67"/>
  <c r="J39" i="67" s="1"/>
  <c r="S39" i="12" s="1"/>
  <c r="T39" i="12" s="1"/>
  <c r="E8" i="67"/>
  <c r="E30" i="67"/>
  <c r="J30" i="67" s="1"/>
  <c r="S30" i="12" s="1"/>
  <c r="T30" i="12" s="1"/>
  <c r="U30" i="12" s="1"/>
  <c r="E7" i="67"/>
  <c r="J7" i="67" s="1"/>
  <c r="S7" i="12" s="1"/>
  <c r="E10" i="67"/>
  <c r="J10" i="67" s="1"/>
  <c r="S10" i="12" s="1"/>
  <c r="T10" i="12" s="1"/>
  <c r="U10" i="12" s="1"/>
  <c r="E52" i="67"/>
  <c r="J52" i="67" s="1"/>
  <c r="S52" i="12" s="1"/>
  <c r="T52" i="12" s="1"/>
  <c r="E24" i="67"/>
  <c r="J24" i="67" s="1"/>
  <c r="S24" i="12" s="1"/>
  <c r="T24" i="12" s="1"/>
  <c r="E49" i="67"/>
  <c r="J49" i="67" s="1"/>
  <c r="S49" i="12" s="1"/>
  <c r="E43" i="67"/>
  <c r="J43" i="67" s="1"/>
  <c r="S43" i="12" s="1"/>
  <c r="T43" i="12" s="1"/>
  <c r="U43" i="12" s="1"/>
  <c r="E34" i="67"/>
  <c r="J34" i="67" s="1"/>
  <c r="S34" i="12" s="1"/>
  <c r="T34" i="12" s="1"/>
  <c r="E75" i="67"/>
  <c r="J75" i="67" s="1"/>
  <c r="S75" i="12" s="1"/>
  <c r="T75" i="12" s="1"/>
  <c r="U75" i="12" s="1"/>
  <c r="E41" i="67"/>
  <c r="J41" i="67" s="1"/>
  <c r="S41" i="12" s="1"/>
  <c r="E55" i="67"/>
  <c r="J55" i="67" s="1"/>
  <c r="S55" i="12" s="1"/>
  <c r="E63" i="67"/>
  <c r="J63" i="67" s="1"/>
  <c r="S63" i="12" s="1"/>
  <c r="E57" i="67"/>
  <c r="J57" i="67" s="1"/>
  <c r="S57" i="12" s="1"/>
  <c r="E15" i="67"/>
  <c r="J15" i="67" s="1"/>
  <c r="S15" i="12" s="1"/>
  <c r="T15" i="12" s="1"/>
  <c r="AA15" i="12" s="1"/>
  <c r="E69" i="67"/>
  <c r="J69" i="67" s="1"/>
  <c r="S69" i="12" s="1"/>
  <c r="E48" i="67"/>
  <c r="J48" i="67" s="1"/>
  <c r="S48" i="12" s="1"/>
  <c r="E60" i="67"/>
  <c r="J60" i="67" s="1"/>
  <c r="S60" i="12" s="1"/>
  <c r="T60" i="12" s="1"/>
  <c r="U60" i="12" s="1"/>
  <c r="E36" i="67"/>
  <c r="J36" i="67" s="1"/>
  <c r="S36" i="12" s="1"/>
  <c r="T36" i="12" s="1"/>
  <c r="U36" i="12" s="1"/>
  <c r="E21" i="67"/>
  <c r="J21" i="67" s="1"/>
  <c r="S21" i="12" s="1"/>
  <c r="T21" i="12" s="1"/>
  <c r="E64" i="67"/>
  <c r="J64" i="67" s="1"/>
  <c r="S64" i="12" s="1"/>
  <c r="T64" i="12" s="1"/>
  <c r="E23" i="67"/>
  <c r="J23" i="67" s="1"/>
  <c r="S23" i="12" s="1"/>
  <c r="T23" i="12" s="1"/>
  <c r="E46" i="67"/>
  <c r="J46" i="67" s="1"/>
  <c r="S46" i="12" s="1"/>
  <c r="T46" i="12" s="1"/>
  <c r="U46" i="12" s="1"/>
  <c r="E53" i="67"/>
  <c r="J53" i="67" s="1"/>
  <c r="S53" i="12" s="1"/>
  <c r="E12" i="67"/>
  <c r="J12" i="67" s="1"/>
  <c r="S12" i="12" s="1"/>
  <c r="T12" i="12" s="1"/>
  <c r="E47" i="67"/>
  <c r="J47" i="67" s="1"/>
  <c r="S47" i="12" s="1"/>
  <c r="E22" i="67"/>
  <c r="J22" i="67" s="1"/>
  <c r="S22" i="12" s="1"/>
  <c r="T22" i="12" s="1"/>
  <c r="U22" i="12" s="1"/>
  <c r="E50" i="67"/>
  <c r="J50" i="67" s="1"/>
  <c r="S50" i="12" s="1"/>
  <c r="E59" i="67"/>
  <c r="J59" i="67" s="1"/>
  <c r="S59" i="12" s="1"/>
  <c r="E62" i="67"/>
  <c r="J62" i="67" s="1"/>
  <c r="S62" i="12" s="1"/>
  <c r="E73" i="67"/>
  <c r="J73" i="67" s="1"/>
  <c r="S73" i="12" s="1"/>
  <c r="T73" i="12" s="1"/>
  <c r="AA73" i="12" s="1"/>
  <c r="E26" i="67"/>
  <c r="J26" i="67" s="1"/>
  <c r="S26" i="12" s="1"/>
  <c r="E58" i="67"/>
  <c r="J58" i="67" s="1"/>
  <c r="S58" i="12" s="1"/>
  <c r="T58" i="12" s="1"/>
  <c r="E25" i="67"/>
  <c r="J25" i="67" s="1"/>
  <c r="S25" i="12" s="1"/>
  <c r="E27" i="67"/>
  <c r="J27" i="67" s="1"/>
  <c r="S27" i="12" s="1"/>
  <c r="T27" i="12" s="1"/>
  <c r="U27" i="12" s="1"/>
  <c r="V27" i="12" s="1"/>
  <c r="E38" i="67"/>
  <c r="J38" i="67" s="1"/>
  <c r="S38" i="12" s="1"/>
  <c r="T38" i="12" s="1"/>
  <c r="U38" i="12" s="1"/>
  <c r="E20" i="67"/>
  <c r="J20" i="67" s="1"/>
  <c r="S20" i="12" s="1"/>
  <c r="T20" i="12" s="1"/>
  <c r="U20" i="12" s="1"/>
  <c r="E54" i="67"/>
  <c r="J54" i="67" s="1"/>
  <c r="S54" i="12" s="1"/>
  <c r="E18" i="67"/>
  <c r="J18" i="67" s="1"/>
  <c r="S18" i="12" s="1"/>
  <c r="T18" i="12" s="1"/>
  <c r="W18" i="12" s="1"/>
  <c r="E11" i="67"/>
  <c r="J11" i="67" s="1"/>
  <c r="S11" i="12" s="1"/>
  <c r="T11" i="12" s="1"/>
  <c r="E17" i="67"/>
  <c r="J17" i="67" s="1"/>
  <c r="S17" i="12" s="1"/>
  <c r="T17" i="12" s="1"/>
  <c r="U17" i="12" s="1"/>
  <c r="E56" i="67"/>
  <c r="J56" i="67" s="1"/>
  <c r="S56" i="12" s="1"/>
  <c r="E72" i="67"/>
  <c r="J72" i="67" s="1"/>
  <c r="S72" i="12" s="1"/>
  <c r="T72" i="12" s="1"/>
  <c r="E14" i="67"/>
  <c r="J14" i="67" s="1"/>
  <c r="S14" i="12" s="1"/>
  <c r="T14" i="12" s="1"/>
  <c r="U14" i="12" s="1"/>
  <c r="E44" i="67"/>
  <c r="J44" i="67" s="1"/>
  <c r="S44" i="12" s="1"/>
  <c r="T44" i="12" s="1"/>
  <c r="U44" i="12" s="1"/>
  <c r="E19" i="67"/>
  <c r="J19" i="67" s="1"/>
  <c r="S19" i="12" s="1"/>
  <c r="T19" i="12" s="1"/>
  <c r="U19" i="12" s="1"/>
  <c r="E71" i="67"/>
  <c r="J71" i="67" s="1"/>
  <c r="S71" i="12" s="1"/>
  <c r="T71" i="12" s="1"/>
  <c r="U64" i="12"/>
  <c r="R84" i="15"/>
  <c r="L11" i="13"/>
  <c r="AR11" i="12" s="1"/>
  <c r="L25" i="13"/>
  <c r="AR25" i="12" s="1"/>
  <c r="L38" i="13"/>
  <c r="AR38" i="12" s="1"/>
  <c r="L37" i="13"/>
  <c r="AR37" i="12" s="1"/>
  <c r="L73" i="13"/>
  <c r="AR73" i="12" s="1"/>
  <c r="L19" i="13"/>
  <c r="AR19" i="12" s="1"/>
  <c r="L56" i="13"/>
  <c r="AR56" i="12" s="1"/>
  <c r="R77" i="27"/>
  <c r="P77" i="27"/>
  <c r="Q77" i="27" s="1"/>
  <c r="L36" i="13"/>
  <c r="AR36" i="12" s="1"/>
  <c r="L20" i="13"/>
  <c r="AR20" i="12" s="1"/>
  <c r="L77" i="28"/>
  <c r="N77" i="28" s="1"/>
  <c r="L50" i="13"/>
  <c r="AR50" i="12" s="1"/>
  <c r="F142" i="14"/>
  <c r="L10" i="13"/>
  <c r="AR10" i="12" s="1"/>
  <c r="G140" i="14"/>
  <c r="G142" i="14" s="1"/>
  <c r="L28" i="13"/>
  <c r="AR28" i="12" s="1"/>
  <c r="L29" i="13"/>
  <c r="AR29" i="12" s="1"/>
  <c r="L30" i="13"/>
  <c r="AR30" i="12" s="1"/>
  <c r="AO9" i="9"/>
  <c r="AO76" i="9" s="1"/>
  <c r="O76" i="14"/>
  <c r="L34" i="13"/>
  <c r="AR34" i="12" s="1"/>
  <c r="L33" i="13"/>
  <c r="AR33" i="12" s="1"/>
  <c r="L62" i="13"/>
  <c r="AR62" i="12" s="1"/>
  <c r="L44" i="13"/>
  <c r="AR44" i="12" s="1"/>
  <c r="O129" i="14"/>
  <c r="O140" i="14" s="1"/>
  <c r="H7" i="16"/>
  <c r="H9" i="16" s="1"/>
  <c r="AB62" i="12"/>
  <c r="T62" i="12"/>
  <c r="R16" i="12"/>
  <c r="R76" i="12" s="1"/>
  <c r="AB69" i="12"/>
  <c r="T69" i="12"/>
  <c r="K28" i="13"/>
  <c r="J28" i="13"/>
  <c r="AJ28" i="12" s="1"/>
  <c r="AK28" i="12" s="1"/>
  <c r="J36" i="13"/>
  <c r="AJ36" i="12" s="1"/>
  <c r="AK36" i="12" s="1"/>
  <c r="K36" i="13"/>
  <c r="K56" i="13"/>
  <c r="J56" i="13"/>
  <c r="AJ56" i="12" s="1"/>
  <c r="AK56" i="12" s="1"/>
  <c r="K13" i="13"/>
  <c r="J13" i="13"/>
  <c r="AJ13" i="12" s="1"/>
  <c r="AK13" i="12" s="1"/>
  <c r="K32" i="13"/>
  <c r="J32" i="13"/>
  <c r="AJ32" i="12" s="1"/>
  <c r="AK32" i="12" s="1"/>
  <c r="K73" i="13"/>
  <c r="J73" i="13"/>
  <c r="AJ73" i="12" s="1"/>
  <c r="AK73" i="12" s="1"/>
  <c r="J61" i="13"/>
  <c r="AJ61" i="12" s="1"/>
  <c r="AK61" i="12" s="1"/>
  <c r="K61" i="13"/>
  <c r="J41" i="13"/>
  <c r="AJ41" i="12" s="1"/>
  <c r="AK41" i="12" s="1"/>
  <c r="K41" i="13"/>
  <c r="J33" i="13"/>
  <c r="AJ33" i="12" s="1"/>
  <c r="AK33" i="12" s="1"/>
  <c r="K33" i="13"/>
  <c r="K62" i="13"/>
  <c r="J62" i="13"/>
  <c r="AJ62" i="12" s="1"/>
  <c r="AK62" i="12" s="1"/>
  <c r="K57" i="13"/>
  <c r="J57" i="13"/>
  <c r="AJ57" i="12" s="1"/>
  <c r="AK57" i="12" s="1"/>
  <c r="K37" i="13"/>
  <c r="J37" i="13"/>
  <c r="AJ37" i="12" s="1"/>
  <c r="AK37" i="12" s="1"/>
  <c r="J16" i="13"/>
  <c r="AJ16" i="12" s="1"/>
  <c r="AK16" i="12" s="1"/>
  <c r="K16" i="13"/>
  <c r="K22" i="13"/>
  <c r="J22" i="13"/>
  <c r="AJ22" i="12" s="1"/>
  <c r="AK22" i="12" s="1"/>
  <c r="K17" i="13"/>
  <c r="J17" i="13"/>
  <c r="AJ17" i="12" s="1"/>
  <c r="AK17" i="12" s="1"/>
  <c r="K10" i="13"/>
  <c r="J10" i="13"/>
  <c r="AJ10" i="12" s="1"/>
  <c r="AK10" i="12" s="1"/>
  <c r="K19" i="13"/>
  <c r="J19" i="13"/>
  <c r="AJ19" i="12" s="1"/>
  <c r="AK19" i="12" s="1"/>
  <c r="J55" i="13"/>
  <c r="AJ55" i="12" s="1"/>
  <c r="AK55" i="12" s="1"/>
  <c r="K55" i="13"/>
  <c r="J7" i="13"/>
  <c r="K7" i="13"/>
  <c r="G76" i="13"/>
  <c r="J48" i="13"/>
  <c r="AJ48" i="12" s="1"/>
  <c r="AK48" i="12" s="1"/>
  <c r="K48" i="13"/>
  <c r="K21" i="13"/>
  <c r="J21" i="13"/>
  <c r="AJ21" i="12" s="1"/>
  <c r="AK21" i="12" s="1"/>
  <c r="J11" i="13"/>
  <c r="AJ11" i="12" s="1"/>
  <c r="AK11" i="12" s="1"/>
  <c r="K11" i="13"/>
  <c r="K12" i="13"/>
  <c r="J12" i="13"/>
  <c r="AJ12" i="12" s="1"/>
  <c r="AK12" i="12" s="1"/>
  <c r="J47" i="13"/>
  <c r="AJ47" i="12" s="1"/>
  <c r="AK47" i="12" s="1"/>
  <c r="K47" i="13"/>
  <c r="J15" i="13"/>
  <c r="AJ15" i="12" s="1"/>
  <c r="AK15" i="12" s="1"/>
  <c r="K15" i="13"/>
  <c r="K31" i="13"/>
  <c r="J31" i="13"/>
  <c r="AJ31" i="12" s="1"/>
  <c r="AK31" i="12" s="1"/>
  <c r="K39" i="13"/>
  <c r="J39" i="13"/>
  <c r="AJ39" i="12" s="1"/>
  <c r="AK39" i="12" s="1"/>
  <c r="J50" i="13"/>
  <c r="AJ50" i="12" s="1"/>
  <c r="AK50" i="12" s="1"/>
  <c r="K50" i="13"/>
  <c r="K75" i="13"/>
  <c r="J75" i="13"/>
  <c r="AJ75" i="12" s="1"/>
  <c r="AK75" i="12" s="1"/>
  <c r="K26" i="13"/>
  <c r="J26" i="13"/>
  <c r="AJ26" i="12" s="1"/>
  <c r="AK26" i="12" s="1"/>
  <c r="K27" i="13"/>
  <c r="J27" i="13"/>
  <c r="AJ27" i="12" s="1"/>
  <c r="AK27" i="12" s="1"/>
  <c r="J42" i="13"/>
  <c r="AJ42" i="12" s="1"/>
  <c r="AK42" i="12" s="1"/>
  <c r="K42" i="13"/>
  <c r="J67" i="13"/>
  <c r="AJ67" i="12" s="1"/>
  <c r="AK67" i="12" s="1"/>
  <c r="K67" i="13"/>
  <c r="K64" i="13"/>
  <c r="J64" i="13"/>
  <c r="AJ64" i="12" s="1"/>
  <c r="AK64" i="12" s="1"/>
  <c r="J24" i="13"/>
  <c r="AJ24" i="12" s="1"/>
  <c r="AK24" i="12" s="1"/>
  <c r="K24" i="13"/>
  <c r="K18" i="13"/>
  <c r="J18" i="13"/>
  <c r="AJ18" i="12" s="1"/>
  <c r="AK18" i="12" s="1"/>
  <c r="K25" i="13"/>
  <c r="J25" i="13"/>
  <c r="AJ25" i="12" s="1"/>
  <c r="AK25" i="12" s="1"/>
  <c r="K29" i="13"/>
  <c r="J29" i="13"/>
  <c r="AJ29" i="12" s="1"/>
  <c r="AK29" i="12" s="1"/>
  <c r="K65" i="13"/>
  <c r="J65" i="13"/>
  <c r="AJ65" i="12" s="1"/>
  <c r="AK65" i="12" s="1"/>
  <c r="J58" i="13"/>
  <c r="AJ58" i="12" s="1"/>
  <c r="AK58" i="12" s="1"/>
  <c r="K58" i="13"/>
  <c r="J74" i="13"/>
  <c r="AJ74" i="12" s="1"/>
  <c r="AK74" i="12" s="1"/>
  <c r="K74" i="13"/>
  <c r="J38" i="13"/>
  <c r="AJ38" i="12" s="1"/>
  <c r="AK38" i="12" s="1"/>
  <c r="K38" i="13"/>
  <c r="K49" i="13"/>
  <c r="J49" i="13"/>
  <c r="AJ49" i="12" s="1"/>
  <c r="AK49" i="12" s="1"/>
  <c r="K53" i="13"/>
  <c r="J53" i="13"/>
  <c r="AJ53" i="12" s="1"/>
  <c r="AK53" i="12" s="1"/>
  <c r="J69" i="13"/>
  <c r="AJ69" i="12" s="1"/>
  <c r="AK69" i="12" s="1"/>
  <c r="K69" i="13"/>
  <c r="K63" i="13"/>
  <c r="J63" i="13"/>
  <c r="AJ63" i="12" s="1"/>
  <c r="AK63" i="12" s="1"/>
  <c r="K44" i="13"/>
  <c r="J44" i="13"/>
  <c r="AJ44" i="12" s="1"/>
  <c r="AK44" i="12" s="1"/>
  <c r="K68" i="13"/>
  <c r="J68" i="13"/>
  <c r="AJ68" i="12" s="1"/>
  <c r="AK68" i="12" s="1"/>
  <c r="J52" i="13"/>
  <c r="AJ52" i="12" s="1"/>
  <c r="AK52" i="12" s="1"/>
  <c r="K52" i="13"/>
  <c r="J30" i="13"/>
  <c r="AJ30" i="12" s="1"/>
  <c r="AK30" i="12" s="1"/>
  <c r="K30" i="13"/>
  <c r="J14" i="13"/>
  <c r="AJ14" i="12" s="1"/>
  <c r="AK14" i="12" s="1"/>
  <c r="K14" i="13"/>
  <c r="J35" i="13"/>
  <c r="AJ35" i="12" s="1"/>
  <c r="AK35" i="12" s="1"/>
  <c r="K35" i="13"/>
  <c r="J72" i="13"/>
  <c r="AJ72" i="12" s="1"/>
  <c r="AK72" i="12" s="1"/>
  <c r="K72" i="13"/>
  <c r="K45" i="13"/>
  <c r="J45" i="13"/>
  <c r="AJ45" i="12" s="1"/>
  <c r="AK45" i="12" s="1"/>
  <c r="J70" i="13"/>
  <c r="AJ70" i="12" s="1"/>
  <c r="AK70" i="12" s="1"/>
  <c r="K70" i="13"/>
  <c r="J34" i="13"/>
  <c r="AJ34" i="12" s="1"/>
  <c r="AK34" i="12" s="1"/>
  <c r="K34" i="13"/>
  <c r="K51" i="13"/>
  <c r="J51" i="13"/>
  <c r="AJ51" i="12" s="1"/>
  <c r="AK51" i="12" s="1"/>
  <c r="J54" i="13"/>
  <c r="AJ54" i="12" s="1"/>
  <c r="AK54" i="12" s="1"/>
  <c r="K54" i="13"/>
  <c r="K43" i="13"/>
  <c r="J43" i="13"/>
  <c r="AJ43" i="12" s="1"/>
  <c r="AK43" i="12" s="1"/>
  <c r="K8" i="13"/>
  <c r="J8" i="13"/>
  <c r="AJ8" i="12" s="1"/>
  <c r="AK8" i="12" s="1"/>
  <c r="J60" i="13"/>
  <c r="AJ60" i="12" s="1"/>
  <c r="AK60" i="12" s="1"/>
  <c r="K60" i="13"/>
  <c r="J71" i="13"/>
  <c r="AJ71" i="12" s="1"/>
  <c r="AK71" i="12" s="1"/>
  <c r="K71" i="13"/>
  <c r="J20" i="13"/>
  <c r="AJ20" i="12" s="1"/>
  <c r="AK20" i="12" s="1"/>
  <c r="K20" i="13"/>
  <c r="K40" i="13"/>
  <c r="J40" i="13"/>
  <c r="AJ40" i="12" s="1"/>
  <c r="AK40" i="12" s="1"/>
  <c r="J66" i="13"/>
  <c r="AJ66" i="12" s="1"/>
  <c r="AK66" i="12" s="1"/>
  <c r="K66" i="13"/>
  <c r="J46" i="13"/>
  <c r="AJ46" i="12" s="1"/>
  <c r="AK46" i="12" s="1"/>
  <c r="K46" i="13"/>
  <c r="J9" i="13"/>
  <c r="AJ9" i="12" s="1"/>
  <c r="AK9" i="12" s="1"/>
  <c r="K9" i="13"/>
  <c r="J59" i="13"/>
  <c r="AJ59" i="12" s="1"/>
  <c r="AK59" i="12" s="1"/>
  <c r="K59" i="13"/>
  <c r="J23" i="13"/>
  <c r="AJ23" i="12" s="1"/>
  <c r="AK23" i="12" s="1"/>
  <c r="K23" i="13"/>
  <c r="AB20" i="29"/>
  <c r="BD42" i="9"/>
  <c r="BD76" i="9" s="1"/>
  <c r="R42" i="15"/>
  <c r="L76" i="15"/>
  <c r="L140" i="15" s="1"/>
  <c r="V67" i="12"/>
  <c r="W67" i="12"/>
  <c r="AA67" i="12"/>
  <c r="Z67" i="12"/>
  <c r="AC67" i="12" s="1"/>
  <c r="X67" i="12"/>
  <c r="H76" i="67"/>
  <c r="J8" i="67"/>
  <c r="V64" i="12"/>
  <c r="V60" i="12"/>
  <c r="V36" i="12"/>
  <c r="V65" i="12"/>
  <c r="V46" i="12"/>
  <c r="V19" i="12"/>
  <c r="AB31" i="12"/>
  <c r="T31" i="12"/>
  <c r="Z21" i="12"/>
  <c r="AC21" i="12" s="1"/>
  <c r="X21" i="12"/>
  <c r="W21" i="12"/>
  <c r="AA21" i="12"/>
  <c r="V10" i="12"/>
  <c r="AA52" i="12"/>
  <c r="Z52" i="12"/>
  <c r="AC52" i="12" s="1"/>
  <c r="X52" i="12"/>
  <c r="W52" i="12"/>
  <c r="AB8" i="12"/>
  <c r="AB54" i="12"/>
  <c r="T54" i="12"/>
  <c r="U54" i="12" s="1"/>
  <c r="T59" i="12"/>
  <c r="U59" i="12" s="1"/>
  <c r="AB59" i="12"/>
  <c r="V30" i="12"/>
  <c r="V33" i="12"/>
  <c r="V14" i="12"/>
  <c r="U52" i="12"/>
  <c r="T55" i="12"/>
  <c r="U55" i="12" s="1"/>
  <c r="AB55" i="12"/>
  <c r="AA12" i="12"/>
  <c r="X12" i="12"/>
  <c r="Z12" i="12"/>
  <c r="AC12" i="12" s="1"/>
  <c r="W12" i="12"/>
  <c r="X18" i="12"/>
  <c r="X11" i="12"/>
  <c r="W11" i="12"/>
  <c r="AA11" i="12"/>
  <c r="Z11" i="12"/>
  <c r="AC11" i="12" s="1"/>
  <c r="V20" i="12"/>
  <c r="V38" i="12"/>
  <c r="W22" i="12"/>
  <c r="AB26" i="12"/>
  <c r="T26" i="12"/>
  <c r="U26" i="12" s="1"/>
  <c r="V44" i="12"/>
  <c r="Z13" i="12"/>
  <c r="AC13" i="12" s="1"/>
  <c r="AB32" i="12"/>
  <c r="T32" i="12"/>
  <c r="V22" i="12"/>
  <c r="W23" i="12"/>
  <c r="X23" i="12"/>
  <c r="Z23" i="12"/>
  <c r="AC23" i="12" s="1"/>
  <c r="AA23" i="12"/>
  <c r="AB45" i="12"/>
  <c r="T45" i="12"/>
  <c r="Z15" i="12"/>
  <c r="AC15" i="12" s="1"/>
  <c r="Z19" i="12"/>
  <c r="AC19" i="12" s="1"/>
  <c r="X19" i="12"/>
  <c r="W19" i="12"/>
  <c r="AA19" i="12"/>
  <c r="AB53" i="12"/>
  <c r="T53" i="12"/>
  <c r="T28" i="12"/>
  <c r="U28" i="12" s="1"/>
  <c r="AB28" i="12"/>
  <c r="AB41" i="12"/>
  <c r="T41" i="12"/>
  <c r="U41" i="12" s="1"/>
  <c r="V40" i="12"/>
  <c r="AB29" i="12"/>
  <c r="T29" i="12"/>
  <c r="AB63" i="12"/>
  <c r="T63" i="12"/>
  <c r="U63" i="12" s="1"/>
  <c r="X58" i="12"/>
  <c r="W58" i="12"/>
  <c r="AA58" i="12"/>
  <c r="Z58" i="12"/>
  <c r="AC58" i="12" s="1"/>
  <c r="Z30" i="12"/>
  <c r="AC30" i="12" s="1"/>
  <c r="X30" i="12"/>
  <c r="W30" i="12"/>
  <c r="AA30" i="12"/>
  <c r="T51" i="12"/>
  <c r="U51" i="12" s="1"/>
  <c r="AB51" i="12"/>
  <c r="W43" i="12"/>
  <c r="Z43" i="12"/>
  <c r="AC43" i="12" s="1"/>
  <c r="X43" i="12"/>
  <c r="AA43" i="12"/>
  <c r="V66" i="12"/>
  <c r="X74" i="12"/>
  <c r="Z74" i="12"/>
  <c r="AC74" i="12" s="1"/>
  <c r="AA74" i="12"/>
  <c r="W74" i="12"/>
  <c r="Z33" i="12"/>
  <c r="AC33" i="12" s="1"/>
  <c r="AA33" i="12"/>
  <c r="W33" i="12"/>
  <c r="X33" i="12"/>
  <c r="AA39" i="12"/>
  <c r="Z39" i="12"/>
  <c r="AC39" i="12" s="1"/>
  <c r="W39" i="12"/>
  <c r="X39" i="12"/>
  <c r="U18" i="12"/>
  <c r="AB47" i="12"/>
  <c r="T47" i="12"/>
  <c r="U11" i="12"/>
  <c r="X20" i="12"/>
  <c r="Z20" i="12"/>
  <c r="AC20" i="12" s="1"/>
  <c r="W20" i="12"/>
  <c r="AA20" i="12"/>
  <c r="AB56" i="12"/>
  <c r="T56" i="12"/>
  <c r="W42" i="12"/>
  <c r="Z42" i="12"/>
  <c r="AC42" i="12" s="1"/>
  <c r="X42" i="12"/>
  <c r="AA42" i="12"/>
  <c r="AB49" i="12"/>
  <c r="T49" i="12"/>
  <c r="U49" i="12" s="1"/>
  <c r="X37" i="12"/>
  <c r="AB57" i="12"/>
  <c r="T57" i="12"/>
  <c r="AB7" i="12"/>
  <c r="T7" i="12"/>
  <c r="U7" i="12" s="1"/>
  <c r="V9" i="12"/>
  <c r="V17" i="12"/>
  <c r="T70" i="12"/>
  <c r="U70" i="12" s="1"/>
  <c r="AB70" i="12"/>
  <c r="AA65" i="12"/>
  <c r="Z65" i="12"/>
  <c r="AC65" i="12" s="1"/>
  <c r="X65" i="12"/>
  <c r="W65" i="12"/>
  <c r="V43" i="12"/>
  <c r="Z60" i="12"/>
  <c r="AC60" i="12" s="1"/>
  <c r="X60" i="12"/>
  <c r="W60" i="12"/>
  <c r="AA60" i="12"/>
  <c r="T48" i="12"/>
  <c r="AB48" i="12"/>
  <c r="X73" i="12"/>
  <c r="V75" i="12"/>
  <c r="AB50" i="12"/>
  <c r="T50" i="12"/>
  <c r="U50" i="12" s="1"/>
  <c r="X9" i="12"/>
  <c r="Z9" i="12"/>
  <c r="AC9" i="12" s="1"/>
  <c r="AA9" i="12"/>
  <c r="W9" i="12"/>
  <c r="Z46" i="12"/>
  <c r="AC46" i="12" s="1"/>
  <c r="AB25" i="12"/>
  <c r="T25" i="12"/>
  <c r="U25" i="12" s="1"/>
  <c r="X17" i="12"/>
  <c r="AA17" i="12"/>
  <c r="Z17" i="12"/>
  <c r="AC17" i="12" s="1"/>
  <c r="W17" i="12"/>
  <c r="W40" i="12"/>
  <c r="X40" i="12"/>
  <c r="Z40" i="12"/>
  <c r="AC40" i="12" s="1"/>
  <c r="AA40" i="12"/>
  <c r="U21" i="12"/>
  <c r="U58" i="12"/>
  <c r="Z66" i="12"/>
  <c r="AC66" i="12" s="1"/>
  <c r="X66" i="12"/>
  <c r="W66" i="12"/>
  <c r="AA66" i="12"/>
  <c r="X36" i="12"/>
  <c r="U74" i="12"/>
  <c r="X10" i="12"/>
  <c r="Z10" i="12"/>
  <c r="AC10" i="12" s="1"/>
  <c r="W10" i="12"/>
  <c r="AA10" i="12"/>
  <c r="AA14" i="12"/>
  <c r="Z14" i="12"/>
  <c r="AC14" i="12" s="1"/>
  <c r="X14" i="12"/>
  <c r="W14" i="12"/>
  <c r="U39" i="12"/>
  <c r="U12" i="12"/>
  <c r="Z27" i="12"/>
  <c r="AC27" i="12" s="1"/>
  <c r="AA75" i="12"/>
  <c r="Z75" i="12"/>
  <c r="AC75" i="12" s="1"/>
  <c r="X75" i="12"/>
  <c r="W75" i="12"/>
  <c r="W38" i="12"/>
  <c r="AA38" i="12"/>
  <c r="Z38" i="12"/>
  <c r="AC38" i="12" s="1"/>
  <c r="X38" i="12"/>
  <c r="U23" i="12"/>
  <c r="U42" i="12"/>
  <c r="X44" i="12"/>
  <c r="Z44" i="12"/>
  <c r="AC44" i="12" s="1"/>
  <c r="AA44" i="12"/>
  <c r="W44" i="12"/>
  <c r="AA37" i="12" l="1"/>
  <c r="U15" i="12"/>
  <c r="X15" i="12"/>
  <c r="AA13" i="12"/>
  <c r="X22" i="12"/>
  <c r="Z18" i="12"/>
  <c r="AC18" i="12" s="1"/>
  <c r="U73" i="12"/>
  <c r="W73" i="12"/>
  <c r="W27" i="12"/>
  <c r="AA36" i="12"/>
  <c r="W46" i="12"/>
  <c r="AD46" i="12" s="1"/>
  <c r="AE46" i="12" s="1"/>
  <c r="Z73" i="12"/>
  <c r="AC73" i="12" s="1"/>
  <c r="Z37" i="12"/>
  <c r="AC37" i="12" s="1"/>
  <c r="W15" i="12"/>
  <c r="W13" i="12"/>
  <c r="Z22" i="12"/>
  <c r="AC22" i="12" s="1"/>
  <c r="AA18" i="12"/>
  <c r="X27" i="12"/>
  <c r="W36" i="12"/>
  <c r="U13" i="12"/>
  <c r="AA46" i="12"/>
  <c r="AA27" i="12"/>
  <c r="Z36" i="12"/>
  <c r="AC36" i="12" s="1"/>
  <c r="X46" i="12"/>
  <c r="W37" i="12"/>
  <c r="AA22" i="12"/>
  <c r="W24" i="12"/>
  <c r="X24" i="12"/>
  <c r="AA24" i="12"/>
  <c r="Z24" i="12"/>
  <c r="AC24" i="12" s="1"/>
  <c r="U24" i="12"/>
  <c r="X64" i="12"/>
  <c r="W64" i="12"/>
  <c r="Z64" i="12"/>
  <c r="AC64" i="12" s="1"/>
  <c r="AA64" i="12"/>
  <c r="U34" i="12"/>
  <c r="Z34" i="12"/>
  <c r="AC34" i="12" s="1"/>
  <c r="X34" i="12"/>
  <c r="W34" i="12"/>
  <c r="AA34" i="12"/>
  <c r="U35" i="12"/>
  <c r="W35" i="12"/>
  <c r="AA35" i="12"/>
  <c r="Z35" i="12"/>
  <c r="AC35" i="12" s="1"/>
  <c r="X35" i="12"/>
  <c r="E76" i="67"/>
  <c r="U71" i="12"/>
  <c r="AA71" i="12"/>
  <c r="W71" i="12"/>
  <c r="Z71" i="12"/>
  <c r="AC71" i="12" s="1"/>
  <c r="AW71" i="12" s="1"/>
  <c r="X71" i="12"/>
  <c r="U72" i="12"/>
  <c r="Z72" i="12"/>
  <c r="AC72" i="12" s="1"/>
  <c r="W72" i="12"/>
  <c r="X72" i="12"/>
  <c r="AA72" i="12"/>
  <c r="W61" i="12"/>
  <c r="AA61" i="12"/>
  <c r="Z61" i="12"/>
  <c r="AC61" i="12" s="1"/>
  <c r="X61" i="12"/>
  <c r="U61" i="12"/>
  <c r="X68" i="12"/>
  <c r="U68" i="12"/>
  <c r="W68" i="12"/>
  <c r="AA68" i="12"/>
  <c r="Z68" i="12"/>
  <c r="AC68" i="12" s="1"/>
  <c r="L15" i="13"/>
  <c r="AR15" i="12" s="1"/>
  <c r="O121" i="14"/>
  <c r="L23" i="13"/>
  <c r="AR23" i="12" s="1"/>
  <c r="R77" i="28"/>
  <c r="P77" i="28"/>
  <c r="Q77" i="28" s="1"/>
  <c r="U69" i="12"/>
  <c r="X69" i="12"/>
  <c r="Z69" i="12"/>
  <c r="AC69" i="12" s="1"/>
  <c r="AA69" i="12"/>
  <c r="W69" i="12"/>
  <c r="AB16" i="12"/>
  <c r="T16" i="12"/>
  <c r="AA62" i="12"/>
  <c r="W62" i="12"/>
  <c r="X62" i="12"/>
  <c r="U62" i="12"/>
  <c r="Z62" i="12"/>
  <c r="AC62" i="12" s="1"/>
  <c r="AN40" i="12"/>
  <c r="AO40" i="12" s="1"/>
  <c r="M40" i="13"/>
  <c r="AN8" i="12"/>
  <c r="AO8" i="12" s="1"/>
  <c r="M8" i="13"/>
  <c r="AN45" i="12"/>
  <c r="AO45" i="12" s="1"/>
  <c r="M45" i="13"/>
  <c r="AN63" i="12"/>
  <c r="AO63" i="12" s="1"/>
  <c r="M63" i="13"/>
  <c r="AN53" i="12"/>
  <c r="AO53" i="12" s="1"/>
  <c r="M53" i="13"/>
  <c r="AN29" i="12"/>
  <c r="AO29" i="12" s="1"/>
  <c r="M29" i="13"/>
  <c r="AN31" i="12"/>
  <c r="AO31" i="12" s="1"/>
  <c r="M31" i="13"/>
  <c r="AN41" i="12"/>
  <c r="AO41" i="12" s="1"/>
  <c r="M41" i="13"/>
  <c r="AN23" i="12"/>
  <c r="AO23" i="12" s="1"/>
  <c r="M23" i="13"/>
  <c r="AN66" i="12"/>
  <c r="AO66" i="12" s="1"/>
  <c r="M66" i="13"/>
  <c r="AN60" i="12"/>
  <c r="AO60" i="12" s="1"/>
  <c r="M60" i="13"/>
  <c r="AN70" i="12"/>
  <c r="AO70" i="12" s="1"/>
  <c r="M70" i="13"/>
  <c r="M14" i="13"/>
  <c r="AN14" i="12"/>
  <c r="AO14" i="12" s="1"/>
  <c r="AN52" i="12"/>
  <c r="AO52" i="12" s="1"/>
  <c r="M52" i="13"/>
  <c r="AN24" i="12"/>
  <c r="AO24" i="12" s="1"/>
  <c r="M24" i="13"/>
  <c r="AN15" i="12"/>
  <c r="AO15" i="12" s="1"/>
  <c r="AN22" i="12"/>
  <c r="AO22" i="12" s="1"/>
  <c r="M22" i="13"/>
  <c r="AN62" i="12"/>
  <c r="AO62" i="12" s="1"/>
  <c r="M62" i="13"/>
  <c r="AN73" i="12"/>
  <c r="AO73" i="12" s="1"/>
  <c r="M73" i="13"/>
  <c r="AN13" i="12"/>
  <c r="AO13" i="12" s="1"/>
  <c r="M13" i="13"/>
  <c r="AN43" i="12"/>
  <c r="AO43" i="12" s="1"/>
  <c r="M43" i="13"/>
  <c r="AN51" i="12"/>
  <c r="AO51" i="12" s="1"/>
  <c r="M51" i="13"/>
  <c r="AN44" i="12"/>
  <c r="AO44" i="12" s="1"/>
  <c r="M44" i="13"/>
  <c r="AN49" i="12"/>
  <c r="AO49" i="12" s="1"/>
  <c r="M49" i="13"/>
  <c r="AN65" i="12"/>
  <c r="AO65" i="12" s="1"/>
  <c r="M65" i="13"/>
  <c r="AN25" i="12"/>
  <c r="AO25" i="12" s="1"/>
  <c r="M25" i="13"/>
  <c r="AN27" i="12"/>
  <c r="AO27" i="12" s="1"/>
  <c r="M27" i="13"/>
  <c r="AN75" i="12"/>
  <c r="AO75" i="12" s="1"/>
  <c r="M75" i="13"/>
  <c r="AN39" i="12"/>
  <c r="AO39" i="12" s="1"/>
  <c r="M39" i="13"/>
  <c r="AN12" i="12"/>
  <c r="AO12" i="12" s="1"/>
  <c r="M12" i="13"/>
  <c r="AN21" i="12"/>
  <c r="AO21" i="12" s="1"/>
  <c r="M21" i="13"/>
  <c r="AN7" i="12"/>
  <c r="K76" i="13"/>
  <c r="M7" i="13"/>
  <c r="AN16" i="12"/>
  <c r="AO16" i="12" s="1"/>
  <c r="M16" i="13"/>
  <c r="AN33" i="12"/>
  <c r="AO33" i="12" s="1"/>
  <c r="M33" i="13"/>
  <c r="AN61" i="12"/>
  <c r="AO61" i="12" s="1"/>
  <c r="M61" i="13"/>
  <c r="AN68" i="12"/>
  <c r="AO68" i="12" s="1"/>
  <c r="M68" i="13"/>
  <c r="AN18" i="12"/>
  <c r="AO18" i="12" s="1"/>
  <c r="M18" i="13"/>
  <c r="AN64" i="12"/>
  <c r="AO64" i="12" s="1"/>
  <c r="M64" i="13"/>
  <c r="AN26" i="12"/>
  <c r="AO26" i="12" s="1"/>
  <c r="M26" i="13"/>
  <c r="AN55" i="12"/>
  <c r="AO55" i="12" s="1"/>
  <c r="M55" i="13"/>
  <c r="AN36" i="12"/>
  <c r="AO36" i="12" s="1"/>
  <c r="M36" i="13"/>
  <c r="AN9" i="12"/>
  <c r="AO9" i="12" s="1"/>
  <c r="AN20" i="12"/>
  <c r="AO20" i="12" s="1"/>
  <c r="M20" i="13"/>
  <c r="AN72" i="12"/>
  <c r="AO72" i="12" s="1"/>
  <c r="M72" i="13"/>
  <c r="AN69" i="12"/>
  <c r="AO69" i="12" s="1"/>
  <c r="M69" i="13"/>
  <c r="AN74" i="12"/>
  <c r="AO74" i="12" s="1"/>
  <c r="M74" i="13"/>
  <c r="AN67" i="12"/>
  <c r="AO67" i="12" s="1"/>
  <c r="M67" i="13"/>
  <c r="AN10" i="12"/>
  <c r="AO10" i="12" s="1"/>
  <c r="M10" i="13"/>
  <c r="AN37" i="12"/>
  <c r="AO37" i="12" s="1"/>
  <c r="M37" i="13"/>
  <c r="AN59" i="12"/>
  <c r="AO59" i="12" s="1"/>
  <c r="M59" i="13"/>
  <c r="AN46" i="12"/>
  <c r="AO46" i="12" s="1"/>
  <c r="M46" i="13"/>
  <c r="AN71" i="12"/>
  <c r="AO71" i="12" s="1"/>
  <c r="M71" i="13"/>
  <c r="AN54" i="12"/>
  <c r="AO54" i="12" s="1"/>
  <c r="M54" i="13"/>
  <c r="AN34" i="12"/>
  <c r="AO34" i="12" s="1"/>
  <c r="M34" i="13"/>
  <c r="AN35" i="12"/>
  <c r="AO35" i="12" s="1"/>
  <c r="M35" i="13"/>
  <c r="AN30" i="12"/>
  <c r="AO30" i="12" s="1"/>
  <c r="M30" i="13"/>
  <c r="AN38" i="12"/>
  <c r="AO38" i="12" s="1"/>
  <c r="M38" i="13"/>
  <c r="AN58" i="12"/>
  <c r="AO58" i="12" s="1"/>
  <c r="M58" i="13"/>
  <c r="AN42" i="12"/>
  <c r="AO42" i="12" s="1"/>
  <c r="M42" i="13"/>
  <c r="AN50" i="12"/>
  <c r="AO50" i="12" s="1"/>
  <c r="M50" i="13"/>
  <c r="AN47" i="12"/>
  <c r="AO47" i="12" s="1"/>
  <c r="M47" i="13"/>
  <c r="AN11" i="12"/>
  <c r="AO11" i="12" s="1"/>
  <c r="M11" i="13"/>
  <c r="AN48" i="12"/>
  <c r="AO48" i="12" s="1"/>
  <c r="M48" i="13"/>
  <c r="AJ7" i="12"/>
  <c r="J76" i="13"/>
  <c r="AN19" i="12"/>
  <c r="AO19" i="12" s="1"/>
  <c r="M19" i="13"/>
  <c r="AN17" i="12"/>
  <c r="AO17" i="12" s="1"/>
  <c r="M17" i="13"/>
  <c r="AN57" i="12"/>
  <c r="AO57" i="12" s="1"/>
  <c r="M57" i="13"/>
  <c r="AN32" i="12"/>
  <c r="AO32" i="12" s="1"/>
  <c r="M32" i="13"/>
  <c r="AN56" i="12"/>
  <c r="AO56" i="12" s="1"/>
  <c r="M56" i="13"/>
  <c r="AN28" i="12"/>
  <c r="AO28" i="12" s="1"/>
  <c r="M28" i="13"/>
  <c r="R76" i="15"/>
  <c r="R140" i="15" s="1"/>
  <c r="B7" i="8" s="1"/>
  <c r="AD64" i="12"/>
  <c r="AE64" i="12" s="1"/>
  <c r="AW64" i="12"/>
  <c r="S8" i="12"/>
  <c r="J76" i="67"/>
  <c r="AW67" i="12"/>
  <c r="AD67" i="12"/>
  <c r="AE67" i="12" s="1"/>
  <c r="V55" i="12"/>
  <c r="V7" i="12"/>
  <c r="V28" i="12"/>
  <c r="V50" i="12"/>
  <c r="V70" i="12"/>
  <c r="AD73" i="12"/>
  <c r="AE73" i="12" s="1"/>
  <c r="AW73" i="12"/>
  <c r="W57" i="12"/>
  <c r="AA57" i="12"/>
  <c r="Z57" i="12"/>
  <c r="AC57" i="12" s="1"/>
  <c r="X57" i="12"/>
  <c r="V49" i="12"/>
  <c r="W56" i="12"/>
  <c r="AA56" i="12"/>
  <c r="X56" i="12"/>
  <c r="Z56" i="12"/>
  <c r="AC56" i="12" s="1"/>
  <c r="V26" i="12"/>
  <c r="V54" i="12"/>
  <c r="AW52" i="12"/>
  <c r="AD52" i="12"/>
  <c r="AE52" i="12" s="1"/>
  <c r="AW21" i="12"/>
  <c r="AD21" i="12"/>
  <c r="AE21" i="12" s="1"/>
  <c r="AW44" i="12"/>
  <c r="AD44" i="12"/>
  <c r="AE44" i="12" s="1"/>
  <c r="AW38" i="12"/>
  <c r="AD38" i="12"/>
  <c r="AE38" i="12" s="1"/>
  <c r="V12" i="12"/>
  <c r="V74" i="12"/>
  <c r="AW36" i="12"/>
  <c r="AD36" i="12"/>
  <c r="AE36" i="12" s="1"/>
  <c r="V58" i="12"/>
  <c r="V13" i="12"/>
  <c r="AW46" i="12"/>
  <c r="U57" i="12"/>
  <c r="U56" i="12"/>
  <c r="AW20" i="12"/>
  <c r="AD20" i="12"/>
  <c r="AE20" i="12" s="1"/>
  <c r="V11" i="12"/>
  <c r="AW39" i="12"/>
  <c r="AD39" i="12"/>
  <c r="AE39" i="12" s="1"/>
  <c r="AW74" i="12"/>
  <c r="AD74" i="12"/>
  <c r="AE74" i="12" s="1"/>
  <c r="W63" i="12"/>
  <c r="AA63" i="12"/>
  <c r="X63" i="12"/>
  <c r="Z63" i="12"/>
  <c r="AC63" i="12" s="1"/>
  <c r="V15" i="12"/>
  <c r="Z53" i="12"/>
  <c r="AC53" i="12" s="1"/>
  <c r="X53" i="12"/>
  <c r="W53" i="12"/>
  <c r="AA53" i="12"/>
  <c r="AW15" i="12"/>
  <c r="AD15" i="12"/>
  <c r="AE15" i="12" s="1"/>
  <c r="W26" i="12"/>
  <c r="X26" i="12"/>
  <c r="Z26" i="12"/>
  <c r="AC26" i="12" s="1"/>
  <c r="AA26" i="12"/>
  <c r="AD11" i="12"/>
  <c r="AE11" i="12" s="1"/>
  <c r="AF11" i="12" s="1"/>
  <c r="AW11" i="12"/>
  <c r="AA54" i="12"/>
  <c r="Z54" i="12"/>
  <c r="AC54" i="12" s="1"/>
  <c r="X54" i="12"/>
  <c r="W54" i="12"/>
  <c r="X31" i="12"/>
  <c r="Z31" i="12"/>
  <c r="AC31" i="12" s="1"/>
  <c r="AA31" i="12"/>
  <c r="W31" i="12"/>
  <c r="V23" i="12"/>
  <c r="AW9" i="12"/>
  <c r="AD9" i="12"/>
  <c r="AE9" i="12" s="1"/>
  <c r="X48" i="12"/>
  <c r="Z48" i="12"/>
  <c r="AC48" i="12" s="1"/>
  <c r="AA48" i="12"/>
  <c r="W48" i="12"/>
  <c r="X47" i="12"/>
  <c r="Z47" i="12"/>
  <c r="AC47" i="12" s="1"/>
  <c r="AA47" i="12"/>
  <c r="W47" i="12"/>
  <c r="V63" i="12"/>
  <c r="AW14" i="12"/>
  <c r="AD14" i="12"/>
  <c r="AE14" i="12" s="1"/>
  <c r="V21" i="12"/>
  <c r="AW65" i="12"/>
  <c r="AD65" i="12"/>
  <c r="AE65" i="12" s="1"/>
  <c r="Z70" i="12"/>
  <c r="AC70" i="12" s="1"/>
  <c r="X70" i="12"/>
  <c r="W70" i="12"/>
  <c r="AA70" i="12"/>
  <c r="AB76" i="12"/>
  <c r="AW37" i="12"/>
  <c r="AD37" i="12"/>
  <c r="AE37" i="12" s="1"/>
  <c r="V18" i="12"/>
  <c r="AW33" i="12"/>
  <c r="AD33" i="12"/>
  <c r="AE33" i="12" s="1"/>
  <c r="V51" i="12"/>
  <c r="Z29" i="12"/>
  <c r="AC29" i="12" s="1"/>
  <c r="AA29" i="12"/>
  <c r="W29" i="12"/>
  <c r="X29" i="12"/>
  <c r="V41" i="12"/>
  <c r="AW19" i="12"/>
  <c r="AD19" i="12"/>
  <c r="AE19" i="12" s="1"/>
  <c r="AA45" i="12"/>
  <c r="Z45" i="12"/>
  <c r="AC45" i="12" s="1"/>
  <c r="X45" i="12"/>
  <c r="W45" i="12"/>
  <c r="AW23" i="12"/>
  <c r="AD23" i="12"/>
  <c r="AE23" i="12" s="1"/>
  <c r="AF23" i="12" s="1"/>
  <c r="Z32" i="12"/>
  <c r="AC32" i="12" s="1"/>
  <c r="X32" i="12"/>
  <c r="W32" i="12"/>
  <c r="AA32" i="12"/>
  <c r="AW22" i="12"/>
  <c r="AD22" i="12"/>
  <c r="AE22" i="12" s="1"/>
  <c r="Z55" i="12"/>
  <c r="AC55" i="12" s="1"/>
  <c r="X55" i="12"/>
  <c r="W55" i="12"/>
  <c r="AA55" i="12"/>
  <c r="V59" i="12"/>
  <c r="X50" i="12"/>
  <c r="W50" i="12"/>
  <c r="Z50" i="12"/>
  <c r="AC50" i="12" s="1"/>
  <c r="AA50" i="12"/>
  <c r="AW60" i="12"/>
  <c r="AD60" i="12"/>
  <c r="AE60" i="12" s="1"/>
  <c r="W7" i="12"/>
  <c r="Z7" i="12"/>
  <c r="AA7" i="12"/>
  <c r="X7" i="12"/>
  <c r="AD42" i="12"/>
  <c r="AE42" i="12" s="1"/>
  <c r="AW42" i="12"/>
  <c r="AD58" i="12"/>
  <c r="AE58" i="12" s="1"/>
  <c r="AW58" i="12"/>
  <c r="AA28" i="12"/>
  <c r="W28" i="12"/>
  <c r="Z28" i="12"/>
  <c r="AC28" i="12" s="1"/>
  <c r="X28" i="12"/>
  <c r="AW27" i="12"/>
  <c r="AD27" i="12"/>
  <c r="AE27" i="12" s="1"/>
  <c r="V39" i="12"/>
  <c r="AD66" i="12"/>
  <c r="AE66" i="12" s="1"/>
  <c r="AW66" i="12"/>
  <c r="V25" i="12"/>
  <c r="V42" i="12"/>
  <c r="AD75" i="12"/>
  <c r="AE75" i="12" s="1"/>
  <c r="AG75" i="12" s="1"/>
  <c r="AW75" i="12"/>
  <c r="V73" i="12"/>
  <c r="AW10" i="12"/>
  <c r="AD10" i="12"/>
  <c r="AE10" i="12" s="1"/>
  <c r="AG10" i="12" s="1"/>
  <c r="AD40" i="12"/>
  <c r="AE40" i="12" s="1"/>
  <c r="AW40" i="12"/>
  <c r="AD17" i="12"/>
  <c r="AE17" i="12" s="1"/>
  <c r="AG17" i="12" s="1"/>
  <c r="AW17" i="12"/>
  <c r="X25" i="12"/>
  <c r="AA25" i="12"/>
  <c r="W25" i="12"/>
  <c r="Z25" i="12"/>
  <c r="AC25" i="12" s="1"/>
  <c r="U48" i="12"/>
  <c r="W49" i="12"/>
  <c r="AA49" i="12"/>
  <c r="X49" i="12"/>
  <c r="Z49" i="12"/>
  <c r="AC49" i="12" s="1"/>
  <c r="U47" i="12"/>
  <c r="AW43" i="12"/>
  <c r="AD43" i="12"/>
  <c r="AE43" i="12" s="1"/>
  <c r="X51" i="12"/>
  <c r="Z51" i="12"/>
  <c r="AC51" i="12" s="1"/>
  <c r="AA51" i="12"/>
  <c r="W51" i="12"/>
  <c r="AW30" i="12"/>
  <c r="AD30" i="12"/>
  <c r="AE30" i="12" s="1"/>
  <c r="U29" i="12"/>
  <c r="W41" i="12"/>
  <c r="Z41" i="12"/>
  <c r="AC41" i="12" s="1"/>
  <c r="X41" i="12"/>
  <c r="AA41" i="12"/>
  <c r="U53" i="12"/>
  <c r="U45" i="12"/>
  <c r="U32" i="12"/>
  <c r="AD13" i="12"/>
  <c r="AE13" i="12" s="1"/>
  <c r="AW13" i="12"/>
  <c r="AW18" i="12"/>
  <c r="AD18" i="12"/>
  <c r="AE18" i="12" s="1"/>
  <c r="AF18" i="12" s="1"/>
  <c r="AW12" i="12"/>
  <c r="AD12" i="12"/>
  <c r="AE12" i="12" s="1"/>
  <c r="AF12" i="12" s="1"/>
  <c r="V52" i="12"/>
  <c r="X59" i="12"/>
  <c r="Z59" i="12"/>
  <c r="AC59" i="12" s="1"/>
  <c r="AA59" i="12"/>
  <c r="W59" i="12"/>
  <c r="U31" i="12"/>
  <c r="AD68" i="12" l="1"/>
  <c r="AE68" i="12" s="1"/>
  <c r="AW68" i="12"/>
  <c r="AX71" i="12"/>
  <c r="L71" i="25"/>
  <c r="O71" i="25" s="1"/>
  <c r="P71" i="25" s="1"/>
  <c r="AD24" i="12"/>
  <c r="AE24" i="12" s="1"/>
  <c r="AW24" i="12"/>
  <c r="V61" i="12"/>
  <c r="AW72" i="12"/>
  <c r="AD72" i="12"/>
  <c r="AE72" i="12"/>
  <c r="AD71" i="12"/>
  <c r="AE71" i="12" s="1"/>
  <c r="V35" i="12"/>
  <c r="AW34" i="12"/>
  <c r="AD34" i="12"/>
  <c r="AE34" i="12" s="1"/>
  <c r="V72" i="12"/>
  <c r="AD35" i="12"/>
  <c r="AE35" i="12" s="1"/>
  <c r="AW35" i="12"/>
  <c r="V34" i="12"/>
  <c r="V68" i="12"/>
  <c r="AD61" i="12"/>
  <c r="AE61" i="12" s="1"/>
  <c r="AW61" i="12"/>
  <c r="V71" i="12"/>
  <c r="AH71" i="12"/>
  <c r="V24" i="12"/>
  <c r="M15" i="13"/>
  <c r="O142" i="14"/>
  <c r="L9" i="13"/>
  <c r="AF52" i="12"/>
  <c r="AH52" i="12"/>
  <c r="AL52" i="12" s="1"/>
  <c r="AM52" i="12" s="1"/>
  <c r="V62" i="12"/>
  <c r="U16" i="12"/>
  <c r="X16" i="12"/>
  <c r="W16" i="12"/>
  <c r="AA16" i="12"/>
  <c r="Z16" i="12"/>
  <c r="AC16" i="12" s="1"/>
  <c r="AW69" i="12"/>
  <c r="AD69" i="12"/>
  <c r="AE69" i="12" s="1"/>
  <c r="AD62" i="12"/>
  <c r="AE62" i="12" s="1"/>
  <c r="AW62" i="12"/>
  <c r="V69" i="12"/>
  <c r="AK7" i="12"/>
  <c r="AJ76" i="12"/>
  <c r="AO7" i="12"/>
  <c r="AN76" i="12"/>
  <c r="AP71" i="12"/>
  <c r="C71" i="9" s="1"/>
  <c r="AF58" i="12"/>
  <c r="AG58" i="12"/>
  <c r="AF42" i="12"/>
  <c r="AH42" i="12"/>
  <c r="AI42" i="12" s="1"/>
  <c r="AF73" i="12"/>
  <c r="AH73" i="12"/>
  <c r="AI73" i="12" s="1"/>
  <c r="AH67" i="12"/>
  <c r="AG67" i="12"/>
  <c r="AF67" i="12"/>
  <c r="AF64" i="12"/>
  <c r="AH64" i="12"/>
  <c r="AG52" i="12"/>
  <c r="L64" i="25"/>
  <c r="O64" i="25" s="1"/>
  <c r="P64" i="25" s="1"/>
  <c r="AX64" i="12"/>
  <c r="AG64" i="12"/>
  <c r="L67" i="25"/>
  <c r="O67" i="25" s="1"/>
  <c r="P67" i="25" s="1"/>
  <c r="AX67" i="12"/>
  <c r="S76" i="12"/>
  <c r="T8" i="12"/>
  <c r="AF74" i="12"/>
  <c r="AH74" i="12"/>
  <c r="AG74" i="12"/>
  <c r="AF9" i="12"/>
  <c r="AH9" i="12"/>
  <c r="AG9" i="12"/>
  <c r="AF20" i="12"/>
  <c r="AH20" i="12"/>
  <c r="AG20" i="12"/>
  <c r="AF27" i="12"/>
  <c r="AH27" i="12"/>
  <c r="AG27" i="12"/>
  <c r="AF22" i="12"/>
  <c r="AH22" i="12"/>
  <c r="AG22" i="12"/>
  <c r="AF19" i="12"/>
  <c r="AH19" i="12"/>
  <c r="AG19" i="12"/>
  <c r="AF65" i="12"/>
  <c r="AH65" i="12"/>
  <c r="AG65" i="12"/>
  <c r="AF21" i="12"/>
  <c r="AH21" i="12"/>
  <c r="AG21" i="12"/>
  <c r="AF40" i="12"/>
  <c r="AH40" i="12"/>
  <c r="AG40" i="12"/>
  <c r="AF33" i="12"/>
  <c r="AH33" i="12"/>
  <c r="AG33" i="12"/>
  <c r="AF39" i="12"/>
  <c r="AG39" i="12"/>
  <c r="AH39" i="12"/>
  <c r="AF44" i="12"/>
  <c r="AH44" i="12"/>
  <c r="AG44" i="12"/>
  <c r="AF13" i="12"/>
  <c r="AH13" i="12"/>
  <c r="AG13" i="12"/>
  <c r="AF66" i="12"/>
  <c r="AH66" i="12"/>
  <c r="AG66" i="12"/>
  <c r="AF37" i="12"/>
  <c r="AH37" i="12"/>
  <c r="AG37" i="12"/>
  <c r="AF14" i="12"/>
  <c r="AH14" i="12"/>
  <c r="AG14" i="12"/>
  <c r="AF15" i="12"/>
  <c r="AH15" i="12"/>
  <c r="AG15" i="12"/>
  <c r="AF46" i="12"/>
  <c r="AH46" i="12"/>
  <c r="AG46" i="12"/>
  <c r="AF36" i="12"/>
  <c r="AH36" i="12"/>
  <c r="AG36" i="12"/>
  <c r="AX12" i="12"/>
  <c r="L12" i="25"/>
  <c r="O12" i="25" s="1"/>
  <c r="P12" i="25" s="1"/>
  <c r="AW59" i="12"/>
  <c r="AD59" i="12"/>
  <c r="AE59" i="12" s="1"/>
  <c r="AG59" i="12" s="1"/>
  <c r="AF43" i="12"/>
  <c r="AH43" i="12"/>
  <c r="V47" i="12"/>
  <c r="V48" i="12"/>
  <c r="AX10" i="12"/>
  <c r="L10" i="25"/>
  <c r="O10" i="25" s="1"/>
  <c r="P10" i="25" s="1"/>
  <c r="L75" i="25"/>
  <c r="O75" i="25" s="1"/>
  <c r="P75" i="25" s="1"/>
  <c r="AX75" i="12"/>
  <c r="AL42" i="12"/>
  <c r="AM42" i="12" s="1"/>
  <c r="AD47" i="12"/>
  <c r="AE47" i="12" s="1"/>
  <c r="AF47" i="12" s="1"/>
  <c r="AW47" i="12"/>
  <c r="AX9" i="12"/>
  <c r="L9" i="25"/>
  <c r="O9" i="25" s="1"/>
  <c r="P9" i="25" s="1"/>
  <c r="AF38" i="12"/>
  <c r="AH38" i="12"/>
  <c r="AG18" i="12"/>
  <c r="V32" i="12"/>
  <c r="AD41" i="12"/>
  <c r="AE41" i="12" s="1"/>
  <c r="AW41" i="12"/>
  <c r="L30" i="25"/>
  <c r="O30" i="25" s="1"/>
  <c r="P30" i="25" s="1"/>
  <c r="AX30" i="12"/>
  <c r="AG43" i="12"/>
  <c r="AD49" i="12"/>
  <c r="AE49" i="12" s="1"/>
  <c r="AG49" i="12" s="1"/>
  <c r="AW49" i="12"/>
  <c r="AD25" i="12"/>
  <c r="AE25" i="12" s="1"/>
  <c r="AW25" i="12"/>
  <c r="L17" i="25"/>
  <c r="O17" i="25" s="1"/>
  <c r="P17" i="25" s="1"/>
  <c r="AX17" i="12"/>
  <c r="AF10" i="12"/>
  <c r="AH10" i="12"/>
  <c r="AD28" i="12"/>
  <c r="AE28" i="12" s="1"/>
  <c r="AW28" i="12"/>
  <c r="AX58" i="12"/>
  <c r="L58" i="25"/>
  <c r="O58" i="25" s="1"/>
  <c r="P58" i="25" s="1"/>
  <c r="AG42" i="12"/>
  <c r="L19" i="25"/>
  <c r="O19" i="25" s="1"/>
  <c r="P19" i="25" s="1"/>
  <c r="AX19" i="12"/>
  <c r="AD29" i="12"/>
  <c r="AE29" i="12" s="1"/>
  <c r="AW29" i="12"/>
  <c r="L37" i="25"/>
  <c r="O37" i="25" s="1"/>
  <c r="P37" i="25" s="1"/>
  <c r="AX37" i="12"/>
  <c r="AG11" i="12"/>
  <c r="AD26" i="12"/>
  <c r="AE26" i="12" s="1"/>
  <c r="AW26" i="12"/>
  <c r="L15" i="25"/>
  <c r="O15" i="25" s="1"/>
  <c r="P15" i="25" s="1"/>
  <c r="AX15" i="12"/>
  <c r="AD63" i="12"/>
  <c r="AE63" i="12" s="1"/>
  <c r="AW63" i="12"/>
  <c r="L74" i="25"/>
  <c r="O74" i="25" s="1"/>
  <c r="P74" i="25" s="1"/>
  <c r="AX74" i="12"/>
  <c r="V57" i="12"/>
  <c r="AH58" i="12"/>
  <c r="AX21" i="12"/>
  <c r="L21" i="25"/>
  <c r="O21" i="25" s="1"/>
  <c r="P21" i="25" s="1"/>
  <c r="V53" i="12"/>
  <c r="AF30" i="12"/>
  <c r="AH30" i="12"/>
  <c r="V31" i="12"/>
  <c r="AS71" i="12"/>
  <c r="AF60" i="12"/>
  <c r="AH60" i="12"/>
  <c r="AX33" i="12"/>
  <c r="L33" i="25"/>
  <c r="O33" i="25" s="1"/>
  <c r="P33" i="25" s="1"/>
  <c r="AW48" i="12"/>
  <c r="AD48" i="12"/>
  <c r="AE48" i="12" s="1"/>
  <c r="AF48" i="12" s="1"/>
  <c r="AX11" i="12"/>
  <c r="L11" i="25"/>
  <c r="O11" i="25" s="1"/>
  <c r="P11" i="25" s="1"/>
  <c r="AX39" i="12"/>
  <c r="L39" i="25"/>
  <c r="O39" i="25" s="1"/>
  <c r="P39" i="25" s="1"/>
  <c r="V56" i="12"/>
  <c r="L44" i="25"/>
  <c r="O44" i="25" s="1"/>
  <c r="P44" i="25" s="1"/>
  <c r="AX44" i="12"/>
  <c r="AX73" i="12"/>
  <c r="L73" i="25"/>
  <c r="O73" i="25" s="1"/>
  <c r="P73" i="25" s="1"/>
  <c r="AG12" i="12"/>
  <c r="L13" i="25"/>
  <c r="O13" i="25" s="1"/>
  <c r="P13" i="25" s="1"/>
  <c r="AX13" i="12"/>
  <c r="V45" i="12"/>
  <c r="AG30" i="12"/>
  <c r="AW51" i="12"/>
  <c r="AD51" i="12"/>
  <c r="AE51" i="12" s="1"/>
  <c r="AG51" i="12" s="1"/>
  <c r="AX42" i="12"/>
  <c r="L42" i="25"/>
  <c r="O42" i="25" s="1"/>
  <c r="P42" i="25" s="1"/>
  <c r="AC7" i="12"/>
  <c r="AG60" i="12"/>
  <c r="AW50" i="12"/>
  <c r="AD50" i="12"/>
  <c r="AE50" i="12" s="1"/>
  <c r="AD32" i="12"/>
  <c r="AE32" i="12" s="1"/>
  <c r="AW32" i="12"/>
  <c r="AX23" i="12"/>
  <c r="L23" i="25"/>
  <c r="O23" i="25" s="1"/>
  <c r="P23" i="25" s="1"/>
  <c r="AH18" i="12"/>
  <c r="AW53" i="12"/>
  <c r="AD53" i="12"/>
  <c r="AE53" i="12" s="1"/>
  <c r="AH11" i="12"/>
  <c r="AX46" i="12"/>
  <c r="L46" i="25"/>
  <c r="O46" i="25" s="1"/>
  <c r="P46" i="25" s="1"/>
  <c r="L36" i="25"/>
  <c r="O36" i="25" s="1"/>
  <c r="P36" i="25" s="1"/>
  <c r="AX36" i="12"/>
  <c r="AG38" i="12"/>
  <c r="L52" i="25"/>
  <c r="O52" i="25" s="1"/>
  <c r="P52" i="25" s="1"/>
  <c r="AX52" i="12"/>
  <c r="AG73" i="12"/>
  <c r="AX18" i="12"/>
  <c r="L18" i="25"/>
  <c r="O18" i="25" s="1"/>
  <c r="P18" i="25" s="1"/>
  <c r="V29" i="12"/>
  <c r="L43" i="25"/>
  <c r="O43" i="25" s="1"/>
  <c r="P43" i="25" s="1"/>
  <c r="AX43" i="12"/>
  <c r="AF17" i="12"/>
  <c r="AH17" i="12"/>
  <c r="AX40" i="12"/>
  <c r="L40" i="25"/>
  <c r="O40" i="25" s="1"/>
  <c r="P40" i="25" s="1"/>
  <c r="AF75" i="12"/>
  <c r="AH75" i="12"/>
  <c r="AX66" i="12"/>
  <c r="L66" i="25"/>
  <c r="O66" i="25" s="1"/>
  <c r="P66" i="25" s="1"/>
  <c r="AX27" i="12"/>
  <c r="L27" i="25"/>
  <c r="O27" i="25" s="1"/>
  <c r="P27" i="25" s="1"/>
  <c r="AX60" i="12"/>
  <c r="L60" i="25"/>
  <c r="O60" i="25" s="1"/>
  <c r="P60" i="25" s="1"/>
  <c r="AW55" i="12"/>
  <c r="AD55" i="12"/>
  <c r="AE55" i="12" s="1"/>
  <c r="L22" i="25"/>
  <c r="O22" i="25" s="1"/>
  <c r="P22" i="25" s="1"/>
  <c r="AX22" i="12"/>
  <c r="AG23" i="12"/>
  <c r="AW45" i="12"/>
  <c r="AD45" i="12"/>
  <c r="AE45" i="12" s="1"/>
  <c r="AW70" i="12"/>
  <c r="AD70" i="12"/>
  <c r="AE70" i="12" s="1"/>
  <c r="AX65" i="12"/>
  <c r="L65" i="25"/>
  <c r="O65" i="25" s="1"/>
  <c r="P65" i="25" s="1"/>
  <c r="L14" i="25"/>
  <c r="O14" i="25" s="1"/>
  <c r="P14" i="25" s="1"/>
  <c r="AX14" i="12"/>
  <c r="AH23" i="12"/>
  <c r="AW31" i="12"/>
  <c r="AD31" i="12"/>
  <c r="AE31" i="12" s="1"/>
  <c r="AD54" i="12"/>
  <c r="AE54" i="12" s="1"/>
  <c r="AW54" i="12"/>
  <c r="AX20" i="12"/>
  <c r="L20" i="25"/>
  <c r="O20" i="25" s="1"/>
  <c r="P20" i="25" s="1"/>
  <c r="AH12" i="12"/>
  <c r="L38" i="25"/>
  <c r="O38" i="25" s="1"/>
  <c r="P38" i="25" s="1"/>
  <c r="AX38" i="12"/>
  <c r="AW56" i="12"/>
  <c r="AD56" i="12"/>
  <c r="AE56" i="12" s="1"/>
  <c r="AF56" i="12" s="1"/>
  <c r="AD57" i="12"/>
  <c r="AE57" i="12" s="1"/>
  <c r="AW57" i="12"/>
  <c r="AQ71" i="12" l="1"/>
  <c r="D71" i="25" s="1"/>
  <c r="E71" i="25" s="1"/>
  <c r="F71" i="25" s="1"/>
  <c r="G71" i="25" s="1"/>
  <c r="AP42" i="12"/>
  <c r="L35" i="25"/>
  <c r="O35" i="25" s="1"/>
  <c r="P35" i="25" s="1"/>
  <c r="AX35" i="12"/>
  <c r="AG34" i="12"/>
  <c r="AH34" i="12"/>
  <c r="AF34" i="12"/>
  <c r="AG71" i="12"/>
  <c r="AF71" i="12"/>
  <c r="D71" i="10"/>
  <c r="R71" i="25"/>
  <c r="S71" i="25" s="1"/>
  <c r="D71" i="11" s="1"/>
  <c r="AF35" i="12"/>
  <c r="AH35" i="12"/>
  <c r="AG35" i="12"/>
  <c r="AX34" i="12"/>
  <c r="L34" i="25"/>
  <c r="O34" i="25" s="1"/>
  <c r="P34" i="25" s="1"/>
  <c r="AF72" i="12"/>
  <c r="AH72" i="12"/>
  <c r="AG72" i="12"/>
  <c r="L61" i="25"/>
  <c r="O61" i="25" s="1"/>
  <c r="P61" i="25" s="1"/>
  <c r="AX61" i="12"/>
  <c r="L24" i="25"/>
  <c r="O24" i="25" s="1"/>
  <c r="P24" i="25" s="1"/>
  <c r="AX24" i="12"/>
  <c r="L68" i="25"/>
  <c r="O68" i="25" s="1"/>
  <c r="P68" i="25" s="1"/>
  <c r="AX68" i="12"/>
  <c r="AI71" i="12"/>
  <c r="AL71" i="12"/>
  <c r="AM71" i="12" s="1"/>
  <c r="Q71" i="71" s="1"/>
  <c r="AF61" i="12"/>
  <c r="AG61" i="12"/>
  <c r="AH61" i="12"/>
  <c r="L72" i="25"/>
  <c r="O72" i="25" s="1"/>
  <c r="P72" i="25" s="1"/>
  <c r="AX72" i="12"/>
  <c r="AG24" i="12"/>
  <c r="AH24" i="12"/>
  <c r="AF24" i="12"/>
  <c r="AH68" i="12"/>
  <c r="AF68" i="12"/>
  <c r="AG68" i="12"/>
  <c r="AL73" i="12"/>
  <c r="AM73" i="12" s="1"/>
  <c r="Q73" i="71" s="1"/>
  <c r="D73" i="26" s="1"/>
  <c r="E73" i="26" s="1"/>
  <c r="H73" i="26" s="1"/>
  <c r="AP52" i="12"/>
  <c r="AQ52" i="12" s="1"/>
  <c r="D52" i="25" s="1"/>
  <c r="E52" i="25" s="1"/>
  <c r="F52" i="25" s="1"/>
  <c r="G52" i="25" s="1"/>
  <c r="AI52" i="12"/>
  <c r="AP73" i="12"/>
  <c r="C73" i="9" s="1"/>
  <c r="AR9" i="12"/>
  <c r="AR76" i="12" s="1"/>
  <c r="L76" i="13"/>
  <c r="M9" i="13"/>
  <c r="M76" i="13" s="1"/>
  <c r="B6" i="8" s="1"/>
  <c r="AG62" i="12"/>
  <c r="AH62" i="12"/>
  <c r="AF62" i="12"/>
  <c r="AF69" i="12"/>
  <c r="AH69" i="12"/>
  <c r="AG69" i="12"/>
  <c r="L69" i="25"/>
  <c r="O69" i="25" s="1"/>
  <c r="P69" i="25" s="1"/>
  <c r="AX69" i="12"/>
  <c r="AX62" i="12"/>
  <c r="L62" i="25"/>
  <c r="O62" i="25" s="1"/>
  <c r="P62" i="25" s="1"/>
  <c r="AW16" i="12"/>
  <c r="AD16" i="12"/>
  <c r="AE16" i="12" s="1"/>
  <c r="AF16" i="12" s="1"/>
  <c r="V16" i="12"/>
  <c r="AK76" i="12"/>
  <c r="AO76" i="12"/>
  <c r="AF45" i="12"/>
  <c r="AH45" i="12"/>
  <c r="AL45" i="12" s="1"/>
  <c r="AM45" i="12" s="1"/>
  <c r="R64" i="25"/>
  <c r="S64" i="25" s="1"/>
  <c r="D64" i="11" s="1"/>
  <c r="D64" i="10"/>
  <c r="AL67" i="12"/>
  <c r="AM67" i="12" s="1"/>
  <c r="Q67" i="71" s="1"/>
  <c r="AI67" i="12"/>
  <c r="AP67" i="12"/>
  <c r="Q42" i="71"/>
  <c r="D42" i="26" s="1"/>
  <c r="E42" i="26" s="1"/>
  <c r="H42" i="26" s="1"/>
  <c r="R67" i="25"/>
  <c r="S67" i="25" s="1"/>
  <c r="D67" i="11" s="1"/>
  <c r="D67" i="10"/>
  <c r="X8" i="12"/>
  <c r="W8" i="12"/>
  <c r="AA8" i="12"/>
  <c r="AA76" i="12" s="1"/>
  <c r="Z8" i="12"/>
  <c r="T76" i="12"/>
  <c r="U8" i="12"/>
  <c r="AI64" i="12"/>
  <c r="AP64" i="12"/>
  <c r="AL64" i="12"/>
  <c r="AM64" i="12" s="1"/>
  <c r="Q64" i="71" s="1"/>
  <c r="AF29" i="12"/>
  <c r="AG29" i="12"/>
  <c r="AH29" i="12"/>
  <c r="AF57" i="12"/>
  <c r="AG57" i="12"/>
  <c r="AH57" i="12"/>
  <c r="AF55" i="12"/>
  <c r="AH55" i="12"/>
  <c r="AG55" i="12"/>
  <c r="AF31" i="12"/>
  <c r="AH31" i="12"/>
  <c r="AG31" i="12"/>
  <c r="AF32" i="12"/>
  <c r="AG32" i="12"/>
  <c r="AH32" i="12"/>
  <c r="AF28" i="12"/>
  <c r="AH28" i="12"/>
  <c r="AG28" i="12"/>
  <c r="AF41" i="12"/>
  <c r="AH41" i="12"/>
  <c r="AG41" i="12"/>
  <c r="AF53" i="12"/>
  <c r="AG53" i="12"/>
  <c r="AH53" i="12"/>
  <c r="AF25" i="12"/>
  <c r="AH25" i="12"/>
  <c r="AG25" i="12"/>
  <c r="AF54" i="12"/>
  <c r="AH54" i="12"/>
  <c r="AG54" i="12"/>
  <c r="AF50" i="12"/>
  <c r="AH50" i="12"/>
  <c r="AG50" i="12"/>
  <c r="R65" i="25"/>
  <c r="S65" i="25" s="1"/>
  <c r="D65" i="11" s="1"/>
  <c r="D65" i="10"/>
  <c r="D40" i="10"/>
  <c r="R40" i="25"/>
  <c r="S40" i="25" s="1"/>
  <c r="D40" i="11" s="1"/>
  <c r="AP60" i="12"/>
  <c r="AI60" i="12"/>
  <c r="AL60" i="12"/>
  <c r="AM60" i="12" s="1"/>
  <c r="Q60" i="71" s="1"/>
  <c r="AL43" i="12"/>
  <c r="AM43" i="12" s="1"/>
  <c r="Q43" i="71" s="1"/>
  <c r="AI43" i="12"/>
  <c r="AP43" i="12"/>
  <c r="AP36" i="12"/>
  <c r="AL36" i="12"/>
  <c r="AM36" i="12" s="1"/>
  <c r="Q36" i="71" s="1"/>
  <c r="AI36" i="12"/>
  <c r="D52" i="10"/>
  <c r="R52" i="25"/>
  <c r="S52" i="25" s="1"/>
  <c r="D52" i="11" s="1"/>
  <c r="L50" i="25"/>
  <c r="O50" i="25" s="1"/>
  <c r="P50" i="25" s="1"/>
  <c r="AX50" i="12"/>
  <c r="R42" i="25"/>
  <c r="S42" i="25" s="1"/>
  <c r="D42" i="11" s="1"/>
  <c r="D42" i="10"/>
  <c r="D44" i="10"/>
  <c r="R44" i="25"/>
  <c r="S44" i="25" s="1"/>
  <c r="D44" i="11" s="1"/>
  <c r="AH56" i="12"/>
  <c r="AS52" i="12"/>
  <c r="R21" i="25"/>
  <c r="S21" i="25" s="1"/>
  <c r="D21" i="11" s="1"/>
  <c r="D21" i="10"/>
  <c r="AF63" i="12"/>
  <c r="AH63" i="12"/>
  <c r="L26" i="25"/>
  <c r="O26" i="25" s="1"/>
  <c r="P26" i="25" s="1"/>
  <c r="AX26" i="12"/>
  <c r="R37" i="25"/>
  <c r="S37" i="25" s="1"/>
  <c r="D37" i="11" s="1"/>
  <c r="D37" i="10"/>
  <c r="AF49" i="12"/>
  <c r="AH49" i="12"/>
  <c r="R9" i="25"/>
  <c r="S9" i="25" s="1"/>
  <c r="D9" i="11" s="1"/>
  <c r="D9" i="10"/>
  <c r="L47" i="25"/>
  <c r="O47" i="25" s="1"/>
  <c r="P47" i="25" s="1"/>
  <c r="AX47" i="12"/>
  <c r="AF59" i="12"/>
  <c r="AH59" i="12"/>
  <c r="AP14" i="12"/>
  <c r="AI14" i="12"/>
  <c r="AL14" i="12"/>
  <c r="AM14" i="12" s="1"/>
  <c r="Q14" i="71" s="1"/>
  <c r="AP44" i="12"/>
  <c r="AI44" i="12"/>
  <c r="AL44" i="12"/>
  <c r="AM44" i="12" s="1"/>
  <c r="Q44" i="71" s="1"/>
  <c r="AL21" i="12"/>
  <c r="AM21" i="12" s="1"/>
  <c r="Q21" i="71" s="1"/>
  <c r="AI21" i="12"/>
  <c r="AP21" i="12"/>
  <c r="AL27" i="12"/>
  <c r="AM27" i="12" s="1"/>
  <c r="Q27" i="71" s="1"/>
  <c r="AI27" i="12"/>
  <c r="AP27" i="12"/>
  <c r="L56" i="25"/>
  <c r="O56" i="25" s="1"/>
  <c r="P56" i="25" s="1"/>
  <c r="AX56" i="12"/>
  <c r="L70" i="25"/>
  <c r="O70" i="25" s="1"/>
  <c r="P70" i="25" s="1"/>
  <c r="AX70" i="12"/>
  <c r="R23" i="25"/>
  <c r="S23" i="25" s="1"/>
  <c r="D23" i="11" s="1"/>
  <c r="D23" i="10"/>
  <c r="D73" i="28"/>
  <c r="E73" i="28" s="1"/>
  <c r="H73" i="28" s="1"/>
  <c r="R11" i="25"/>
  <c r="S11" i="25" s="1"/>
  <c r="D11" i="11" s="1"/>
  <c r="D11" i="10"/>
  <c r="K71" i="25"/>
  <c r="I71" i="25"/>
  <c r="J71" i="25" s="1"/>
  <c r="L63" i="25"/>
  <c r="O63" i="25" s="1"/>
  <c r="P63" i="25" s="1"/>
  <c r="AX63" i="12"/>
  <c r="AL10" i="12"/>
  <c r="AM10" i="12" s="1"/>
  <c r="Q10" i="71" s="1"/>
  <c r="AP10" i="12"/>
  <c r="AI10" i="12"/>
  <c r="AX41" i="12"/>
  <c r="L41" i="25"/>
  <c r="O41" i="25" s="1"/>
  <c r="P41" i="25" s="1"/>
  <c r="D12" i="10"/>
  <c r="R12" i="25"/>
  <c r="S12" i="25" s="1"/>
  <c r="D12" i="11" s="1"/>
  <c r="AL37" i="12"/>
  <c r="AM37" i="12" s="1"/>
  <c r="Q37" i="71" s="1"/>
  <c r="AI37" i="12"/>
  <c r="AP37" i="12"/>
  <c r="AP65" i="12"/>
  <c r="AI65" i="12"/>
  <c r="AL65" i="12"/>
  <c r="AM65" i="12" s="1"/>
  <c r="Q65" i="71" s="1"/>
  <c r="L31" i="25"/>
  <c r="O31" i="25" s="1"/>
  <c r="P31" i="25" s="1"/>
  <c r="AX31" i="12"/>
  <c r="AF70" i="12"/>
  <c r="AH70" i="12"/>
  <c r="AX55" i="12"/>
  <c r="L55" i="25"/>
  <c r="O55" i="25" s="1"/>
  <c r="P55" i="25" s="1"/>
  <c r="AP11" i="12"/>
  <c r="AL11" i="12"/>
  <c r="AM11" i="12" s="1"/>
  <c r="Q11" i="71" s="1"/>
  <c r="AI11" i="12"/>
  <c r="AX57" i="12"/>
  <c r="L57" i="25"/>
  <c r="O57" i="25" s="1"/>
  <c r="P57" i="25" s="1"/>
  <c r="AG56" i="12"/>
  <c r="R38" i="25"/>
  <c r="S38" i="25" s="1"/>
  <c r="D38" i="11" s="1"/>
  <c r="D38" i="10"/>
  <c r="L54" i="25"/>
  <c r="O54" i="25" s="1"/>
  <c r="P54" i="25" s="1"/>
  <c r="AX54" i="12"/>
  <c r="AI23" i="12"/>
  <c r="AP23" i="12"/>
  <c r="AL23" i="12"/>
  <c r="AM23" i="12" s="1"/>
  <c r="R14" i="25"/>
  <c r="S14" i="25" s="1"/>
  <c r="D14" i="11" s="1"/>
  <c r="D14" i="10"/>
  <c r="R22" i="25"/>
  <c r="S22" i="25" s="1"/>
  <c r="D22" i="11" s="1"/>
  <c r="D22" i="10"/>
  <c r="D60" i="10"/>
  <c r="R60" i="25"/>
  <c r="S60" i="25" s="1"/>
  <c r="D60" i="11" s="1"/>
  <c r="R27" i="25"/>
  <c r="S27" i="25" s="1"/>
  <c r="D27" i="11" s="1"/>
  <c r="D27" i="10"/>
  <c r="AL75" i="12"/>
  <c r="AM75" i="12" s="1"/>
  <c r="Q75" i="71" s="1"/>
  <c r="AI75" i="12"/>
  <c r="AP75" i="12"/>
  <c r="AP17" i="12"/>
  <c r="AL17" i="12"/>
  <c r="AM17" i="12" s="1"/>
  <c r="Q17" i="71" s="1"/>
  <c r="AI17" i="12"/>
  <c r="R73" i="25"/>
  <c r="S73" i="25" s="1"/>
  <c r="D73" i="11" s="1"/>
  <c r="D73" i="10"/>
  <c r="L48" i="25"/>
  <c r="O48" i="25" s="1"/>
  <c r="P48" i="25" s="1"/>
  <c r="AX48" i="12"/>
  <c r="R33" i="25"/>
  <c r="S33" i="25" s="1"/>
  <c r="D33" i="11" s="1"/>
  <c r="D33" i="10"/>
  <c r="BA71" i="12"/>
  <c r="AT71" i="12"/>
  <c r="AL30" i="12"/>
  <c r="AM30" i="12" s="1"/>
  <c r="Q30" i="71" s="1"/>
  <c r="AI30" i="12"/>
  <c r="AP30" i="12"/>
  <c r="AL58" i="12"/>
  <c r="AM58" i="12" s="1"/>
  <c r="Q58" i="71" s="1"/>
  <c r="AI58" i="12"/>
  <c r="AP58" i="12"/>
  <c r="AG63" i="12"/>
  <c r="R15" i="25"/>
  <c r="S15" i="25" s="1"/>
  <c r="D15" i="11" s="1"/>
  <c r="D15" i="10"/>
  <c r="L29" i="25"/>
  <c r="O29" i="25" s="1"/>
  <c r="P29" i="25" s="1"/>
  <c r="AX29" i="12"/>
  <c r="L49" i="25"/>
  <c r="O49" i="25" s="1"/>
  <c r="P49" i="25" s="1"/>
  <c r="AX49" i="12"/>
  <c r="D30" i="10"/>
  <c r="R30" i="25"/>
  <c r="S30" i="25" s="1"/>
  <c r="D30" i="11" s="1"/>
  <c r="AG47" i="12"/>
  <c r="AQ42" i="12"/>
  <c r="D42" i="25" s="1"/>
  <c r="E42" i="25" s="1"/>
  <c r="F42" i="25" s="1"/>
  <c r="G42" i="25" s="1"/>
  <c r="C42" i="9"/>
  <c r="AS42" i="12"/>
  <c r="D75" i="10"/>
  <c r="R75" i="25"/>
  <c r="S75" i="25" s="1"/>
  <c r="D75" i="11" s="1"/>
  <c r="AH48" i="12"/>
  <c r="AI15" i="12"/>
  <c r="AP15" i="12"/>
  <c r="AL15" i="12"/>
  <c r="AM15" i="12" s="1"/>
  <c r="AP13" i="12"/>
  <c r="AL13" i="12"/>
  <c r="AM13" i="12" s="1"/>
  <c r="Q13" i="71" s="1"/>
  <c r="AI13" i="12"/>
  <c r="AP40" i="12"/>
  <c r="AL40" i="12"/>
  <c r="AM40" i="12" s="1"/>
  <c r="Q40" i="71" s="1"/>
  <c r="AI40" i="12"/>
  <c r="AP22" i="12"/>
  <c r="AL22" i="12"/>
  <c r="AM22" i="12" s="1"/>
  <c r="Q22" i="71" s="1"/>
  <c r="AI22" i="12"/>
  <c r="AL74" i="12"/>
  <c r="AM74" i="12" s="1"/>
  <c r="Q74" i="71" s="1"/>
  <c r="AI74" i="12"/>
  <c r="AP74" i="12"/>
  <c r="D20" i="10"/>
  <c r="R20" i="25"/>
  <c r="S20" i="25" s="1"/>
  <c r="D20" i="11" s="1"/>
  <c r="AX45" i="12"/>
  <c r="L45" i="25"/>
  <c r="O45" i="25" s="1"/>
  <c r="P45" i="25" s="1"/>
  <c r="AP18" i="12"/>
  <c r="AI18" i="12"/>
  <c r="AL18" i="12"/>
  <c r="AM18" i="12" s="1"/>
  <c r="Q18" i="71" s="1"/>
  <c r="AF51" i="12"/>
  <c r="AH51" i="12"/>
  <c r="AI45" i="12"/>
  <c r="AF26" i="12"/>
  <c r="AH26" i="12"/>
  <c r="D19" i="10"/>
  <c r="R19" i="25"/>
  <c r="S19" i="25" s="1"/>
  <c r="D19" i="11" s="1"/>
  <c r="AX28" i="12"/>
  <c r="L28" i="25"/>
  <c r="O28" i="25" s="1"/>
  <c r="P28" i="25" s="1"/>
  <c r="AX25" i="12"/>
  <c r="L25" i="25"/>
  <c r="O25" i="25" s="1"/>
  <c r="P25" i="25" s="1"/>
  <c r="AL20" i="12"/>
  <c r="AM20" i="12" s="1"/>
  <c r="Q20" i="71" s="1"/>
  <c r="AI20" i="12"/>
  <c r="AP20" i="12"/>
  <c r="R66" i="25"/>
  <c r="S66" i="25" s="1"/>
  <c r="D66" i="11" s="1"/>
  <c r="D66" i="10"/>
  <c r="R36" i="25"/>
  <c r="S36" i="25" s="1"/>
  <c r="D36" i="11" s="1"/>
  <c r="D36" i="10"/>
  <c r="L53" i="25"/>
  <c r="O53" i="25" s="1"/>
  <c r="P53" i="25" s="1"/>
  <c r="AX53" i="12"/>
  <c r="AL12" i="12"/>
  <c r="AM12" i="12" s="1"/>
  <c r="Q12" i="71" s="1"/>
  <c r="AI12" i="12"/>
  <c r="AP12" i="12"/>
  <c r="AG70" i="12"/>
  <c r="AG45" i="12"/>
  <c r="D43" i="10"/>
  <c r="R43" i="25"/>
  <c r="S43" i="25" s="1"/>
  <c r="D43" i="11" s="1"/>
  <c r="D18" i="10"/>
  <c r="R18" i="25"/>
  <c r="S18" i="25" s="1"/>
  <c r="D18" i="11" s="1"/>
  <c r="D46" i="10"/>
  <c r="R46" i="25"/>
  <c r="S46" i="25" s="1"/>
  <c r="D46" i="11" s="1"/>
  <c r="AX32" i="12"/>
  <c r="L32" i="25"/>
  <c r="O32" i="25" s="1"/>
  <c r="P32" i="25" s="1"/>
  <c r="AW7" i="12"/>
  <c r="AD7" i="12"/>
  <c r="L51" i="25"/>
  <c r="O51" i="25" s="1"/>
  <c r="P51" i="25" s="1"/>
  <c r="AX51" i="12"/>
  <c r="D13" i="10"/>
  <c r="R13" i="25"/>
  <c r="S13" i="25" s="1"/>
  <c r="D13" i="11" s="1"/>
  <c r="D39" i="10"/>
  <c r="R39" i="25"/>
  <c r="S39" i="25" s="1"/>
  <c r="D39" i="11" s="1"/>
  <c r="AG48" i="12"/>
  <c r="Q52" i="71"/>
  <c r="D74" i="10"/>
  <c r="R74" i="25"/>
  <c r="S74" i="25" s="1"/>
  <c r="D74" i="11" s="1"/>
  <c r="AG26" i="12"/>
  <c r="D58" i="10"/>
  <c r="R58" i="25"/>
  <c r="S58" i="25" s="1"/>
  <c r="D58" i="11" s="1"/>
  <c r="D17" i="10"/>
  <c r="R17" i="25"/>
  <c r="S17" i="25" s="1"/>
  <c r="D17" i="11" s="1"/>
  <c r="AP38" i="12"/>
  <c r="AL38" i="12"/>
  <c r="AM38" i="12" s="1"/>
  <c r="Q38" i="71" s="1"/>
  <c r="AI38" i="12"/>
  <c r="D10" i="10"/>
  <c r="R10" i="25"/>
  <c r="S10" i="25" s="1"/>
  <c r="D10" i="11" s="1"/>
  <c r="AH47" i="12"/>
  <c r="L59" i="25"/>
  <c r="O59" i="25" s="1"/>
  <c r="P59" i="25" s="1"/>
  <c r="AX59" i="12"/>
  <c r="AL46" i="12"/>
  <c r="AM46" i="12" s="1"/>
  <c r="Q46" i="71" s="1"/>
  <c r="AI46" i="12"/>
  <c r="AP46" i="12"/>
  <c r="AP66" i="12"/>
  <c r="AI66" i="12"/>
  <c r="AL66" i="12"/>
  <c r="AM66" i="12" s="1"/>
  <c r="Q66" i="71" s="1"/>
  <c r="AI39" i="12"/>
  <c r="AL39" i="12"/>
  <c r="AM39" i="12" s="1"/>
  <c r="Q39" i="71" s="1"/>
  <c r="AP39" i="12"/>
  <c r="AP33" i="12"/>
  <c r="AI33" i="12"/>
  <c r="AL33" i="12"/>
  <c r="AM33" i="12" s="1"/>
  <c r="Q33" i="71" s="1"/>
  <c r="AP19" i="12"/>
  <c r="AL19" i="12"/>
  <c r="AM19" i="12" s="1"/>
  <c r="Q19" i="71" s="1"/>
  <c r="AI19" i="12"/>
  <c r="AL9" i="12"/>
  <c r="AM9" i="12" s="1"/>
  <c r="Q9" i="71" s="1"/>
  <c r="AI9" i="12"/>
  <c r="AP9" i="12"/>
  <c r="D42" i="27" l="1"/>
  <c r="E42" i="27" s="1"/>
  <c r="H42" i="27" s="1"/>
  <c r="AL68" i="12"/>
  <c r="AM68" i="12" s="1"/>
  <c r="Q68" i="71" s="1"/>
  <c r="AI68" i="12"/>
  <c r="AP68" i="12"/>
  <c r="AP61" i="12"/>
  <c r="AI61" i="12"/>
  <c r="AL61" i="12"/>
  <c r="AM61" i="12" s="1"/>
  <c r="Q61" i="71" s="1"/>
  <c r="D24" i="10"/>
  <c r="R24" i="25"/>
  <c r="S24" i="25" s="1"/>
  <c r="D24" i="11" s="1"/>
  <c r="AI72" i="12"/>
  <c r="AL72" i="12"/>
  <c r="AM72" i="12" s="1"/>
  <c r="Q72" i="71" s="1"/>
  <c r="AP72" i="12"/>
  <c r="AP34" i="12"/>
  <c r="AL34" i="12"/>
  <c r="AM34" i="12" s="1"/>
  <c r="Q34" i="71" s="1"/>
  <c r="AI34" i="12"/>
  <c r="D72" i="10"/>
  <c r="R72" i="25"/>
  <c r="S72" i="25" s="1"/>
  <c r="D72" i="11" s="1"/>
  <c r="AP35" i="12"/>
  <c r="AL35" i="12"/>
  <c r="AM35" i="12" s="1"/>
  <c r="Q35" i="71" s="1"/>
  <c r="AI35" i="12"/>
  <c r="D73" i="27"/>
  <c r="E73" i="27" s="1"/>
  <c r="H73" i="27" s="1"/>
  <c r="AP24" i="12"/>
  <c r="AL24" i="12"/>
  <c r="AM24" i="12" s="1"/>
  <c r="Q24" i="71" s="1"/>
  <c r="AI24" i="12"/>
  <c r="D68" i="10"/>
  <c r="R68" i="25"/>
  <c r="S68" i="25" s="1"/>
  <c r="D68" i="11" s="1"/>
  <c r="D61" i="10"/>
  <c r="R61" i="25"/>
  <c r="S61" i="25" s="1"/>
  <c r="D61" i="11" s="1"/>
  <c r="D34" i="10"/>
  <c r="R34" i="25"/>
  <c r="S34" i="25" s="1"/>
  <c r="D34" i="11" s="1"/>
  <c r="D71" i="28"/>
  <c r="E71" i="28" s="1"/>
  <c r="H71" i="28" s="1"/>
  <c r="D71" i="27"/>
  <c r="E71" i="27" s="1"/>
  <c r="H71" i="27" s="1"/>
  <c r="D71" i="26"/>
  <c r="E71" i="26" s="1"/>
  <c r="H71" i="26" s="1"/>
  <c r="D35" i="10"/>
  <c r="R35" i="25"/>
  <c r="S35" i="25" s="1"/>
  <c r="D35" i="11" s="1"/>
  <c r="C52" i="9"/>
  <c r="AH16" i="12"/>
  <c r="AI16" i="12" s="1"/>
  <c r="Q45" i="71"/>
  <c r="AG16" i="12"/>
  <c r="D42" i="28"/>
  <c r="E42" i="28" s="1"/>
  <c r="H42" i="28" s="1"/>
  <c r="AS73" i="12"/>
  <c r="AT73" i="12" s="1"/>
  <c r="AQ73" i="12"/>
  <c r="D73" i="25" s="1"/>
  <c r="E73" i="25" s="1"/>
  <c r="F73" i="25" s="1"/>
  <c r="G73" i="25" s="1"/>
  <c r="AP45" i="12"/>
  <c r="C45" i="9" s="1"/>
  <c r="AP16" i="12"/>
  <c r="AX16" i="12"/>
  <c r="L16" i="25"/>
  <c r="O16" i="25" s="1"/>
  <c r="P16" i="25" s="1"/>
  <c r="R69" i="25"/>
  <c r="S69" i="25" s="1"/>
  <c r="D69" i="11" s="1"/>
  <c r="D69" i="10"/>
  <c r="R62" i="25"/>
  <c r="S62" i="25" s="1"/>
  <c r="D62" i="11" s="1"/>
  <c r="D62" i="10"/>
  <c r="AI62" i="12"/>
  <c r="AL62" i="12"/>
  <c r="AM62" i="12" s="1"/>
  <c r="Q62" i="71" s="1"/>
  <c r="AP62" i="12"/>
  <c r="AL69" i="12"/>
  <c r="AM69" i="12" s="1"/>
  <c r="Q69" i="71" s="1"/>
  <c r="AI69" i="12"/>
  <c r="AP69" i="12"/>
  <c r="X76" i="12"/>
  <c r="W76" i="12"/>
  <c r="D64" i="28"/>
  <c r="E64" i="28" s="1"/>
  <c r="H64" i="28" s="1"/>
  <c r="D64" i="27"/>
  <c r="E64" i="27" s="1"/>
  <c r="H64" i="27" s="1"/>
  <c r="D64" i="26"/>
  <c r="E64" i="26" s="1"/>
  <c r="H64" i="26" s="1"/>
  <c r="AC8" i="12"/>
  <c r="Z76" i="12"/>
  <c r="D67" i="26"/>
  <c r="E67" i="26" s="1"/>
  <c r="H67" i="26" s="1"/>
  <c r="D67" i="27"/>
  <c r="E67" i="27" s="1"/>
  <c r="H67" i="27" s="1"/>
  <c r="D67" i="28"/>
  <c r="E67" i="28" s="1"/>
  <c r="H67" i="28" s="1"/>
  <c r="AQ64" i="12"/>
  <c r="D64" i="25" s="1"/>
  <c r="E64" i="25" s="1"/>
  <c r="F64" i="25" s="1"/>
  <c r="G64" i="25" s="1"/>
  <c r="AS64" i="12"/>
  <c r="C64" i="9"/>
  <c r="V8" i="12"/>
  <c r="U76" i="12"/>
  <c r="C67" i="9"/>
  <c r="AS67" i="12"/>
  <c r="AQ67" i="12"/>
  <c r="D67" i="25" s="1"/>
  <c r="E67" i="25" s="1"/>
  <c r="F67" i="25" s="1"/>
  <c r="G67" i="25" s="1"/>
  <c r="D33" i="26"/>
  <c r="E33" i="26" s="1"/>
  <c r="H33" i="26" s="1"/>
  <c r="D33" i="28"/>
  <c r="E33" i="28" s="1"/>
  <c r="H33" i="28" s="1"/>
  <c r="D33" i="27"/>
  <c r="E33" i="27" s="1"/>
  <c r="H33" i="27" s="1"/>
  <c r="AQ66" i="12"/>
  <c r="D66" i="25" s="1"/>
  <c r="E66" i="25" s="1"/>
  <c r="F66" i="25" s="1"/>
  <c r="G66" i="25" s="1"/>
  <c r="C66" i="9"/>
  <c r="AS66" i="12"/>
  <c r="AQ38" i="12"/>
  <c r="D38" i="25" s="1"/>
  <c r="E38" i="25" s="1"/>
  <c r="F38" i="25" s="1"/>
  <c r="G38" i="25" s="1"/>
  <c r="C38" i="9"/>
  <c r="AS38" i="12"/>
  <c r="R25" i="25"/>
  <c r="S25" i="25" s="1"/>
  <c r="D25" i="11" s="1"/>
  <c r="D25" i="10"/>
  <c r="D18" i="27"/>
  <c r="E18" i="27" s="1"/>
  <c r="H18" i="27" s="1"/>
  <c r="D18" i="28"/>
  <c r="E18" i="28" s="1"/>
  <c r="H18" i="28" s="1"/>
  <c r="D18" i="26"/>
  <c r="E18" i="26" s="1"/>
  <c r="H18" i="26" s="1"/>
  <c r="C22" i="9"/>
  <c r="AQ22" i="12"/>
  <c r="D22" i="25" s="1"/>
  <c r="E22" i="25" s="1"/>
  <c r="F22" i="25" s="1"/>
  <c r="G22" i="25" s="1"/>
  <c r="AS22" i="12"/>
  <c r="D58" i="26"/>
  <c r="E58" i="26" s="1"/>
  <c r="H58" i="26" s="1"/>
  <c r="D58" i="27"/>
  <c r="E58" i="27" s="1"/>
  <c r="H58" i="27" s="1"/>
  <c r="D58" i="28"/>
  <c r="E58" i="28" s="1"/>
  <c r="H58" i="28" s="1"/>
  <c r="AQ30" i="12"/>
  <c r="D30" i="25" s="1"/>
  <c r="E30" i="25" s="1"/>
  <c r="F30" i="25" s="1"/>
  <c r="G30" i="25" s="1"/>
  <c r="C30" i="9"/>
  <c r="AS30" i="12"/>
  <c r="BB71" i="12"/>
  <c r="AZ71" i="12"/>
  <c r="D11" i="27"/>
  <c r="E11" i="27" s="1"/>
  <c r="H11" i="27" s="1"/>
  <c r="D11" i="28"/>
  <c r="E11" i="28" s="1"/>
  <c r="H11" i="28" s="1"/>
  <c r="D11" i="26"/>
  <c r="E11" i="26" s="1"/>
  <c r="H11" i="26" s="1"/>
  <c r="C65" i="9"/>
  <c r="AQ65" i="12"/>
  <c r="D65" i="25" s="1"/>
  <c r="E65" i="25" s="1"/>
  <c r="F65" i="25" s="1"/>
  <c r="G65" i="25" s="1"/>
  <c r="AS65" i="12"/>
  <c r="D14" i="28"/>
  <c r="E14" i="28" s="1"/>
  <c r="H14" i="28" s="1"/>
  <c r="D14" i="27"/>
  <c r="E14" i="27" s="1"/>
  <c r="H14" i="27" s="1"/>
  <c r="D14" i="26"/>
  <c r="E14" i="26" s="1"/>
  <c r="H14" i="26" s="1"/>
  <c r="AL59" i="12"/>
  <c r="AM59" i="12" s="1"/>
  <c r="Q59" i="71" s="1"/>
  <c r="AI59" i="12"/>
  <c r="AP59" i="12"/>
  <c r="AP63" i="12"/>
  <c r="AL63" i="12"/>
  <c r="AM63" i="12" s="1"/>
  <c r="Q63" i="71" s="1"/>
  <c r="AI63" i="12"/>
  <c r="AL50" i="12"/>
  <c r="AM50" i="12" s="1"/>
  <c r="Q50" i="71" s="1"/>
  <c r="AI50" i="12"/>
  <c r="AP50" i="12"/>
  <c r="C9" i="9"/>
  <c r="AQ9" i="12"/>
  <c r="D9" i="25" s="1"/>
  <c r="E9" i="25" s="1"/>
  <c r="F9" i="25" s="1"/>
  <c r="G9" i="25" s="1"/>
  <c r="AS9" i="12"/>
  <c r="D19" i="26"/>
  <c r="E19" i="26" s="1"/>
  <c r="H19" i="26" s="1"/>
  <c r="D19" i="28"/>
  <c r="E19" i="28" s="1"/>
  <c r="H19" i="28" s="1"/>
  <c r="D19" i="27"/>
  <c r="E19" i="27" s="1"/>
  <c r="H19" i="27" s="1"/>
  <c r="C33" i="9"/>
  <c r="AQ33" i="12"/>
  <c r="D33" i="25" s="1"/>
  <c r="E33" i="25" s="1"/>
  <c r="F33" i="25" s="1"/>
  <c r="G33" i="25" s="1"/>
  <c r="AS33" i="12"/>
  <c r="D66" i="27"/>
  <c r="E66" i="27" s="1"/>
  <c r="H66" i="27" s="1"/>
  <c r="D66" i="28"/>
  <c r="E66" i="28" s="1"/>
  <c r="H66" i="28" s="1"/>
  <c r="D66" i="26"/>
  <c r="E66" i="26" s="1"/>
  <c r="H66" i="26" s="1"/>
  <c r="D59" i="10"/>
  <c r="R59" i="25"/>
  <c r="S59" i="25" s="1"/>
  <c r="D59" i="11" s="1"/>
  <c r="L7" i="25"/>
  <c r="AX7" i="12"/>
  <c r="D20" i="28"/>
  <c r="E20" i="28" s="1"/>
  <c r="H20" i="28" s="1"/>
  <c r="D20" i="26"/>
  <c r="E20" i="26" s="1"/>
  <c r="H20" i="26" s="1"/>
  <c r="D20" i="27"/>
  <c r="E20" i="27" s="1"/>
  <c r="H20" i="27" s="1"/>
  <c r="D74" i="27"/>
  <c r="E74" i="27" s="1"/>
  <c r="H74" i="27" s="1"/>
  <c r="D74" i="26"/>
  <c r="E74" i="26" s="1"/>
  <c r="H74" i="26" s="1"/>
  <c r="D74" i="28"/>
  <c r="E74" i="28" s="1"/>
  <c r="H74" i="28" s="1"/>
  <c r="D13" i="26"/>
  <c r="E13" i="26" s="1"/>
  <c r="H13" i="26" s="1"/>
  <c r="D13" i="28"/>
  <c r="E13" i="28" s="1"/>
  <c r="H13" i="28" s="1"/>
  <c r="D13" i="27"/>
  <c r="E13" i="27" s="1"/>
  <c r="H13" i="27" s="1"/>
  <c r="BA42" i="12"/>
  <c r="AT42" i="12"/>
  <c r="AU71" i="12"/>
  <c r="BA73" i="12"/>
  <c r="D17" i="27"/>
  <c r="E17" i="27" s="1"/>
  <c r="H17" i="27" s="1"/>
  <c r="D17" i="26"/>
  <c r="E17" i="26" s="1"/>
  <c r="H17" i="26" s="1"/>
  <c r="D17" i="28"/>
  <c r="E17" i="28" s="1"/>
  <c r="H17" i="28" s="1"/>
  <c r="C75" i="9"/>
  <c r="AQ75" i="12"/>
  <c r="D75" i="25" s="1"/>
  <c r="E75" i="25" s="1"/>
  <c r="F75" i="25" s="1"/>
  <c r="G75" i="25" s="1"/>
  <c r="AS75" i="12"/>
  <c r="E8" i="29"/>
  <c r="E15" i="29"/>
  <c r="Q23" i="71"/>
  <c r="E12" i="29"/>
  <c r="E14" i="29"/>
  <c r="E13" i="29"/>
  <c r="E11" i="29"/>
  <c r="D57" i="10"/>
  <c r="R57" i="25"/>
  <c r="S57" i="25" s="1"/>
  <c r="D57" i="11" s="1"/>
  <c r="C11" i="9"/>
  <c r="AQ11" i="12"/>
  <c r="D11" i="25" s="1"/>
  <c r="E11" i="25" s="1"/>
  <c r="F11" i="25" s="1"/>
  <c r="G11" i="25" s="1"/>
  <c r="AS11" i="12"/>
  <c r="AQ37" i="12"/>
  <c r="D37" i="25" s="1"/>
  <c r="E37" i="25" s="1"/>
  <c r="F37" i="25" s="1"/>
  <c r="G37" i="25" s="1"/>
  <c r="C37" i="9"/>
  <c r="AS37" i="12"/>
  <c r="D10" i="27"/>
  <c r="E10" i="27" s="1"/>
  <c r="H10" i="27" s="1"/>
  <c r="D10" i="28"/>
  <c r="E10" i="28" s="1"/>
  <c r="H10" i="28" s="1"/>
  <c r="D10" i="26"/>
  <c r="E10" i="26" s="1"/>
  <c r="H10" i="26" s="1"/>
  <c r="R63" i="25"/>
  <c r="S63" i="25" s="1"/>
  <c r="D63" i="11" s="1"/>
  <c r="D63" i="10"/>
  <c r="D70" i="10"/>
  <c r="R70" i="25"/>
  <c r="S70" i="25" s="1"/>
  <c r="D70" i="11" s="1"/>
  <c r="D27" i="27"/>
  <c r="E27" i="27" s="1"/>
  <c r="H27" i="27" s="1"/>
  <c r="D27" i="28"/>
  <c r="E27" i="28" s="1"/>
  <c r="H27" i="28" s="1"/>
  <c r="D27" i="26"/>
  <c r="E27" i="26" s="1"/>
  <c r="H27" i="26" s="1"/>
  <c r="D44" i="27"/>
  <c r="E44" i="27" s="1"/>
  <c r="H44" i="27" s="1"/>
  <c r="D44" i="28"/>
  <c r="E44" i="28" s="1"/>
  <c r="H44" i="28" s="1"/>
  <c r="D44" i="26"/>
  <c r="E44" i="26" s="1"/>
  <c r="H44" i="26" s="1"/>
  <c r="D47" i="10"/>
  <c r="R47" i="25"/>
  <c r="S47" i="25" s="1"/>
  <c r="D47" i="11" s="1"/>
  <c r="K52" i="25"/>
  <c r="I52" i="25"/>
  <c r="J52" i="25" s="1"/>
  <c r="R50" i="25"/>
  <c r="S50" i="25" s="1"/>
  <c r="D50" i="11" s="1"/>
  <c r="D50" i="10"/>
  <c r="D36" i="27"/>
  <c r="E36" i="27" s="1"/>
  <c r="H36" i="27" s="1"/>
  <c r="D36" i="26"/>
  <c r="E36" i="26" s="1"/>
  <c r="H36" i="26" s="1"/>
  <c r="D36" i="28"/>
  <c r="E36" i="28" s="1"/>
  <c r="H36" i="28" s="1"/>
  <c r="D43" i="26"/>
  <c r="E43" i="26" s="1"/>
  <c r="H43" i="26" s="1"/>
  <c r="D43" i="27"/>
  <c r="E43" i="27" s="1"/>
  <c r="H43" i="27" s="1"/>
  <c r="D43" i="28"/>
  <c r="E43" i="28" s="1"/>
  <c r="H43" i="28" s="1"/>
  <c r="AQ60" i="12"/>
  <c r="D60" i="25" s="1"/>
  <c r="E60" i="25" s="1"/>
  <c r="F60" i="25" s="1"/>
  <c r="G60" i="25" s="1"/>
  <c r="C60" i="9"/>
  <c r="AS60" i="12"/>
  <c r="AL25" i="12"/>
  <c r="AM25" i="12" s="1"/>
  <c r="Q25" i="71" s="1"/>
  <c r="AP25" i="12"/>
  <c r="AI25" i="12"/>
  <c r="AL32" i="12"/>
  <c r="AM32" i="12" s="1"/>
  <c r="Q32" i="71" s="1"/>
  <c r="AI32" i="12"/>
  <c r="AP32" i="12"/>
  <c r="AI31" i="12"/>
  <c r="AL31" i="12"/>
  <c r="AM31" i="12" s="1"/>
  <c r="Q31" i="71" s="1"/>
  <c r="AP31" i="12"/>
  <c r="AP29" i="12"/>
  <c r="AL29" i="12"/>
  <c r="AM29" i="12" s="1"/>
  <c r="Q29" i="71" s="1"/>
  <c r="AI29" i="12"/>
  <c r="D9" i="28"/>
  <c r="E9" i="28" s="1"/>
  <c r="H9" i="28" s="1"/>
  <c r="D9" i="27"/>
  <c r="E9" i="27" s="1"/>
  <c r="H9" i="27" s="1"/>
  <c r="D9" i="26"/>
  <c r="E9" i="26" s="1"/>
  <c r="H9" i="26" s="1"/>
  <c r="D39" i="26"/>
  <c r="E39" i="26" s="1"/>
  <c r="H39" i="26" s="1"/>
  <c r="D39" i="28"/>
  <c r="E39" i="28" s="1"/>
  <c r="H39" i="28" s="1"/>
  <c r="D39" i="27"/>
  <c r="E39" i="27" s="1"/>
  <c r="H39" i="27" s="1"/>
  <c r="C46" i="9"/>
  <c r="AQ46" i="12"/>
  <c r="D46" i="25" s="1"/>
  <c r="E46" i="25" s="1"/>
  <c r="F46" i="25" s="1"/>
  <c r="G46" i="25" s="1"/>
  <c r="AS46" i="12"/>
  <c r="D52" i="27"/>
  <c r="E52" i="27" s="1"/>
  <c r="H52" i="27" s="1"/>
  <c r="D52" i="28"/>
  <c r="E52" i="28" s="1"/>
  <c r="H52" i="28" s="1"/>
  <c r="D52" i="26"/>
  <c r="E52" i="26" s="1"/>
  <c r="H52" i="26" s="1"/>
  <c r="D51" i="10"/>
  <c r="R51" i="25"/>
  <c r="S51" i="25" s="1"/>
  <c r="D51" i="11" s="1"/>
  <c r="AE7" i="12"/>
  <c r="C12" i="9"/>
  <c r="AQ12" i="12"/>
  <c r="D12" i="25" s="1"/>
  <c r="E12" i="25" s="1"/>
  <c r="F12" i="25" s="1"/>
  <c r="G12" i="25" s="1"/>
  <c r="AS12" i="12"/>
  <c r="C15" i="9"/>
  <c r="AQ15" i="12"/>
  <c r="D15" i="25" s="1"/>
  <c r="E15" i="25" s="1"/>
  <c r="F15" i="25" s="1"/>
  <c r="G15" i="25" s="1"/>
  <c r="AS15" i="12"/>
  <c r="D49" i="10"/>
  <c r="R49" i="25"/>
  <c r="S49" i="25" s="1"/>
  <c r="D49" i="11" s="1"/>
  <c r="D48" i="10"/>
  <c r="R48" i="25"/>
  <c r="S48" i="25" s="1"/>
  <c r="D48" i="11" s="1"/>
  <c r="R55" i="25"/>
  <c r="S55" i="25" s="1"/>
  <c r="D55" i="11" s="1"/>
  <c r="D55" i="10"/>
  <c r="R41" i="25"/>
  <c r="S41" i="25" s="1"/>
  <c r="D41" i="11" s="1"/>
  <c r="D41" i="10"/>
  <c r="AQ10" i="12"/>
  <c r="D10" i="25" s="1"/>
  <c r="E10" i="25" s="1"/>
  <c r="F10" i="25" s="1"/>
  <c r="G10" i="25" s="1"/>
  <c r="C10" i="9"/>
  <c r="AS10" i="12"/>
  <c r="D21" i="28"/>
  <c r="E21" i="28" s="1"/>
  <c r="H21" i="28" s="1"/>
  <c r="D21" i="27"/>
  <c r="E21" i="27" s="1"/>
  <c r="H21" i="27" s="1"/>
  <c r="D21" i="26"/>
  <c r="E21" i="26" s="1"/>
  <c r="H21" i="26" s="1"/>
  <c r="AI49" i="12"/>
  <c r="AP49" i="12"/>
  <c r="AL49" i="12"/>
  <c r="AM49" i="12" s="1"/>
  <c r="Q49" i="71" s="1"/>
  <c r="AP41" i="12"/>
  <c r="AL41" i="12"/>
  <c r="AM41" i="12" s="1"/>
  <c r="Q41" i="71" s="1"/>
  <c r="AI41" i="12"/>
  <c r="AP55" i="12"/>
  <c r="AI55" i="12"/>
  <c r="AL55" i="12"/>
  <c r="AM55" i="12" s="1"/>
  <c r="Q55" i="71" s="1"/>
  <c r="AQ19" i="12"/>
  <c r="D19" i="25" s="1"/>
  <c r="E19" i="25" s="1"/>
  <c r="F19" i="25" s="1"/>
  <c r="G19" i="25" s="1"/>
  <c r="C19" i="9"/>
  <c r="AS19" i="12"/>
  <c r="AQ39" i="12"/>
  <c r="D39" i="25" s="1"/>
  <c r="E39" i="25" s="1"/>
  <c r="F39" i="25" s="1"/>
  <c r="G39" i="25" s="1"/>
  <c r="C39" i="9"/>
  <c r="AS39" i="12"/>
  <c r="D46" i="28"/>
  <c r="E46" i="28" s="1"/>
  <c r="H46" i="28" s="1"/>
  <c r="D46" i="27"/>
  <c r="E46" i="27" s="1"/>
  <c r="H46" i="27" s="1"/>
  <c r="D46" i="26"/>
  <c r="E46" i="26" s="1"/>
  <c r="H46" i="26" s="1"/>
  <c r="AP47" i="12"/>
  <c r="AI47" i="12"/>
  <c r="AL47" i="12"/>
  <c r="AM47" i="12" s="1"/>
  <c r="Q47" i="71" s="1"/>
  <c r="D38" i="26"/>
  <c r="E38" i="26" s="1"/>
  <c r="H38" i="26" s="1"/>
  <c r="D38" i="28"/>
  <c r="E38" i="28" s="1"/>
  <c r="H38" i="28" s="1"/>
  <c r="D38" i="27"/>
  <c r="E38" i="27" s="1"/>
  <c r="H38" i="27" s="1"/>
  <c r="D12" i="26"/>
  <c r="E12" i="26" s="1"/>
  <c r="H12" i="26" s="1"/>
  <c r="D12" i="27"/>
  <c r="E12" i="27" s="1"/>
  <c r="H12" i="27" s="1"/>
  <c r="D12" i="28"/>
  <c r="E12" i="28" s="1"/>
  <c r="H12" i="28" s="1"/>
  <c r="AP51" i="12"/>
  <c r="AI51" i="12"/>
  <c r="AL51" i="12"/>
  <c r="AM51" i="12" s="1"/>
  <c r="Q51" i="71" s="1"/>
  <c r="C18" i="9"/>
  <c r="AQ18" i="12"/>
  <c r="D18" i="25" s="1"/>
  <c r="E18" i="25" s="1"/>
  <c r="F18" i="25" s="1"/>
  <c r="G18" i="25" s="1"/>
  <c r="AS18" i="12"/>
  <c r="D45" i="10"/>
  <c r="R45" i="25"/>
  <c r="S45" i="25" s="1"/>
  <c r="D45" i="11" s="1"/>
  <c r="D40" i="28"/>
  <c r="E40" i="28" s="1"/>
  <c r="H40" i="28" s="1"/>
  <c r="D40" i="27"/>
  <c r="E40" i="27" s="1"/>
  <c r="H40" i="27" s="1"/>
  <c r="D40" i="26"/>
  <c r="E40" i="26" s="1"/>
  <c r="H40" i="26" s="1"/>
  <c r="AQ13" i="12"/>
  <c r="D13" i="25" s="1"/>
  <c r="E13" i="25" s="1"/>
  <c r="F13" i="25" s="1"/>
  <c r="G13" i="25" s="1"/>
  <c r="C13" i="9"/>
  <c r="AS13" i="12"/>
  <c r="AL48" i="12"/>
  <c r="AM48" i="12" s="1"/>
  <c r="Q48" i="71" s="1"/>
  <c r="AI48" i="12"/>
  <c r="AP48" i="12"/>
  <c r="C58" i="9"/>
  <c r="AQ58" i="12"/>
  <c r="D58" i="25" s="1"/>
  <c r="E58" i="25" s="1"/>
  <c r="F58" i="25" s="1"/>
  <c r="G58" i="25" s="1"/>
  <c r="AS58" i="12"/>
  <c r="D30" i="28"/>
  <c r="E30" i="28" s="1"/>
  <c r="H30" i="28" s="1"/>
  <c r="D30" i="27"/>
  <c r="E30" i="27" s="1"/>
  <c r="H30" i="27" s="1"/>
  <c r="D30" i="26"/>
  <c r="E30" i="26" s="1"/>
  <c r="H30" i="26" s="1"/>
  <c r="C17" i="9"/>
  <c r="AQ17" i="12"/>
  <c r="D17" i="25" s="1"/>
  <c r="E17" i="25" s="1"/>
  <c r="F17" i="25" s="1"/>
  <c r="G17" i="25" s="1"/>
  <c r="AS17" i="12"/>
  <c r="AQ23" i="12"/>
  <c r="D23" i="25" s="1"/>
  <c r="E23" i="25" s="1"/>
  <c r="F23" i="25" s="1"/>
  <c r="G23" i="25" s="1"/>
  <c r="C23" i="9"/>
  <c r="AS23" i="12"/>
  <c r="D54" i="10"/>
  <c r="R54" i="25"/>
  <c r="S54" i="25" s="1"/>
  <c r="D54" i="11" s="1"/>
  <c r="D65" i="27"/>
  <c r="E65" i="27" s="1"/>
  <c r="H65" i="27" s="1"/>
  <c r="D65" i="26"/>
  <c r="E65" i="26" s="1"/>
  <c r="H65" i="26" s="1"/>
  <c r="D65" i="28"/>
  <c r="E65" i="28" s="1"/>
  <c r="H65" i="28" s="1"/>
  <c r="D56" i="10"/>
  <c r="R56" i="25"/>
  <c r="S56" i="25" s="1"/>
  <c r="D56" i="11" s="1"/>
  <c r="AQ21" i="12"/>
  <c r="D21" i="25" s="1"/>
  <c r="E21" i="25" s="1"/>
  <c r="F21" i="25" s="1"/>
  <c r="G21" i="25" s="1"/>
  <c r="C21" i="9"/>
  <c r="AS21" i="12"/>
  <c r="C14" i="9"/>
  <c r="AQ14" i="12"/>
  <c r="D14" i="25" s="1"/>
  <c r="E14" i="25" s="1"/>
  <c r="F14" i="25" s="1"/>
  <c r="G14" i="25" s="1"/>
  <c r="AS14" i="12"/>
  <c r="R26" i="25"/>
  <c r="S26" i="25" s="1"/>
  <c r="D26" i="11" s="1"/>
  <c r="D26" i="10"/>
  <c r="AL56" i="12"/>
  <c r="AM56" i="12" s="1"/>
  <c r="Q56" i="71" s="1"/>
  <c r="AI56" i="12"/>
  <c r="AP56" i="12"/>
  <c r="AQ36" i="12"/>
  <c r="D36" i="25" s="1"/>
  <c r="E36" i="25" s="1"/>
  <c r="F36" i="25" s="1"/>
  <c r="G36" i="25" s="1"/>
  <c r="C36" i="9"/>
  <c r="AS36" i="12"/>
  <c r="AL54" i="12"/>
  <c r="AM54" i="12" s="1"/>
  <c r="Q54" i="71" s="1"/>
  <c r="AI54" i="12"/>
  <c r="AP54" i="12"/>
  <c r="AP57" i="12"/>
  <c r="AL57" i="12"/>
  <c r="AM57" i="12" s="1"/>
  <c r="Q57" i="71" s="1"/>
  <c r="AI57" i="12"/>
  <c r="D32" i="10"/>
  <c r="R32" i="25"/>
  <c r="S32" i="25" s="1"/>
  <c r="D32" i="11" s="1"/>
  <c r="R53" i="25"/>
  <c r="S53" i="25" s="1"/>
  <c r="D53" i="11" s="1"/>
  <c r="D53" i="10"/>
  <c r="C20" i="9"/>
  <c r="AQ20" i="12"/>
  <c r="D20" i="25" s="1"/>
  <c r="E20" i="25" s="1"/>
  <c r="F20" i="25" s="1"/>
  <c r="G20" i="25" s="1"/>
  <c r="AS20" i="12"/>
  <c r="D28" i="10"/>
  <c r="R28" i="25"/>
  <c r="S28" i="25" s="1"/>
  <c r="D28" i="11" s="1"/>
  <c r="AL26" i="12"/>
  <c r="AM26" i="12" s="1"/>
  <c r="Q26" i="71" s="1"/>
  <c r="AI26" i="12"/>
  <c r="AP26" i="12"/>
  <c r="D45" i="28"/>
  <c r="E45" i="28" s="1"/>
  <c r="H45" i="28" s="1"/>
  <c r="D45" i="26"/>
  <c r="E45" i="26" s="1"/>
  <c r="H45" i="26" s="1"/>
  <c r="D45" i="27"/>
  <c r="E45" i="27" s="1"/>
  <c r="H45" i="27" s="1"/>
  <c r="AQ74" i="12"/>
  <c r="D74" i="25" s="1"/>
  <c r="E74" i="25" s="1"/>
  <c r="F74" i="25" s="1"/>
  <c r="G74" i="25" s="1"/>
  <c r="C74" i="9"/>
  <c r="AS74" i="12"/>
  <c r="D22" i="27"/>
  <c r="E22" i="27" s="1"/>
  <c r="H22" i="27" s="1"/>
  <c r="D22" i="28"/>
  <c r="E22" i="28" s="1"/>
  <c r="H22" i="28" s="1"/>
  <c r="D22" i="26"/>
  <c r="E22" i="26" s="1"/>
  <c r="H22" i="26" s="1"/>
  <c r="C40" i="9"/>
  <c r="AQ40" i="12"/>
  <c r="D40" i="25" s="1"/>
  <c r="E40" i="25" s="1"/>
  <c r="F40" i="25" s="1"/>
  <c r="G40" i="25" s="1"/>
  <c r="AS40" i="12"/>
  <c r="Q15" i="71"/>
  <c r="E7" i="29"/>
  <c r="K42" i="25"/>
  <c r="I42" i="25"/>
  <c r="J42" i="25" s="1"/>
  <c r="D29" i="10"/>
  <c r="R29" i="25"/>
  <c r="S29" i="25" s="1"/>
  <c r="D29" i="11" s="1"/>
  <c r="K73" i="25"/>
  <c r="I73" i="25"/>
  <c r="J73" i="25" s="1"/>
  <c r="D75" i="26"/>
  <c r="E75" i="26" s="1"/>
  <c r="H75" i="26" s="1"/>
  <c r="D75" i="28"/>
  <c r="E75" i="28" s="1"/>
  <c r="H75" i="28" s="1"/>
  <c r="D75" i="27"/>
  <c r="E75" i="27" s="1"/>
  <c r="H75" i="27" s="1"/>
  <c r="AP70" i="12"/>
  <c r="AI70" i="12"/>
  <c r="AL70" i="12"/>
  <c r="AM70" i="12" s="1"/>
  <c r="Q70" i="71" s="1"/>
  <c r="D31" i="10"/>
  <c r="R31" i="25"/>
  <c r="S31" i="25" s="1"/>
  <c r="D31" i="11" s="1"/>
  <c r="D37" i="28"/>
  <c r="E37" i="28" s="1"/>
  <c r="H37" i="28" s="1"/>
  <c r="D37" i="27"/>
  <c r="E37" i="27" s="1"/>
  <c r="H37" i="27" s="1"/>
  <c r="D37" i="26"/>
  <c r="E37" i="26" s="1"/>
  <c r="H37" i="26" s="1"/>
  <c r="AQ27" i="12"/>
  <c r="D27" i="25" s="1"/>
  <c r="E27" i="25" s="1"/>
  <c r="F27" i="25" s="1"/>
  <c r="G27" i="25" s="1"/>
  <c r="C27" i="9"/>
  <c r="AS27" i="12"/>
  <c r="AS44" i="12"/>
  <c r="AQ44" i="12"/>
  <c r="D44" i="25" s="1"/>
  <c r="E44" i="25" s="1"/>
  <c r="F44" i="25" s="1"/>
  <c r="G44" i="25" s="1"/>
  <c r="C44" i="9"/>
  <c r="BA52" i="12"/>
  <c r="AT52" i="12"/>
  <c r="AQ43" i="12"/>
  <c r="D43" i="25" s="1"/>
  <c r="E43" i="25" s="1"/>
  <c r="F43" i="25" s="1"/>
  <c r="G43" i="25" s="1"/>
  <c r="C43" i="9"/>
  <c r="AS43" i="12"/>
  <c r="D60" i="27"/>
  <c r="E60" i="27" s="1"/>
  <c r="H60" i="27" s="1"/>
  <c r="D60" i="26"/>
  <c r="E60" i="26" s="1"/>
  <c r="H60" i="26" s="1"/>
  <c r="D60" i="28"/>
  <c r="E60" i="28" s="1"/>
  <c r="H60" i="28" s="1"/>
  <c r="AP53" i="12"/>
  <c r="AL53" i="12"/>
  <c r="AM53" i="12" s="1"/>
  <c r="Q53" i="71" s="1"/>
  <c r="AI53" i="12"/>
  <c r="AP28" i="12"/>
  <c r="AI28" i="12"/>
  <c r="AL28" i="12"/>
  <c r="AM28" i="12" s="1"/>
  <c r="Q28" i="71" s="1"/>
  <c r="AQ45" i="12" l="1"/>
  <c r="D45" i="25" s="1"/>
  <c r="E45" i="25" s="1"/>
  <c r="F45" i="25" s="1"/>
  <c r="G45" i="25" s="1"/>
  <c r="AL16" i="12"/>
  <c r="AM16" i="12" s="1"/>
  <c r="Q16" i="71" s="1"/>
  <c r="D24" i="26"/>
  <c r="E24" i="26" s="1"/>
  <c r="H24" i="26" s="1"/>
  <c r="D24" i="28"/>
  <c r="E24" i="28" s="1"/>
  <c r="H24" i="28" s="1"/>
  <c r="D24" i="27"/>
  <c r="E24" i="27" s="1"/>
  <c r="H24" i="27" s="1"/>
  <c r="D35" i="27"/>
  <c r="E35" i="27" s="1"/>
  <c r="H35" i="27" s="1"/>
  <c r="D35" i="26"/>
  <c r="E35" i="26" s="1"/>
  <c r="H35" i="26" s="1"/>
  <c r="D35" i="28"/>
  <c r="E35" i="28" s="1"/>
  <c r="H35" i="28" s="1"/>
  <c r="C34" i="9"/>
  <c r="AS34" i="12"/>
  <c r="AQ34" i="12"/>
  <c r="D34" i="25" s="1"/>
  <c r="E34" i="25" s="1"/>
  <c r="F34" i="25" s="1"/>
  <c r="G34" i="25" s="1"/>
  <c r="D61" i="26"/>
  <c r="E61" i="26" s="1"/>
  <c r="H61" i="26" s="1"/>
  <c r="D61" i="27"/>
  <c r="E61" i="27" s="1"/>
  <c r="H61" i="27" s="1"/>
  <c r="D61" i="28"/>
  <c r="E61" i="28" s="1"/>
  <c r="H61" i="28" s="1"/>
  <c r="AQ24" i="12"/>
  <c r="D24" i="25" s="1"/>
  <c r="E24" i="25" s="1"/>
  <c r="F24" i="25" s="1"/>
  <c r="G24" i="25" s="1"/>
  <c r="AS24" i="12"/>
  <c r="C24" i="9"/>
  <c r="AQ35" i="12"/>
  <c r="D35" i="25" s="1"/>
  <c r="E35" i="25" s="1"/>
  <c r="F35" i="25" s="1"/>
  <c r="G35" i="25" s="1"/>
  <c r="AS35" i="12"/>
  <c r="C35" i="9"/>
  <c r="AQ72" i="12"/>
  <c r="D72" i="25" s="1"/>
  <c r="E72" i="25" s="1"/>
  <c r="F72" i="25" s="1"/>
  <c r="G72" i="25" s="1"/>
  <c r="C72" i="9"/>
  <c r="AS72" i="12"/>
  <c r="AS68" i="12"/>
  <c r="AQ68" i="12"/>
  <c r="D68" i="25" s="1"/>
  <c r="E68" i="25" s="1"/>
  <c r="F68" i="25" s="1"/>
  <c r="G68" i="25" s="1"/>
  <c r="C68" i="9"/>
  <c r="D72" i="26"/>
  <c r="E72" i="26" s="1"/>
  <c r="H72" i="26" s="1"/>
  <c r="D72" i="28"/>
  <c r="E72" i="28" s="1"/>
  <c r="H72" i="28" s="1"/>
  <c r="D72" i="27"/>
  <c r="E72" i="27" s="1"/>
  <c r="H72" i="27" s="1"/>
  <c r="C61" i="9"/>
  <c r="AQ61" i="12"/>
  <c r="D61" i="25" s="1"/>
  <c r="E61" i="25" s="1"/>
  <c r="F61" i="25" s="1"/>
  <c r="G61" i="25" s="1"/>
  <c r="AS61" i="12"/>
  <c r="D34" i="26"/>
  <c r="E34" i="26" s="1"/>
  <c r="H34" i="26" s="1"/>
  <c r="D34" i="28"/>
  <c r="E34" i="28" s="1"/>
  <c r="H34" i="28" s="1"/>
  <c r="D34" i="27"/>
  <c r="E34" i="27" s="1"/>
  <c r="H34" i="27" s="1"/>
  <c r="D68" i="28"/>
  <c r="E68" i="28" s="1"/>
  <c r="H68" i="28" s="1"/>
  <c r="D68" i="26"/>
  <c r="E68" i="26" s="1"/>
  <c r="H68" i="26" s="1"/>
  <c r="D68" i="27"/>
  <c r="E68" i="27" s="1"/>
  <c r="H68" i="27" s="1"/>
  <c r="AS45" i="12"/>
  <c r="BA45" i="12" s="1"/>
  <c r="AU45" i="12" s="1"/>
  <c r="AQ69" i="12"/>
  <c r="D69" i="25" s="1"/>
  <c r="E69" i="25" s="1"/>
  <c r="F69" i="25" s="1"/>
  <c r="G69" i="25" s="1"/>
  <c r="AS69" i="12"/>
  <c r="C69" i="9"/>
  <c r="D62" i="26"/>
  <c r="E62" i="26" s="1"/>
  <c r="H62" i="26" s="1"/>
  <c r="D62" i="27"/>
  <c r="E62" i="27" s="1"/>
  <c r="H62" i="27" s="1"/>
  <c r="D62" i="28"/>
  <c r="E62" i="28" s="1"/>
  <c r="H62" i="28" s="1"/>
  <c r="D16" i="10"/>
  <c r="R16" i="25"/>
  <c r="S16" i="25" s="1"/>
  <c r="D16" i="11" s="1"/>
  <c r="D16" i="28"/>
  <c r="E16" i="28" s="1"/>
  <c r="H16" i="28" s="1"/>
  <c r="D16" i="26"/>
  <c r="E16" i="26" s="1"/>
  <c r="H16" i="26" s="1"/>
  <c r="D16" i="27"/>
  <c r="E16" i="27" s="1"/>
  <c r="H16" i="27" s="1"/>
  <c r="D69" i="28"/>
  <c r="E69" i="28" s="1"/>
  <c r="H69" i="28" s="1"/>
  <c r="D69" i="27"/>
  <c r="E69" i="27" s="1"/>
  <c r="H69" i="27" s="1"/>
  <c r="D69" i="26"/>
  <c r="E69" i="26" s="1"/>
  <c r="H69" i="26" s="1"/>
  <c r="AQ62" i="12"/>
  <c r="D62" i="25" s="1"/>
  <c r="E62" i="25" s="1"/>
  <c r="F62" i="25" s="1"/>
  <c r="G62" i="25" s="1"/>
  <c r="AS62" i="12"/>
  <c r="C62" i="9"/>
  <c r="AS16" i="12"/>
  <c r="AQ16" i="12"/>
  <c r="D16" i="25" s="1"/>
  <c r="E16" i="25" s="1"/>
  <c r="F16" i="25" s="1"/>
  <c r="G16" i="25" s="1"/>
  <c r="C16" i="9"/>
  <c r="V76" i="12"/>
  <c r="B4" i="8"/>
  <c r="AW8" i="12"/>
  <c r="AD8" i="12"/>
  <c r="AC76" i="12"/>
  <c r="I67" i="25"/>
  <c r="J67" i="25" s="1"/>
  <c r="K67" i="25"/>
  <c r="BA67" i="12"/>
  <c r="AT67" i="12"/>
  <c r="AT64" i="12"/>
  <c r="BA64" i="12"/>
  <c r="I77" i="67"/>
  <c r="I64" i="25"/>
  <c r="J64" i="25" s="1"/>
  <c r="K64" i="25"/>
  <c r="AQ28" i="12"/>
  <c r="D28" i="25" s="1"/>
  <c r="E28" i="25" s="1"/>
  <c r="F28" i="25" s="1"/>
  <c r="G28" i="25" s="1"/>
  <c r="C28" i="9"/>
  <c r="AS28" i="12"/>
  <c r="BA43" i="12"/>
  <c r="AU43" i="12" s="1"/>
  <c r="AT43" i="12"/>
  <c r="BB52" i="12"/>
  <c r="AZ52" i="12"/>
  <c r="D70" i="28"/>
  <c r="E70" i="28" s="1"/>
  <c r="H70" i="28" s="1"/>
  <c r="D70" i="26"/>
  <c r="E70" i="26" s="1"/>
  <c r="H70" i="26" s="1"/>
  <c r="D70" i="27"/>
  <c r="E70" i="27" s="1"/>
  <c r="H70" i="27" s="1"/>
  <c r="AT40" i="12"/>
  <c r="BA40" i="12"/>
  <c r="AU40" i="12" s="1"/>
  <c r="C54" i="9"/>
  <c r="AQ54" i="12"/>
  <c r="D54" i="25" s="1"/>
  <c r="E54" i="25" s="1"/>
  <c r="F54" i="25" s="1"/>
  <c r="G54" i="25" s="1"/>
  <c r="AS54" i="12"/>
  <c r="I36" i="25"/>
  <c r="J36" i="25" s="1"/>
  <c r="K36" i="25"/>
  <c r="BA14" i="12"/>
  <c r="AT14" i="12"/>
  <c r="K23" i="25"/>
  <c r="I23" i="25"/>
  <c r="J23" i="25" s="1"/>
  <c r="AQ48" i="12"/>
  <c r="D48" i="25" s="1"/>
  <c r="E48" i="25" s="1"/>
  <c r="F48" i="25" s="1"/>
  <c r="G48" i="25" s="1"/>
  <c r="AS48" i="12"/>
  <c r="C48" i="9"/>
  <c r="AT19" i="12"/>
  <c r="BA19" i="12"/>
  <c r="AU19" i="12" s="1"/>
  <c r="I12" i="25"/>
  <c r="J12" i="25" s="1"/>
  <c r="K12" i="25"/>
  <c r="BA46" i="12"/>
  <c r="AU46" i="12" s="1"/>
  <c r="AT46" i="12"/>
  <c r="AQ31" i="12"/>
  <c r="D31" i="25" s="1"/>
  <c r="E31" i="25" s="1"/>
  <c r="F31" i="25" s="1"/>
  <c r="G31" i="25" s="1"/>
  <c r="C31" i="9"/>
  <c r="AS31" i="12"/>
  <c r="D25" i="27"/>
  <c r="E25" i="27" s="1"/>
  <c r="H25" i="27" s="1"/>
  <c r="D25" i="28"/>
  <c r="E25" i="28" s="1"/>
  <c r="H25" i="28" s="1"/>
  <c r="D25" i="26"/>
  <c r="E25" i="26" s="1"/>
  <c r="H25" i="26" s="1"/>
  <c r="AZ73" i="12"/>
  <c r="BB73" i="12"/>
  <c r="BA27" i="12"/>
  <c r="AU27" i="12" s="1"/>
  <c r="AT27" i="12"/>
  <c r="I40" i="25"/>
  <c r="J40" i="25" s="1"/>
  <c r="K40" i="25"/>
  <c r="C26" i="9"/>
  <c r="AQ26" i="12"/>
  <c r="D26" i="25" s="1"/>
  <c r="E26" i="25" s="1"/>
  <c r="F26" i="25" s="1"/>
  <c r="G26" i="25" s="1"/>
  <c r="AS26" i="12"/>
  <c r="C56" i="9"/>
  <c r="AQ56" i="12"/>
  <c r="D56" i="25" s="1"/>
  <c r="E56" i="25" s="1"/>
  <c r="F56" i="25" s="1"/>
  <c r="G56" i="25" s="1"/>
  <c r="AS56" i="12"/>
  <c r="K14" i="25"/>
  <c r="I14" i="25"/>
  <c r="J14" i="25" s="1"/>
  <c r="I21" i="25"/>
  <c r="J21" i="25" s="1"/>
  <c r="K21" i="25"/>
  <c r="BA17" i="12"/>
  <c r="AU17" i="12" s="1"/>
  <c r="AT17" i="12"/>
  <c r="K13" i="25"/>
  <c r="I13" i="25"/>
  <c r="J13" i="25" s="1"/>
  <c r="I18" i="25"/>
  <c r="J18" i="25" s="1"/>
  <c r="K18" i="25"/>
  <c r="C51" i="9"/>
  <c r="AQ51" i="12"/>
  <c r="D51" i="25" s="1"/>
  <c r="E51" i="25" s="1"/>
  <c r="F51" i="25" s="1"/>
  <c r="G51" i="25" s="1"/>
  <c r="AS51" i="12"/>
  <c r="C47" i="9"/>
  <c r="AQ47" i="12"/>
  <c r="D47" i="25" s="1"/>
  <c r="E47" i="25" s="1"/>
  <c r="F47" i="25" s="1"/>
  <c r="G47" i="25" s="1"/>
  <c r="AS47" i="12"/>
  <c r="AT39" i="12"/>
  <c r="BA39" i="12"/>
  <c r="AU39" i="12" s="1"/>
  <c r="AS55" i="12"/>
  <c r="AQ55" i="12"/>
  <c r="D55" i="25" s="1"/>
  <c r="E55" i="25" s="1"/>
  <c r="F55" i="25" s="1"/>
  <c r="G55" i="25" s="1"/>
  <c r="C55" i="9"/>
  <c r="D49" i="28"/>
  <c r="E49" i="28" s="1"/>
  <c r="H49" i="28" s="1"/>
  <c r="D49" i="26"/>
  <c r="E49" i="26" s="1"/>
  <c r="H49" i="26" s="1"/>
  <c r="D49" i="27"/>
  <c r="E49" i="27" s="1"/>
  <c r="H49" i="27" s="1"/>
  <c r="K15" i="25"/>
  <c r="I15" i="25"/>
  <c r="J15" i="25" s="1"/>
  <c r="I45" i="25"/>
  <c r="J45" i="25" s="1"/>
  <c r="K45" i="25"/>
  <c r="K46" i="25"/>
  <c r="I46" i="25"/>
  <c r="J46" i="25" s="1"/>
  <c r="D31" i="27"/>
  <c r="E31" i="27" s="1"/>
  <c r="H31" i="27" s="1"/>
  <c r="D31" i="28"/>
  <c r="E31" i="28" s="1"/>
  <c r="H31" i="28" s="1"/>
  <c r="D31" i="26"/>
  <c r="E31" i="26" s="1"/>
  <c r="H31" i="26" s="1"/>
  <c r="D32" i="26"/>
  <c r="E32" i="26" s="1"/>
  <c r="H32" i="26" s="1"/>
  <c r="D32" i="27"/>
  <c r="E32" i="27" s="1"/>
  <c r="H32" i="27" s="1"/>
  <c r="D32" i="28"/>
  <c r="E32" i="28" s="1"/>
  <c r="H32" i="28" s="1"/>
  <c r="BA60" i="12"/>
  <c r="AT60" i="12"/>
  <c r="BA11" i="12"/>
  <c r="AU11" i="12" s="1"/>
  <c r="AT11" i="12"/>
  <c r="F11" i="29"/>
  <c r="D23" i="26"/>
  <c r="E23" i="26" s="1"/>
  <c r="H23" i="26" s="1"/>
  <c r="D23" i="28"/>
  <c r="E23" i="28" s="1"/>
  <c r="H23" i="28" s="1"/>
  <c r="D23" i="27"/>
  <c r="E23" i="27" s="1"/>
  <c r="H23" i="27" s="1"/>
  <c r="I75" i="25"/>
  <c r="J75" i="25" s="1"/>
  <c r="K75" i="25"/>
  <c r="O7" i="25"/>
  <c r="P7" i="25" s="1"/>
  <c r="K9" i="25"/>
  <c r="I9" i="25"/>
  <c r="J9" i="25" s="1"/>
  <c r="D50" i="26"/>
  <c r="E50" i="26" s="1"/>
  <c r="H50" i="26" s="1"/>
  <c r="D50" i="27"/>
  <c r="E50" i="27" s="1"/>
  <c r="H50" i="27" s="1"/>
  <c r="D50" i="28"/>
  <c r="E50" i="28" s="1"/>
  <c r="H50" i="28" s="1"/>
  <c r="C59" i="9"/>
  <c r="AQ59" i="12"/>
  <c r="D59" i="25" s="1"/>
  <c r="E59" i="25" s="1"/>
  <c r="F59" i="25" s="1"/>
  <c r="G59" i="25" s="1"/>
  <c r="AS59" i="12"/>
  <c r="BA65" i="12"/>
  <c r="AT65" i="12"/>
  <c r="AT30" i="12"/>
  <c r="BA30" i="12"/>
  <c r="AU30" i="12" s="1"/>
  <c r="K22" i="25"/>
  <c r="I22" i="25"/>
  <c r="J22" i="25" s="1"/>
  <c r="K66" i="25"/>
  <c r="I66" i="25"/>
  <c r="J66" i="25" s="1"/>
  <c r="AQ53" i="12"/>
  <c r="D53" i="25" s="1"/>
  <c r="E53" i="25" s="1"/>
  <c r="F53" i="25" s="1"/>
  <c r="G53" i="25" s="1"/>
  <c r="C53" i="9"/>
  <c r="AS53" i="12"/>
  <c r="AT44" i="12"/>
  <c r="BA44" i="12"/>
  <c r="I74" i="25"/>
  <c r="J74" i="25" s="1"/>
  <c r="K74" i="25"/>
  <c r="BA18" i="12"/>
  <c r="AU18" i="12" s="1"/>
  <c r="AT18" i="12"/>
  <c r="C41" i="9"/>
  <c r="AQ41" i="12"/>
  <c r="D41" i="25" s="1"/>
  <c r="E41" i="25" s="1"/>
  <c r="F41" i="25" s="1"/>
  <c r="G41" i="25" s="1"/>
  <c r="AS41" i="12"/>
  <c r="I10" i="25"/>
  <c r="J10" i="25" s="1"/>
  <c r="K10" i="25"/>
  <c r="AT15" i="12"/>
  <c r="BA15" i="12"/>
  <c r="K37" i="25"/>
  <c r="I37" i="25"/>
  <c r="J37" i="25" s="1"/>
  <c r="F12" i="29"/>
  <c r="AT75" i="12"/>
  <c r="BA75" i="12"/>
  <c r="AU75" i="12" s="1"/>
  <c r="BA9" i="12"/>
  <c r="AT9" i="12"/>
  <c r="C63" i="9"/>
  <c r="AQ63" i="12"/>
  <c r="D63" i="25" s="1"/>
  <c r="E63" i="25" s="1"/>
  <c r="F63" i="25" s="1"/>
  <c r="G63" i="25" s="1"/>
  <c r="AS63" i="12"/>
  <c r="AT22" i="12"/>
  <c r="BA22" i="12"/>
  <c r="AT38" i="12"/>
  <c r="BA38" i="12"/>
  <c r="D28" i="28"/>
  <c r="E28" i="28" s="1"/>
  <c r="H28" i="28" s="1"/>
  <c r="D28" i="27"/>
  <c r="E28" i="27" s="1"/>
  <c r="H28" i="27" s="1"/>
  <c r="D28" i="26"/>
  <c r="E28" i="26" s="1"/>
  <c r="H28" i="26" s="1"/>
  <c r="D53" i="27"/>
  <c r="E53" i="27" s="1"/>
  <c r="H53" i="27" s="1"/>
  <c r="D53" i="28"/>
  <c r="E53" i="28" s="1"/>
  <c r="H53" i="28" s="1"/>
  <c r="D53" i="26"/>
  <c r="E53" i="26" s="1"/>
  <c r="H53" i="26" s="1"/>
  <c r="K43" i="25"/>
  <c r="I43" i="25"/>
  <c r="J43" i="25" s="1"/>
  <c r="AU52" i="12"/>
  <c r="AS70" i="12"/>
  <c r="C70" i="9"/>
  <c r="AQ70" i="12"/>
  <c r="D70" i="25" s="1"/>
  <c r="E70" i="25" s="1"/>
  <c r="F70" i="25" s="1"/>
  <c r="G70" i="25" s="1"/>
  <c r="F7" i="29"/>
  <c r="BA74" i="12"/>
  <c r="AU74" i="12" s="1"/>
  <c r="AT74" i="12"/>
  <c r="AT20" i="12"/>
  <c r="BA20" i="12"/>
  <c r="AU20" i="12" s="1"/>
  <c r="D57" i="27"/>
  <c r="E57" i="27" s="1"/>
  <c r="H57" i="27" s="1"/>
  <c r="D57" i="26"/>
  <c r="E57" i="26" s="1"/>
  <c r="H57" i="26" s="1"/>
  <c r="D57" i="28"/>
  <c r="E57" i="28" s="1"/>
  <c r="H57" i="28" s="1"/>
  <c r="D54" i="26"/>
  <c r="E54" i="26" s="1"/>
  <c r="H54" i="26" s="1"/>
  <c r="D54" i="28"/>
  <c r="E54" i="28" s="1"/>
  <c r="H54" i="28" s="1"/>
  <c r="D54" i="27"/>
  <c r="E54" i="27" s="1"/>
  <c r="H54" i="27" s="1"/>
  <c r="AT36" i="12"/>
  <c r="BA36" i="12"/>
  <c r="AU36" i="12" s="1"/>
  <c r="AT23" i="12"/>
  <c r="BA23" i="12"/>
  <c r="K17" i="25"/>
  <c r="I17" i="25"/>
  <c r="J17" i="25" s="1"/>
  <c r="BA58" i="12"/>
  <c r="AU58" i="12" s="1"/>
  <c r="AT58" i="12"/>
  <c r="D48" i="27"/>
  <c r="E48" i="27" s="1"/>
  <c r="H48" i="27" s="1"/>
  <c r="D48" i="26"/>
  <c r="E48" i="26" s="1"/>
  <c r="H48" i="26" s="1"/>
  <c r="D48" i="28"/>
  <c r="E48" i="28" s="1"/>
  <c r="H48" i="28" s="1"/>
  <c r="I19" i="25"/>
  <c r="J19" i="25" s="1"/>
  <c r="K19" i="25"/>
  <c r="AQ49" i="12"/>
  <c r="D49" i="25" s="1"/>
  <c r="E49" i="25" s="1"/>
  <c r="F49" i="25" s="1"/>
  <c r="G49" i="25" s="1"/>
  <c r="C49" i="9"/>
  <c r="AS49" i="12"/>
  <c r="BA10" i="12"/>
  <c r="AT10" i="12"/>
  <c r="AF7" i="12"/>
  <c r="AH7" i="12"/>
  <c r="AG7" i="12"/>
  <c r="D29" i="26"/>
  <c r="E29" i="26" s="1"/>
  <c r="H29" i="26" s="1"/>
  <c r="D29" i="28"/>
  <c r="E29" i="28" s="1"/>
  <c r="H29" i="28" s="1"/>
  <c r="D29" i="27"/>
  <c r="E29" i="27" s="1"/>
  <c r="H29" i="27" s="1"/>
  <c r="BA37" i="12"/>
  <c r="AT37" i="12"/>
  <c r="I11" i="25"/>
  <c r="J11" i="25" s="1"/>
  <c r="K11" i="25"/>
  <c r="F13" i="29"/>
  <c r="F15" i="29"/>
  <c r="AU73" i="12"/>
  <c r="AT33" i="12"/>
  <c r="BA33" i="12"/>
  <c r="I65" i="25"/>
  <c r="J65" i="25" s="1"/>
  <c r="K65" i="25"/>
  <c r="K38" i="25"/>
  <c r="I38" i="25"/>
  <c r="J38" i="25" s="1"/>
  <c r="K44" i="25"/>
  <c r="I44" i="25"/>
  <c r="J44" i="25" s="1"/>
  <c r="K27" i="25"/>
  <c r="I27" i="25"/>
  <c r="J27" i="25" s="1"/>
  <c r="D15" i="26"/>
  <c r="E15" i="26" s="1"/>
  <c r="H15" i="26" s="1"/>
  <c r="D15" i="28"/>
  <c r="E15" i="28" s="1"/>
  <c r="H15" i="28" s="1"/>
  <c r="D15" i="27"/>
  <c r="E15" i="27" s="1"/>
  <c r="H15" i="27" s="1"/>
  <c r="D26" i="26"/>
  <c r="E26" i="26" s="1"/>
  <c r="H26" i="26" s="1"/>
  <c r="D26" i="28"/>
  <c r="E26" i="28" s="1"/>
  <c r="H26" i="28" s="1"/>
  <c r="D26" i="27"/>
  <c r="E26" i="27" s="1"/>
  <c r="H26" i="27" s="1"/>
  <c r="I20" i="25"/>
  <c r="J20" i="25" s="1"/>
  <c r="K20" i="25"/>
  <c r="AQ57" i="12"/>
  <c r="D57" i="25" s="1"/>
  <c r="E57" i="25" s="1"/>
  <c r="F57" i="25" s="1"/>
  <c r="G57" i="25" s="1"/>
  <c r="C57" i="9"/>
  <c r="AS57" i="12"/>
  <c r="D56" i="26"/>
  <c r="E56" i="26" s="1"/>
  <c r="H56" i="26" s="1"/>
  <c r="D56" i="27"/>
  <c r="E56" i="27" s="1"/>
  <c r="H56" i="27" s="1"/>
  <c r="D56" i="28"/>
  <c r="E56" i="28" s="1"/>
  <c r="H56" i="28" s="1"/>
  <c r="BA21" i="12"/>
  <c r="AT21" i="12"/>
  <c r="I58" i="25"/>
  <c r="J58" i="25" s="1"/>
  <c r="K58" i="25"/>
  <c r="BA13" i="12"/>
  <c r="AU13" i="12" s="1"/>
  <c r="AT13" i="12"/>
  <c r="D51" i="26"/>
  <c r="E51" i="26" s="1"/>
  <c r="H51" i="26" s="1"/>
  <c r="D51" i="27"/>
  <c r="E51" i="27" s="1"/>
  <c r="H51" i="27" s="1"/>
  <c r="D51" i="28"/>
  <c r="E51" i="28" s="1"/>
  <c r="H51" i="28" s="1"/>
  <c r="D47" i="26"/>
  <c r="E47" i="26" s="1"/>
  <c r="H47" i="26" s="1"/>
  <c r="D47" i="27"/>
  <c r="E47" i="27" s="1"/>
  <c r="H47" i="27" s="1"/>
  <c r="D47" i="28"/>
  <c r="E47" i="28" s="1"/>
  <c r="H47" i="28" s="1"/>
  <c r="K39" i="25"/>
  <c r="I39" i="25"/>
  <c r="J39" i="25" s="1"/>
  <c r="D55" i="27"/>
  <c r="E55" i="27" s="1"/>
  <c r="H55" i="27" s="1"/>
  <c r="D55" i="28"/>
  <c r="E55" i="28" s="1"/>
  <c r="H55" i="28" s="1"/>
  <c r="D55" i="26"/>
  <c r="E55" i="26" s="1"/>
  <c r="H55" i="26" s="1"/>
  <c r="D41" i="28"/>
  <c r="E41" i="28" s="1"/>
  <c r="H41" i="28" s="1"/>
  <c r="D41" i="26"/>
  <c r="E41" i="26" s="1"/>
  <c r="H41" i="26" s="1"/>
  <c r="D41" i="27"/>
  <c r="E41" i="27" s="1"/>
  <c r="H41" i="27" s="1"/>
  <c r="AT45" i="12"/>
  <c r="BA12" i="12"/>
  <c r="AT12" i="12"/>
  <c r="C29" i="9"/>
  <c r="AQ29" i="12"/>
  <c r="D29" i="25" s="1"/>
  <c r="E29" i="25" s="1"/>
  <c r="F29" i="25" s="1"/>
  <c r="G29" i="25" s="1"/>
  <c r="AS29" i="12"/>
  <c r="C32" i="9"/>
  <c r="AQ32" i="12"/>
  <c r="D32" i="25" s="1"/>
  <c r="E32" i="25" s="1"/>
  <c r="F32" i="25" s="1"/>
  <c r="G32" i="25" s="1"/>
  <c r="AS32" i="12"/>
  <c r="AQ25" i="12"/>
  <c r="D25" i="25" s="1"/>
  <c r="E25" i="25" s="1"/>
  <c r="F25" i="25" s="1"/>
  <c r="G25" i="25" s="1"/>
  <c r="C25" i="9"/>
  <c r="AS25" i="12"/>
  <c r="I60" i="25"/>
  <c r="J60" i="25" s="1"/>
  <c r="K60" i="25"/>
  <c r="F14" i="29"/>
  <c r="F8" i="29"/>
  <c r="AU42" i="12"/>
  <c r="BB42" i="12"/>
  <c r="AZ42" i="12"/>
  <c r="K33" i="25"/>
  <c r="I33" i="25"/>
  <c r="J33" i="25" s="1"/>
  <c r="AQ50" i="12"/>
  <c r="D50" i="25" s="1"/>
  <c r="E50" i="25" s="1"/>
  <c r="F50" i="25" s="1"/>
  <c r="G50" i="25" s="1"/>
  <c r="C50" i="9"/>
  <c r="AS50" i="12"/>
  <c r="D63" i="26"/>
  <c r="E63" i="26" s="1"/>
  <c r="H63" i="26" s="1"/>
  <c r="D63" i="28"/>
  <c r="E63" i="28" s="1"/>
  <c r="H63" i="28" s="1"/>
  <c r="D63" i="27"/>
  <c r="E63" i="27" s="1"/>
  <c r="H63" i="27" s="1"/>
  <c r="D59" i="26"/>
  <c r="E59" i="26" s="1"/>
  <c r="H59" i="26" s="1"/>
  <c r="D59" i="28"/>
  <c r="E59" i="28" s="1"/>
  <c r="H59" i="28" s="1"/>
  <c r="D59" i="27"/>
  <c r="E59" i="27" s="1"/>
  <c r="H59" i="27" s="1"/>
  <c r="I30" i="25"/>
  <c r="J30" i="25" s="1"/>
  <c r="K30" i="25"/>
  <c r="AT66" i="12"/>
  <c r="BA66" i="12"/>
  <c r="I68" i="25" l="1"/>
  <c r="J68" i="25" s="1"/>
  <c r="K68" i="25"/>
  <c r="K72" i="25"/>
  <c r="I72" i="25"/>
  <c r="J72" i="25" s="1"/>
  <c r="AT61" i="12"/>
  <c r="BA61" i="12"/>
  <c r="AT68" i="12"/>
  <c r="BA68" i="12"/>
  <c r="BA24" i="12"/>
  <c r="AT24" i="12"/>
  <c r="I61" i="25"/>
  <c r="J61" i="25" s="1"/>
  <c r="K61" i="25"/>
  <c r="BA72" i="12"/>
  <c r="AT72" i="12"/>
  <c r="BA35" i="12"/>
  <c r="AT35" i="12"/>
  <c r="K24" i="25"/>
  <c r="I24" i="25"/>
  <c r="J24" i="25" s="1"/>
  <c r="K34" i="25"/>
  <c r="I34" i="25"/>
  <c r="J34" i="25" s="1"/>
  <c r="K35" i="25"/>
  <c r="I35" i="25"/>
  <c r="J35" i="25" s="1"/>
  <c r="AT34" i="12"/>
  <c r="BA34" i="12"/>
  <c r="BA62" i="12"/>
  <c r="AT62" i="12"/>
  <c r="K16" i="25"/>
  <c r="I16" i="25"/>
  <c r="J16" i="25" s="1"/>
  <c r="K62" i="25"/>
  <c r="I62" i="25"/>
  <c r="J62" i="25" s="1"/>
  <c r="AT69" i="12"/>
  <c r="BA69" i="12"/>
  <c r="BA16" i="12"/>
  <c r="AT16" i="12"/>
  <c r="K69" i="25"/>
  <c r="I69" i="25"/>
  <c r="J69" i="25" s="1"/>
  <c r="AE8" i="12"/>
  <c r="AD76" i="12"/>
  <c r="AU67" i="12"/>
  <c r="BB67" i="12"/>
  <c r="AZ67" i="12"/>
  <c r="L8" i="25"/>
  <c r="AX8" i="12"/>
  <c r="AW76" i="12"/>
  <c r="AU64" i="12"/>
  <c r="BB64" i="12"/>
  <c r="AZ64" i="12"/>
  <c r="I50" i="25"/>
  <c r="J50" i="25" s="1"/>
  <c r="K50" i="25"/>
  <c r="J8" i="29"/>
  <c r="AT25" i="12"/>
  <c r="BA25" i="12"/>
  <c r="AU25" i="12" s="1"/>
  <c r="BB33" i="12"/>
  <c r="AZ33" i="12"/>
  <c r="AZ37" i="12"/>
  <c r="BB37" i="12"/>
  <c r="K49" i="25"/>
  <c r="I49" i="25"/>
  <c r="J49" i="25" s="1"/>
  <c r="BB22" i="12"/>
  <c r="AZ22" i="12"/>
  <c r="J12" i="29"/>
  <c r="I53" i="25"/>
  <c r="J53" i="25" s="1"/>
  <c r="K53" i="25"/>
  <c r="AT55" i="12"/>
  <c r="BA55" i="12"/>
  <c r="AU55" i="12" s="1"/>
  <c r="BA51" i="12"/>
  <c r="AU51" i="12" s="1"/>
  <c r="AT51" i="12"/>
  <c r="AT31" i="12"/>
  <c r="BA31" i="12"/>
  <c r="AU31" i="12" s="1"/>
  <c r="BA28" i="12"/>
  <c r="AU28" i="12" s="1"/>
  <c r="AT28" i="12"/>
  <c r="BB45" i="12"/>
  <c r="AZ45" i="12"/>
  <c r="BB13" i="12"/>
  <c r="AZ13" i="12"/>
  <c r="K57" i="25"/>
  <c r="I57" i="25"/>
  <c r="J57" i="25" s="1"/>
  <c r="AL7" i="12"/>
  <c r="AP7" i="12"/>
  <c r="AI7" i="12"/>
  <c r="AU10" i="12"/>
  <c r="AZ10" i="12"/>
  <c r="BB10" i="12"/>
  <c r="F9" i="29"/>
  <c r="J7" i="29"/>
  <c r="BA70" i="12"/>
  <c r="AT70" i="12"/>
  <c r="AU38" i="12"/>
  <c r="BB38" i="12"/>
  <c r="AZ38" i="12"/>
  <c r="BB75" i="12"/>
  <c r="AZ75" i="12"/>
  <c r="AZ18" i="12"/>
  <c r="BB18" i="12"/>
  <c r="BA59" i="12"/>
  <c r="AT59" i="12"/>
  <c r="J11" i="29"/>
  <c r="F16" i="29"/>
  <c r="F18" i="29" s="1"/>
  <c r="BB11" i="12"/>
  <c r="AZ11" i="12"/>
  <c r="K47" i="25"/>
  <c r="I47" i="25"/>
  <c r="J47" i="25" s="1"/>
  <c r="I51" i="25"/>
  <c r="J51" i="25" s="1"/>
  <c r="K51" i="25"/>
  <c r="AT26" i="12"/>
  <c r="BA26" i="12"/>
  <c r="AU26" i="12" s="1"/>
  <c r="BB27" i="12"/>
  <c r="AZ27" i="12"/>
  <c r="BB46" i="12"/>
  <c r="AZ46" i="12"/>
  <c r="BB14" i="12"/>
  <c r="AZ14" i="12"/>
  <c r="I32" i="25"/>
  <c r="J32" i="25" s="1"/>
  <c r="K32" i="25"/>
  <c r="BB23" i="12"/>
  <c r="AZ23" i="12"/>
  <c r="K63" i="25"/>
  <c r="I63" i="25"/>
  <c r="J63" i="25" s="1"/>
  <c r="BB15" i="12"/>
  <c r="AZ15" i="12"/>
  <c r="BB44" i="12"/>
  <c r="AZ44" i="12"/>
  <c r="BB65" i="12"/>
  <c r="AZ65" i="12"/>
  <c r="AT47" i="12"/>
  <c r="BA47" i="12"/>
  <c r="K56" i="25"/>
  <c r="I56" i="25"/>
  <c r="J56" i="25" s="1"/>
  <c r="K48" i="25"/>
  <c r="I48" i="25"/>
  <c r="J48" i="25" s="1"/>
  <c r="BA50" i="12"/>
  <c r="AT50" i="12"/>
  <c r="J14" i="29"/>
  <c r="I25" i="25"/>
  <c r="J25" i="25" s="1"/>
  <c r="K25" i="25"/>
  <c r="BA29" i="12"/>
  <c r="AT29" i="12"/>
  <c r="AU12" i="12"/>
  <c r="BB12" i="12"/>
  <c r="AZ12" i="12"/>
  <c r="J13" i="29"/>
  <c r="AU37" i="12"/>
  <c r="BA49" i="12"/>
  <c r="AT49" i="12"/>
  <c r="BB36" i="12"/>
  <c r="AZ36" i="12"/>
  <c r="AU15" i="12"/>
  <c r="AT41" i="12"/>
  <c r="BA41" i="12"/>
  <c r="AT53" i="12"/>
  <c r="BA53" i="12"/>
  <c r="AU65" i="12"/>
  <c r="I59" i="25"/>
  <c r="J59" i="25" s="1"/>
  <c r="K59" i="25"/>
  <c r="D7" i="10"/>
  <c r="R7" i="25"/>
  <c r="BB39" i="12"/>
  <c r="AZ39" i="12"/>
  <c r="K26" i="25"/>
  <c r="I26" i="25"/>
  <c r="J26" i="25" s="1"/>
  <c r="K31" i="25"/>
  <c r="I31" i="25"/>
  <c r="J31" i="25" s="1"/>
  <c r="BB19" i="12"/>
  <c r="AZ19" i="12"/>
  <c r="AU14" i="12"/>
  <c r="BA54" i="12"/>
  <c r="AU54" i="12" s="1"/>
  <c r="AT54" i="12"/>
  <c r="BB40" i="12"/>
  <c r="AZ40" i="12"/>
  <c r="I28" i="25"/>
  <c r="J28" i="25" s="1"/>
  <c r="K28" i="25"/>
  <c r="BB66" i="12"/>
  <c r="AZ66" i="12"/>
  <c r="AU66" i="12"/>
  <c r="AT32" i="12"/>
  <c r="BA32" i="12"/>
  <c r="I29" i="25"/>
  <c r="J29" i="25" s="1"/>
  <c r="K29" i="25"/>
  <c r="AU21" i="12"/>
  <c r="BB21" i="12"/>
  <c r="AZ21" i="12"/>
  <c r="AT57" i="12"/>
  <c r="BA57" i="12"/>
  <c r="AU57" i="12" s="1"/>
  <c r="AU33" i="12"/>
  <c r="J15" i="29"/>
  <c r="BB58" i="12"/>
  <c r="AZ58" i="12"/>
  <c r="AU23" i="12"/>
  <c r="BB20" i="12"/>
  <c r="AZ20" i="12"/>
  <c r="BB74" i="12"/>
  <c r="AZ74" i="12"/>
  <c r="I70" i="25"/>
  <c r="J70" i="25" s="1"/>
  <c r="K70" i="25"/>
  <c r="AU22" i="12"/>
  <c r="BA63" i="12"/>
  <c r="AT63" i="12"/>
  <c r="AU9" i="12"/>
  <c r="BB9" i="12"/>
  <c r="AZ9" i="12"/>
  <c r="K41" i="25"/>
  <c r="I41" i="25"/>
  <c r="J41" i="25" s="1"/>
  <c r="AU44" i="12"/>
  <c r="BB30" i="12"/>
  <c r="AZ30" i="12"/>
  <c r="AU60" i="12"/>
  <c r="BB60" i="12"/>
  <c r="AZ60" i="12"/>
  <c r="I55" i="25"/>
  <c r="J55" i="25" s="1"/>
  <c r="K55" i="25"/>
  <c r="AZ17" i="12"/>
  <c r="BB17" i="12"/>
  <c r="BA56" i="12"/>
  <c r="AT56" i="12"/>
  <c r="BA48" i="12"/>
  <c r="AU48" i="12" s="1"/>
  <c r="AT48" i="12"/>
  <c r="I54" i="25"/>
  <c r="J54" i="25" s="1"/>
  <c r="K54" i="25"/>
  <c r="BB43" i="12"/>
  <c r="AZ43" i="12"/>
  <c r="BB34" i="12" l="1"/>
  <c r="AZ34" i="12"/>
  <c r="AU34" i="12"/>
  <c r="AU68" i="12"/>
  <c r="BB68" i="12"/>
  <c r="AZ68" i="12"/>
  <c r="AZ35" i="12"/>
  <c r="AU35" i="12"/>
  <c r="BB35" i="12"/>
  <c r="AU61" i="12"/>
  <c r="AZ61" i="12"/>
  <c r="BB61" i="12"/>
  <c r="BB72" i="12"/>
  <c r="AZ72" i="12"/>
  <c r="AU72" i="12"/>
  <c r="AZ24" i="12"/>
  <c r="BB24" i="12"/>
  <c r="AU24" i="12"/>
  <c r="AZ16" i="12"/>
  <c r="AU16" i="12"/>
  <c r="BB16" i="12"/>
  <c r="BB69" i="12"/>
  <c r="AZ69" i="12"/>
  <c r="AU69" i="12"/>
  <c r="BB62" i="12"/>
  <c r="AZ62" i="12"/>
  <c r="AU62" i="12"/>
  <c r="AY54" i="12"/>
  <c r="AY29" i="12"/>
  <c r="AY31" i="12"/>
  <c r="AY41" i="12"/>
  <c r="AY50" i="12"/>
  <c r="AY28" i="12"/>
  <c r="AY53" i="12"/>
  <c r="AY48" i="12"/>
  <c r="AY51" i="12"/>
  <c r="AY8" i="12"/>
  <c r="AY70" i="12"/>
  <c r="AY25" i="12"/>
  <c r="AY56" i="12"/>
  <c r="AY47" i="12"/>
  <c r="AY57" i="12"/>
  <c r="AY49" i="12"/>
  <c r="AY26" i="12"/>
  <c r="AY55" i="12"/>
  <c r="AY45" i="12"/>
  <c r="AY64" i="12"/>
  <c r="AY71" i="12"/>
  <c r="AY69" i="12"/>
  <c r="AY15" i="12"/>
  <c r="AY38" i="12"/>
  <c r="AY73" i="12"/>
  <c r="AY20" i="12"/>
  <c r="AY37" i="12"/>
  <c r="AY13" i="12"/>
  <c r="AY52" i="12"/>
  <c r="AY27" i="12"/>
  <c r="AY21" i="12"/>
  <c r="AY59" i="12"/>
  <c r="AY72" i="12"/>
  <c r="AY61" i="12"/>
  <c r="AY35" i="12"/>
  <c r="AY58" i="12"/>
  <c r="AY40" i="12"/>
  <c r="AY36" i="12"/>
  <c r="AY23" i="12"/>
  <c r="AY66" i="12"/>
  <c r="AY19" i="12"/>
  <c r="AY74" i="12"/>
  <c r="AY33" i="12"/>
  <c r="AY9" i="12"/>
  <c r="AY24" i="12"/>
  <c r="AY34" i="12"/>
  <c r="AY68" i="12"/>
  <c r="AY30" i="12"/>
  <c r="AY43" i="12"/>
  <c r="AY39" i="12"/>
  <c r="AY11" i="12"/>
  <c r="AY44" i="12"/>
  <c r="AY60" i="12"/>
  <c r="AY17" i="12"/>
  <c r="AY42" i="12"/>
  <c r="AY7" i="12"/>
  <c r="AY67" i="12"/>
  <c r="AY16" i="12"/>
  <c r="AY62" i="12"/>
  <c r="AY12" i="12"/>
  <c r="AY46" i="12"/>
  <c r="AY10" i="12"/>
  <c r="AY18" i="12"/>
  <c r="AY14" i="12"/>
  <c r="AY75" i="12"/>
  <c r="AY65" i="12"/>
  <c r="AY22" i="12"/>
  <c r="AY63" i="12"/>
  <c r="AY32" i="12"/>
  <c r="AF8" i="12"/>
  <c r="AH8" i="12"/>
  <c r="AG8" i="12"/>
  <c r="AE76" i="12"/>
  <c r="O8" i="25"/>
  <c r="P8" i="25" s="1"/>
  <c r="L76" i="25"/>
  <c r="AX76" i="12"/>
  <c r="AU32" i="12"/>
  <c r="BB32" i="12"/>
  <c r="AZ32" i="12"/>
  <c r="BB29" i="12"/>
  <c r="AZ29" i="12"/>
  <c r="AU56" i="12"/>
  <c r="BB56" i="12"/>
  <c r="AZ56" i="12"/>
  <c r="BB63" i="12"/>
  <c r="AZ63" i="12"/>
  <c r="BB54" i="12"/>
  <c r="AZ54" i="12"/>
  <c r="BB47" i="12"/>
  <c r="AZ47" i="12"/>
  <c r="BB48" i="12"/>
  <c r="AZ48" i="12"/>
  <c r="AU53" i="12"/>
  <c r="BB53" i="12"/>
  <c r="AZ53" i="12"/>
  <c r="AU29" i="12"/>
  <c r="AU47" i="12"/>
  <c r="F20" i="29"/>
  <c r="AM7" i="12"/>
  <c r="Q7" i="71" s="1"/>
  <c r="BB51" i="12"/>
  <c r="AZ51" i="12"/>
  <c r="BB25" i="12"/>
  <c r="AZ25" i="12"/>
  <c r="S7" i="25"/>
  <c r="AU70" i="12"/>
  <c r="BB70" i="12"/>
  <c r="AZ70" i="12"/>
  <c r="AU41" i="12"/>
  <c r="BB41" i="12"/>
  <c r="AZ41" i="12"/>
  <c r="BB49" i="12"/>
  <c r="AZ49" i="12"/>
  <c r="D15" i="9"/>
  <c r="J9" i="29"/>
  <c r="C7" i="9"/>
  <c r="AQ7" i="12"/>
  <c r="D7" i="25" s="1"/>
  <c r="E7" i="25" s="1"/>
  <c r="F7" i="25" s="1"/>
  <c r="G7" i="25" s="1"/>
  <c r="AS7" i="12"/>
  <c r="BB28" i="12"/>
  <c r="AZ28" i="12"/>
  <c r="AU63" i="12"/>
  <c r="BB57" i="12"/>
  <c r="AZ57" i="12"/>
  <c r="AU49" i="12"/>
  <c r="AU50" i="12"/>
  <c r="BB50" i="12"/>
  <c r="AZ50" i="12"/>
  <c r="BB26" i="12"/>
  <c r="AZ26" i="12"/>
  <c r="J16" i="29"/>
  <c r="J18" i="29" s="1"/>
  <c r="D23" i="9" s="1"/>
  <c r="AU59" i="12"/>
  <c r="BB59" i="12"/>
  <c r="AZ59" i="12"/>
  <c r="BB31" i="12"/>
  <c r="AZ31" i="12"/>
  <c r="BB55" i="12"/>
  <c r="AZ55" i="12"/>
  <c r="L84" i="25" l="1"/>
  <c r="O76" i="25"/>
  <c r="O84" i="25" s="1"/>
  <c r="R8" i="25"/>
  <c r="D8" i="10"/>
  <c r="D76" i="10" s="1"/>
  <c r="P76" i="25"/>
  <c r="P84" i="25" s="1"/>
  <c r="AL8" i="12"/>
  <c r="AI8" i="12"/>
  <c r="AP8" i="12"/>
  <c r="AH76" i="12"/>
  <c r="AF76" i="12"/>
  <c r="B5" i="8"/>
  <c r="AG76" i="12"/>
  <c r="BA7" i="12"/>
  <c r="AU7" i="12" s="1"/>
  <c r="AT7" i="12"/>
  <c r="D7" i="11"/>
  <c r="D76" i="9"/>
  <c r="D7" i="26"/>
  <c r="E7" i="26" s="1"/>
  <c r="D7" i="27"/>
  <c r="E7" i="27" s="1"/>
  <c r="D7" i="28"/>
  <c r="E7" i="28" s="1"/>
  <c r="K7" i="25"/>
  <c r="I7" i="25"/>
  <c r="J20" i="29"/>
  <c r="S8" i="25" l="1"/>
  <c r="R76" i="25"/>
  <c r="R84" i="25" s="1"/>
  <c r="AS8" i="12"/>
  <c r="C8" i="9"/>
  <c r="C76" i="9" s="1"/>
  <c r="AQ8" i="12"/>
  <c r="D8" i="25" s="1"/>
  <c r="E8" i="25" s="1"/>
  <c r="F8" i="25" s="1"/>
  <c r="G8" i="25" s="1"/>
  <c r="AP76" i="12"/>
  <c r="AM8" i="12"/>
  <c r="Q8" i="71" s="1"/>
  <c r="AL76" i="12"/>
  <c r="AI76" i="12"/>
  <c r="H7" i="26"/>
  <c r="J7" i="25"/>
  <c r="H7" i="28"/>
  <c r="BB7" i="12"/>
  <c r="AZ7" i="12"/>
  <c r="H7" i="27"/>
  <c r="AT8" i="12" l="1"/>
  <c r="BA8" i="12"/>
  <c r="AU8" i="12"/>
  <c r="AS76" i="12"/>
  <c r="AQ76" i="12"/>
  <c r="AM76" i="12"/>
  <c r="K8" i="25"/>
  <c r="K76" i="25" s="1"/>
  <c r="K84" i="25" s="1"/>
  <c r="I8" i="25"/>
  <c r="G76" i="25"/>
  <c r="D8" i="27"/>
  <c r="E8" i="27" s="1"/>
  <c r="D8" i="26"/>
  <c r="E8" i="26" s="1"/>
  <c r="D8" i="28"/>
  <c r="E8" i="28" s="1"/>
  <c r="D8" i="11"/>
  <c r="D76" i="11" s="1"/>
  <c r="S76" i="25"/>
  <c r="S84" i="25" s="1"/>
  <c r="H8" i="27" l="1"/>
  <c r="H76" i="27" s="1"/>
  <c r="H84" i="27" s="1"/>
  <c r="E76" i="27"/>
  <c r="E84" i="27" s="1"/>
  <c r="AT76" i="12"/>
  <c r="G84" i="25"/>
  <c r="D7" i="16"/>
  <c r="E7" i="16" s="1"/>
  <c r="I7" i="16" s="1"/>
  <c r="Q76" i="71"/>
  <c r="D8" i="16"/>
  <c r="E8" i="16" s="1"/>
  <c r="AV29" i="12"/>
  <c r="AV24" i="12"/>
  <c r="AV71" i="12"/>
  <c r="AV16" i="12"/>
  <c r="AV69" i="12"/>
  <c r="AV39" i="12"/>
  <c r="AV17" i="12"/>
  <c r="AV58" i="12"/>
  <c r="AV45" i="12"/>
  <c r="AV60" i="12"/>
  <c r="AV12" i="12"/>
  <c r="AV15" i="12"/>
  <c r="AV47" i="12"/>
  <c r="AV32" i="12"/>
  <c r="AV72" i="12"/>
  <c r="AV67" i="12"/>
  <c r="AV30" i="12"/>
  <c r="AV20" i="12"/>
  <c r="AV43" i="12"/>
  <c r="AV13" i="12"/>
  <c r="AV74" i="12"/>
  <c r="AV19" i="12"/>
  <c r="AV18" i="12"/>
  <c r="AV66" i="12"/>
  <c r="AV44" i="12"/>
  <c r="AV26" i="12"/>
  <c r="AV54" i="12"/>
  <c r="AV31" i="12"/>
  <c r="AV14" i="12"/>
  <c r="AV70" i="12"/>
  <c r="AV53" i="12"/>
  <c r="AV57" i="12"/>
  <c r="AV41" i="12"/>
  <c r="AV49" i="12"/>
  <c r="AV64" i="12"/>
  <c r="AV68" i="12"/>
  <c r="AV40" i="12"/>
  <c r="AV75" i="12"/>
  <c r="AV46" i="12"/>
  <c r="AV62" i="12"/>
  <c r="AV27" i="12"/>
  <c r="AV36" i="12"/>
  <c r="AV22" i="12"/>
  <c r="AV25" i="12"/>
  <c r="AV10" i="12"/>
  <c r="AV55" i="12"/>
  <c r="AV48" i="12"/>
  <c r="AV51" i="12"/>
  <c r="AV50" i="12"/>
  <c r="AV59" i="12"/>
  <c r="AV63" i="12"/>
  <c r="AV23" i="12"/>
  <c r="AV56" i="12"/>
  <c r="AV7" i="12"/>
  <c r="AV61" i="12"/>
  <c r="AV42" i="12"/>
  <c r="AV34" i="12"/>
  <c r="AV52" i="12"/>
  <c r="AV11" i="12"/>
  <c r="AV73" i="12"/>
  <c r="AV35" i="12"/>
  <c r="AV38" i="12"/>
  <c r="AV28" i="12"/>
  <c r="AV9" i="12"/>
  <c r="AV21" i="12"/>
  <c r="AV33" i="12"/>
  <c r="AV65" i="12"/>
  <c r="AV8" i="12"/>
  <c r="AV37" i="12"/>
  <c r="H8" i="28"/>
  <c r="H76" i="28" s="1"/>
  <c r="H84" i="28" s="1"/>
  <c r="E76" i="28"/>
  <c r="E84" i="28" s="1"/>
  <c r="J8" i="25"/>
  <c r="I76" i="25"/>
  <c r="I84" i="25" s="1"/>
  <c r="D76" i="25"/>
  <c r="AZ8" i="12"/>
  <c r="BB8" i="12"/>
  <c r="BA76" i="12"/>
  <c r="H8" i="26"/>
  <c r="H76" i="26" s="1"/>
  <c r="H84" i="26" s="1"/>
  <c r="E76" i="26"/>
  <c r="E84" i="26" s="1"/>
  <c r="E9" i="16" l="1"/>
  <c r="I8" i="16"/>
  <c r="J76" i="25"/>
  <c r="J84" i="25" s="1"/>
  <c r="AU76" i="12"/>
  <c r="BB76" i="12"/>
  <c r="AZ76" i="12"/>
  <c r="E76" i="25"/>
  <c r="D84" i="25"/>
  <c r="BC24" i="12"/>
  <c r="BC35" i="12"/>
  <c r="BC62" i="12"/>
  <c r="BC52" i="12"/>
  <c r="BC21" i="12"/>
  <c r="BC66" i="12"/>
  <c r="BC37" i="12"/>
  <c r="BC44" i="12"/>
  <c r="BC17" i="12"/>
  <c r="BC12" i="12"/>
  <c r="BC65" i="12"/>
  <c r="BC19" i="12"/>
  <c r="BC57" i="12"/>
  <c r="BC29" i="12"/>
  <c r="BC55" i="12"/>
  <c r="BC51" i="12"/>
  <c r="BC28" i="12"/>
  <c r="BC11" i="12"/>
  <c r="BC59" i="12"/>
  <c r="BC70" i="12"/>
  <c r="BC25" i="12"/>
  <c r="BC64" i="12"/>
  <c r="BC67" i="12"/>
  <c r="BC16" i="12"/>
  <c r="BC69" i="12"/>
  <c r="BC60" i="12"/>
  <c r="BC23" i="12"/>
  <c r="BC36" i="12"/>
  <c r="BC38" i="12"/>
  <c r="BC9" i="12"/>
  <c r="BC40" i="12"/>
  <c r="BC13" i="12"/>
  <c r="BC18" i="12"/>
  <c r="BC50" i="12"/>
  <c r="BC32" i="12"/>
  <c r="BC41" i="12"/>
  <c r="BC49" i="12"/>
  <c r="BC26" i="12"/>
  <c r="BC54" i="12"/>
  <c r="BC71" i="12"/>
  <c r="BC42" i="12"/>
  <c r="BC45" i="12"/>
  <c r="BC75" i="12"/>
  <c r="BC39" i="12"/>
  <c r="BC15" i="12"/>
  <c r="BC56" i="12"/>
  <c r="BC8" i="12"/>
  <c r="BC48" i="12"/>
  <c r="BC72" i="12"/>
  <c r="BC61" i="12"/>
  <c r="BC33" i="12"/>
  <c r="BC46" i="12"/>
  <c r="BC14" i="12"/>
  <c r="BC31" i="12"/>
  <c r="BC47" i="12"/>
  <c r="BC7" i="12"/>
  <c r="BC68" i="12"/>
  <c r="BC73" i="12"/>
  <c r="BC34" i="12"/>
  <c r="BC20" i="12"/>
  <c r="BC74" i="12"/>
  <c r="BC10" i="12"/>
  <c r="BC58" i="12"/>
  <c r="BC27" i="12"/>
  <c r="BC43" i="12"/>
  <c r="BC30" i="12"/>
  <c r="BC22" i="12"/>
  <c r="BC63" i="12"/>
  <c r="BC53" i="12"/>
  <c r="D76" i="27"/>
  <c r="D84" i="27" s="1"/>
  <c r="D76" i="28"/>
  <c r="D84" i="28" s="1"/>
  <c r="D76" i="26"/>
  <c r="D84" i="26" s="1"/>
  <c r="I9" i="16"/>
  <c r="F76" i="25" l="1"/>
  <c r="F84" i="25" s="1"/>
  <c r="E84" i="25"/>
  <c r="F9" i="71" l="1"/>
  <c r="F25" i="71"/>
  <c r="F41" i="71"/>
  <c r="F57" i="71"/>
  <c r="F73" i="71"/>
  <c r="F20" i="71"/>
  <c r="F36" i="71"/>
  <c r="F52" i="71"/>
  <c r="F68" i="71"/>
  <c r="F15" i="71"/>
  <c r="F31" i="71"/>
  <c r="F47" i="71"/>
  <c r="F63" i="71"/>
  <c r="F10" i="71"/>
  <c r="F26" i="71"/>
  <c r="F35" i="71"/>
  <c r="F42" i="71"/>
  <c r="F58" i="71"/>
  <c r="F74" i="71"/>
  <c r="F21" i="71"/>
  <c r="F30" i="71"/>
  <c r="F37" i="71"/>
  <c r="F46" i="71"/>
  <c r="F53" i="71"/>
  <c r="F62" i="71"/>
  <c r="F69" i="71"/>
  <c r="F16" i="71"/>
  <c r="F32" i="71"/>
  <c r="F48" i="71"/>
  <c r="F64" i="71"/>
  <c r="F11" i="71"/>
  <c r="F27" i="71"/>
  <c r="F59" i="71"/>
  <c r="F75" i="71"/>
  <c r="F22" i="71"/>
  <c r="F38" i="71"/>
  <c r="F54" i="71"/>
  <c r="F70" i="71"/>
  <c r="F17" i="71"/>
  <c r="F33" i="71"/>
  <c r="F49" i="71"/>
  <c r="F65" i="71"/>
  <c r="F12" i="71"/>
  <c r="F28" i="71"/>
  <c r="F44" i="71"/>
  <c r="F60" i="71"/>
  <c r="F76" i="71"/>
  <c r="S11" i="17" l="1"/>
  <c r="J9" i="30"/>
  <c r="S34" i="30"/>
  <c r="F14" i="71"/>
  <c r="H14" i="71" s="1"/>
  <c r="F45" i="71"/>
  <c r="H45" i="71" s="1"/>
  <c r="F66" i="71"/>
  <c r="H66" i="71" s="1"/>
  <c r="F43" i="71"/>
  <c r="H43" i="71" s="1"/>
  <c r="F34" i="71"/>
  <c r="H34" i="71" s="1"/>
  <c r="F55" i="71"/>
  <c r="H55" i="71" s="1"/>
  <c r="F39" i="71"/>
  <c r="H39" i="71" s="1"/>
  <c r="F67" i="71"/>
  <c r="H67" i="71" s="1"/>
  <c r="F19" i="71"/>
  <c r="H19" i="71" s="1"/>
  <c r="F24" i="71"/>
  <c r="H24" i="71" s="1"/>
  <c r="F29" i="71"/>
  <c r="H29" i="71" s="1"/>
  <c r="F50" i="71"/>
  <c r="H50" i="71" s="1"/>
  <c r="F51" i="71"/>
  <c r="H51" i="71" s="1"/>
  <c r="F72" i="71"/>
  <c r="H72" i="71" s="1"/>
  <c r="F8" i="71"/>
  <c r="H8" i="71" s="1"/>
  <c r="F13" i="71"/>
  <c r="H13" i="71" s="1"/>
  <c r="F71" i="71"/>
  <c r="H71" i="71" s="1"/>
  <c r="F56" i="71"/>
  <c r="H56" i="71" s="1"/>
  <c r="F40" i="71"/>
  <c r="H40" i="71" s="1"/>
  <c r="F61" i="71"/>
  <c r="H61" i="71" s="1"/>
  <c r="F18" i="71"/>
  <c r="H18" i="71" s="1"/>
  <c r="F23" i="71"/>
  <c r="H23" i="71" s="1"/>
  <c r="F7" i="71"/>
  <c r="H7" i="71" s="1"/>
  <c r="H32" i="71"/>
  <c r="H53" i="71"/>
  <c r="H21" i="71"/>
  <c r="H35" i="71"/>
  <c r="H47" i="71"/>
  <c r="H52" i="71"/>
  <c r="H57" i="71"/>
  <c r="H33" i="71"/>
  <c r="H38" i="71"/>
  <c r="H76" i="71"/>
  <c r="H12" i="71"/>
  <c r="H17" i="71"/>
  <c r="H22" i="71"/>
  <c r="H11" i="71"/>
  <c r="H16" i="71"/>
  <c r="H46" i="71"/>
  <c r="H74" i="71"/>
  <c r="H26" i="71"/>
  <c r="H31" i="71"/>
  <c r="H36" i="71"/>
  <c r="H41" i="71"/>
  <c r="AI14" i="9"/>
  <c r="H60" i="71"/>
  <c r="H65" i="71"/>
  <c r="H70" i="71"/>
  <c r="H75" i="71"/>
  <c r="H64" i="71"/>
  <c r="H69" i="71"/>
  <c r="H37" i="71"/>
  <c r="H58" i="71"/>
  <c r="H10" i="71"/>
  <c r="H15" i="71"/>
  <c r="H20" i="71"/>
  <c r="H25" i="71"/>
  <c r="H28" i="71"/>
  <c r="H27" i="71"/>
  <c r="H44" i="71"/>
  <c r="H49" i="71"/>
  <c r="H54" i="71"/>
  <c r="H59" i="71"/>
  <c r="AI23" i="9"/>
  <c r="H48" i="71"/>
  <c r="H62" i="71"/>
  <c r="H30" i="71"/>
  <c r="H42" i="71"/>
  <c r="H63" i="71"/>
  <c r="H68" i="71"/>
  <c r="H73" i="71"/>
  <c r="H9" i="71"/>
  <c r="V8" i="9" l="1"/>
  <c r="S55" i="9"/>
  <c r="Z34" i="9"/>
  <c r="X8" i="9"/>
  <c r="U56" i="9"/>
  <c r="AF29" i="9"/>
  <c r="AA61" i="9"/>
  <c r="X61" i="9"/>
  <c r="AG39" i="9"/>
  <c r="J39" i="9"/>
  <c r="U61" i="9"/>
  <c r="AG66" i="9"/>
  <c r="T66" i="9"/>
  <c r="AH39" i="9"/>
  <c r="Q39" i="9"/>
  <c r="Z39" i="9"/>
  <c r="V39" i="9"/>
  <c r="AG13" i="9"/>
  <c r="Z13" i="9"/>
  <c r="X13" i="9"/>
  <c r="R8" i="9"/>
  <c r="Q8" i="9"/>
  <c r="T8" i="9"/>
  <c r="AH8" i="9"/>
  <c r="V29" i="9"/>
  <c r="X29" i="9"/>
  <c r="R29" i="9"/>
  <c r="U29" i="9"/>
  <c r="J40" i="9"/>
  <c r="Q40" i="9"/>
  <c r="AH40" i="9"/>
  <c r="N40" i="9"/>
  <c r="Z66" i="9"/>
  <c r="P66" i="9"/>
  <c r="I39" i="9"/>
  <c r="T39" i="9"/>
  <c r="T13" i="9"/>
  <c r="F13" i="9"/>
  <c r="AA13" i="9"/>
  <c r="N61" i="9"/>
  <c r="Z61" i="9"/>
  <c r="S61" i="9"/>
  <c r="AI34" i="9"/>
  <c r="U66" i="9"/>
  <c r="K66" i="9"/>
  <c r="E66" i="9"/>
  <c r="P39" i="9"/>
  <c r="O13" i="9"/>
  <c r="K13" i="9"/>
  <c r="E13" i="9"/>
  <c r="R13" i="9"/>
  <c r="AG8" i="9"/>
  <c r="AE29" i="9"/>
  <c r="AG29" i="9"/>
  <c r="AH29" i="9"/>
  <c r="AG40" i="9"/>
  <c r="S40" i="9"/>
  <c r="X40" i="9"/>
  <c r="T50" i="9"/>
  <c r="AD50" i="9"/>
  <c r="R50" i="9"/>
  <c r="W50" i="9"/>
  <c r="O50" i="9"/>
  <c r="AB50" i="9"/>
  <c r="Z50" i="9"/>
  <c r="P50" i="9"/>
  <c r="AH50" i="9"/>
  <c r="M50" i="9"/>
  <c r="AA50" i="9"/>
  <c r="AE50" i="9"/>
  <c r="G50" i="9"/>
  <c r="H50" i="9"/>
  <c r="L50" i="9"/>
  <c r="V50" i="9"/>
  <c r="AC50" i="9"/>
  <c r="O67" i="9"/>
  <c r="U67" i="9"/>
  <c r="J45" i="9"/>
  <c r="T45" i="9"/>
  <c r="X45" i="9"/>
  <c r="AB45" i="9"/>
  <c r="E43" i="9"/>
  <c r="AB43" i="9"/>
  <c r="AE43" i="9"/>
  <c r="H43" i="9"/>
  <c r="O43" i="9"/>
  <c r="Y13" i="9"/>
  <c r="AC13" i="9"/>
  <c r="M51" i="9"/>
  <c r="G51" i="9"/>
  <c r="AG67" i="9"/>
  <c r="Z67" i="9"/>
  <c r="X67" i="9"/>
  <c r="L67" i="9"/>
  <c r="S67" i="9"/>
  <c r="N67" i="9"/>
  <c r="H45" i="9"/>
  <c r="W45" i="9"/>
  <c r="K45" i="9"/>
  <c r="Y43" i="9"/>
  <c r="T43" i="9"/>
  <c r="J43" i="9"/>
  <c r="R43" i="9"/>
  <c r="AF13" i="9"/>
  <c r="V13" i="9"/>
  <c r="AH13" i="9"/>
  <c r="L13" i="9"/>
  <c r="R51" i="9"/>
  <c r="J51" i="9"/>
  <c r="AC51" i="9"/>
  <c r="X51" i="9"/>
  <c r="AA29" i="9"/>
  <c r="E67" i="9"/>
  <c r="AH67" i="9"/>
  <c r="R67" i="9"/>
  <c r="I45" i="9"/>
  <c r="AD45" i="9"/>
  <c r="R45" i="9"/>
  <c r="Y45" i="9"/>
  <c r="V43" i="9"/>
  <c r="Q43" i="9"/>
  <c r="AC43" i="9"/>
  <c r="X43" i="9"/>
  <c r="U43" i="9"/>
  <c r="AK13" i="9"/>
  <c r="G13" i="9"/>
  <c r="V51" i="9"/>
  <c r="AA51" i="9"/>
  <c r="P51" i="9"/>
  <c r="W51" i="9"/>
  <c r="W29" i="9"/>
  <c r="AI67" i="9"/>
  <c r="T67" i="9"/>
  <c r="AH45" i="9"/>
  <c r="S45" i="9"/>
  <c r="AJ43" i="9"/>
  <c r="N43" i="9"/>
  <c r="Z43" i="9"/>
  <c r="J13" i="9"/>
  <c r="W13" i="9"/>
  <c r="N13" i="9"/>
  <c r="I51" i="9"/>
  <c r="AI51" i="9"/>
  <c r="Q45" i="9"/>
  <c r="M19" i="30"/>
  <c r="M8" i="30"/>
  <c r="T19" i="9"/>
  <c r="AC19" i="9"/>
  <c r="L19" i="9"/>
  <c r="AA19" i="9"/>
  <c r="U19" i="9"/>
  <c r="G19" i="9"/>
  <c r="Y67" i="9"/>
  <c r="AK67" i="9"/>
  <c r="M18" i="30"/>
  <c r="G43" i="9"/>
  <c r="J16" i="30"/>
  <c r="J14" i="30"/>
  <c r="P25" i="30"/>
  <c r="E51" i="9"/>
  <c r="AK51" i="9"/>
  <c r="P12" i="17"/>
  <c r="H13" i="9"/>
  <c r="Y23" i="9"/>
  <c r="AK23" i="9"/>
  <c r="Z23" i="9"/>
  <c r="V23" i="9"/>
  <c r="H23" i="9"/>
  <c r="K23" i="9"/>
  <c r="R23" i="9"/>
  <c r="AE23" i="9"/>
  <c r="H18" i="9"/>
  <c r="AC18" i="9"/>
  <c r="P18" i="9"/>
  <c r="K18" i="9"/>
  <c r="O18" i="9"/>
  <c r="X18" i="9"/>
  <c r="M18" i="9"/>
  <c r="Y18" i="9"/>
  <c r="AK18" i="9"/>
  <c r="Y50" i="9"/>
  <c r="E61" i="9"/>
  <c r="V61" i="9"/>
  <c r="AC61" i="9"/>
  <c r="G61" i="9"/>
  <c r="M61" i="9"/>
  <c r="P35" i="30"/>
  <c r="S7" i="17"/>
  <c r="S8" i="17"/>
  <c r="S22" i="30"/>
  <c r="J9" i="17"/>
  <c r="S28" i="30"/>
  <c r="M37" i="30"/>
  <c r="M20" i="30"/>
  <c r="Y29" i="9"/>
  <c r="I43" i="9"/>
  <c r="AA43" i="9"/>
  <c r="M43" i="9"/>
  <c r="W34" i="9"/>
  <c r="J34" i="9"/>
  <c r="S34" i="9"/>
  <c r="H34" i="9"/>
  <c r="N34" i="9"/>
  <c r="E34" i="9"/>
  <c r="Q34" i="9"/>
  <c r="X34" i="9"/>
  <c r="L66" i="9"/>
  <c r="N66" i="9"/>
  <c r="H66" i="9"/>
  <c r="G45" i="9"/>
  <c r="M45" i="9"/>
  <c r="AA45" i="9"/>
  <c r="J37" i="30"/>
  <c r="J34" i="30"/>
  <c r="P14" i="30"/>
  <c r="Y51" i="9"/>
  <c r="AB51" i="9"/>
  <c r="P7" i="17"/>
  <c r="P20" i="30"/>
  <c r="P26" i="30"/>
  <c r="AB13" i="9"/>
  <c r="X50" i="9"/>
  <c r="AG50" i="9"/>
  <c r="AI50" i="9"/>
  <c r="S26" i="30"/>
  <c r="S21" i="30"/>
  <c r="S38" i="30"/>
  <c r="J7" i="17"/>
  <c r="J30" i="30"/>
  <c r="S15" i="30"/>
  <c r="AC39" i="9"/>
  <c r="G39" i="9"/>
  <c r="X39" i="9"/>
  <c r="AA39" i="9"/>
  <c r="L8" i="9"/>
  <c r="H8" i="9"/>
  <c r="J8" i="9"/>
  <c r="Y8" i="9"/>
  <c r="U8" i="9"/>
  <c r="AG24" i="9"/>
  <c r="Y24" i="9"/>
  <c r="W24" i="9"/>
  <c r="I24" i="9"/>
  <c r="O24" i="9"/>
  <c r="N24" i="9"/>
  <c r="S24" i="9"/>
  <c r="AK72" i="9"/>
  <c r="AF72" i="9"/>
  <c r="AC72" i="9"/>
  <c r="AE72" i="9"/>
  <c r="L72" i="9"/>
  <c r="P72" i="9"/>
  <c r="Q72" i="9"/>
  <c r="M24" i="30"/>
  <c r="AD51" i="9"/>
  <c r="M14" i="9"/>
  <c r="AC14" i="9"/>
  <c r="H14" i="9"/>
  <c r="Y14" i="9"/>
  <c r="J14" i="9"/>
  <c r="K14" i="9"/>
  <c r="AK14" i="9"/>
  <c r="R14" i="9"/>
  <c r="J13" i="17"/>
  <c r="N29" i="9"/>
  <c r="G29" i="9"/>
  <c r="J11" i="17"/>
  <c r="P33" i="30"/>
  <c r="P18" i="30"/>
  <c r="AJ55" i="9"/>
  <c r="AA55" i="9"/>
  <c r="AD55" i="9"/>
  <c r="AB55" i="9"/>
  <c r="AH55" i="9"/>
  <c r="AG55" i="9"/>
  <c r="AE55" i="9"/>
  <c r="T29" i="9"/>
  <c r="K29" i="9"/>
  <c r="AC40" i="9"/>
  <c r="AE40" i="9"/>
  <c r="G40" i="9"/>
  <c r="E40" i="9"/>
  <c r="AB40" i="9"/>
  <c r="W40" i="9"/>
  <c r="AD40" i="9"/>
  <c r="Y56" i="9"/>
  <c r="AF56" i="9"/>
  <c r="K56" i="9"/>
  <c r="V56" i="9"/>
  <c r="G56" i="9"/>
  <c r="AE56" i="9"/>
  <c r="S30" i="30"/>
  <c r="S10" i="30"/>
  <c r="J22" i="30"/>
  <c r="J23" i="30"/>
  <c r="S23" i="30"/>
  <c r="M35" i="30"/>
  <c r="M11" i="30"/>
  <c r="P13" i="17"/>
  <c r="Y71" i="9"/>
  <c r="J71" i="9"/>
  <c r="I71" i="9"/>
  <c r="O71" i="9"/>
  <c r="S71" i="9"/>
  <c r="AJ71" i="9"/>
  <c r="AF71" i="9"/>
  <c r="J13" i="30"/>
  <c r="P7" i="30"/>
  <c r="S33" i="30"/>
  <c r="S40" i="30"/>
  <c r="M40" i="30"/>
  <c r="M9" i="30"/>
  <c r="M7" i="30"/>
  <c r="N19" i="9"/>
  <c r="AB19" i="9"/>
  <c r="R19" i="9"/>
  <c r="V19" i="9"/>
  <c r="S19" i="9"/>
  <c r="AF19" i="9"/>
  <c r="AD19" i="9"/>
  <c r="J19" i="9"/>
  <c r="Q67" i="9"/>
  <c r="M67" i="9"/>
  <c r="H67" i="9"/>
  <c r="W67" i="9"/>
  <c r="M11" i="17"/>
  <c r="S29" i="9"/>
  <c r="L29" i="9"/>
  <c r="P34" i="30"/>
  <c r="K43" i="9"/>
  <c r="J32" i="30"/>
  <c r="P27" i="30"/>
  <c r="Z51" i="9"/>
  <c r="AF51" i="9"/>
  <c r="P11" i="17"/>
  <c r="G23" i="9"/>
  <c r="P23" i="9"/>
  <c r="N23" i="9"/>
  <c r="O23" i="9"/>
  <c r="AD23" i="9"/>
  <c r="I23" i="9"/>
  <c r="AF23" i="9"/>
  <c r="AA23" i="9"/>
  <c r="Y61" i="9"/>
  <c r="I18" i="9"/>
  <c r="AF18" i="9"/>
  <c r="S18" i="9"/>
  <c r="AB18" i="9"/>
  <c r="V18" i="9"/>
  <c r="Q18" i="9"/>
  <c r="AH18" i="9"/>
  <c r="U18" i="9"/>
  <c r="L18" i="9"/>
  <c r="U50" i="9"/>
  <c r="AB61" i="9"/>
  <c r="J61" i="9"/>
  <c r="Q61" i="9"/>
  <c r="S7" i="30"/>
  <c r="S14" i="30"/>
  <c r="J18" i="30"/>
  <c r="E50" i="9"/>
  <c r="S29" i="30"/>
  <c r="Z45" i="9"/>
  <c r="V45" i="9"/>
  <c r="M30" i="30"/>
  <c r="M29" i="30"/>
  <c r="AB29" i="9"/>
  <c r="J29" i="9"/>
  <c r="AH43" i="9"/>
  <c r="AG43" i="9"/>
  <c r="T34" i="9"/>
  <c r="AD34" i="9"/>
  <c r="AK34" i="9"/>
  <c r="AE34" i="9"/>
  <c r="AH34" i="9"/>
  <c r="V34" i="9"/>
  <c r="G34" i="9"/>
  <c r="P34" i="9"/>
  <c r="X66" i="9"/>
  <c r="V66" i="9"/>
  <c r="Y66" i="9"/>
  <c r="AE66" i="9"/>
  <c r="AC66" i="9"/>
  <c r="AB66" i="9"/>
  <c r="O66" i="9"/>
  <c r="R66" i="9"/>
  <c r="AI45" i="9"/>
  <c r="O45" i="9"/>
  <c r="J38" i="30"/>
  <c r="J29" i="30"/>
  <c r="P37" i="30"/>
  <c r="P19" i="30"/>
  <c r="P13" i="9"/>
  <c r="K50" i="9"/>
  <c r="P24" i="30"/>
  <c r="S37" i="30"/>
  <c r="S9" i="17"/>
  <c r="J28" i="30"/>
  <c r="J8" i="17"/>
  <c r="S39" i="9"/>
  <c r="K39" i="9"/>
  <c r="AD39" i="9"/>
  <c r="W39" i="9"/>
  <c r="AI43" i="9"/>
  <c r="F43" i="9"/>
  <c r="M13" i="9"/>
  <c r="I8" i="9"/>
  <c r="E8" i="9"/>
  <c r="AD8" i="9"/>
  <c r="AC24" i="9"/>
  <c r="AB24" i="9"/>
  <c r="T24" i="9"/>
  <c r="AD24" i="9"/>
  <c r="Q24" i="9"/>
  <c r="L24" i="9"/>
  <c r="AK24" i="9"/>
  <c r="M24" i="9"/>
  <c r="V24" i="9"/>
  <c r="AI72" i="9"/>
  <c r="X72" i="9"/>
  <c r="V72" i="9"/>
  <c r="N72" i="9"/>
  <c r="R72" i="9"/>
  <c r="W72" i="9"/>
  <c r="K72" i="9"/>
  <c r="AA72" i="9"/>
  <c r="U72" i="9"/>
  <c r="M38" i="30"/>
  <c r="M26" i="30"/>
  <c r="Q51" i="9"/>
  <c r="P14" i="9"/>
  <c r="S14" i="9"/>
  <c r="AA14" i="9"/>
  <c r="AD14" i="9"/>
  <c r="AB14" i="9"/>
  <c r="G14" i="9"/>
  <c r="AH14" i="9"/>
  <c r="J27" i="30"/>
  <c r="J17" i="30"/>
  <c r="P10" i="17"/>
  <c r="P31" i="30"/>
  <c r="P9" i="17"/>
  <c r="S31" i="30"/>
  <c r="V55" i="9"/>
  <c r="J55" i="9"/>
  <c r="Y55" i="9"/>
  <c r="AF55" i="9"/>
  <c r="T55" i="9"/>
  <c r="AI55" i="9"/>
  <c r="W55" i="9"/>
  <c r="L55" i="9"/>
  <c r="Q55" i="9"/>
  <c r="N50" i="9"/>
  <c r="Q50" i="9"/>
  <c r="P29" i="9"/>
  <c r="U40" i="9"/>
  <c r="P40" i="9"/>
  <c r="Y40" i="9"/>
  <c r="P56" i="9"/>
  <c r="M56" i="9"/>
  <c r="AG56" i="9"/>
  <c r="AC56" i="9"/>
  <c r="N56" i="9"/>
  <c r="S56" i="9"/>
  <c r="S18" i="30"/>
  <c r="S11" i="30"/>
  <c r="J20" i="30"/>
  <c r="S13" i="30"/>
  <c r="M10" i="30"/>
  <c r="M34" i="30"/>
  <c r="M22" i="30"/>
  <c r="P28" i="30"/>
  <c r="H71" i="9"/>
  <c r="AE71" i="9"/>
  <c r="AK71" i="9"/>
  <c r="AH71" i="9"/>
  <c r="U71" i="9"/>
  <c r="Z71" i="9"/>
  <c r="E71" i="9"/>
  <c r="Q71" i="9"/>
  <c r="J21" i="30"/>
  <c r="P40" i="30"/>
  <c r="S35" i="30"/>
  <c r="U45" i="9"/>
  <c r="L45" i="9"/>
  <c r="M7" i="17"/>
  <c r="M10" i="17"/>
  <c r="E19" i="9"/>
  <c r="AE19" i="9"/>
  <c r="Q19" i="9"/>
  <c r="AG19" i="9"/>
  <c r="AH19" i="9"/>
  <c r="I19" i="9"/>
  <c r="M19" i="9"/>
  <c r="P19" i="9"/>
  <c r="K67" i="9"/>
  <c r="AC67" i="9"/>
  <c r="G67" i="9"/>
  <c r="AE67" i="9"/>
  <c r="AB67" i="9"/>
  <c r="AF67" i="9"/>
  <c r="M32" i="30"/>
  <c r="Q29" i="9"/>
  <c r="I29" i="9"/>
  <c r="AK43" i="9"/>
  <c r="AD43" i="9"/>
  <c r="J26" i="30"/>
  <c r="J8" i="30"/>
  <c r="P13" i="30"/>
  <c r="U51" i="9"/>
  <c r="K51" i="9"/>
  <c r="P8" i="17"/>
  <c r="U13" i="9"/>
  <c r="T23" i="9"/>
  <c r="AG23" i="9"/>
  <c r="W23" i="9"/>
  <c r="Q23" i="9"/>
  <c r="X23" i="9"/>
  <c r="J23" i="9"/>
  <c r="U23" i="9"/>
  <c r="Z18" i="9"/>
  <c r="T18" i="9"/>
  <c r="AD18" i="9"/>
  <c r="E18" i="9"/>
  <c r="G18" i="9"/>
  <c r="R18" i="9"/>
  <c r="AE18" i="9"/>
  <c r="O61" i="9"/>
  <c r="L61" i="9"/>
  <c r="P61" i="9"/>
  <c r="AG61" i="9"/>
  <c r="W61" i="9"/>
  <c r="S17" i="30"/>
  <c r="S32" i="30"/>
  <c r="S36" i="30"/>
  <c r="AC45" i="9"/>
  <c r="E45" i="9"/>
  <c r="M33" i="30"/>
  <c r="M16" i="30"/>
  <c r="M27" i="30"/>
  <c r="Z29" i="9"/>
  <c r="L43" i="9"/>
  <c r="AA34" i="9"/>
  <c r="AG34" i="9"/>
  <c r="U34" i="9"/>
  <c r="I34" i="9"/>
  <c r="K34" i="9"/>
  <c r="AC34" i="9"/>
  <c r="R34" i="9"/>
  <c r="S66" i="9"/>
  <c r="I66" i="9"/>
  <c r="AF66" i="9"/>
  <c r="M66" i="9"/>
  <c r="AD66" i="9"/>
  <c r="AE45" i="9"/>
  <c r="J12" i="17"/>
  <c r="P10" i="30"/>
  <c r="N51" i="9"/>
  <c r="O51" i="9"/>
  <c r="P11" i="30"/>
  <c r="P38" i="30"/>
  <c r="S16" i="30"/>
  <c r="S12" i="30"/>
  <c r="J11" i="30"/>
  <c r="J10" i="17"/>
  <c r="M39" i="9"/>
  <c r="Y39" i="9"/>
  <c r="L39" i="9"/>
  <c r="O39" i="9"/>
  <c r="R39" i="9"/>
  <c r="AE39" i="9"/>
  <c r="S13" i="9"/>
  <c r="AE13" i="9"/>
  <c r="K8" i="9"/>
  <c r="AC8" i="9"/>
  <c r="P8" i="9"/>
  <c r="W8" i="9"/>
  <c r="S8" i="9"/>
  <c r="R24" i="9"/>
  <c r="X24" i="9"/>
  <c r="P24" i="9"/>
  <c r="AH24" i="9"/>
  <c r="K24" i="9"/>
  <c r="G24" i="9"/>
  <c r="AE24" i="9"/>
  <c r="AF24" i="9"/>
  <c r="O72" i="9"/>
  <c r="E72" i="9"/>
  <c r="AH72" i="9"/>
  <c r="G72" i="9"/>
  <c r="I72" i="9"/>
  <c r="S72" i="9"/>
  <c r="Z72" i="9"/>
  <c r="AD72" i="9"/>
  <c r="M13" i="30"/>
  <c r="M23" i="30"/>
  <c r="S51" i="9"/>
  <c r="AG51" i="9"/>
  <c r="T14" i="9"/>
  <c r="L14" i="9"/>
  <c r="AG14" i="9"/>
  <c r="Q14" i="9"/>
  <c r="AJ14" i="9"/>
  <c r="X14" i="9"/>
  <c r="AE14" i="9"/>
  <c r="E14" i="9"/>
  <c r="J35" i="30"/>
  <c r="J33" i="30"/>
  <c r="J40" i="30"/>
  <c r="P8" i="30"/>
  <c r="P9" i="30"/>
  <c r="I55" i="9"/>
  <c r="P55" i="9"/>
  <c r="O55" i="9"/>
  <c r="K55" i="9"/>
  <c r="R55" i="9"/>
  <c r="AK55" i="9"/>
  <c r="H55" i="9"/>
  <c r="E55" i="9"/>
  <c r="AF50" i="9"/>
  <c r="M29" i="9"/>
  <c r="AF40" i="9"/>
  <c r="O40" i="9"/>
  <c r="K40" i="9"/>
  <c r="M40" i="9"/>
  <c r="AI56" i="9"/>
  <c r="AH56" i="9"/>
  <c r="J56" i="9"/>
  <c r="W56" i="9"/>
  <c r="AK56" i="9"/>
  <c r="Q56" i="9"/>
  <c r="I56" i="9"/>
  <c r="L56" i="9"/>
  <c r="AB56" i="9"/>
  <c r="S10" i="17"/>
  <c r="J7" i="30"/>
  <c r="J50" i="9"/>
  <c r="P29" i="30"/>
  <c r="M15" i="30"/>
  <c r="M9" i="17"/>
  <c r="J19" i="30"/>
  <c r="W71" i="9"/>
  <c r="G71" i="9"/>
  <c r="AG71" i="9"/>
  <c r="AC71" i="9"/>
  <c r="AB71" i="9"/>
  <c r="AD71" i="9"/>
  <c r="K71" i="9"/>
  <c r="V71" i="9"/>
  <c r="J31" i="30"/>
  <c r="P16" i="30"/>
  <c r="P36" i="30"/>
  <c r="AG45" i="9"/>
  <c r="AK45" i="9"/>
  <c r="M12" i="17"/>
  <c r="O19" i="9"/>
  <c r="H19" i="9"/>
  <c r="Y19" i="9"/>
  <c r="AI19" i="9"/>
  <c r="AK19" i="9"/>
  <c r="Z19" i="9"/>
  <c r="X19" i="9"/>
  <c r="W19" i="9"/>
  <c r="K19" i="9"/>
  <c r="AA67" i="9"/>
  <c r="AD67" i="9"/>
  <c r="V67" i="9"/>
  <c r="J67" i="9"/>
  <c r="I67" i="9"/>
  <c r="P67" i="9"/>
  <c r="M36" i="30"/>
  <c r="H29" i="9"/>
  <c r="P43" i="9"/>
  <c r="AF43" i="9"/>
  <c r="L51" i="9"/>
  <c r="AH51" i="9"/>
  <c r="P17" i="30"/>
  <c r="P30" i="30"/>
  <c r="S20" i="30"/>
  <c r="AJ23" i="9"/>
  <c r="S23" i="9"/>
  <c r="M23" i="9"/>
  <c r="L23" i="9"/>
  <c r="E23" i="9"/>
  <c r="AC23" i="9"/>
  <c r="AH23" i="9"/>
  <c r="AB23" i="9"/>
  <c r="AJ18" i="9"/>
  <c r="W18" i="9"/>
  <c r="J18" i="9"/>
  <c r="AI18" i="9"/>
  <c r="AG18" i="9"/>
  <c r="AA18" i="9"/>
  <c r="N18" i="9"/>
  <c r="I50" i="9"/>
  <c r="S50" i="9"/>
  <c r="I61" i="9"/>
  <c r="AF61" i="9"/>
  <c r="H61" i="9"/>
  <c r="T61" i="9"/>
  <c r="AD61" i="9"/>
  <c r="K61" i="9"/>
  <c r="AE61" i="9"/>
  <c r="AH61" i="9"/>
  <c r="R61" i="9"/>
  <c r="S12" i="17"/>
  <c r="S8" i="30"/>
  <c r="S25" i="30"/>
  <c r="J10" i="30"/>
  <c r="P23" i="30"/>
  <c r="P45" i="9"/>
  <c r="M28" i="30"/>
  <c r="M12" i="30"/>
  <c r="M31" i="30"/>
  <c r="M17" i="30"/>
  <c r="E29" i="9"/>
  <c r="AD29" i="9"/>
  <c r="W43" i="9"/>
  <c r="S43" i="9"/>
  <c r="AB34" i="9"/>
  <c r="AJ34" i="9"/>
  <c r="L34" i="9"/>
  <c r="AF34" i="9"/>
  <c r="Y34" i="9"/>
  <c r="O34" i="9"/>
  <c r="M34" i="9"/>
  <c r="G66" i="9"/>
  <c r="AA66" i="9"/>
  <c r="J66" i="9"/>
  <c r="Q66" i="9"/>
  <c r="W66" i="9"/>
  <c r="AH66" i="9"/>
  <c r="N45" i="9"/>
  <c r="AF45" i="9"/>
  <c r="J36" i="30"/>
  <c r="AE51" i="9"/>
  <c r="P32" i="30"/>
  <c r="P21" i="30"/>
  <c r="I13" i="9"/>
  <c r="AK50" i="9"/>
  <c r="S24" i="30"/>
  <c r="S19" i="30"/>
  <c r="J12" i="30"/>
  <c r="J25" i="30"/>
  <c r="AJ39" i="9"/>
  <c r="H39" i="9"/>
  <c r="U39" i="9"/>
  <c r="AB39" i="9"/>
  <c r="N39" i="9"/>
  <c r="AF39" i="9"/>
  <c r="E39" i="9"/>
  <c r="Q13" i="9"/>
  <c r="AD13" i="9"/>
  <c r="G8" i="9"/>
  <c r="AB8" i="9"/>
  <c r="M8" i="9"/>
  <c r="AE8" i="9"/>
  <c r="AF8" i="9"/>
  <c r="O8" i="9"/>
  <c r="Z8" i="9"/>
  <c r="AA8" i="9"/>
  <c r="N8" i="9"/>
  <c r="AI24" i="9"/>
  <c r="Z24" i="9"/>
  <c r="AA24" i="9"/>
  <c r="J24" i="9"/>
  <c r="U24" i="9"/>
  <c r="H24" i="9"/>
  <c r="E24" i="9"/>
  <c r="P15" i="30"/>
  <c r="J72" i="9"/>
  <c r="H72" i="9"/>
  <c r="AB72" i="9"/>
  <c r="M72" i="9"/>
  <c r="Y72" i="9"/>
  <c r="AG72" i="9"/>
  <c r="T72" i="9"/>
  <c r="M8" i="17"/>
  <c r="M25" i="30"/>
  <c r="T51" i="9"/>
  <c r="H51" i="9"/>
  <c r="V14" i="9"/>
  <c r="U14" i="9"/>
  <c r="W14" i="9"/>
  <c r="O14" i="9"/>
  <c r="Z14" i="9"/>
  <c r="N14" i="9"/>
  <c r="AF14" i="9"/>
  <c r="I14" i="9"/>
  <c r="M21" i="30"/>
  <c r="AK29" i="9"/>
  <c r="J24" i="30"/>
  <c r="P22" i="30"/>
  <c r="G55" i="9"/>
  <c r="N55" i="9"/>
  <c r="M55" i="9"/>
  <c r="X55" i="9"/>
  <c r="U55" i="9"/>
  <c r="AC55" i="9"/>
  <c r="Z55" i="9"/>
  <c r="O29" i="9"/>
  <c r="AC29" i="9"/>
  <c r="H40" i="9"/>
  <c r="AA40" i="9"/>
  <c r="Z40" i="9"/>
  <c r="AK40" i="9"/>
  <c r="I40" i="9"/>
  <c r="L40" i="9"/>
  <c r="V40" i="9"/>
  <c r="T40" i="9"/>
  <c r="R40" i="9"/>
  <c r="H56" i="9"/>
  <c r="AD56" i="9"/>
  <c r="X56" i="9"/>
  <c r="T56" i="9"/>
  <c r="Z56" i="9"/>
  <c r="E56" i="9"/>
  <c r="R56" i="9"/>
  <c r="AA56" i="9"/>
  <c r="O56" i="9"/>
  <c r="S9" i="30"/>
  <c r="S27" i="30"/>
  <c r="M14" i="30"/>
  <c r="M13" i="17"/>
  <c r="S13" i="17"/>
  <c r="J15" i="30"/>
  <c r="L71" i="9"/>
  <c r="T71" i="9"/>
  <c r="M71" i="9"/>
  <c r="R71" i="9"/>
  <c r="AA71" i="9"/>
  <c r="N71" i="9"/>
  <c r="P71" i="9"/>
  <c r="X71" i="9"/>
  <c r="P12" i="30"/>
  <c r="AI44" i="9" l="1"/>
  <c r="AJ66" i="9"/>
  <c r="AJ40" i="9"/>
  <c r="AI37" i="9"/>
  <c r="AK66" i="9"/>
  <c r="AK8" i="9"/>
  <c r="AI48" i="9"/>
  <c r="AI73" i="9"/>
  <c r="AK61" i="9"/>
  <c r="AI11" i="9"/>
  <c r="AK39" i="9"/>
  <c r="AJ67" i="9"/>
  <c r="AJ13" i="9"/>
  <c r="AI61" i="9"/>
  <c r="AI32" i="9"/>
  <c r="J14" i="17"/>
  <c r="AI29" i="9"/>
  <c r="AI13" i="9"/>
  <c r="AB35" i="9"/>
  <c r="Q35" i="9"/>
  <c r="L35" i="9"/>
  <c r="AH12" i="9"/>
  <c r="AF12" i="9"/>
  <c r="H74" i="9"/>
  <c r="AE41" i="9"/>
  <c r="H35" i="9"/>
  <c r="T35" i="9"/>
  <c r="AA35" i="9"/>
  <c r="P12" i="9"/>
  <c r="E12" i="9"/>
  <c r="AG12" i="9"/>
  <c r="R46" i="9"/>
  <c r="AD46" i="9"/>
  <c r="AB46" i="9"/>
  <c r="M46" i="9"/>
  <c r="U74" i="9"/>
  <c r="AE74" i="9"/>
  <c r="G35" i="9"/>
  <c r="E35" i="9"/>
  <c r="U35" i="9"/>
  <c r="AK35" i="9"/>
  <c r="AG35" i="9"/>
  <c r="S35" i="9"/>
  <c r="AD12" i="9"/>
  <c r="N12" i="9"/>
  <c r="AK12" i="9"/>
  <c r="AA12" i="9"/>
  <c r="W12" i="9"/>
  <c r="I12" i="9"/>
  <c r="AE12" i="9"/>
  <c r="J12" i="9"/>
  <c r="AF46" i="9"/>
  <c r="J46" i="9"/>
  <c r="AI46" i="9"/>
  <c r="P46" i="9"/>
  <c r="AG46" i="9"/>
  <c r="N46" i="9"/>
  <c r="L46" i="9"/>
  <c r="Z46" i="9"/>
  <c r="R74" i="9"/>
  <c r="Q74" i="9"/>
  <c r="AG74" i="9"/>
  <c r="N74" i="9"/>
  <c r="X74" i="9"/>
  <c r="AI74" i="9"/>
  <c r="Y74" i="9"/>
  <c r="J74" i="9"/>
  <c r="AJ74" i="9"/>
  <c r="AG41" i="9"/>
  <c r="T41" i="9"/>
  <c r="X41" i="9"/>
  <c r="Y41" i="9"/>
  <c r="AI41" i="9"/>
  <c r="AD41" i="9"/>
  <c r="AB41" i="9"/>
  <c r="Z37" i="9"/>
  <c r="V37" i="9"/>
  <c r="L37" i="9"/>
  <c r="I37" i="9"/>
  <c r="AD37" i="9"/>
  <c r="AB37" i="9"/>
  <c r="N37" i="9"/>
  <c r="AG37" i="9"/>
  <c r="G58" i="9"/>
  <c r="AF58" i="9"/>
  <c r="M58" i="9"/>
  <c r="N58" i="9"/>
  <c r="K58" i="9"/>
  <c r="H58" i="9"/>
  <c r="AG58" i="9"/>
  <c r="AE10" i="9"/>
  <c r="AD10" i="9"/>
  <c r="U10" i="9"/>
  <c r="H10" i="9"/>
  <c r="P10" i="9"/>
  <c r="R10" i="9"/>
  <c r="AI10" i="9"/>
  <c r="AH10" i="9"/>
  <c r="M39" i="30"/>
  <c r="M41" i="30" s="1"/>
  <c r="E27" i="9"/>
  <c r="L27" i="9"/>
  <c r="AA27" i="9"/>
  <c r="O27" i="9"/>
  <c r="AJ27" i="9"/>
  <c r="T27" i="9"/>
  <c r="X27" i="9"/>
  <c r="AB27" i="9"/>
  <c r="S27" i="9"/>
  <c r="AE7" i="9"/>
  <c r="L7" i="9"/>
  <c r="AG48" i="9"/>
  <c r="P48" i="9"/>
  <c r="G48" i="9"/>
  <c r="AC48" i="9"/>
  <c r="N48" i="9"/>
  <c r="E48" i="9"/>
  <c r="Z48" i="9"/>
  <c r="W48" i="9"/>
  <c r="E63" i="9"/>
  <c r="AG63" i="9"/>
  <c r="N63" i="9"/>
  <c r="R63" i="9"/>
  <c r="P63" i="9"/>
  <c r="L63" i="9"/>
  <c r="Z63" i="9"/>
  <c r="AB63" i="9"/>
  <c r="AB73" i="9"/>
  <c r="AJ73" i="9"/>
  <c r="V73" i="9"/>
  <c r="U73" i="9"/>
  <c r="W73" i="9"/>
  <c r="O73" i="9"/>
  <c r="Z73" i="9"/>
  <c r="T73" i="9"/>
  <c r="I32" i="9"/>
  <c r="AD32" i="9"/>
  <c r="V32" i="9"/>
  <c r="O32" i="9"/>
  <c r="P32" i="9"/>
  <c r="L32" i="9"/>
  <c r="W32" i="9"/>
  <c r="N32" i="9"/>
  <c r="AG32" i="9"/>
  <c r="G53" i="9"/>
  <c r="X53" i="9"/>
  <c r="AH53" i="9"/>
  <c r="V53" i="9"/>
  <c r="W53" i="9"/>
  <c r="AA53" i="9"/>
  <c r="AC53" i="9"/>
  <c r="L53" i="9"/>
  <c r="Z47" i="9"/>
  <c r="K47" i="9"/>
  <c r="O47" i="9"/>
  <c r="G47" i="9"/>
  <c r="AF47" i="9"/>
  <c r="AJ47" i="9"/>
  <c r="N47" i="9"/>
  <c r="AD47" i="9"/>
  <c r="AG52" i="9"/>
  <c r="G52" i="9"/>
  <c r="Z52" i="9"/>
  <c r="L52" i="9"/>
  <c r="Y52" i="9"/>
  <c r="K52" i="9"/>
  <c r="Q52" i="9"/>
  <c r="AC57" i="9"/>
  <c r="P57" i="9"/>
  <c r="X57" i="9"/>
  <c r="E57" i="9"/>
  <c r="O57" i="9"/>
  <c r="L57" i="9"/>
  <c r="AK57" i="9"/>
  <c r="AJ38" i="9"/>
  <c r="T38" i="9"/>
  <c r="K38" i="9"/>
  <c r="W38" i="9"/>
  <c r="AD38" i="9"/>
  <c r="X38" i="9"/>
  <c r="AG38" i="9"/>
  <c r="O38" i="9"/>
  <c r="I38" i="9"/>
  <c r="AI31" i="9"/>
  <c r="AG31" i="9"/>
  <c r="Z31" i="9"/>
  <c r="U31" i="9"/>
  <c r="N31" i="9"/>
  <c r="AK31" i="9"/>
  <c r="M31" i="9"/>
  <c r="T31" i="9"/>
  <c r="AJ36" i="9"/>
  <c r="T36" i="9"/>
  <c r="R36" i="9"/>
  <c r="AH36" i="9"/>
  <c r="K36" i="9"/>
  <c r="E36" i="9"/>
  <c r="AE36" i="9"/>
  <c r="AI36" i="9"/>
  <c r="F14" i="9"/>
  <c r="AM14" i="9" s="1"/>
  <c r="AE60" i="9"/>
  <c r="AF60" i="9"/>
  <c r="AI60" i="9"/>
  <c r="U60" i="9"/>
  <c r="I60" i="9"/>
  <c r="R60" i="9"/>
  <c r="AH60" i="9"/>
  <c r="N60" i="9"/>
  <c r="L70" i="9"/>
  <c r="W70" i="9"/>
  <c r="AD70" i="9"/>
  <c r="P70" i="9"/>
  <c r="X70" i="9"/>
  <c r="AC70" i="9"/>
  <c r="Q70" i="9"/>
  <c r="Y70" i="9"/>
  <c r="V75" i="9"/>
  <c r="R75" i="9"/>
  <c r="L75" i="9"/>
  <c r="X75" i="9"/>
  <c r="Q75" i="9"/>
  <c r="K75" i="9"/>
  <c r="AD75" i="9"/>
  <c r="AI69" i="9"/>
  <c r="AB69" i="9"/>
  <c r="R69" i="9"/>
  <c r="H69" i="9"/>
  <c r="X69" i="9"/>
  <c r="J69" i="9"/>
  <c r="AE69" i="9"/>
  <c r="K69" i="9"/>
  <c r="AC69" i="9"/>
  <c r="AK15" i="9"/>
  <c r="R15" i="9"/>
  <c r="L15" i="9"/>
  <c r="G15" i="9"/>
  <c r="P15" i="9"/>
  <c r="S15" i="9"/>
  <c r="N15" i="9"/>
  <c r="K15" i="9"/>
  <c r="AE44" i="9"/>
  <c r="J44" i="9"/>
  <c r="R44" i="9"/>
  <c r="U44" i="9"/>
  <c r="P44" i="9"/>
  <c r="T44" i="9"/>
  <c r="AG44" i="9"/>
  <c r="K44" i="9"/>
  <c r="F7" i="9"/>
  <c r="H7" i="9"/>
  <c r="AG68" i="9"/>
  <c r="R68" i="9"/>
  <c r="U68" i="9"/>
  <c r="S68" i="9"/>
  <c r="AC68" i="9"/>
  <c r="N68" i="9"/>
  <c r="AI68" i="9"/>
  <c r="P68" i="9"/>
  <c r="V68" i="9"/>
  <c r="I21" i="9"/>
  <c r="AG21" i="9"/>
  <c r="J21" i="9"/>
  <c r="K21" i="9"/>
  <c r="AI21" i="9"/>
  <c r="W21" i="9"/>
  <c r="AH21" i="9"/>
  <c r="L21" i="9"/>
  <c r="U33" i="9"/>
  <c r="Z33" i="9"/>
  <c r="P33" i="9"/>
  <c r="AD33" i="9"/>
  <c r="M33" i="9"/>
  <c r="H33" i="9"/>
  <c r="AK33" i="9"/>
  <c r="AA33" i="9"/>
  <c r="J16" i="9"/>
  <c r="AB16" i="9"/>
  <c r="O16" i="9"/>
  <c r="R16" i="9"/>
  <c r="I16" i="9"/>
  <c r="AH16" i="9"/>
  <c r="L26" i="9"/>
  <c r="J26" i="9"/>
  <c r="AI26" i="9"/>
  <c r="M26" i="9"/>
  <c r="T26" i="9"/>
  <c r="AD26" i="9"/>
  <c r="AH26" i="9"/>
  <c r="K26" i="9"/>
  <c r="AJ29" i="9"/>
  <c r="L65" i="9"/>
  <c r="W65" i="9"/>
  <c r="S65" i="9"/>
  <c r="AG65" i="9"/>
  <c r="AB65" i="9"/>
  <c r="O65" i="9"/>
  <c r="Y65" i="9"/>
  <c r="AC25" i="9"/>
  <c r="K25" i="9"/>
  <c r="O25" i="9"/>
  <c r="I25" i="9"/>
  <c r="P25" i="9"/>
  <c r="G25" i="9"/>
  <c r="R25" i="9"/>
  <c r="M25" i="9"/>
  <c r="J28" i="9"/>
  <c r="T28" i="9"/>
  <c r="E28" i="9"/>
  <c r="AE28" i="9"/>
  <c r="AH28" i="9"/>
  <c r="X28" i="9"/>
  <c r="AI28" i="9"/>
  <c r="Q28" i="9"/>
  <c r="Z59" i="9"/>
  <c r="AF59" i="9"/>
  <c r="N59" i="9"/>
  <c r="W59" i="9"/>
  <c r="Q59" i="9"/>
  <c r="R59" i="9"/>
  <c r="AK59" i="9"/>
  <c r="G59" i="9"/>
  <c r="I59" i="9"/>
  <c r="J7" i="9"/>
  <c r="P7" i="9"/>
  <c r="AI62" i="9"/>
  <c r="AF62" i="9"/>
  <c r="R62" i="9"/>
  <c r="Q62" i="9"/>
  <c r="J62" i="9"/>
  <c r="Z62" i="9"/>
  <c r="H62" i="9"/>
  <c r="W62" i="9"/>
  <c r="O62" i="9"/>
  <c r="M42" i="9"/>
  <c r="I42" i="9"/>
  <c r="AG42" i="9"/>
  <c r="AD42" i="9"/>
  <c r="X42" i="9"/>
  <c r="AF42" i="9"/>
  <c r="AC42" i="9"/>
  <c r="AI71" i="9"/>
  <c r="AF17" i="9"/>
  <c r="P17" i="9"/>
  <c r="V17" i="9"/>
  <c r="X17" i="9"/>
  <c r="J17" i="9"/>
  <c r="E17" i="9"/>
  <c r="W17" i="9"/>
  <c r="AG17" i="9"/>
  <c r="R17" i="9"/>
  <c r="X22" i="9"/>
  <c r="L22" i="9"/>
  <c r="N22" i="9"/>
  <c r="J22" i="9"/>
  <c r="Z22" i="9"/>
  <c r="M22" i="9"/>
  <c r="AA22" i="9"/>
  <c r="AG22" i="9"/>
  <c r="U11" i="9"/>
  <c r="W11" i="9"/>
  <c r="V11" i="9"/>
  <c r="AK11" i="9"/>
  <c r="AH11" i="9"/>
  <c r="Y11" i="9"/>
  <c r="M11" i="9"/>
  <c r="H11" i="9"/>
  <c r="AI8" i="9"/>
  <c r="AJ64" i="9"/>
  <c r="W64" i="9"/>
  <c r="L64" i="9"/>
  <c r="AG64" i="9"/>
  <c r="AD64" i="9"/>
  <c r="H64" i="9"/>
  <c r="E64" i="9"/>
  <c r="I64" i="9"/>
  <c r="AF64" i="9"/>
  <c r="P14" i="17"/>
  <c r="F34" i="9"/>
  <c r="AM34" i="9" s="1"/>
  <c r="S20" i="9"/>
  <c r="L20" i="9"/>
  <c r="N20" i="9"/>
  <c r="AH20" i="9"/>
  <c r="H20" i="9"/>
  <c r="AG20" i="9"/>
  <c r="AE20" i="9"/>
  <c r="AB20" i="9"/>
  <c r="I49" i="9"/>
  <c r="AD49" i="9"/>
  <c r="P49" i="9"/>
  <c r="J49" i="9"/>
  <c r="H49" i="9"/>
  <c r="N49" i="9"/>
  <c r="AE49" i="9"/>
  <c r="X54" i="9"/>
  <c r="I54" i="9"/>
  <c r="T54" i="9"/>
  <c r="S54" i="9"/>
  <c r="K54" i="9"/>
  <c r="P54" i="9"/>
  <c r="M54" i="9"/>
  <c r="AE54" i="9"/>
  <c r="O54" i="9"/>
  <c r="I7" i="9"/>
  <c r="W30" i="9"/>
  <c r="AB30" i="9"/>
  <c r="E30" i="9"/>
  <c r="Y30" i="9"/>
  <c r="H30" i="9"/>
  <c r="G30" i="9"/>
  <c r="N9" i="9"/>
  <c r="U9" i="9"/>
  <c r="P9" i="9"/>
  <c r="AA9" i="9"/>
  <c r="W9" i="9"/>
  <c r="L9" i="9"/>
  <c r="T9" i="9"/>
  <c r="I9" i="9"/>
  <c r="Z35" i="9"/>
  <c r="I35" i="9"/>
  <c r="AH35" i="9"/>
  <c r="AC12" i="9"/>
  <c r="T12" i="9"/>
  <c r="H12" i="9"/>
  <c r="AE46" i="9"/>
  <c r="E46" i="9"/>
  <c r="G46" i="9"/>
  <c r="Z74" i="9"/>
  <c r="I74" i="9"/>
  <c r="AH41" i="9"/>
  <c r="U41" i="9"/>
  <c r="M41" i="9"/>
  <c r="AF35" i="9"/>
  <c r="AE35" i="9"/>
  <c r="O35" i="9"/>
  <c r="R35" i="9"/>
  <c r="AJ12" i="9"/>
  <c r="S46" i="9"/>
  <c r="U46" i="9"/>
  <c r="W46" i="9"/>
  <c r="M74" i="9"/>
  <c r="AC35" i="9"/>
  <c r="AD35" i="9"/>
  <c r="W35" i="9"/>
  <c r="J35" i="9"/>
  <c r="AJ35" i="9"/>
  <c r="V35" i="9"/>
  <c r="N35" i="9"/>
  <c r="AI35" i="9"/>
  <c r="O12" i="9"/>
  <c r="X12" i="9"/>
  <c r="Y12" i="9"/>
  <c r="AI12" i="9"/>
  <c r="V12" i="9"/>
  <c r="G12" i="9"/>
  <c r="L12" i="9"/>
  <c r="AB12" i="9"/>
  <c r="AJ46" i="9"/>
  <c r="X46" i="9"/>
  <c r="O46" i="9"/>
  <c r="Q46" i="9"/>
  <c r="I46" i="9"/>
  <c r="AC46" i="9"/>
  <c r="Y46" i="9"/>
  <c r="AH46" i="9"/>
  <c r="T46" i="9"/>
  <c r="G74" i="9"/>
  <c r="AF74" i="9"/>
  <c r="AB74" i="9"/>
  <c r="AK74" i="9"/>
  <c r="L74" i="9"/>
  <c r="E74" i="9"/>
  <c r="AA74" i="9"/>
  <c r="AD74" i="9"/>
  <c r="V74" i="9"/>
  <c r="H41" i="9"/>
  <c r="AF41" i="9"/>
  <c r="W41" i="9"/>
  <c r="R41" i="9"/>
  <c r="N41" i="9"/>
  <c r="Q41" i="9"/>
  <c r="P41" i="9"/>
  <c r="G41" i="9"/>
  <c r="AC41" i="9"/>
  <c r="M37" i="9"/>
  <c r="O37" i="9"/>
  <c r="T37" i="9"/>
  <c r="P37" i="9"/>
  <c r="S37" i="9"/>
  <c r="AA37" i="9"/>
  <c r="Q37" i="9"/>
  <c r="AC37" i="9"/>
  <c r="H37" i="9"/>
  <c r="P58" i="9"/>
  <c r="O58" i="9"/>
  <c r="R58" i="9"/>
  <c r="AB58" i="9"/>
  <c r="J58" i="9"/>
  <c r="AI58" i="9"/>
  <c r="AA58" i="9"/>
  <c r="T10" i="9"/>
  <c r="E10" i="9"/>
  <c r="AJ10" i="9"/>
  <c r="O10" i="9"/>
  <c r="X10" i="9"/>
  <c r="N10" i="9"/>
  <c r="AF10" i="9"/>
  <c r="I10" i="9"/>
  <c r="M10" i="9"/>
  <c r="N27" i="9"/>
  <c r="Z27" i="9"/>
  <c r="AF27" i="9"/>
  <c r="J27" i="9"/>
  <c r="W27" i="9"/>
  <c r="AK27" i="9"/>
  <c r="K27" i="9"/>
  <c r="V27" i="9"/>
  <c r="Y27" i="9"/>
  <c r="F18" i="9"/>
  <c r="F23" i="9"/>
  <c r="AM23" i="9" s="1"/>
  <c r="AH7" i="9"/>
  <c r="AK7" i="9"/>
  <c r="Y7" i="9"/>
  <c r="M48" i="9"/>
  <c r="AH48" i="9"/>
  <c r="Q48" i="9"/>
  <c r="AE48" i="9"/>
  <c r="AD48" i="9"/>
  <c r="I48" i="9"/>
  <c r="AE63" i="9"/>
  <c r="V63" i="9"/>
  <c r="AK63" i="9"/>
  <c r="S63" i="9"/>
  <c r="AJ63" i="9"/>
  <c r="H63" i="9"/>
  <c r="O63" i="9"/>
  <c r="M63" i="9"/>
  <c r="Q73" i="9"/>
  <c r="AF73" i="9"/>
  <c r="H73" i="9"/>
  <c r="AC73" i="9"/>
  <c r="M73" i="9"/>
  <c r="E73" i="9"/>
  <c r="J73" i="9"/>
  <c r="T32" i="9"/>
  <c r="AH32" i="9"/>
  <c r="AJ32" i="9"/>
  <c r="U32" i="9"/>
  <c r="Z32" i="9"/>
  <c r="AC32" i="9"/>
  <c r="S32" i="9"/>
  <c r="E32" i="9"/>
  <c r="Y53" i="9"/>
  <c r="Z53" i="9"/>
  <c r="T53" i="9"/>
  <c r="H53" i="9"/>
  <c r="M53" i="9"/>
  <c r="AI53" i="9"/>
  <c r="J53" i="9"/>
  <c r="U53" i="9"/>
  <c r="AB53" i="9"/>
  <c r="AE47" i="9"/>
  <c r="P47" i="9"/>
  <c r="M47" i="9"/>
  <c r="Y47" i="9"/>
  <c r="AK47" i="9"/>
  <c r="AA47" i="9"/>
  <c r="AC47" i="9"/>
  <c r="AI47" i="9"/>
  <c r="J52" i="9"/>
  <c r="S52" i="9"/>
  <c r="AA52" i="9"/>
  <c r="AB52" i="9"/>
  <c r="AJ52" i="9"/>
  <c r="N52" i="9"/>
  <c r="AK52" i="9"/>
  <c r="I52" i="9"/>
  <c r="M52" i="9"/>
  <c r="I57" i="9"/>
  <c r="AE57" i="9"/>
  <c r="AA57" i="9"/>
  <c r="J57" i="9"/>
  <c r="M57" i="9"/>
  <c r="Z57" i="9"/>
  <c r="V38" i="9"/>
  <c r="AH38" i="9"/>
  <c r="U38" i="9"/>
  <c r="M38" i="9"/>
  <c r="AK38" i="9"/>
  <c r="AI38" i="9"/>
  <c r="J38" i="9"/>
  <c r="J39" i="30"/>
  <c r="J41" i="30" s="1"/>
  <c r="H31" i="9"/>
  <c r="Q31" i="9"/>
  <c r="L31" i="9"/>
  <c r="AA31" i="9"/>
  <c r="AD31" i="9"/>
  <c r="V31" i="9"/>
  <c r="AB31" i="9"/>
  <c r="P31" i="9"/>
  <c r="AG36" i="9"/>
  <c r="G36" i="9"/>
  <c r="AB36" i="9"/>
  <c r="U36" i="9"/>
  <c r="AD36" i="9"/>
  <c r="AK36" i="9"/>
  <c r="V36" i="9"/>
  <c r="AJ24" i="9"/>
  <c r="F8" i="9"/>
  <c r="G60" i="9"/>
  <c r="J60" i="9"/>
  <c r="AB60" i="9"/>
  <c r="O60" i="9"/>
  <c r="AD60" i="9"/>
  <c r="AA60" i="9"/>
  <c r="AK60" i="9"/>
  <c r="T70" i="9"/>
  <c r="AG70" i="9"/>
  <c r="N70" i="9"/>
  <c r="V70" i="9"/>
  <c r="AJ70" i="9"/>
  <c r="K70" i="9"/>
  <c r="AH70" i="9"/>
  <c r="S70" i="9"/>
  <c r="AF75" i="9"/>
  <c r="I75" i="9"/>
  <c r="AB75" i="9"/>
  <c r="AK75" i="9"/>
  <c r="W75" i="9"/>
  <c r="S75" i="9"/>
  <c r="AJ75" i="9"/>
  <c r="J75" i="9"/>
  <c r="AJ69" i="9"/>
  <c r="U69" i="9"/>
  <c r="S69" i="9"/>
  <c r="V69" i="9"/>
  <c r="Y69" i="9"/>
  <c r="G69" i="9"/>
  <c r="I69" i="9"/>
  <c r="Q15" i="9"/>
  <c r="W15" i="9"/>
  <c r="T15" i="9"/>
  <c r="AC15" i="9"/>
  <c r="J15" i="9"/>
  <c r="AJ15" i="9"/>
  <c r="U15" i="9"/>
  <c r="F45" i="9"/>
  <c r="H44" i="9"/>
  <c r="Y44" i="9"/>
  <c r="W44" i="9"/>
  <c r="E44" i="9"/>
  <c r="AD44" i="9"/>
  <c r="AJ44" i="9"/>
  <c r="AF44" i="9"/>
  <c r="AL18" i="9"/>
  <c r="AM18" i="9"/>
  <c r="AB7" i="9"/>
  <c r="T7" i="9"/>
  <c r="K68" i="9"/>
  <c r="O68" i="9"/>
  <c r="I68" i="9"/>
  <c r="AD68" i="9"/>
  <c r="L68" i="9"/>
  <c r="AK68" i="9"/>
  <c r="Q68" i="9"/>
  <c r="Y68" i="9"/>
  <c r="E21" i="9"/>
  <c r="AK21" i="9"/>
  <c r="Y21" i="9"/>
  <c r="S21" i="9"/>
  <c r="AC21" i="9"/>
  <c r="N21" i="9"/>
  <c r="X21" i="9"/>
  <c r="G21" i="9"/>
  <c r="O33" i="9"/>
  <c r="Y33" i="9"/>
  <c r="K33" i="9"/>
  <c r="AB33" i="9"/>
  <c r="S33" i="9"/>
  <c r="I33" i="9"/>
  <c r="AC33" i="9"/>
  <c r="AJ33" i="9"/>
  <c r="AG33" i="9"/>
  <c r="AF16" i="9"/>
  <c r="Q16" i="9"/>
  <c r="L16" i="9"/>
  <c r="AE16" i="9"/>
  <c r="G16" i="9"/>
  <c r="AA16" i="9"/>
  <c r="Z16" i="9"/>
  <c r="X16" i="9"/>
  <c r="M16" i="9"/>
  <c r="N26" i="9"/>
  <c r="Q26" i="9"/>
  <c r="O26" i="9"/>
  <c r="R26" i="9"/>
  <c r="E26" i="9"/>
  <c r="AA26" i="9"/>
  <c r="W26" i="9"/>
  <c r="V26" i="9"/>
  <c r="AC65" i="9"/>
  <c r="I65" i="9"/>
  <c r="M65" i="9"/>
  <c r="G65" i="9"/>
  <c r="P65" i="9"/>
  <c r="K65" i="9"/>
  <c r="E65" i="9"/>
  <c r="AE65" i="9"/>
  <c r="AF65" i="9"/>
  <c r="H25" i="9"/>
  <c r="W25" i="9"/>
  <c r="AA25" i="9"/>
  <c r="AE25" i="9"/>
  <c r="AJ25" i="9"/>
  <c r="AD25" i="9"/>
  <c r="V25" i="9"/>
  <c r="AJ28" i="9"/>
  <c r="S28" i="9"/>
  <c r="R28" i="9"/>
  <c r="AK28" i="9"/>
  <c r="Y28" i="9"/>
  <c r="Z28" i="9"/>
  <c r="L28" i="9"/>
  <c r="V28" i="9"/>
  <c r="V59" i="9"/>
  <c r="O59" i="9"/>
  <c r="AD59" i="9"/>
  <c r="P59" i="9"/>
  <c r="AH59" i="9"/>
  <c r="U59" i="9"/>
  <c r="L59" i="9"/>
  <c r="I62" i="9"/>
  <c r="T62" i="9"/>
  <c r="AA62" i="9"/>
  <c r="P62" i="9"/>
  <c r="S62" i="9"/>
  <c r="V62" i="9"/>
  <c r="AK62" i="9"/>
  <c r="P42" i="9"/>
  <c r="Z42" i="9"/>
  <c r="AJ42" i="9"/>
  <c r="AE42" i="9"/>
  <c r="S42" i="9"/>
  <c r="N42" i="9"/>
  <c r="K42" i="9"/>
  <c r="V42" i="9"/>
  <c r="T17" i="9"/>
  <c r="Y17" i="9"/>
  <c r="U17" i="9"/>
  <c r="S17" i="9"/>
  <c r="AB17" i="9"/>
  <c r="AJ17" i="9"/>
  <c r="AE17" i="9"/>
  <c r="L17" i="9"/>
  <c r="AD17" i="9"/>
  <c r="S22" i="9"/>
  <c r="W22" i="9"/>
  <c r="AF22" i="9"/>
  <c r="Y22" i="9"/>
  <c r="AB22" i="9"/>
  <c r="AH22" i="9"/>
  <c r="S11" i="9"/>
  <c r="AJ11" i="9"/>
  <c r="AA11" i="9"/>
  <c r="T11" i="9"/>
  <c r="AD11" i="9"/>
  <c r="E11" i="9"/>
  <c r="AG11" i="9"/>
  <c r="P11" i="9"/>
  <c r="AE64" i="9"/>
  <c r="AC64" i="9"/>
  <c r="M64" i="9"/>
  <c r="X64" i="9"/>
  <c r="R64" i="9"/>
  <c r="K64" i="9"/>
  <c r="O64" i="9"/>
  <c r="V64" i="9"/>
  <c r="AF20" i="9"/>
  <c r="AJ20" i="9"/>
  <c r="P20" i="9"/>
  <c r="Q20" i="9"/>
  <c r="X20" i="9"/>
  <c r="E20" i="9"/>
  <c r="AC20" i="9"/>
  <c r="AI20" i="9"/>
  <c r="AC49" i="9"/>
  <c r="R49" i="9"/>
  <c r="G49" i="9"/>
  <c r="E49" i="9"/>
  <c r="K49" i="9"/>
  <c r="AH49" i="9"/>
  <c r="Z54" i="9"/>
  <c r="AD54" i="9"/>
  <c r="AG54" i="9"/>
  <c r="N54" i="9"/>
  <c r="L54" i="9"/>
  <c r="E54" i="9"/>
  <c r="AC54" i="9"/>
  <c r="W54" i="9"/>
  <c r="AC7" i="9"/>
  <c r="Z7" i="9"/>
  <c r="AG7" i="9"/>
  <c r="J30" i="9"/>
  <c r="N30" i="9"/>
  <c r="P30" i="9"/>
  <c r="AJ30" i="9"/>
  <c r="K30" i="9"/>
  <c r="AE30" i="9"/>
  <c r="L30" i="9"/>
  <c r="S30" i="9"/>
  <c r="M30" i="9"/>
  <c r="Q9" i="9"/>
  <c r="J9" i="9"/>
  <c r="X9" i="9"/>
  <c r="AJ9" i="9"/>
  <c r="AB9" i="9"/>
  <c r="O9" i="9"/>
  <c r="AG9" i="9"/>
  <c r="R9" i="9"/>
  <c r="K9" i="9"/>
  <c r="AJ51" i="9"/>
  <c r="AM43" i="9"/>
  <c r="AL43" i="9"/>
  <c r="X35" i="9"/>
  <c r="M35" i="9"/>
  <c r="U12" i="9"/>
  <c r="K12" i="9"/>
  <c r="V46" i="9"/>
  <c r="AA46" i="9"/>
  <c r="O74" i="9"/>
  <c r="K74" i="9"/>
  <c r="J41" i="9"/>
  <c r="Z41" i="9"/>
  <c r="F39" i="9"/>
  <c r="J37" i="9"/>
  <c r="X37" i="9"/>
  <c r="E37" i="9"/>
  <c r="G37" i="9"/>
  <c r="W37" i="9"/>
  <c r="R37" i="9"/>
  <c r="Y58" i="9"/>
  <c r="E58" i="9"/>
  <c r="V58" i="9"/>
  <c r="U58" i="9"/>
  <c r="AC58" i="9"/>
  <c r="AD58" i="9"/>
  <c r="Z58" i="9"/>
  <c r="T58" i="9"/>
  <c r="K10" i="9"/>
  <c r="L10" i="9"/>
  <c r="AK10" i="9"/>
  <c r="Y10" i="9"/>
  <c r="S10" i="9"/>
  <c r="J10" i="9"/>
  <c r="Z10" i="9"/>
  <c r="AB10" i="9"/>
  <c r="P39" i="30"/>
  <c r="P41" i="30" s="1"/>
  <c r="Q27" i="9"/>
  <c r="AE27" i="9"/>
  <c r="I27" i="9"/>
  <c r="H27" i="9"/>
  <c r="G27" i="9"/>
  <c r="AJ7" i="9"/>
  <c r="AD7" i="9"/>
  <c r="AK48" i="9"/>
  <c r="R48" i="9"/>
  <c r="U48" i="9"/>
  <c r="AF48" i="9"/>
  <c r="X48" i="9"/>
  <c r="H48" i="9"/>
  <c r="L48" i="9"/>
  <c r="AC63" i="9"/>
  <c r="AD63" i="9"/>
  <c r="U63" i="9"/>
  <c r="Y63" i="9"/>
  <c r="AA63" i="9"/>
  <c r="G63" i="9"/>
  <c r="I73" i="9"/>
  <c r="Y73" i="9"/>
  <c r="X73" i="9"/>
  <c r="K73" i="9"/>
  <c r="S73" i="9"/>
  <c r="AA73" i="9"/>
  <c r="AE73" i="9"/>
  <c r="P73" i="9"/>
  <c r="R32" i="9"/>
  <c r="Q32" i="9"/>
  <c r="K32" i="9"/>
  <c r="AE32" i="9"/>
  <c r="H32" i="9"/>
  <c r="J32" i="9"/>
  <c r="AK53" i="9"/>
  <c r="R53" i="9"/>
  <c r="AE53" i="9"/>
  <c r="AF53" i="9"/>
  <c r="P53" i="9"/>
  <c r="S53" i="9"/>
  <c r="Q53" i="9"/>
  <c r="E47" i="9"/>
  <c r="W47" i="9"/>
  <c r="L47" i="9"/>
  <c r="AG47" i="9"/>
  <c r="U47" i="9"/>
  <c r="I47" i="9"/>
  <c r="X47" i="9"/>
  <c r="AH47" i="9"/>
  <c r="R47" i="9"/>
  <c r="AF52" i="9"/>
  <c r="AC52" i="9"/>
  <c r="E52" i="9"/>
  <c r="P52" i="9"/>
  <c r="AD52" i="9"/>
  <c r="U52" i="9"/>
  <c r="W52" i="9"/>
  <c r="H52" i="9"/>
  <c r="AD57" i="9"/>
  <c r="W57" i="9"/>
  <c r="Y57" i="9"/>
  <c r="V57" i="9"/>
  <c r="K57" i="9"/>
  <c r="R57" i="9"/>
  <c r="AF57" i="9"/>
  <c r="H57" i="9"/>
  <c r="N57" i="9"/>
  <c r="AF38" i="9"/>
  <c r="L38" i="9"/>
  <c r="S38" i="9"/>
  <c r="H38" i="9"/>
  <c r="Y38" i="9"/>
  <c r="Q38" i="9"/>
  <c r="R38" i="9"/>
  <c r="AE38" i="9"/>
  <c r="F55" i="9"/>
  <c r="AM55" i="9" s="1"/>
  <c r="K31" i="9"/>
  <c r="I31" i="9"/>
  <c r="J31" i="9"/>
  <c r="AE31" i="9"/>
  <c r="AC31" i="9"/>
  <c r="G31" i="9"/>
  <c r="Y31" i="9"/>
  <c r="W31" i="9"/>
  <c r="O31" i="9"/>
  <c r="AC36" i="9"/>
  <c r="Y36" i="9"/>
  <c r="P36" i="9"/>
  <c r="M36" i="9"/>
  <c r="L36" i="9"/>
  <c r="AA36" i="9"/>
  <c r="I36" i="9"/>
  <c r="N36" i="9"/>
  <c r="AL14" i="9"/>
  <c r="AJ72" i="9"/>
  <c r="M60" i="9"/>
  <c r="V60" i="9"/>
  <c r="P60" i="9"/>
  <c r="L60" i="9"/>
  <c r="W60" i="9"/>
  <c r="T60" i="9"/>
  <c r="K60" i="9"/>
  <c r="Y60" i="9"/>
  <c r="X60" i="9"/>
  <c r="E70" i="9"/>
  <c r="I70" i="9"/>
  <c r="O70" i="9"/>
  <c r="H70" i="9"/>
  <c r="R70" i="9"/>
  <c r="U70" i="9"/>
  <c r="AK70" i="9"/>
  <c r="M70" i="9"/>
  <c r="Z75" i="9"/>
  <c r="AH75" i="9"/>
  <c r="T75" i="9"/>
  <c r="AC75" i="9"/>
  <c r="AE75" i="9"/>
  <c r="AG75" i="9"/>
  <c r="P75" i="9"/>
  <c r="H75" i="9"/>
  <c r="L69" i="9"/>
  <c r="W69" i="9"/>
  <c r="O69" i="9"/>
  <c r="P69" i="9"/>
  <c r="M69" i="9"/>
  <c r="AD69" i="9"/>
  <c r="Z69" i="9"/>
  <c r="AA69" i="9"/>
  <c r="I15" i="9"/>
  <c r="V15" i="9"/>
  <c r="M15" i="9"/>
  <c r="AI15" i="9"/>
  <c r="AH15" i="9"/>
  <c r="AG15" i="9"/>
  <c r="AE15" i="9"/>
  <c r="AF15" i="9"/>
  <c r="AB15" i="9"/>
  <c r="S44" i="9"/>
  <c r="Z44" i="9"/>
  <c r="AC44" i="9"/>
  <c r="G44" i="9"/>
  <c r="I44" i="9"/>
  <c r="AA44" i="9"/>
  <c r="O44" i="9"/>
  <c r="Q44" i="9"/>
  <c r="AF7" i="9"/>
  <c r="U7" i="9"/>
  <c r="T68" i="9"/>
  <c r="AB68" i="9"/>
  <c r="J68" i="9"/>
  <c r="E68" i="9"/>
  <c r="M68" i="9"/>
  <c r="AE68" i="9"/>
  <c r="Z68" i="9"/>
  <c r="M14" i="17"/>
  <c r="H21" i="9"/>
  <c r="AF21" i="9"/>
  <c r="U21" i="9"/>
  <c r="R21" i="9"/>
  <c r="O21" i="9"/>
  <c r="AD21" i="9"/>
  <c r="V21" i="9"/>
  <c r="M21" i="9"/>
  <c r="F33" i="9"/>
  <c r="R33" i="9"/>
  <c r="L33" i="9"/>
  <c r="W33" i="9"/>
  <c r="G33" i="9"/>
  <c r="AF33" i="9"/>
  <c r="X33" i="9"/>
  <c r="V33" i="9"/>
  <c r="F40" i="9"/>
  <c r="U16" i="9"/>
  <c r="K16" i="9"/>
  <c r="N16" i="9"/>
  <c r="Y16" i="9"/>
  <c r="E16" i="9"/>
  <c r="P16" i="9"/>
  <c r="AC16" i="9"/>
  <c r="S16" i="9"/>
  <c r="P26" i="9"/>
  <c r="AF26" i="9"/>
  <c r="AB26" i="9"/>
  <c r="AE26" i="9"/>
  <c r="G26" i="9"/>
  <c r="AK26" i="9"/>
  <c r="AC26" i="9"/>
  <c r="S26" i="9"/>
  <c r="F51" i="9"/>
  <c r="AM51" i="9" s="1"/>
  <c r="R65" i="9"/>
  <c r="X65" i="9"/>
  <c r="AA65" i="9"/>
  <c r="AK65" i="9"/>
  <c r="Z65" i="9"/>
  <c r="U65" i="9"/>
  <c r="Y25" i="9"/>
  <c r="AG25" i="9"/>
  <c r="T25" i="9"/>
  <c r="S25" i="9"/>
  <c r="AB25" i="9"/>
  <c r="J25" i="9"/>
  <c r="AF25" i="9"/>
  <c r="X25" i="9"/>
  <c r="W28" i="9"/>
  <c r="AB28" i="9"/>
  <c r="AF28" i="9"/>
  <c r="N28" i="9"/>
  <c r="P28" i="9"/>
  <c r="H28" i="9"/>
  <c r="AG28" i="9"/>
  <c r="AD28" i="9"/>
  <c r="H59" i="9"/>
  <c r="AI59" i="9"/>
  <c r="X59" i="9"/>
  <c r="AA59" i="9"/>
  <c r="S59" i="9"/>
  <c r="J59" i="9"/>
  <c r="AE59" i="9"/>
  <c r="K59" i="9"/>
  <c r="F61" i="9"/>
  <c r="AA7" i="9"/>
  <c r="O7" i="9"/>
  <c r="V7" i="9"/>
  <c r="AI7" i="9"/>
  <c r="AB62" i="9"/>
  <c r="AE62" i="9"/>
  <c r="N62" i="9"/>
  <c r="AH62" i="9"/>
  <c r="U62" i="9"/>
  <c r="AJ62" i="9"/>
  <c r="X62" i="9"/>
  <c r="M62" i="9"/>
  <c r="K62" i="9"/>
  <c r="Q42" i="9"/>
  <c r="R42" i="9"/>
  <c r="AH42" i="9"/>
  <c r="U42" i="9"/>
  <c r="O42" i="9"/>
  <c r="AI42" i="9"/>
  <c r="G42" i="9"/>
  <c r="L42" i="9"/>
  <c r="F67" i="9"/>
  <c r="N17" i="9"/>
  <c r="H17" i="9"/>
  <c r="AK17" i="9"/>
  <c r="K17" i="9"/>
  <c r="AH17" i="9"/>
  <c r="AC17" i="9"/>
  <c r="I22" i="9"/>
  <c r="AC22" i="9"/>
  <c r="E22" i="9"/>
  <c r="H22" i="9"/>
  <c r="V22" i="9"/>
  <c r="O22" i="9"/>
  <c r="AE22" i="9"/>
  <c r="Q22" i="9"/>
  <c r="Z11" i="9"/>
  <c r="R11" i="9"/>
  <c r="N11" i="9"/>
  <c r="AE11" i="9"/>
  <c r="K11" i="9"/>
  <c r="G11" i="9"/>
  <c r="I11" i="9"/>
  <c r="P64" i="9"/>
  <c r="G64" i="9"/>
  <c r="U64" i="9"/>
  <c r="AK64" i="9"/>
  <c r="Z64" i="9"/>
  <c r="AI64" i="9"/>
  <c r="F66" i="9"/>
  <c r="G20" i="9"/>
  <c r="AD20" i="9"/>
  <c r="J20" i="9"/>
  <c r="I20" i="9"/>
  <c r="U20" i="9"/>
  <c r="O20" i="9"/>
  <c r="Z20" i="9"/>
  <c r="R20" i="9"/>
  <c r="AA49" i="9"/>
  <c r="AG49" i="9"/>
  <c r="O49" i="9"/>
  <c r="V49" i="9"/>
  <c r="M49" i="9"/>
  <c r="Z49" i="9"/>
  <c r="Q49" i="9"/>
  <c r="Y49" i="9"/>
  <c r="S49" i="9"/>
  <c r="S14" i="17"/>
  <c r="AK54" i="9"/>
  <c r="V54" i="9"/>
  <c r="U54" i="9"/>
  <c r="R54" i="9"/>
  <c r="AF54" i="9"/>
  <c r="Y54" i="9"/>
  <c r="J54" i="9"/>
  <c r="AB54" i="9"/>
  <c r="N7" i="9"/>
  <c r="AH30" i="9"/>
  <c r="AC30" i="9"/>
  <c r="AK30" i="9"/>
  <c r="Q30" i="9"/>
  <c r="I30" i="9"/>
  <c r="AG30" i="9"/>
  <c r="AD30" i="9"/>
  <c r="R30" i="9"/>
  <c r="AK9" i="9"/>
  <c r="G9" i="9"/>
  <c r="AD9" i="9"/>
  <c r="H9" i="9"/>
  <c r="AC9" i="9"/>
  <c r="AF9" i="9"/>
  <c r="AH9" i="9"/>
  <c r="E9" i="9"/>
  <c r="F19" i="9"/>
  <c r="Y35" i="9"/>
  <c r="R12" i="9"/>
  <c r="Z12" i="9"/>
  <c r="K46" i="9"/>
  <c r="H46" i="9"/>
  <c r="AH74" i="9"/>
  <c r="T74" i="9"/>
  <c r="AK41" i="9"/>
  <c r="K41" i="9"/>
  <c r="K35" i="9"/>
  <c r="P35" i="9"/>
  <c r="M12" i="9"/>
  <c r="Q12" i="9"/>
  <c r="S12" i="9"/>
  <c r="AK46" i="9"/>
  <c r="AC74" i="9"/>
  <c r="W74" i="9"/>
  <c r="P74" i="9"/>
  <c r="S74" i="9"/>
  <c r="S41" i="9"/>
  <c r="I41" i="9"/>
  <c r="V41" i="9"/>
  <c r="AA41" i="9"/>
  <c r="E41" i="9"/>
  <c r="O41" i="9"/>
  <c r="AJ41" i="9"/>
  <c r="L41" i="9"/>
  <c r="F72" i="9"/>
  <c r="F24" i="9"/>
  <c r="AL24" i="9" s="1"/>
  <c r="AF37" i="9"/>
  <c r="Y37" i="9"/>
  <c r="AE37" i="9"/>
  <c r="U37" i="9"/>
  <c r="K37" i="9"/>
  <c r="AH37" i="9"/>
  <c r="AK37" i="9"/>
  <c r="W58" i="9"/>
  <c r="AK58" i="9"/>
  <c r="I58" i="9"/>
  <c r="X58" i="9"/>
  <c r="L58" i="9"/>
  <c r="AE58" i="9"/>
  <c r="AH58" i="9"/>
  <c r="Q58" i="9"/>
  <c r="S58" i="9"/>
  <c r="G10" i="9"/>
  <c r="Q10" i="9"/>
  <c r="AC10" i="9"/>
  <c r="V10" i="9"/>
  <c r="AA10" i="9"/>
  <c r="W10" i="9"/>
  <c r="AG10" i="9"/>
  <c r="AI27" i="9"/>
  <c r="P27" i="9"/>
  <c r="M27" i="9"/>
  <c r="R27" i="9"/>
  <c r="U27" i="9"/>
  <c r="AC27" i="9"/>
  <c r="AH27" i="9"/>
  <c r="AD27" i="9"/>
  <c r="AG27" i="9"/>
  <c r="M7" i="9"/>
  <c r="AA48" i="9"/>
  <c r="J48" i="9"/>
  <c r="AB48" i="9"/>
  <c r="T48" i="9"/>
  <c r="V48" i="9"/>
  <c r="Y48" i="9"/>
  <c r="S48" i="9"/>
  <c r="K48" i="9"/>
  <c r="O48" i="9"/>
  <c r="X63" i="9"/>
  <c r="I63" i="9"/>
  <c r="AF63" i="9"/>
  <c r="J63" i="9"/>
  <c r="Q63" i="9"/>
  <c r="T63" i="9"/>
  <c r="K63" i="9"/>
  <c r="W63" i="9"/>
  <c r="AH63" i="9"/>
  <c r="AH73" i="9"/>
  <c r="L73" i="9"/>
  <c r="G73" i="9"/>
  <c r="AG73" i="9"/>
  <c r="R73" i="9"/>
  <c r="AK73" i="9"/>
  <c r="N73" i="9"/>
  <c r="AD73" i="9"/>
  <c r="M32" i="9"/>
  <c r="AK32" i="9"/>
  <c r="AF32" i="9"/>
  <c r="G32" i="9"/>
  <c r="AB32" i="9"/>
  <c r="AA32" i="9"/>
  <c r="Y32" i="9"/>
  <c r="X32" i="9"/>
  <c r="N53" i="9"/>
  <c r="I53" i="9"/>
  <c r="AD53" i="9"/>
  <c r="AG53" i="9"/>
  <c r="AJ53" i="9"/>
  <c r="E53" i="9"/>
  <c r="K53" i="9"/>
  <c r="O53" i="9"/>
  <c r="T47" i="9"/>
  <c r="V47" i="9"/>
  <c r="H47" i="9"/>
  <c r="AB47" i="9"/>
  <c r="J47" i="9"/>
  <c r="S47" i="9"/>
  <c r="Q47" i="9"/>
  <c r="F71" i="9"/>
  <c r="X52" i="9"/>
  <c r="AI52" i="9"/>
  <c r="R52" i="9"/>
  <c r="AH52" i="9"/>
  <c r="V52" i="9"/>
  <c r="AE52" i="9"/>
  <c r="O52" i="9"/>
  <c r="T52" i="9"/>
  <c r="AG57" i="9"/>
  <c r="S57" i="9"/>
  <c r="G57" i="9"/>
  <c r="U57" i="9"/>
  <c r="AB57" i="9"/>
  <c r="Q57" i="9"/>
  <c r="AH57" i="9"/>
  <c r="T57" i="9"/>
  <c r="N38" i="9"/>
  <c r="AB38" i="9"/>
  <c r="Z38" i="9"/>
  <c r="E38" i="9"/>
  <c r="AC38" i="9"/>
  <c r="G38" i="9"/>
  <c r="P38" i="9"/>
  <c r="AA38" i="9"/>
  <c r="AF31" i="9"/>
  <c r="S31" i="9"/>
  <c r="X31" i="9"/>
  <c r="R31" i="9"/>
  <c r="AJ31" i="9"/>
  <c r="AH31" i="9"/>
  <c r="E31" i="9"/>
  <c r="W36" i="9"/>
  <c r="H36" i="9"/>
  <c r="AF36" i="9"/>
  <c r="X36" i="9"/>
  <c r="Q36" i="9"/>
  <c r="Z36" i="9"/>
  <c r="O36" i="9"/>
  <c r="S36" i="9"/>
  <c r="J36" i="9"/>
  <c r="AG60" i="9"/>
  <c r="AC60" i="9"/>
  <c r="AJ60" i="9"/>
  <c r="Q60" i="9"/>
  <c r="E60" i="9"/>
  <c r="H60" i="9"/>
  <c r="Z60" i="9"/>
  <c r="S60" i="9"/>
  <c r="J70" i="9"/>
  <c r="AE70" i="9"/>
  <c r="AB70" i="9"/>
  <c r="AI70" i="9"/>
  <c r="AF70" i="9"/>
  <c r="Z70" i="9"/>
  <c r="AA70" i="9"/>
  <c r="G70" i="9"/>
  <c r="O75" i="9"/>
  <c r="G75" i="9"/>
  <c r="E75" i="9"/>
  <c r="U75" i="9"/>
  <c r="Y75" i="9"/>
  <c r="AA75" i="9"/>
  <c r="AI75" i="9"/>
  <c r="N75" i="9"/>
  <c r="M75" i="9"/>
  <c r="AG69" i="9"/>
  <c r="AH69" i="9"/>
  <c r="AK69" i="9"/>
  <c r="AF69" i="9"/>
  <c r="Q69" i="9"/>
  <c r="N69" i="9"/>
  <c r="T69" i="9"/>
  <c r="E69" i="9"/>
  <c r="Y15" i="9"/>
  <c r="Z15" i="9"/>
  <c r="AD15" i="9"/>
  <c r="H15" i="9"/>
  <c r="AA15" i="9"/>
  <c r="E15" i="9"/>
  <c r="O15" i="9"/>
  <c r="X15" i="9"/>
  <c r="AK44" i="9"/>
  <c r="AH44" i="9"/>
  <c r="M44" i="9"/>
  <c r="X44" i="9"/>
  <c r="L44" i="9"/>
  <c r="V44" i="9"/>
  <c r="N44" i="9"/>
  <c r="AB44" i="9"/>
  <c r="R7" i="9"/>
  <c r="K7" i="9"/>
  <c r="AF68" i="9"/>
  <c r="H68" i="9"/>
  <c r="AA68" i="9"/>
  <c r="AH68" i="9"/>
  <c r="W68" i="9"/>
  <c r="X68" i="9"/>
  <c r="G68" i="9"/>
  <c r="AJ68" i="9"/>
  <c r="AE21" i="9"/>
  <c r="T21" i="9"/>
  <c r="Z21" i="9"/>
  <c r="AB21" i="9"/>
  <c r="Q21" i="9"/>
  <c r="AA21" i="9"/>
  <c r="P21" i="9"/>
  <c r="Q33" i="9"/>
  <c r="AH33" i="9"/>
  <c r="J33" i="9"/>
  <c r="T33" i="9"/>
  <c r="AE33" i="9"/>
  <c r="N33" i="9"/>
  <c r="E33" i="9"/>
  <c r="F56" i="9"/>
  <c r="F29" i="9"/>
  <c r="AL29" i="9" s="1"/>
  <c r="AJ16" i="9"/>
  <c r="T16" i="9"/>
  <c r="AD16" i="9"/>
  <c r="AG16" i="9"/>
  <c r="H16" i="9"/>
  <c r="V16" i="9"/>
  <c r="AK16" i="9"/>
  <c r="W16" i="9"/>
  <c r="X26" i="9"/>
  <c r="Y26" i="9"/>
  <c r="Z26" i="9"/>
  <c r="AG26" i="9"/>
  <c r="H26" i="9"/>
  <c r="AJ26" i="9"/>
  <c r="I26" i="9"/>
  <c r="U26" i="9"/>
  <c r="AI65" i="9"/>
  <c r="T65" i="9"/>
  <c r="Q65" i="9"/>
  <c r="H65" i="9"/>
  <c r="AD65" i="9"/>
  <c r="J65" i="9"/>
  <c r="N65" i="9"/>
  <c r="V65" i="9"/>
  <c r="AH65" i="9"/>
  <c r="U25" i="9"/>
  <c r="N25" i="9"/>
  <c r="AH25" i="9"/>
  <c r="Z25" i="9"/>
  <c r="E25" i="9"/>
  <c r="AK25" i="9"/>
  <c r="L25" i="9"/>
  <c r="Q25" i="9"/>
  <c r="G28" i="9"/>
  <c r="O28" i="9"/>
  <c r="M28" i="9"/>
  <c r="I28" i="9"/>
  <c r="AC28" i="9"/>
  <c r="U28" i="9"/>
  <c r="K28" i="9"/>
  <c r="AA28" i="9"/>
  <c r="AJ59" i="9"/>
  <c r="M59" i="9"/>
  <c r="AB59" i="9"/>
  <c r="Y59" i="9"/>
  <c r="T59" i="9"/>
  <c r="AC59" i="9"/>
  <c r="E59" i="9"/>
  <c r="AG59" i="9"/>
  <c r="E7" i="9"/>
  <c r="Q7" i="9"/>
  <c r="AC62" i="9"/>
  <c r="AG62" i="9"/>
  <c r="L62" i="9"/>
  <c r="G62" i="9"/>
  <c r="E62" i="9"/>
  <c r="AD62" i="9"/>
  <c r="Y62" i="9"/>
  <c r="AB42" i="9"/>
  <c r="Y42" i="9"/>
  <c r="H42" i="9"/>
  <c r="AK42" i="9"/>
  <c r="E42" i="9"/>
  <c r="W42" i="9"/>
  <c r="J42" i="9"/>
  <c r="AA42" i="9"/>
  <c r="T42" i="9"/>
  <c r="AJ45" i="9"/>
  <c r="M17" i="9"/>
  <c r="O17" i="9"/>
  <c r="Z17" i="9"/>
  <c r="I17" i="9"/>
  <c r="G17" i="9"/>
  <c r="Q17" i="9"/>
  <c r="AA17" i="9"/>
  <c r="AI22" i="9"/>
  <c r="P22" i="9"/>
  <c r="U22" i="9"/>
  <c r="R22" i="9"/>
  <c r="K22" i="9"/>
  <c r="T22" i="9"/>
  <c r="AK22" i="9"/>
  <c r="G22" i="9"/>
  <c r="AD22" i="9"/>
  <c r="O11" i="9"/>
  <c r="L11" i="9"/>
  <c r="J11" i="9"/>
  <c r="AF11" i="9"/>
  <c r="X11" i="9"/>
  <c r="AB11" i="9"/>
  <c r="AC11" i="9"/>
  <c r="Q11" i="9"/>
  <c r="AJ56" i="9"/>
  <c r="N64" i="9"/>
  <c r="T64" i="9"/>
  <c r="J64" i="9"/>
  <c r="S64" i="9"/>
  <c r="Q64" i="9"/>
  <c r="AH64" i="9"/>
  <c r="Y64" i="9"/>
  <c r="AB64" i="9"/>
  <c r="AA64" i="9"/>
  <c r="Y20" i="9"/>
  <c r="T20" i="9"/>
  <c r="AA20" i="9"/>
  <c r="M20" i="9"/>
  <c r="K20" i="9"/>
  <c r="AK20" i="9"/>
  <c r="V20" i="9"/>
  <c r="W20" i="9"/>
  <c r="S39" i="30"/>
  <c r="S41" i="30" s="1"/>
  <c r="L49" i="9"/>
  <c r="AI49" i="9"/>
  <c r="W49" i="9"/>
  <c r="U49" i="9"/>
  <c r="AF49" i="9"/>
  <c r="X49" i="9"/>
  <c r="AB49" i="9"/>
  <c r="AK49" i="9"/>
  <c r="T49" i="9"/>
  <c r="G54" i="9"/>
  <c r="H54" i="9"/>
  <c r="AH54" i="9"/>
  <c r="Q54" i="9"/>
  <c r="AA54" i="9"/>
  <c r="W7" i="9"/>
  <c r="S7" i="9"/>
  <c r="X7" i="9"/>
  <c r="G7" i="9"/>
  <c r="AI30" i="9"/>
  <c r="U30" i="9"/>
  <c r="AF30" i="9"/>
  <c r="O30" i="9"/>
  <c r="AA30" i="9"/>
  <c r="T30" i="9"/>
  <c r="V30" i="9"/>
  <c r="X30" i="9"/>
  <c r="Z30" i="9"/>
  <c r="Z9" i="9"/>
  <c r="AE9" i="9"/>
  <c r="AI9" i="9"/>
  <c r="M9" i="9"/>
  <c r="V9" i="9"/>
  <c r="Y9" i="9"/>
  <c r="S9" i="9"/>
  <c r="AJ19" i="9"/>
  <c r="AL67" i="9" l="1"/>
  <c r="AM72" i="9"/>
  <c r="AJ8" i="9"/>
  <c r="AL8" i="9"/>
  <c r="AL34" i="9"/>
  <c r="AL13" i="9"/>
  <c r="AM13" i="9"/>
  <c r="AN13" i="9" s="1"/>
  <c r="AM19" i="9"/>
  <c r="AN19" i="9" s="1"/>
  <c r="AJ21" i="9"/>
  <c r="AI63" i="9"/>
  <c r="AM45" i="9"/>
  <c r="AN45" i="9" s="1"/>
  <c r="AJ50" i="9"/>
  <c r="AI66" i="9"/>
  <c r="AM66" i="9" s="1"/>
  <c r="W76" i="9"/>
  <c r="AM67" i="9"/>
  <c r="AN67" i="9" s="1"/>
  <c r="AJ48" i="9"/>
  <c r="AL23" i="9"/>
  <c r="AJ61" i="9"/>
  <c r="AL61" i="9" s="1"/>
  <c r="F50" i="9"/>
  <c r="AL56" i="9"/>
  <c r="AM71" i="9"/>
  <c r="AN71" i="9" s="1"/>
  <c r="AI40" i="9"/>
  <c r="AL40" i="9" s="1"/>
  <c r="AN72" i="9"/>
  <c r="AN51" i="9"/>
  <c r="AN55" i="9"/>
  <c r="U42" i="30"/>
  <c r="U9" i="30"/>
  <c r="X76" i="9"/>
  <c r="G15" i="30"/>
  <c r="U26" i="30"/>
  <c r="F54" i="9"/>
  <c r="U27" i="30"/>
  <c r="AM7" i="9"/>
  <c r="E76" i="9"/>
  <c r="AL7" i="9"/>
  <c r="F25" i="9"/>
  <c r="U30" i="30"/>
  <c r="U16" i="30"/>
  <c r="F70" i="9"/>
  <c r="AM70" i="9" s="1"/>
  <c r="G33" i="30"/>
  <c r="G9" i="30"/>
  <c r="G18" i="30"/>
  <c r="U24" i="30"/>
  <c r="AI25" i="9"/>
  <c r="AL25" i="9" s="1"/>
  <c r="AL19" i="9"/>
  <c r="AF76" i="9"/>
  <c r="U10" i="30"/>
  <c r="AJ37" i="9"/>
  <c r="AL51" i="9"/>
  <c r="U19" i="30"/>
  <c r="AC76" i="9"/>
  <c r="F49" i="9"/>
  <c r="F22" i="9"/>
  <c r="F42" i="9"/>
  <c r="AL42" i="9" s="1"/>
  <c r="F62" i="9"/>
  <c r="AL62" i="9" s="1"/>
  <c r="G38" i="30"/>
  <c r="F26" i="9"/>
  <c r="AM26" i="9" s="1"/>
  <c r="G23" i="30"/>
  <c r="T76" i="9"/>
  <c r="AN18" i="9"/>
  <c r="F31" i="9"/>
  <c r="AL31" i="9" s="1"/>
  <c r="F73" i="9"/>
  <c r="AL73" i="9" s="1"/>
  <c r="G10" i="30"/>
  <c r="I76" i="9"/>
  <c r="AN34" i="9"/>
  <c r="AJ65" i="9"/>
  <c r="AM8" i="9"/>
  <c r="U13" i="30"/>
  <c r="AL45" i="9"/>
  <c r="AI57" i="9"/>
  <c r="F48" i="9"/>
  <c r="L76" i="9"/>
  <c r="G25" i="30"/>
  <c r="AM56" i="9"/>
  <c r="G21" i="30"/>
  <c r="G11" i="30"/>
  <c r="F28" i="9"/>
  <c r="AM28" i="9" s="1"/>
  <c r="K76" i="9"/>
  <c r="R76" i="9"/>
  <c r="G20" i="30"/>
  <c r="F20" i="9"/>
  <c r="AM20" i="9" s="1"/>
  <c r="AI17" i="9"/>
  <c r="AL17" i="9" s="1"/>
  <c r="AA76" i="9"/>
  <c r="G16" i="30"/>
  <c r="AL72" i="9"/>
  <c r="AD76" i="9"/>
  <c r="AN43" i="9"/>
  <c r="AG76" i="9"/>
  <c r="Z76" i="9"/>
  <c r="U37" i="30"/>
  <c r="AL20" i="9"/>
  <c r="G14" i="30"/>
  <c r="AL26" i="9"/>
  <c r="AL71" i="9"/>
  <c r="G7" i="30"/>
  <c r="F15" i="9"/>
  <c r="F36" i="9"/>
  <c r="AM36" i="9" s="1"/>
  <c r="F57" i="9"/>
  <c r="AL57" i="9" s="1"/>
  <c r="F47" i="9"/>
  <c r="AM47" i="9" s="1"/>
  <c r="U32" i="30"/>
  <c r="U36" i="30"/>
  <c r="AM29" i="9"/>
  <c r="F30" i="9"/>
  <c r="AM30" i="9" s="1"/>
  <c r="G35" i="30"/>
  <c r="U12" i="30"/>
  <c r="AL66" i="9"/>
  <c r="U21" i="30"/>
  <c r="J76" i="9"/>
  <c r="H76" i="9"/>
  <c r="F75" i="9"/>
  <c r="AL75" i="9" s="1"/>
  <c r="AJ57" i="9"/>
  <c r="G32" i="30"/>
  <c r="F37" i="9"/>
  <c r="AL37" i="9" s="1"/>
  <c r="F12" i="9"/>
  <c r="AM12" i="9" s="1"/>
  <c r="U20" i="30"/>
  <c r="AJ54" i="9"/>
  <c r="G76" i="9"/>
  <c r="U18" i="30"/>
  <c r="S76" i="9"/>
  <c r="AM42" i="9"/>
  <c r="AI33" i="9"/>
  <c r="AL33" i="9" s="1"/>
  <c r="G13" i="30"/>
  <c r="G34" i="30"/>
  <c r="AM31" i="9"/>
  <c r="G31" i="30"/>
  <c r="U25" i="30"/>
  <c r="AM24" i="9"/>
  <c r="U15" i="30"/>
  <c r="G26" i="30"/>
  <c r="F17" i="9"/>
  <c r="U38" i="30"/>
  <c r="U14" i="30"/>
  <c r="AI16" i="9"/>
  <c r="F68" i="9"/>
  <c r="AM68" i="9" s="1"/>
  <c r="U76" i="9"/>
  <c r="F32" i="9"/>
  <c r="AL32" i="9" s="1"/>
  <c r="U31" i="30"/>
  <c r="G40" i="30"/>
  <c r="F27" i="9"/>
  <c r="AM27" i="9" s="1"/>
  <c r="F58" i="9"/>
  <c r="AM37" i="9"/>
  <c r="U35" i="30"/>
  <c r="G12" i="30"/>
  <c r="AB76" i="9"/>
  <c r="F44" i="9"/>
  <c r="AM44" i="9" s="1"/>
  <c r="F69" i="9"/>
  <c r="AL69" i="9" s="1"/>
  <c r="AM73" i="9"/>
  <c r="Y76" i="9"/>
  <c r="U40" i="30"/>
  <c r="AH76" i="9"/>
  <c r="F74" i="9"/>
  <c r="AM74" i="9" s="1"/>
  <c r="F46" i="9"/>
  <c r="AM46" i="9" s="1"/>
  <c r="G19" i="30"/>
  <c r="G37" i="30"/>
  <c r="AJ49" i="9"/>
  <c r="F11" i="9"/>
  <c r="AL11" i="9" s="1"/>
  <c r="AJ22" i="9"/>
  <c r="AL22" i="9" s="1"/>
  <c r="P76" i="9"/>
  <c r="U11" i="30"/>
  <c r="F16" i="9"/>
  <c r="G30" i="30"/>
  <c r="G22" i="30"/>
  <c r="AL55" i="9"/>
  <c r="U33" i="30"/>
  <c r="F41" i="9"/>
  <c r="AM41" i="9" s="1"/>
  <c r="Q76" i="9"/>
  <c r="U8" i="30"/>
  <c r="F21" i="9"/>
  <c r="AL15" i="9"/>
  <c r="AM15" i="9"/>
  <c r="AM69" i="9"/>
  <c r="G29" i="30"/>
  <c r="M76" i="9"/>
  <c r="N76" i="9"/>
  <c r="AI54" i="9"/>
  <c r="AL54" i="9" s="1"/>
  <c r="F64" i="9"/>
  <c r="AM64" i="9" s="1"/>
  <c r="V76" i="9"/>
  <c r="O76" i="9"/>
  <c r="U23" i="30"/>
  <c r="U34" i="30"/>
  <c r="AN14" i="9"/>
  <c r="G36" i="30"/>
  <c r="G24" i="30"/>
  <c r="F59" i="9"/>
  <c r="AL59" i="9" s="1"/>
  <c r="U22" i="30"/>
  <c r="U17" i="30"/>
  <c r="F60" i="9"/>
  <c r="AL60" i="9" s="1"/>
  <c r="F38" i="9"/>
  <c r="AL38" i="9" s="1"/>
  <c r="AM32" i="9"/>
  <c r="F63" i="9"/>
  <c r="AL63" i="9" s="1"/>
  <c r="AK76" i="9"/>
  <c r="AN23" i="9"/>
  <c r="AJ58" i="9"/>
  <c r="F9" i="9"/>
  <c r="G27" i="30"/>
  <c r="G8" i="30"/>
  <c r="F65" i="9"/>
  <c r="G17" i="30"/>
  <c r="F52" i="9"/>
  <c r="AM52" i="9" s="1"/>
  <c r="F53" i="9"/>
  <c r="AM53" i="9" s="1"/>
  <c r="U29" i="30"/>
  <c r="AE76" i="9"/>
  <c r="F10" i="9"/>
  <c r="AM10" i="9" s="1"/>
  <c r="F35" i="9"/>
  <c r="AL35" i="9" s="1"/>
  <c r="AL70" i="9" l="1"/>
  <c r="AM65" i="9"/>
  <c r="AL16" i="9"/>
  <c r="AM40" i="9"/>
  <c r="AN40" i="9" s="1"/>
  <c r="AL48" i="9"/>
  <c r="AM48" i="9"/>
  <c r="AM21" i="9"/>
  <c r="AL28" i="9"/>
  <c r="AL30" i="9"/>
  <c r="AM75" i="9"/>
  <c r="AN75" i="9" s="1"/>
  <c r="AL47" i="9"/>
  <c r="AL12" i="9"/>
  <c r="AN66" i="9"/>
  <c r="P66" i="71" s="1"/>
  <c r="AL65" i="9"/>
  <c r="AL44" i="9"/>
  <c r="AL68" i="9"/>
  <c r="AM49" i="9"/>
  <c r="AL58" i="9"/>
  <c r="AM17" i="9"/>
  <c r="AN17" i="9" s="1"/>
  <c r="AM50" i="9"/>
  <c r="AL50" i="9"/>
  <c r="AM33" i="9"/>
  <c r="AL36" i="9"/>
  <c r="U43" i="30"/>
  <c r="AI39" i="9"/>
  <c r="AI76" i="9" s="1"/>
  <c r="AM61" i="9"/>
  <c r="F76" i="9"/>
  <c r="AN53" i="9"/>
  <c r="AN74" i="9"/>
  <c r="AN46" i="9"/>
  <c r="AN27" i="9"/>
  <c r="AN64" i="9"/>
  <c r="AN10" i="9"/>
  <c r="AN52" i="9"/>
  <c r="AN21" i="9"/>
  <c r="AN12" i="9"/>
  <c r="AN15" i="9"/>
  <c r="AM59" i="9"/>
  <c r="AL74" i="9"/>
  <c r="AN73" i="9"/>
  <c r="AL49" i="9"/>
  <c r="AM54" i="9"/>
  <c r="AN37" i="9"/>
  <c r="AN24" i="9"/>
  <c r="AN42" i="9"/>
  <c r="AL46" i="9"/>
  <c r="AL21" i="9"/>
  <c r="AJ76" i="9"/>
  <c r="AM16" i="9"/>
  <c r="U28" i="30"/>
  <c r="AM60" i="9"/>
  <c r="AN56" i="9"/>
  <c r="AN8" i="9"/>
  <c r="AL10" i="9"/>
  <c r="P18" i="71"/>
  <c r="AM58" i="9"/>
  <c r="AM25" i="9"/>
  <c r="P51" i="71"/>
  <c r="P71" i="71"/>
  <c r="AN32" i="9"/>
  <c r="AN30" i="9"/>
  <c r="AL52" i="9"/>
  <c r="AM63" i="9"/>
  <c r="AN44" i="9"/>
  <c r="G28" i="30"/>
  <c r="AM22" i="9"/>
  <c r="AL9" i="9"/>
  <c r="AL53" i="9"/>
  <c r="AN29" i="9"/>
  <c r="V40" i="30"/>
  <c r="G39" i="30"/>
  <c r="G41" i="30" s="1"/>
  <c r="P43" i="71"/>
  <c r="AM11" i="9"/>
  <c r="P19" i="71"/>
  <c r="P23" i="71"/>
  <c r="AN65" i="9"/>
  <c r="P14" i="71"/>
  <c r="AN70" i="9"/>
  <c r="AN41" i="9"/>
  <c r="AN47" i="9"/>
  <c r="P13" i="71"/>
  <c r="AM9" i="9"/>
  <c r="AM35" i="9"/>
  <c r="AL27" i="9"/>
  <c r="AN36" i="9"/>
  <c r="AL64" i="9"/>
  <c r="AM57" i="9"/>
  <c r="AM38" i="9"/>
  <c r="AN7" i="9"/>
  <c r="AM62" i="9"/>
  <c r="P55" i="71"/>
  <c r="U7" i="30"/>
  <c r="AN28" i="9"/>
  <c r="AN69" i="9"/>
  <c r="AN48" i="9"/>
  <c r="AN68" i="9"/>
  <c r="AL41" i="9"/>
  <c r="AN31" i="9"/>
  <c r="AN26" i="9"/>
  <c r="AN20" i="9"/>
  <c r="P34" i="71"/>
  <c r="P45" i="71"/>
  <c r="P67" i="71"/>
  <c r="P72" i="71"/>
  <c r="U39" i="30" l="1"/>
  <c r="U41" i="30" s="1"/>
  <c r="AN33" i="9"/>
  <c r="AN49" i="9"/>
  <c r="AN50" i="9"/>
  <c r="AM39" i="9"/>
  <c r="AL39" i="9"/>
  <c r="AL76" i="9" s="1"/>
  <c r="AN61" i="9"/>
  <c r="P31" i="71"/>
  <c r="P48" i="71"/>
  <c r="P69" i="71"/>
  <c r="AN62" i="9"/>
  <c r="P70" i="71"/>
  <c r="P65" i="71"/>
  <c r="P44" i="71"/>
  <c r="P30" i="71"/>
  <c r="P32" i="71"/>
  <c r="AN54" i="9"/>
  <c r="AN59" i="9"/>
  <c r="P15" i="71"/>
  <c r="P17" i="71"/>
  <c r="P21" i="71"/>
  <c r="P46" i="71"/>
  <c r="P53" i="71"/>
  <c r="P20" i="71"/>
  <c r="AN38" i="9"/>
  <c r="P36" i="71"/>
  <c r="AN9" i="9"/>
  <c r="P29" i="71"/>
  <c r="AN25" i="9"/>
  <c r="P8" i="71"/>
  <c r="AN60" i="9"/>
  <c r="X40" i="30"/>
  <c r="P37" i="71"/>
  <c r="P12" i="71"/>
  <c r="P64" i="71"/>
  <c r="P27" i="71"/>
  <c r="P74" i="71"/>
  <c r="P7" i="71"/>
  <c r="AN35" i="9"/>
  <c r="P47" i="71"/>
  <c r="P41" i="71"/>
  <c r="AN11" i="9"/>
  <c r="AN22" i="9"/>
  <c r="P42" i="71"/>
  <c r="P73" i="71"/>
  <c r="P75" i="71"/>
  <c r="P52" i="71"/>
  <c r="P10" i="71"/>
  <c r="P26" i="71"/>
  <c r="P68" i="71"/>
  <c r="P28" i="71"/>
  <c r="AN57" i="9"/>
  <c r="P40" i="71"/>
  <c r="AN63" i="9"/>
  <c r="P33" i="71"/>
  <c r="AN58" i="9"/>
  <c r="P56" i="71"/>
  <c r="AN16" i="9"/>
  <c r="P24" i="71"/>
  <c r="P49" i="71" l="1"/>
  <c r="AN39" i="9"/>
  <c r="P50" i="71"/>
  <c r="P61" i="71"/>
  <c r="AM76" i="9"/>
  <c r="P60" i="71"/>
  <c r="P9" i="71"/>
  <c r="P38" i="71"/>
  <c r="P59" i="71"/>
  <c r="P62" i="71"/>
  <c r="O19" i="71"/>
  <c r="O21" i="71"/>
  <c r="O49" i="71"/>
  <c r="O9" i="71"/>
  <c r="O8" i="71"/>
  <c r="O69" i="71"/>
  <c r="O75" i="71"/>
  <c r="O12" i="71"/>
  <c r="O70" i="71"/>
  <c r="O73" i="71"/>
  <c r="O55" i="71"/>
  <c r="P58" i="71"/>
  <c r="P63" i="71"/>
  <c r="P57" i="71"/>
  <c r="P11" i="71"/>
  <c r="P35" i="71"/>
  <c r="P54" i="71"/>
  <c r="P22" i="71"/>
  <c r="P25" i="71"/>
  <c r="O25" i="71"/>
  <c r="O11" i="71"/>
  <c r="O48" i="71"/>
  <c r="O14" i="71"/>
  <c r="O43" i="71"/>
  <c r="P16" i="71"/>
  <c r="O37" i="71" l="1"/>
  <c r="O50" i="71"/>
  <c r="O54" i="71"/>
  <c r="O28" i="71"/>
  <c r="O33" i="71"/>
  <c r="O40" i="71"/>
  <c r="O17" i="71"/>
  <c r="O31" i="71"/>
  <c r="O46" i="71"/>
  <c r="P39" i="71"/>
  <c r="AE7" i="29"/>
  <c r="O60" i="71"/>
  <c r="O58" i="71"/>
  <c r="AN76" i="9"/>
  <c r="O13" i="71"/>
  <c r="O68" i="71"/>
  <c r="O56" i="71"/>
  <c r="O34" i="71"/>
  <c r="O16" i="71"/>
  <c r="O61" i="71"/>
  <c r="O71" i="71"/>
  <c r="O30" i="71"/>
  <c r="O20" i="71"/>
  <c r="O44" i="71"/>
  <c r="O72" i="71"/>
  <c r="O52" i="71"/>
  <c r="O41" i="71"/>
  <c r="O39" i="71"/>
  <c r="O18" i="71"/>
  <c r="O38" i="71"/>
  <c r="O27" i="71"/>
  <c r="O24" i="71"/>
  <c r="O59" i="71"/>
  <c r="O36" i="71"/>
  <c r="O64" i="71"/>
  <c r="AE8" i="29"/>
  <c r="AE15" i="29"/>
  <c r="AE14" i="29"/>
  <c r="AE13" i="29"/>
  <c r="AE12" i="29"/>
  <c r="AE11" i="29"/>
  <c r="O53" i="71"/>
  <c r="O51" i="71"/>
  <c r="O74" i="71"/>
  <c r="O32" i="71"/>
  <c r="O47" i="71"/>
  <c r="O35" i="71"/>
  <c r="O57" i="71"/>
  <c r="O62" i="71"/>
  <c r="O63" i="71"/>
  <c r="AF7" i="29"/>
  <c r="O26" i="71"/>
  <c r="O22" i="71"/>
  <c r="O29" i="71" l="1"/>
  <c r="O67" i="71"/>
  <c r="P76" i="71"/>
  <c r="O45" i="71"/>
  <c r="O42" i="71"/>
  <c r="O10" i="71"/>
  <c r="O65" i="71"/>
  <c r="O66" i="71"/>
  <c r="AF13" i="29"/>
  <c r="AF14" i="29"/>
  <c r="O15" i="71"/>
  <c r="AF11" i="29"/>
  <c r="AF15" i="29"/>
  <c r="O23" i="71"/>
  <c r="AF12" i="29"/>
  <c r="AF8" i="29"/>
  <c r="O76" i="71" l="1"/>
  <c r="AF16" i="29"/>
  <c r="AF18" i="29" s="1"/>
  <c r="AF9" i="29"/>
  <c r="O7" i="71"/>
  <c r="AF20" i="29" l="1"/>
  <c r="AK22" i="30" l="1"/>
  <c r="AK10" i="30"/>
  <c r="AK36" i="30"/>
  <c r="AK29" i="30"/>
  <c r="AK11" i="30"/>
  <c r="AK27" i="30"/>
  <c r="AK17" i="30"/>
  <c r="AK19" i="30"/>
  <c r="AK37" i="30"/>
  <c r="AK23" i="30"/>
  <c r="AK21" i="30"/>
  <c r="AK15" i="30"/>
  <c r="AK13" i="30"/>
  <c r="AK25" i="30"/>
  <c r="AK20" i="30"/>
  <c r="AK8" i="30"/>
  <c r="AK33" i="30"/>
  <c r="AK26" i="30"/>
  <c r="AK16" i="30"/>
  <c r="AK35" i="30"/>
  <c r="AK34" i="30"/>
  <c r="AK31" i="30"/>
  <c r="AK18" i="30"/>
  <c r="AK24" i="30"/>
  <c r="AK38" i="30"/>
  <c r="AK9" i="30"/>
  <c r="AK32" i="30"/>
  <c r="AK12" i="30"/>
  <c r="AK14" i="30"/>
  <c r="AK28" i="30"/>
  <c r="AK30" i="30"/>
  <c r="E8" i="17" l="1"/>
  <c r="E9" i="17"/>
  <c r="E12" i="17"/>
  <c r="E13" i="17"/>
  <c r="E11" i="17"/>
  <c r="AK7" i="30"/>
  <c r="AK39" i="30" s="1"/>
  <c r="AK41" i="30" s="1"/>
  <c r="E7" i="17"/>
  <c r="E10" i="17"/>
  <c r="E14" i="17" l="1"/>
  <c r="U9" i="17"/>
  <c r="U11" i="17"/>
  <c r="U10" i="17"/>
  <c r="U7" i="17"/>
  <c r="U13" i="17"/>
  <c r="U8" i="17"/>
  <c r="U12" i="17"/>
  <c r="U14" i="17" l="1"/>
  <c r="B8" i="8" l="1"/>
  <c r="AH14" i="29" l="1"/>
  <c r="AH12" i="29"/>
  <c r="AG16" i="29"/>
  <c r="AH11" i="29"/>
  <c r="AG9" i="29"/>
  <c r="AG20" i="29" s="1"/>
  <c r="AH7" i="29"/>
  <c r="AH13" i="29"/>
  <c r="AH15" i="29"/>
  <c r="AG18" i="29"/>
  <c r="AH8" i="29"/>
  <c r="K9" i="29" l="1"/>
  <c r="J9" i="16"/>
  <c r="AL29" i="30"/>
  <c r="AL35" i="30"/>
  <c r="AL33" i="30"/>
  <c r="AH16" i="29"/>
  <c r="AH18" i="29" s="1"/>
  <c r="AL37" i="30"/>
  <c r="AL11" i="30"/>
  <c r="AL19" i="30"/>
  <c r="AL38" i="30"/>
  <c r="AL31" i="30"/>
  <c r="AL12" i="30"/>
  <c r="AL14" i="30"/>
  <c r="AL32" i="30"/>
  <c r="AL10" i="30"/>
  <c r="AL23" i="30"/>
  <c r="AL25" i="30"/>
  <c r="AL36" i="30"/>
  <c r="AL30" i="30"/>
  <c r="AL13" i="30"/>
  <c r="AL9" i="30"/>
  <c r="AL16" i="30"/>
  <c r="AL26" i="30"/>
  <c r="AH9" i="29"/>
  <c r="AL22" i="30"/>
  <c r="AL20" i="30"/>
  <c r="I76" i="27"/>
  <c r="I84" i="27" s="1"/>
  <c r="AL15" i="30"/>
  <c r="AL7" i="30"/>
  <c r="AL24" i="30"/>
  <c r="AL28" i="30"/>
  <c r="AL21" i="30"/>
  <c r="AL27" i="30"/>
  <c r="AL18" i="30"/>
  <c r="AL17" i="30"/>
  <c r="AS76" i="9"/>
  <c r="I76" i="28"/>
  <c r="I84" i="28" s="1"/>
  <c r="I76" i="26"/>
  <c r="I84" i="26" s="1"/>
  <c r="AL34" i="30"/>
  <c r="AM22" i="30"/>
  <c r="AL8" i="30"/>
  <c r="AH20" i="29" l="1"/>
  <c r="AM29" i="30"/>
  <c r="AL39" i="30"/>
  <c r="AL41" i="30" s="1"/>
  <c r="AM17" i="30"/>
  <c r="AM21" i="30"/>
  <c r="AM28" i="30"/>
  <c r="AM20" i="30"/>
  <c r="AM30" i="30"/>
  <c r="AM36" i="30"/>
  <c r="AM25" i="30"/>
  <c r="AM7" i="30"/>
  <c r="AM10" i="30"/>
  <c r="AM27" i="30"/>
  <c r="AM26" i="30"/>
  <c r="AM9" i="30"/>
  <c r="AM13" i="30"/>
  <c r="AM12" i="30"/>
  <c r="AM31" i="30"/>
  <c r="AM19" i="30"/>
  <c r="AM35" i="30"/>
  <c r="AM14" i="30"/>
  <c r="AM38" i="30"/>
  <c r="AM37" i="30"/>
  <c r="AM34" i="30"/>
  <c r="AM18" i="30"/>
  <c r="AM15" i="30"/>
  <c r="AM24" i="30"/>
  <c r="AM32" i="30"/>
  <c r="AM11" i="30"/>
  <c r="AM33" i="30"/>
  <c r="AM8" i="30"/>
  <c r="K16" i="29"/>
  <c r="K18" i="29" s="1"/>
  <c r="AM16" i="30"/>
  <c r="AM23" i="30"/>
  <c r="K20" i="29" l="1"/>
  <c r="AM39" i="30"/>
  <c r="AM41" i="30" s="1"/>
  <c r="V37" i="30" l="1"/>
  <c r="V34" i="30"/>
  <c r="V36" i="30"/>
  <c r="V11" i="30"/>
  <c r="V14" i="30"/>
  <c r="V26" i="30"/>
  <c r="V17" i="30"/>
  <c r="V8" i="30"/>
  <c r="V30" i="30"/>
  <c r="V18" i="30"/>
  <c r="V27" i="30"/>
  <c r="V33" i="30"/>
  <c r="V20" i="30"/>
  <c r="V13" i="30"/>
  <c r="V22" i="30"/>
  <c r="V16" i="30"/>
  <c r="V31" i="30"/>
  <c r="V35" i="30"/>
  <c r="V12" i="30"/>
  <c r="V29" i="30"/>
  <c r="V15" i="30"/>
  <c r="V23" i="30"/>
  <c r="V32" i="30"/>
  <c r="V24" i="30"/>
  <c r="V7" i="30"/>
  <c r="V9" i="30"/>
  <c r="V10" i="30"/>
  <c r="V21" i="30"/>
  <c r="V19" i="30"/>
  <c r="V25" i="30"/>
  <c r="V38" i="30"/>
  <c r="V28" i="30"/>
  <c r="V39" i="30" l="1"/>
  <c r="V41" i="30" s="1"/>
  <c r="V11" i="17" l="1"/>
  <c r="V10" i="17"/>
  <c r="V12" i="17"/>
  <c r="V13" i="17"/>
  <c r="V7" i="17"/>
  <c r="V9" i="17"/>
  <c r="V8" i="17"/>
  <c r="V14" i="17" l="1"/>
  <c r="K45" i="27" l="1"/>
  <c r="L45" i="27" s="1"/>
  <c r="N45" i="27" s="1"/>
  <c r="K38" i="28"/>
  <c r="L38" i="28" s="1"/>
  <c r="N38" i="28" s="1"/>
  <c r="K32" i="27"/>
  <c r="L32" i="27" s="1"/>
  <c r="N32" i="27" s="1"/>
  <c r="K29" i="27" l="1"/>
  <c r="L29" i="27" s="1"/>
  <c r="N29" i="27" s="1"/>
  <c r="P29" i="27" s="1"/>
  <c r="Q29" i="27" s="1"/>
  <c r="K72" i="28"/>
  <c r="L72" i="28" s="1"/>
  <c r="N72" i="28" s="1"/>
  <c r="P45" i="27"/>
  <c r="Q45" i="27" s="1"/>
  <c r="R45" i="27"/>
  <c r="AU72" i="9"/>
  <c r="P38" i="28"/>
  <c r="Q38" i="28" s="1"/>
  <c r="R38" i="28"/>
  <c r="K8" i="27"/>
  <c r="L8" i="27" s="1"/>
  <c r="N8" i="27" s="1"/>
  <c r="AU55" i="9"/>
  <c r="P72" i="28"/>
  <c r="Q72" i="28" s="1"/>
  <c r="R72" i="28"/>
  <c r="AJ8" i="29"/>
  <c r="AZ67" i="11"/>
  <c r="P67" i="10"/>
  <c r="AG22" i="10"/>
  <c r="BQ22" i="11"/>
  <c r="AG18" i="10"/>
  <c r="BQ18" i="11"/>
  <c r="BQ14" i="11"/>
  <c r="AG14" i="10"/>
  <c r="AE20" i="10"/>
  <c r="BO20" i="11"/>
  <c r="AV42" i="11"/>
  <c r="L42" i="10"/>
  <c r="AW70" i="11"/>
  <c r="M70" i="10"/>
  <c r="AW66" i="11"/>
  <c r="M66" i="10"/>
  <c r="M66" i="11"/>
  <c r="AW58" i="11"/>
  <c r="M58" i="10"/>
  <c r="AW46" i="11"/>
  <c r="M46" i="10"/>
  <c r="M34" i="10"/>
  <c r="AW34" i="11"/>
  <c r="M26" i="10"/>
  <c r="AW26" i="11"/>
  <c r="AW14" i="11"/>
  <c r="M14" i="10"/>
  <c r="AJ53" i="10"/>
  <c r="BT53" i="11"/>
  <c r="AJ52" i="10"/>
  <c r="BT52" i="11"/>
  <c r="AJ25" i="10"/>
  <c r="BT25" i="11"/>
  <c r="BB51" i="11"/>
  <c r="R51" i="10"/>
  <c r="BB47" i="11"/>
  <c r="R47" i="10"/>
  <c r="BB43" i="11"/>
  <c r="R43" i="10"/>
  <c r="R39" i="10"/>
  <c r="BB39" i="11"/>
  <c r="BH74" i="11"/>
  <c r="X74" i="11"/>
  <c r="X74" i="10"/>
  <c r="X66" i="10"/>
  <c r="BH66" i="11"/>
  <c r="X66" i="11"/>
  <c r="X54" i="10"/>
  <c r="BH54" i="11"/>
  <c r="X50" i="10"/>
  <c r="BH50" i="11"/>
  <c r="BH46" i="11"/>
  <c r="X46" i="10"/>
  <c r="BH42" i="11"/>
  <c r="X42" i="10"/>
  <c r="N9" i="10"/>
  <c r="AX9" i="11"/>
  <c r="BF35" i="11"/>
  <c r="V35" i="10"/>
  <c r="V31" i="10"/>
  <c r="BF31" i="11"/>
  <c r="V31" i="11"/>
  <c r="BF19" i="11"/>
  <c r="V19" i="10"/>
  <c r="BF15" i="11"/>
  <c r="V15" i="10"/>
  <c r="T25" i="10"/>
  <c r="BD25" i="11"/>
  <c r="BI17" i="11"/>
  <c r="Y17" i="10"/>
  <c r="Y17" i="11"/>
  <c r="S70" i="10"/>
  <c r="BC70" i="11"/>
  <c r="S70" i="11"/>
  <c r="BC58" i="11"/>
  <c r="S58" i="10"/>
  <c r="AY57" i="11"/>
  <c r="O57" i="10"/>
  <c r="AY14" i="11"/>
  <c r="O14" i="10"/>
  <c r="O14" i="11"/>
  <c r="AB16" i="10"/>
  <c r="BL16" i="11"/>
  <c r="J70" i="10"/>
  <c r="AT70" i="11"/>
  <c r="J66" i="10"/>
  <c r="AT66" i="11"/>
  <c r="J54" i="10"/>
  <c r="AT54" i="11"/>
  <c r="AT50" i="11"/>
  <c r="J50" i="10"/>
  <c r="J46" i="10"/>
  <c r="AT46" i="11"/>
  <c r="AT10" i="11"/>
  <c r="J10" i="10"/>
  <c r="AU73" i="11"/>
  <c r="K73" i="10"/>
  <c r="K72" i="10"/>
  <c r="AU72" i="11"/>
  <c r="AU53" i="11"/>
  <c r="K53" i="10"/>
  <c r="AU49" i="11"/>
  <c r="K49" i="10"/>
  <c r="AU29" i="11"/>
  <c r="K29" i="10"/>
  <c r="K21" i="10"/>
  <c r="AU21" i="11"/>
  <c r="K21" i="11"/>
  <c r="K20" i="10"/>
  <c r="AU20" i="11"/>
  <c r="AK52" i="10"/>
  <c r="BU52" i="11"/>
  <c r="AK52" i="11"/>
  <c r="AK44" i="10"/>
  <c r="BU44" i="11"/>
  <c r="F31" i="10"/>
  <c r="AP31" i="11"/>
  <c r="F23" i="10"/>
  <c r="AP23" i="11"/>
  <c r="AU47" i="9"/>
  <c r="AU75" i="9"/>
  <c r="BS72" i="11"/>
  <c r="AI72" i="10"/>
  <c r="AI71" i="10"/>
  <c r="BS71" i="11"/>
  <c r="AI71" i="11"/>
  <c r="AI51" i="10"/>
  <c r="BS51" i="11"/>
  <c r="BS35" i="11"/>
  <c r="AI35" i="10"/>
  <c r="BS16" i="11"/>
  <c r="AI16" i="10"/>
  <c r="BS15" i="11"/>
  <c r="AI15" i="10"/>
  <c r="AH75" i="10"/>
  <c r="BR75" i="11"/>
  <c r="BR71" i="11"/>
  <c r="AH71" i="10"/>
  <c r="BR59" i="11"/>
  <c r="AH59" i="10"/>
  <c r="AH51" i="10"/>
  <c r="BR51" i="11"/>
  <c r="BR47" i="11"/>
  <c r="AH47" i="10"/>
  <c r="BR39" i="11"/>
  <c r="AH39" i="10"/>
  <c r="BR27" i="11"/>
  <c r="AH27" i="10"/>
  <c r="AH27" i="11"/>
  <c r="AH23" i="10"/>
  <c r="BR23" i="11"/>
  <c r="BR19" i="11"/>
  <c r="AH19" i="10"/>
  <c r="BR15" i="11"/>
  <c r="AH15" i="10"/>
  <c r="AH11" i="10"/>
  <c r="BR11" i="11"/>
  <c r="AD73" i="10"/>
  <c r="BN73" i="11"/>
  <c r="BN41" i="11"/>
  <c r="AD41" i="10"/>
  <c r="BQ75" i="11"/>
  <c r="AG75" i="10"/>
  <c r="BQ74" i="11"/>
  <c r="AG74" i="10"/>
  <c r="BQ19" i="11"/>
  <c r="AG19" i="10"/>
  <c r="AF66" i="10"/>
  <c r="BP66" i="11"/>
  <c r="AF65" i="10"/>
  <c r="BP65" i="11"/>
  <c r="AF49" i="10"/>
  <c r="BP49" i="11"/>
  <c r="AF34" i="10"/>
  <c r="BP34" i="11"/>
  <c r="BP33" i="11"/>
  <c r="AF33" i="10"/>
  <c r="BP18" i="11"/>
  <c r="AF18" i="10"/>
  <c r="BP17" i="11"/>
  <c r="AF17" i="10"/>
  <c r="Z65" i="10"/>
  <c r="BJ65" i="11"/>
  <c r="BJ64" i="11"/>
  <c r="Z64" i="10"/>
  <c r="BJ48" i="11"/>
  <c r="Z48" i="10"/>
  <c r="Z48" i="11"/>
  <c r="BJ33" i="11"/>
  <c r="Z33" i="10"/>
  <c r="Z32" i="10"/>
  <c r="BJ32" i="11"/>
  <c r="BJ17" i="11"/>
  <c r="Z17" i="10"/>
  <c r="Z16" i="10"/>
  <c r="BJ16" i="11"/>
  <c r="BJ10" i="11"/>
  <c r="Z10" i="10"/>
  <c r="AE67" i="10"/>
  <c r="BO67" i="11"/>
  <c r="AV74" i="11"/>
  <c r="L74" i="10"/>
  <c r="AV73" i="11"/>
  <c r="L73" i="10"/>
  <c r="L70" i="10"/>
  <c r="AV70" i="11"/>
  <c r="AV62" i="11"/>
  <c r="L62" i="10"/>
  <c r="AV58" i="11"/>
  <c r="L58" i="10"/>
  <c r="AV54" i="11"/>
  <c r="L54" i="10"/>
  <c r="AV39" i="11"/>
  <c r="L39" i="10"/>
  <c r="L39" i="11"/>
  <c r="AV38" i="11"/>
  <c r="L38" i="10"/>
  <c r="L27" i="10"/>
  <c r="AV27" i="11"/>
  <c r="L26" i="10"/>
  <c r="AV26" i="11"/>
  <c r="L26" i="11"/>
  <c r="AJ72" i="10"/>
  <c r="BT72" i="11"/>
  <c r="BT64" i="11"/>
  <c r="AJ64" i="10"/>
  <c r="BB75" i="11"/>
  <c r="R75" i="10"/>
  <c r="R56" i="10"/>
  <c r="BB56" i="11"/>
  <c r="R48" i="10"/>
  <c r="BB48" i="11"/>
  <c r="R44" i="10"/>
  <c r="BB44" i="11"/>
  <c r="BB36" i="11"/>
  <c r="R36" i="10"/>
  <c r="R36" i="11"/>
  <c r="X75" i="10"/>
  <c r="BH75" i="11"/>
  <c r="BH67" i="11"/>
  <c r="X67" i="10"/>
  <c r="X55" i="10"/>
  <c r="BH55" i="11"/>
  <c r="X55" i="11"/>
  <c r="BH47" i="11"/>
  <c r="X47" i="10"/>
  <c r="BH43" i="11"/>
  <c r="X43" i="10"/>
  <c r="N42" i="10"/>
  <c r="AX42" i="11"/>
  <c r="AX41" i="11"/>
  <c r="N41" i="10"/>
  <c r="N41" i="11"/>
  <c r="N30" i="10"/>
  <c r="AX30" i="11"/>
  <c r="N29" i="10"/>
  <c r="AX29" i="11"/>
  <c r="N10" i="10"/>
  <c r="AX10" i="11"/>
  <c r="V75" i="10"/>
  <c r="BF75" i="11"/>
  <c r="BE66" i="11"/>
  <c r="U66" i="10"/>
  <c r="U62" i="10"/>
  <c r="BE62" i="11"/>
  <c r="U34" i="10"/>
  <c r="BE34" i="11"/>
  <c r="BE30" i="11"/>
  <c r="U30" i="10"/>
  <c r="U14" i="10"/>
  <c r="BE14" i="11"/>
  <c r="Q69" i="10"/>
  <c r="BA69" i="11"/>
  <c r="BA65" i="11"/>
  <c r="Q65" i="10"/>
  <c r="BA41" i="11"/>
  <c r="Q41" i="10"/>
  <c r="Q37" i="10"/>
  <c r="BA37" i="11"/>
  <c r="Q33" i="10"/>
  <c r="BA33" i="11"/>
  <c r="Q17" i="10"/>
  <c r="BA17" i="11"/>
  <c r="Q9" i="10"/>
  <c r="BA9" i="11"/>
  <c r="T16" i="10"/>
  <c r="BD16" i="11"/>
  <c r="BD12" i="11"/>
  <c r="T12" i="10"/>
  <c r="BM75" i="11"/>
  <c r="AC75" i="10"/>
  <c r="BM71" i="11"/>
  <c r="AC71" i="10"/>
  <c r="AC71" i="11"/>
  <c r="AC63" i="10"/>
  <c r="BM63" i="11"/>
  <c r="AC59" i="10"/>
  <c r="BM59" i="11"/>
  <c r="AC55" i="10"/>
  <c r="BM55" i="11"/>
  <c r="AC55" i="11"/>
  <c r="AC51" i="10"/>
  <c r="BM51" i="11"/>
  <c r="AC47" i="11"/>
  <c r="BM47" i="11"/>
  <c r="AC47" i="10"/>
  <c r="BM43" i="11"/>
  <c r="AC43" i="10"/>
  <c r="BM39" i="11"/>
  <c r="AC39" i="10"/>
  <c r="AC39" i="11"/>
  <c r="BM35" i="11"/>
  <c r="AC35" i="10"/>
  <c r="AC31" i="10"/>
  <c r="BM31" i="11"/>
  <c r="AC27" i="10"/>
  <c r="BM27" i="11"/>
  <c r="AC19" i="10"/>
  <c r="BM19" i="11"/>
  <c r="BM15" i="11"/>
  <c r="AC15" i="10"/>
  <c r="AC15" i="11"/>
  <c r="BM11" i="11"/>
  <c r="AC11" i="10"/>
  <c r="BC71" i="11"/>
  <c r="S71" i="10"/>
  <c r="S59" i="10"/>
  <c r="BC59" i="11"/>
  <c r="S26" i="10"/>
  <c r="BC26" i="11"/>
  <c r="BC17" i="11"/>
  <c r="S17" i="10"/>
  <c r="O49" i="10"/>
  <c r="AY49" i="11"/>
  <c r="AB75" i="10"/>
  <c r="BL75" i="11"/>
  <c r="AB72" i="10"/>
  <c r="BL72" i="11"/>
  <c r="BL64" i="11"/>
  <c r="AB64" i="10"/>
  <c r="AB48" i="10"/>
  <c r="BL48" i="11"/>
  <c r="AB48" i="11"/>
  <c r="AB36" i="10"/>
  <c r="BL36" i="11"/>
  <c r="BL32" i="11"/>
  <c r="AB32" i="10"/>
  <c r="AB28" i="10"/>
  <c r="BL28" i="11"/>
  <c r="AB13" i="10"/>
  <c r="BL13" i="11"/>
  <c r="I51" i="10"/>
  <c r="AS51" i="11"/>
  <c r="I43" i="10"/>
  <c r="AS43" i="11"/>
  <c r="AS19" i="11"/>
  <c r="I19" i="10"/>
  <c r="AT47" i="11"/>
  <c r="J47" i="10"/>
  <c r="AU64" i="11"/>
  <c r="K64" i="10"/>
  <c r="K40" i="10"/>
  <c r="AU40" i="11"/>
  <c r="AK61" i="10"/>
  <c r="BU61" i="11"/>
  <c r="BU45" i="11"/>
  <c r="AK45" i="10"/>
  <c r="AU15" i="9"/>
  <c r="K40" i="26"/>
  <c r="L40" i="26" s="1"/>
  <c r="N40" i="26" s="1"/>
  <c r="AU67" i="9"/>
  <c r="K55" i="28"/>
  <c r="L55" i="28" s="1"/>
  <c r="N55" i="28" s="1"/>
  <c r="K29" i="28"/>
  <c r="L29" i="28" s="1"/>
  <c r="N29" i="28" s="1"/>
  <c r="K37" i="28"/>
  <c r="L37" i="28" s="1"/>
  <c r="N37" i="28" s="1"/>
  <c r="BR72" i="11"/>
  <c r="AH72" i="10"/>
  <c r="AH60" i="10"/>
  <c r="BR60" i="11"/>
  <c r="AH52" i="10"/>
  <c r="BR52" i="11"/>
  <c r="BR48" i="11"/>
  <c r="AH48" i="10"/>
  <c r="AH40" i="10"/>
  <c r="BR40" i="11"/>
  <c r="BR28" i="11"/>
  <c r="AH28" i="10"/>
  <c r="BR20" i="11"/>
  <c r="AH20" i="10"/>
  <c r="AH16" i="10"/>
  <c r="BR16" i="11"/>
  <c r="P54" i="10"/>
  <c r="AZ54" i="11"/>
  <c r="AZ35" i="11"/>
  <c r="P35" i="10"/>
  <c r="AZ34" i="11"/>
  <c r="P34" i="10"/>
  <c r="BN74" i="11"/>
  <c r="AD74" i="10"/>
  <c r="AD74" i="11"/>
  <c r="BN18" i="11"/>
  <c r="AD18" i="10"/>
  <c r="AD17" i="10"/>
  <c r="BN17" i="11"/>
  <c r="BN12" i="11"/>
  <c r="AD12" i="10"/>
  <c r="BJ8" i="11"/>
  <c r="Z8" i="10"/>
  <c r="AE51" i="10"/>
  <c r="BO51" i="11"/>
  <c r="L63" i="10"/>
  <c r="AV63" i="11"/>
  <c r="AV55" i="11"/>
  <c r="L55" i="10"/>
  <c r="BT73" i="11"/>
  <c r="AJ73" i="10"/>
  <c r="R27" i="10"/>
  <c r="BB27" i="11"/>
  <c r="R19" i="10"/>
  <c r="BB19" i="11"/>
  <c r="BB15" i="11"/>
  <c r="R15" i="10"/>
  <c r="R11" i="10"/>
  <c r="BB11" i="11"/>
  <c r="X10" i="10"/>
  <c r="BH10" i="11"/>
  <c r="AX73" i="11"/>
  <c r="N73" i="10"/>
  <c r="N65" i="10"/>
  <c r="AX65" i="11"/>
  <c r="AX61" i="11"/>
  <c r="N61" i="10"/>
  <c r="N61" i="11"/>
  <c r="N53" i="10"/>
  <c r="AX53" i="11"/>
  <c r="BG72" i="11"/>
  <c r="W72" i="10"/>
  <c r="BG60" i="11"/>
  <c r="W60" i="10"/>
  <c r="W48" i="10"/>
  <c r="BG48" i="11"/>
  <c r="BG44" i="11"/>
  <c r="W44" i="10"/>
  <c r="W39" i="10"/>
  <c r="BG39" i="11"/>
  <c r="BG36" i="11"/>
  <c r="W36" i="10"/>
  <c r="BG28" i="11"/>
  <c r="W28" i="10"/>
  <c r="W16" i="10"/>
  <c r="BG16" i="11"/>
  <c r="BG12" i="11"/>
  <c r="W12" i="10"/>
  <c r="W8" i="10"/>
  <c r="BG8" i="11"/>
  <c r="U15" i="10"/>
  <c r="BE15" i="11"/>
  <c r="BA18" i="11"/>
  <c r="Q18" i="10"/>
  <c r="BM8" i="11"/>
  <c r="AC8" i="10"/>
  <c r="S47" i="10"/>
  <c r="BC47" i="11"/>
  <c r="BC46" i="11"/>
  <c r="S46" i="10"/>
  <c r="S27" i="10"/>
  <c r="BC27" i="11"/>
  <c r="AY41" i="11"/>
  <c r="O41" i="10"/>
  <c r="O41" i="11"/>
  <c r="AB49" i="10"/>
  <c r="BL49" i="11"/>
  <c r="BL45" i="11"/>
  <c r="AB45" i="10"/>
  <c r="AB29" i="10"/>
  <c r="BL29" i="11"/>
  <c r="AS67" i="11"/>
  <c r="I67" i="10"/>
  <c r="I35" i="10"/>
  <c r="AS35" i="11"/>
  <c r="AT33" i="11"/>
  <c r="J33" i="10"/>
  <c r="J33" i="11"/>
  <c r="J29" i="10"/>
  <c r="AT29" i="11"/>
  <c r="AT25" i="11"/>
  <c r="J25" i="10"/>
  <c r="J21" i="10"/>
  <c r="AT21" i="11"/>
  <c r="AT17" i="11"/>
  <c r="J17" i="10"/>
  <c r="AT16" i="11"/>
  <c r="J16" i="10"/>
  <c r="J13" i="10"/>
  <c r="AT13" i="11"/>
  <c r="K65" i="10"/>
  <c r="AU65" i="11"/>
  <c r="K61" i="10"/>
  <c r="AU61" i="11"/>
  <c r="AU60" i="11"/>
  <c r="K60" i="10"/>
  <c r="AU41" i="11"/>
  <c r="K41" i="10"/>
  <c r="AU33" i="11"/>
  <c r="K33" i="10"/>
  <c r="K32" i="10"/>
  <c r="AU32" i="11"/>
  <c r="AU17" i="11"/>
  <c r="K17" i="10"/>
  <c r="K17" i="11"/>
  <c r="K9" i="10"/>
  <c r="AU9" i="11"/>
  <c r="AK46" i="10"/>
  <c r="BU46" i="11"/>
  <c r="AJ14" i="29"/>
  <c r="R32" i="27"/>
  <c r="P32" i="27"/>
  <c r="Q32" i="27" s="1"/>
  <c r="AU30" i="9"/>
  <c r="K72" i="26"/>
  <c r="L72" i="26" s="1"/>
  <c r="N72" i="26" s="1"/>
  <c r="K18" i="26"/>
  <c r="L18" i="26" s="1"/>
  <c r="N18" i="26" s="1"/>
  <c r="K70" i="28"/>
  <c r="L70" i="28" s="1"/>
  <c r="N70" i="28" s="1"/>
  <c r="AJ15" i="29"/>
  <c r="BS8" i="11"/>
  <c r="AI8" i="10"/>
  <c r="P74" i="10"/>
  <c r="AZ74" i="11"/>
  <c r="P66" i="10"/>
  <c r="AZ66" i="11"/>
  <c r="P26" i="10"/>
  <c r="AZ26" i="11"/>
  <c r="P22" i="10"/>
  <c r="AZ22" i="11"/>
  <c r="P22" i="11"/>
  <c r="AG71" i="10"/>
  <c r="BQ71" i="11"/>
  <c r="AG71" i="11"/>
  <c r="AG70" i="10"/>
  <c r="BQ70" i="11"/>
  <c r="BQ62" i="11"/>
  <c r="AG62" i="10"/>
  <c r="AG51" i="10"/>
  <c r="BQ51" i="11"/>
  <c r="AG50" i="10"/>
  <c r="BQ50" i="11"/>
  <c r="AG39" i="10"/>
  <c r="BQ39" i="11"/>
  <c r="BQ38" i="11"/>
  <c r="AG38" i="10"/>
  <c r="BQ30" i="11"/>
  <c r="AG30" i="10"/>
  <c r="AE52" i="10"/>
  <c r="BO52" i="11"/>
  <c r="BO35" i="11"/>
  <c r="AE35" i="10"/>
  <c r="AE19" i="10"/>
  <c r="BO19" i="11"/>
  <c r="BO15" i="11"/>
  <c r="AE15" i="10"/>
  <c r="AE11" i="10"/>
  <c r="BO11" i="11"/>
  <c r="M69" i="10"/>
  <c r="AW69" i="11"/>
  <c r="AW65" i="11"/>
  <c r="M65" i="10"/>
  <c r="M57" i="10"/>
  <c r="AW57" i="11"/>
  <c r="M57" i="11"/>
  <c r="AW45" i="11"/>
  <c r="M45" i="10"/>
  <c r="M45" i="11"/>
  <c r="M41" i="10"/>
  <c r="AW41" i="11"/>
  <c r="AW37" i="11"/>
  <c r="M37" i="10"/>
  <c r="AW33" i="11"/>
  <c r="M33" i="10"/>
  <c r="AW29" i="11"/>
  <c r="M29" i="10"/>
  <c r="AW25" i="11"/>
  <c r="M25" i="10"/>
  <c r="M13" i="10"/>
  <c r="AW13" i="11"/>
  <c r="M13" i="11"/>
  <c r="BT36" i="11"/>
  <c r="AJ36" i="10"/>
  <c r="AJ32" i="10"/>
  <c r="BT32" i="11"/>
  <c r="AJ24" i="10"/>
  <c r="BT24" i="11"/>
  <c r="BT20" i="11"/>
  <c r="AJ20" i="10"/>
  <c r="AJ16" i="10"/>
  <c r="BT16" i="11"/>
  <c r="R16" i="10"/>
  <c r="BB16" i="11"/>
  <c r="R8" i="10"/>
  <c r="BB8" i="11"/>
  <c r="N74" i="10"/>
  <c r="AX74" i="11"/>
  <c r="AX66" i="11"/>
  <c r="N66" i="10"/>
  <c r="AX62" i="11"/>
  <c r="N62" i="10"/>
  <c r="BG73" i="11"/>
  <c r="W73" i="10"/>
  <c r="BG69" i="11"/>
  <c r="W69" i="10"/>
  <c r="BG61" i="11"/>
  <c r="W61" i="10"/>
  <c r="W13" i="10"/>
  <c r="BG13" i="11"/>
  <c r="BG9" i="11"/>
  <c r="W9" i="10"/>
  <c r="BF51" i="11"/>
  <c r="V51" i="10"/>
  <c r="BF44" i="11"/>
  <c r="V44" i="10"/>
  <c r="BF43" i="11"/>
  <c r="V43" i="10"/>
  <c r="BD48" i="11"/>
  <c r="T48" i="10"/>
  <c r="T44" i="10"/>
  <c r="BD44" i="11"/>
  <c r="T32" i="10"/>
  <c r="BD32" i="11"/>
  <c r="BK75" i="11"/>
  <c r="AA75" i="10"/>
  <c r="AA70" i="10"/>
  <c r="BK70" i="11"/>
  <c r="AA67" i="10"/>
  <c r="BK67" i="11"/>
  <c r="AA63" i="10"/>
  <c r="BK63" i="11"/>
  <c r="AA59" i="10"/>
  <c r="BK59" i="11"/>
  <c r="BK54" i="11"/>
  <c r="AA54" i="10"/>
  <c r="AA54" i="11"/>
  <c r="AA51" i="10"/>
  <c r="BK51" i="11"/>
  <c r="AA43" i="10"/>
  <c r="BK43" i="11"/>
  <c r="AA35" i="10"/>
  <c r="BK35" i="11"/>
  <c r="AA34" i="10"/>
  <c r="BK34" i="11"/>
  <c r="BK31" i="11"/>
  <c r="AA31" i="10"/>
  <c r="BK27" i="11"/>
  <c r="AA27" i="10"/>
  <c r="AA19" i="10"/>
  <c r="BK19" i="11"/>
  <c r="BK15" i="11"/>
  <c r="AA15" i="10"/>
  <c r="AY65" i="11"/>
  <c r="O65" i="10"/>
  <c r="AY33" i="11"/>
  <c r="O33" i="10"/>
  <c r="AY29" i="11"/>
  <c r="O29" i="10"/>
  <c r="AY25" i="11"/>
  <c r="O25" i="10"/>
  <c r="O21" i="10"/>
  <c r="AY21" i="11"/>
  <c r="O17" i="10"/>
  <c r="AY17" i="11"/>
  <c r="O13" i="10"/>
  <c r="AY13" i="11"/>
  <c r="AB25" i="10"/>
  <c r="BL25" i="11"/>
  <c r="AS68" i="11"/>
  <c r="I68" i="10"/>
  <c r="I36" i="10"/>
  <c r="AS36" i="11"/>
  <c r="I32" i="10"/>
  <c r="AS32" i="11"/>
  <c r="I31" i="10"/>
  <c r="AS31" i="11"/>
  <c r="J34" i="10"/>
  <c r="AT34" i="11"/>
  <c r="J34" i="11"/>
  <c r="AT26" i="11"/>
  <c r="J26" i="10"/>
  <c r="J14" i="10"/>
  <c r="AT14" i="11"/>
  <c r="K52" i="10"/>
  <c r="AU52" i="11"/>
  <c r="K28" i="10"/>
  <c r="AU28" i="11"/>
  <c r="BU75" i="11"/>
  <c r="AK75" i="10"/>
  <c r="AK75" i="11"/>
  <c r="AK20" i="10"/>
  <c r="BU20" i="11"/>
  <c r="AP39" i="11"/>
  <c r="F39" i="10"/>
  <c r="F39" i="11"/>
  <c r="F38" i="10"/>
  <c r="AP38" i="11"/>
  <c r="AP34" i="11"/>
  <c r="F34" i="10"/>
  <c r="AP30" i="11"/>
  <c r="F30" i="10"/>
  <c r="F22" i="10"/>
  <c r="AP22" i="11"/>
  <c r="AP18" i="11"/>
  <c r="F18" i="10"/>
  <c r="F17" i="10"/>
  <c r="AP17" i="11"/>
  <c r="AI67" i="10"/>
  <c r="BS67" i="11"/>
  <c r="AG58" i="10"/>
  <c r="BQ58" i="11"/>
  <c r="AG26" i="10"/>
  <c r="BQ26" i="11"/>
  <c r="AG26" i="11"/>
  <c r="BP61" i="11"/>
  <c r="AF61" i="10"/>
  <c r="AF45" i="10"/>
  <c r="BP45" i="11"/>
  <c r="BP29" i="11"/>
  <c r="AF29" i="10"/>
  <c r="BP13" i="11"/>
  <c r="AF13" i="10"/>
  <c r="Z60" i="10"/>
  <c r="BJ60" i="11"/>
  <c r="Z60" i="11"/>
  <c r="BJ44" i="11"/>
  <c r="Z44" i="10"/>
  <c r="BJ28" i="11"/>
  <c r="Z28" i="10"/>
  <c r="BJ12" i="11"/>
  <c r="Z12" i="10"/>
  <c r="AE72" i="10"/>
  <c r="BO72" i="11"/>
  <c r="AE40" i="10"/>
  <c r="BO40" i="11"/>
  <c r="AV46" i="11"/>
  <c r="L46" i="10"/>
  <c r="AV22" i="11"/>
  <c r="L22" i="10"/>
  <c r="BT48" i="11"/>
  <c r="AJ48" i="10"/>
  <c r="BB71" i="11"/>
  <c r="R71" i="10"/>
  <c r="BH26" i="11"/>
  <c r="X26" i="10"/>
  <c r="N37" i="10"/>
  <c r="AX37" i="11"/>
  <c r="N25" i="10"/>
  <c r="AX25" i="11"/>
  <c r="BF67" i="11"/>
  <c r="V67" i="10"/>
  <c r="AA40" i="10"/>
  <c r="BK40" i="11"/>
  <c r="BC42" i="11"/>
  <c r="S42" i="10"/>
  <c r="AY73" i="11"/>
  <c r="O73" i="10"/>
  <c r="AB20" i="10"/>
  <c r="BL20" i="11"/>
  <c r="I55" i="10"/>
  <c r="AS55" i="11"/>
  <c r="K68" i="10"/>
  <c r="AU68" i="11"/>
  <c r="AU56" i="11"/>
  <c r="K56" i="10"/>
  <c r="AK25" i="10"/>
  <c r="BU25" i="11"/>
  <c r="F13" i="10"/>
  <c r="AP13" i="11"/>
  <c r="AI59" i="10"/>
  <c r="BS59" i="11"/>
  <c r="AI43" i="10"/>
  <c r="BS43" i="11"/>
  <c r="BS23" i="11"/>
  <c r="AI23" i="10"/>
  <c r="AI14" i="10"/>
  <c r="BS14" i="11"/>
  <c r="BR55" i="11"/>
  <c r="AH55" i="10"/>
  <c r="BR43" i="11"/>
  <c r="AH43" i="10"/>
  <c r="AH43" i="11"/>
  <c r="P70" i="10"/>
  <c r="AZ70" i="11"/>
  <c r="AZ62" i="11"/>
  <c r="P62" i="10"/>
  <c r="AZ42" i="11"/>
  <c r="P42" i="10"/>
  <c r="P33" i="10"/>
  <c r="AZ33" i="11"/>
  <c r="P21" i="10"/>
  <c r="AZ21" i="11"/>
  <c r="BQ73" i="11"/>
  <c r="AG73" i="10"/>
  <c r="BQ72" i="11"/>
  <c r="AG72" i="10"/>
  <c r="BQ67" i="11"/>
  <c r="AG67" i="10"/>
  <c r="AG66" i="10"/>
  <c r="BQ66" i="11"/>
  <c r="BQ55" i="11"/>
  <c r="AG55" i="10"/>
  <c r="BQ54" i="11"/>
  <c r="AG54" i="10"/>
  <c r="AG46" i="10"/>
  <c r="BQ46" i="11"/>
  <c r="AG46" i="11"/>
  <c r="BQ35" i="11"/>
  <c r="AG35" i="10"/>
  <c r="AG34" i="10"/>
  <c r="BQ34" i="11"/>
  <c r="AG10" i="10"/>
  <c r="BQ10" i="11"/>
  <c r="BP74" i="11"/>
  <c r="AF74" i="10"/>
  <c r="AF73" i="10"/>
  <c r="BP73" i="11"/>
  <c r="AF58" i="10"/>
  <c r="BP58" i="11"/>
  <c r="BP57" i="11"/>
  <c r="AF57" i="10"/>
  <c r="AF42" i="10"/>
  <c r="BP42" i="11"/>
  <c r="BP41" i="11"/>
  <c r="AF41" i="10"/>
  <c r="AF26" i="10"/>
  <c r="BP26" i="11"/>
  <c r="AF25" i="10"/>
  <c r="BP25" i="11"/>
  <c r="BP10" i="11"/>
  <c r="AF10" i="10"/>
  <c r="AF9" i="10"/>
  <c r="BP9" i="11"/>
  <c r="Z73" i="10"/>
  <c r="BJ73" i="11"/>
  <c r="Z73" i="11"/>
  <c r="Z72" i="10"/>
  <c r="BJ72" i="11"/>
  <c r="Z72" i="11"/>
  <c r="Z57" i="10"/>
  <c r="BJ57" i="11"/>
  <c r="Z57" i="11"/>
  <c r="BJ56" i="11"/>
  <c r="Z56" i="10"/>
  <c r="BJ41" i="11"/>
  <c r="Z41" i="10"/>
  <c r="BJ40" i="11"/>
  <c r="Z40" i="10"/>
  <c r="BJ25" i="11"/>
  <c r="Z25" i="10"/>
  <c r="BJ24" i="11"/>
  <c r="Z24" i="10"/>
  <c r="BJ18" i="11"/>
  <c r="Z18" i="10"/>
  <c r="AE68" i="10"/>
  <c r="BO68" i="11"/>
  <c r="BO36" i="11"/>
  <c r="AE36" i="10"/>
  <c r="AV35" i="11"/>
  <c r="L35" i="10"/>
  <c r="AV34" i="11"/>
  <c r="L34" i="10"/>
  <c r="AW73" i="11"/>
  <c r="M73" i="10"/>
  <c r="M61" i="10"/>
  <c r="AW61" i="11"/>
  <c r="AW9" i="11"/>
  <c r="M9" i="10"/>
  <c r="AJ68" i="10"/>
  <c r="BT68" i="11"/>
  <c r="AJ40" i="10"/>
  <c r="BT40" i="11"/>
  <c r="BT15" i="11"/>
  <c r="AJ15" i="10"/>
  <c r="AJ8" i="10"/>
  <c r="BT8" i="11"/>
  <c r="BB68" i="11"/>
  <c r="R68" i="10"/>
  <c r="R68" i="11"/>
  <c r="R67" i="10"/>
  <c r="BB67" i="11"/>
  <c r="BH70" i="11"/>
  <c r="X70" i="10"/>
  <c r="BH58" i="11"/>
  <c r="X58" i="10"/>
  <c r="BH23" i="11"/>
  <c r="X23" i="10"/>
  <c r="X23" i="11"/>
  <c r="BH22" i="11"/>
  <c r="X22" i="10"/>
  <c r="AX69" i="11"/>
  <c r="N69" i="10"/>
  <c r="AX57" i="11"/>
  <c r="N57" i="10"/>
  <c r="AX34" i="11"/>
  <c r="N34" i="10"/>
  <c r="N33" i="10"/>
  <c r="AX33" i="11"/>
  <c r="AX22" i="11"/>
  <c r="N22" i="10"/>
  <c r="AX21" i="11"/>
  <c r="N21" i="10"/>
  <c r="W64" i="10"/>
  <c r="BG64" i="11"/>
  <c r="BG32" i="11"/>
  <c r="W32" i="10"/>
  <c r="W32" i="11"/>
  <c r="V63" i="10"/>
  <c r="BF63" i="11"/>
  <c r="V48" i="10"/>
  <c r="BF48" i="11"/>
  <c r="BF47" i="11"/>
  <c r="V47" i="10"/>
  <c r="BF42" i="11"/>
  <c r="V42" i="10"/>
  <c r="BF12" i="11"/>
  <c r="V12" i="10"/>
  <c r="BF11" i="11"/>
  <c r="V11" i="10"/>
  <c r="BE57" i="11"/>
  <c r="U57" i="10"/>
  <c r="BE53" i="11"/>
  <c r="U53" i="10"/>
  <c r="BE50" i="11"/>
  <c r="U50" i="10"/>
  <c r="BE49" i="11"/>
  <c r="U49" i="10"/>
  <c r="U46" i="10"/>
  <c r="BE46" i="11"/>
  <c r="U18" i="10"/>
  <c r="BE18" i="11"/>
  <c r="BE11" i="11"/>
  <c r="U11" i="10"/>
  <c r="BE10" i="11"/>
  <c r="U10" i="10"/>
  <c r="Q73" i="10"/>
  <c r="BA73" i="11"/>
  <c r="Q60" i="10"/>
  <c r="BA60" i="11"/>
  <c r="Q57" i="10"/>
  <c r="BA57" i="11"/>
  <c r="BA53" i="11"/>
  <c r="Q53" i="10"/>
  <c r="Q52" i="10"/>
  <c r="BA52" i="11"/>
  <c r="Q49" i="10"/>
  <c r="BA49" i="11"/>
  <c r="Q25" i="10"/>
  <c r="BA25" i="11"/>
  <c r="BA21" i="11"/>
  <c r="Q21" i="10"/>
  <c r="BD72" i="11"/>
  <c r="T72" i="10"/>
  <c r="T67" i="10"/>
  <c r="BD67" i="11"/>
  <c r="BD64" i="11"/>
  <c r="T64" i="10"/>
  <c r="T60" i="10"/>
  <c r="BD60" i="11"/>
  <c r="T60" i="11"/>
  <c r="T56" i="10"/>
  <c r="BD56" i="11"/>
  <c r="T39" i="10"/>
  <c r="BD39" i="11"/>
  <c r="T23" i="10"/>
  <c r="BD23" i="11"/>
  <c r="BD8" i="11"/>
  <c r="T8" i="10"/>
  <c r="AA47" i="10"/>
  <c r="BK47" i="11"/>
  <c r="Y9" i="10"/>
  <c r="BI9" i="11"/>
  <c r="BI8" i="11"/>
  <c r="Y8" i="10"/>
  <c r="BC50" i="11"/>
  <c r="S50" i="10"/>
  <c r="S39" i="10"/>
  <c r="BC39" i="11"/>
  <c r="BC38" i="11"/>
  <c r="S38" i="10"/>
  <c r="S38" i="11"/>
  <c r="BC10" i="11"/>
  <c r="S10" i="10"/>
  <c r="BC9" i="11"/>
  <c r="S9" i="10"/>
  <c r="AY38" i="11"/>
  <c r="O38" i="10"/>
  <c r="AY9" i="11"/>
  <c r="O9" i="10"/>
  <c r="AB68" i="10"/>
  <c r="BL68" i="11"/>
  <c r="AB52" i="10"/>
  <c r="BL52" i="11"/>
  <c r="BL51" i="11"/>
  <c r="AB51" i="10"/>
  <c r="J72" i="10"/>
  <c r="AT72" i="11"/>
  <c r="AU19" i="11"/>
  <c r="K19" i="10"/>
  <c r="BU64" i="11"/>
  <c r="AK64" i="10"/>
  <c r="AK32" i="10"/>
  <c r="BU32" i="11"/>
  <c r="BU18" i="11"/>
  <c r="AK18" i="10"/>
  <c r="AK10" i="10"/>
  <c r="BU10" i="11"/>
  <c r="AR72" i="11"/>
  <c r="H72" i="10"/>
  <c r="AP26" i="11"/>
  <c r="F26" i="10"/>
  <c r="AP9" i="11"/>
  <c r="F9" i="10"/>
  <c r="BS75" i="11"/>
  <c r="AI75" i="11"/>
  <c r="AI75" i="10"/>
  <c r="AI55" i="10"/>
  <c r="BS55" i="11"/>
  <c r="BS39" i="11"/>
  <c r="AI39" i="10"/>
  <c r="AI39" i="11"/>
  <c r="BS19" i="11"/>
  <c r="AI19" i="10"/>
  <c r="P58" i="10"/>
  <c r="AZ58" i="11"/>
  <c r="AZ38" i="11"/>
  <c r="P38" i="10"/>
  <c r="BN61" i="11"/>
  <c r="AD61" i="10"/>
  <c r="BN57" i="11"/>
  <c r="AD57" i="10"/>
  <c r="AD45" i="10"/>
  <c r="BN45" i="11"/>
  <c r="BN36" i="11"/>
  <c r="AD36" i="10"/>
  <c r="AD29" i="10"/>
  <c r="BN29" i="11"/>
  <c r="AD25" i="10"/>
  <c r="BN25" i="11"/>
  <c r="AG42" i="10"/>
  <c r="BQ42" i="11"/>
  <c r="AF69" i="10"/>
  <c r="BP69" i="11"/>
  <c r="AF53" i="10"/>
  <c r="BP53" i="11"/>
  <c r="AF37" i="10"/>
  <c r="BP37" i="11"/>
  <c r="BP21" i="11"/>
  <c r="AF21" i="10"/>
  <c r="Z68" i="10"/>
  <c r="BJ68" i="11"/>
  <c r="BJ52" i="11"/>
  <c r="Z52" i="10"/>
  <c r="Z36" i="10"/>
  <c r="BJ36" i="11"/>
  <c r="Z20" i="10"/>
  <c r="BJ20" i="11"/>
  <c r="AE56" i="10"/>
  <c r="BO56" i="11"/>
  <c r="BO24" i="11"/>
  <c r="AE24" i="10"/>
  <c r="L53" i="10"/>
  <c r="AV53" i="11"/>
  <c r="L30" i="10"/>
  <c r="AV30" i="11"/>
  <c r="AV10" i="11"/>
  <c r="L10" i="10"/>
  <c r="BH18" i="11"/>
  <c r="X18" i="10"/>
  <c r="Q30" i="10"/>
  <c r="BA30" i="11"/>
  <c r="BD28" i="11"/>
  <c r="T28" i="10"/>
  <c r="BC75" i="11"/>
  <c r="S75" i="10"/>
  <c r="O61" i="10"/>
  <c r="AY61" i="11"/>
  <c r="O45" i="10"/>
  <c r="AY45" i="11"/>
  <c r="O44" i="10"/>
  <c r="AY44" i="11"/>
  <c r="AB27" i="10"/>
  <c r="BL27" i="11"/>
  <c r="AB27" i="11"/>
  <c r="I66" i="10"/>
  <c r="AS66" i="11"/>
  <c r="I23" i="10"/>
  <c r="AS23" i="11"/>
  <c r="J12" i="10"/>
  <c r="AT12" i="11"/>
  <c r="K36" i="10"/>
  <c r="AU36" i="11"/>
  <c r="K24" i="10"/>
  <c r="AU24" i="11"/>
  <c r="K23" i="10"/>
  <c r="AU23" i="11"/>
  <c r="BU72" i="11"/>
  <c r="AK72" i="10"/>
  <c r="BU40" i="11"/>
  <c r="AK40" i="10"/>
  <c r="BU12" i="11"/>
  <c r="AK12" i="10"/>
  <c r="F74" i="10"/>
  <c r="AP74" i="11"/>
  <c r="AP70" i="11"/>
  <c r="F70" i="10"/>
  <c r="AP69" i="11"/>
  <c r="F69" i="10"/>
  <c r="F66" i="10"/>
  <c r="AP66" i="11"/>
  <c r="F62" i="10"/>
  <c r="AP62" i="11"/>
  <c r="AP61" i="11"/>
  <c r="F61" i="10"/>
  <c r="F58" i="10"/>
  <c r="AP58" i="11"/>
  <c r="AP54" i="11"/>
  <c r="F54" i="10"/>
  <c r="AP53" i="11"/>
  <c r="F53" i="10"/>
  <c r="F53" i="11"/>
  <c r="AP50" i="11"/>
  <c r="F50" i="10"/>
  <c r="F46" i="10"/>
  <c r="AP46" i="11"/>
  <c r="AP42" i="11"/>
  <c r="F42" i="10"/>
  <c r="K12" i="26"/>
  <c r="L12" i="26" s="1"/>
  <c r="N12" i="26" s="1"/>
  <c r="K12" i="28"/>
  <c r="L12" i="28" s="1"/>
  <c r="N12" i="28" s="1"/>
  <c r="K13" i="28"/>
  <c r="L13" i="28" s="1"/>
  <c r="N13" i="28" s="1"/>
  <c r="K13" i="27"/>
  <c r="L13" i="27" s="1"/>
  <c r="N13" i="27" s="1"/>
  <c r="K17" i="28"/>
  <c r="L17" i="28" s="1"/>
  <c r="N17" i="28" s="1"/>
  <c r="K17" i="27"/>
  <c r="L17" i="27" s="1"/>
  <c r="N17" i="27" s="1"/>
  <c r="K20" i="26"/>
  <c r="L20" i="26" s="1"/>
  <c r="N20" i="26" s="1"/>
  <c r="K20" i="28"/>
  <c r="L20" i="28" s="1"/>
  <c r="N20" i="28" s="1"/>
  <c r="K20" i="27"/>
  <c r="L20" i="27" s="1"/>
  <c r="N20" i="27" s="1"/>
  <c r="K21" i="26"/>
  <c r="L21" i="26" s="1"/>
  <c r="N21" i="26" s="1"/>
  <c r="K21" i="27"/>
  <c r="L21" i="27" s="1"/>
  <c r="N21" i="27" s="1"/>
  <c r="K21" i="28"/>
  <c r="L21" i="28" s="1"/>
  <c r="N21" i="28" s="1"/>
  <c r="K41" i="27"/>
  <c r="L41" i="27" s="1"/>
  <c r="N41" i="27" s="1"/>
  <c r="K44" i="26"/>
  <c r="L44" i="26" s="1"/>
  <c r="N44" i="26" s="1"/>
  <c r="K44" i="27"/>
  <c r="L44" i="27" s="1"/>
  <c r="N44" i="27" s="1"/>
  <c r="K48" i="26"/>
  <c r="L48" i="26" s="1"/>
  <c r="N48" i="26" s="1"/>
  <c r="K48" i="27"/>
  <c r="L48" i="27" s="1"/>
  <c r="N48" i="27" s="1"/>
  <c r="K53" i="28"/>
  <c r="L53" i="28" s="1"/>
  <c r="N53" i="28" s="1"/>
  <c r="K53" i="27"/>
  <c r="L53" i="27" s="1"/>
  <c r="N53" i="27" s="1"/>
  <c r="K56" i="26"/>
  <c r="L56" i="26" s="1"/>
  <c r="N56" i="26" s="1"/>
  <c r="K56" i="27"/>
  <c r="L56" i="27" s="1"/>
  <c r="N56" i="27" s="1"/>
  <c r="K57" i="27"/>
  <c r="L57" i="27" s="1"/>
  <c r="N57" i="27" s="1"/>
  <c r="K57" i="26"/>
  <c r="L57" i="26" s="1"/>
  <c r="N57" i="26" s="1"/>
  <c r="K61" i="27"/>
  <c r="L61" i="27" s="1"/>
  <c r="N61" i="27" s="1"/>
  <c r="K61" i="28"/>
  <c r="L61" i="28" s="1"/>
  <c r="N61" i="28" s="1"/>
  <c r="K65" i="28"/>
  <c r="L65" i="28" s="1"/>
  <c r="N65" i="28" s="1"/>
  <c r="K65" i="26"/>
  <c r="L65" i="26" s="1"/>
  <c r="N65" i="26" s="1"/>
  <c r="K68" i="26"/>
  <c r="L68" i="26" s="1"/>
  <c r="N68" i="26" s="1"/>
  <c r="K73" i="28"/>
  <c r="L73" i="28" s="1"/>
  <c r="N73" i="28" s="1"/>
  <c r="K17" i="26"/>
  <c r="L17" i="26" s="1"/>
  <c r="N17" i="26" s="1"/>
  <c r="K44" i="28"/>
  <c r="L44" i="28" s="1"/>
  <c r="N44" i="28" s="1"/>
  <c r="K8" i="26"/>
  <c r="L8" i="26" s="1"/>
  <c r="N8" i="26" s="1"/>
  <c r="K41" i="28"/>
  <c r="L41" i="28" s="1"/>
  <c r="N41" i="28" s="1"/>
  <c r="K57" i="28"/>
  <c r="L57" i="28" s="1"/>
  <c r="N57" i="28" s="1"/>
  <c r="K69" i="28"/>
  <c r="L69" i="28" s="1"/>
  <c r="N69" i="28" s="1"/>
  <c r="K73" i="26"/>
  <c r="L73" i="26" s="1"/>
  <c r="N73" i="26" s="1"/>
  <c r="K14" i="28"/>
  <c r="L14" i="28" s="1"/>
  <c r="N14" i="28" s="1"/>
  <c r="K60" i="27"/>
  <c r="L60" i="27" s="1"/>
  <c r="N60" i="27" s="1"/>
  <c r="K64" i="28"/>
  <c r="L64" i="28" s="1"/>
  <c r="N64" i="28" s="1"/>
  <c r="K37" i="27"/>
  <c r="L37" i="27" s="1"/>
  <c r="N37" i="27" s="1"/>
  <c r="K69" i="27"/>
  <c r="L69" i="27" s="1"/>
  <c r="N69" i="27" s="1"/>
  <c r="K64" i="26"/>
  <c r="L64" i="26" s="1"/>
  <c r="N64" i="26" s="1"/>
  <c r="K49" i="27"/>
  <c r="L49" i="27" s="1"/>
  <c r="N49" i="27" s="1"/>
  <c r="K65" i="27"/>
  <c r="L65" i="27" s="1"/>
  <c r="N65" i="27" s="1"/>
  <c r="K10" i="26"/>
  <c r="L10" i="26" s="1"/>
  <c r="N10" i="26" s="1"/>
  <c r="K27" i="27"/>
  <c r="L27" i="27" s="1"/>
  <c r="N27" i="27" s="1"/>
  <c r="K39" i="27"/>
  <c r="L39" i="27" s="1"/>
  <c r="N39" i="27" s="1"/>
  <c r="K47" i="27"/>
  <c r="L47" i="27" s="1"/>
  <c r="N47" i="27" s="1"/>
  <c r="K63" i="28"/>
  <c r="L63" i="28" s="1"/>
  <c r="N63" i="28" s="1"/>
  <c r="K75" i="28"/>
  <c r="L75" i="28" s="1"/>
  <c r="N75" i="28" s="1"/>
  <c r="K64" i="27"/>
  <c r="L64" i="27" s="1"/>
  <c r="N64" i="27" s="1"/>
  <c r="K29" i="26"/>
  <c r="L29" i="26" s="1"/>
  <c r="N29" i="26" s="1"/>
  <c r="K41" i="26"/>
  <c r="L41" i="26" s="1"/>
  <c r="N41" i="26" s="1"/>
  <c r="K49" i="26"/>
  <c r="L49" i="26" s="1"/>
  <c r="N49" i="26" s="1"/>
  <c r="K53" i="26"/>
  <c r="L53" i="26" s="1"/>
  <c r="N53" i="26" s="1"/>
  <c r="K24" i="28"/>
  <c r="L24" i="28" s="1"/>
  <c r="N24" i="28" s="1"/>
  <c r="K48" i="28"/>
  <c r="L48" i="28" s="1"/>
  <c r="N48" i="28" s="1"/>
  <c r="K68" i="28"/>
  <c r="L68" i="28" s="1"/>
  <c r="N68" i="28" s="1"/>
  <c r="K72" i="27"/>
  <c r="L72" i="27" s="1"/>
  <c r="N72" i="27" s="1"/>
  <c r="K50" i="26"/>
  <c r="L50" i="26" s="1"/>
  <c r="N50" i="26" s="1"/>
  <c r="K33" i="27"/>
  <c r="L33" i="27" s="1"/>
  <c r="N33" i="27" s="1"/>
  <c r="K19" i="27"/>
  <c r="L19" i="27" s="1"/>
  <c r="N19" i="27" s="1"/>
  <c r="K19" i="28"/>
  <c r="L19" i="28" s="1"/>
  <c r="N19" i="28" s="1"/>
  <c r="K54" i="26"/>
  <c r="L54" i="26" s="1"/>
  <c r="N54" i="26" s="1"/>
  <c r="K54" i="27"/>
  <c r="L54" i="27" s="1"/>
  <c r="N54" i="27" s="1"/>
  <c r="K62" i="28"/>
  <c r="L62" i="28" s="1"/>
  <c r="N62" i="28" s="1"/>
  <c r="K62" i="26"/>
  <c r="L62" i="26" s="1"/>
  <c r="N62" i="26" s="1"/>
  <c r="K62" i="27"/>
  <c r="L62" i="27" s="1"/>
  <c r="N62" i="27" s="1"/>
  <c r="K31" i="28"/>
  <c r="L31" i="28" s="1"/>
  <c r="N31" i="28" s="1"/>
  <c r="K31" i="26"/>
  <c r="L31" i="26" s="1"/>
  <c r="N31" i="26" s="1"/>
  <c r="K31" i="27"/>
  <c r="L31" i="27" s="1"/>
  <c r="N31" i="27" s="1"/>
  <c r="K58" i="28"/>
  <c r="L58" i="28" s="1"/>
  <c r="N58" i="28" s="1"/>
  <c r="K58" i="26"/>
  <c r="L58" i="26" s="1"/>
  <c r="N58" i="26" s="1"/>
  <c r="K22" i="27"/>
  <c r="L22" i="27" s="1"/>
  <c r="N22" i="27" s="1"/>
  <c r="K22" i="26"/>
  <c r="L22" i="26" s="1"/>
  <c r="N22" i="26" s="1"/>
  <c r="K22" i="28"/>
  <c r="L22" i="28" s="1"/>
  <c r="N22" i="28" s="1"/>
  <c r="K46" i="26"/>
  <c r="L46" i="26" s="1"/>
  <c r="N46" i="26" s="1"/>
  <c r="K46" i="27"/>
  <c r="L46" i="27" s="1"/>
  <c r="N46" i="27" s="1"/>
  <c r="K46" i="28"/>
  <c r="L46" i="28" s="1"/>
  <c r="N46" i="28" s="1"/>
  <c r="K67" i="28"/>
  <c r="L67" i="28" s="1"/>
  <c r="N67" i="28" s="1"/>
  <c r="K67" i="27"/>
  <c r="L67" i="27" s="1"/>
  <c r="N67" i="27" s="1"/>
  <c r="K27" i="26"/>
  <c r="L27" i="26" s="1"/>
  <c r="N27" i="26" s="1"/>
  <c r="K52" i="28"/>
  <c r="L52" i="28" s="1"/>
  <c r="N52" i="28" s="1"/>
  <c r="K52" i="27"/>
  <c r="L52" i="27" s="1"/>
  <c r="N52" i="27" s="1"/>
  <c r="K52" i="26"/>
  <c r="L52" i="26" s="1"/>
  <c r="N52" i="26" s="1"/>
  <c r="K71" i="28"/>
  <c r="L71" i="28" s="1"/>
  <c r="N71" i="28" s="1"/>
  <c r="K10" i="28"/>
  <c r="L10" i="28" s="1"/>
  <c r="N10" i="28" s="1"/>
  <c r="K73" i="27"/>
  <c r="L73" i="27" s="1"/>
  <c r="N73" i="27" s="1"/>
  <c r="K27" i="28"/>
  <c r="L27" i="28" s="1"/>
  <c r="N27" i="28" s="1"/>
  <c r="K49" i="28"/>
  <c r="L49" i="28" s="1"/>
  <c r="N49" i="28" s="1"/>
  <c r="K33" i="28"/>
  <c r="L33" i="28" s="1"/>
  <c r="N33" i="28" s="1"/>
  <c r="K61" i="26"/>
  <c r="L61" i="26" s="1"/>
  <c r="N61" i="26" s="1"/>
  <c r="K60" i="26"/>
  <c r="L60" i="26" s="1"/>
  <c r="N60" i="26" s="1"/>
  <c r="K40" i="27"/>
  <c r="L40" i="27" s="1"/>
  <c r="N40" i="27" s="1"/>
  <c r="K40" i="28"/>
  <c r="L40" i="28" s="1"/>
  <c r="N40" i="28" s="1"/>
  <c r="K32" i="28"/>
  <c r="L32" i="28" s="1"/>
  <c r="N32" i="28" s="1"/>
  <c r="K32" i="26"/>
  <c r="L32" i="26" s="1"/>
  <c r="N32" i="26" s="1"/>
  <c r="K24" i="27"/>
  <c r="L24" i="27" s="1"/>
  <c r="N24" i="27" s="1"/>
  <c r="K55" i="27"/>
  <c r="L55" i="27" s="1"/>
  <c r="N55" i="27" s="1"/>
  <c r="K38" i="26"/>
  <c r="L38" i="26" s="1"/>
  <c r="N38" i="26" s="1"/>
  <c r="K38" i="27"/>
  <c r="L38" i="27" s="1"/>
  <c r="N38" i="27" s="1"/>
  <c r="K45" i="28"/>
  <c r="L45" i="28" s="1"/>
  <c r="N45" i="28" s="1"/>
  <c r="K45" i="26"/>
  <c r="L45" i="26" s="1"/>
  <c r="N45" i="26" s="1"/>
  <c r="K11" i="28"/>
  <c r="L11" i="28" s="1"/>
  <c r="N11" i="28" s="1"/>
  <c r="K11" i="26"/>
  <c r="L11" i="26" s="1"/>
  <c r="N11" i="26" s="1"/>
  <c r="K9" i="28"/>
  <c r="L9" i="28" s="1"/>
  <c r="N9" i="28" s="1"/>
  <c r="K9" i="27"/>
  <c r="L9" i="27" s="1"/>
  <c r="N9" i="27" s="1"/>
  <c r="K9" i="26"/>
  <c r="L9" i="26" s="1"/>
  <c r="N9" i="26" s="1"/>
  <c r="K14" i="26"/>
  <c r="L14" i="26" s="1"/>
  <c r="N14" i="26" s="1"/>
  <c r="K14" i="27"/>
  <c r="L14" i="27" s="1"/>
  <c r="N14" i="27" s="1"/>
  <c r="K18" i="27"/>
  <c r="L18" i="27" s="1"/>
  <c r="N18" i="27" s="1"/>
  <c r="K30" i="27"/>
  <c r="L30" i="27" s="1"/>
  <c r="N30" i="27" s="1"/>
  <c r="K30" i="26"/>
  <c r="L30" i="26" s="1"/>
  <c r="N30" i="26" s="1"/>
  <c r="K39" i="28"/>
  <c r="L39" i="28" s="1"/>
  <c r="N39" i="28" s="1"/>
  <c r="K39" i="26"/>
  <c r="L39" i="26" s="1"/>
  <c r="N39" i="26" s="1"/>
  <c r="K42" i="26"/>
  <c r="L42" i="26" s="1"/>
  <c r="N42" i="26" s="1"/>
  <c r="K42" i="28"/>
  <c r="L42" i="28" s="1"/>
  <c r="N42" i="28" s="1"/>
  <c r="K42" i="27"/>
  <c r="L42" i="27" s="1"/>
  <c r="N42" i="27" s="1"/>
  <c r="K43" i="27"/>
  <c r="L43" i="27" s="1"/>
  <c r="N43" i="27" s="1"/>
  <c r="K43" i="28"/>
  <c r="L43" i="28" s="1"/>
  <c r="N43" i="28" s="1"/>
  <c r="K47" i="26"/>
  <c r="L47" i="26" s="1"/>
  <c r="N47" i="26" s="1"/>
  <c r="K47" i="28"/>
  <c r="L47" i="28" s="1"/>
  <c r="N47" i="28" s="1"/>
  <c r="K50" i="28"/>
  <c r="L50" i="28" s="1"/>
  <c r="N50" i="28" s="1"/>
  <c r="K63" i="27"/>
  <c r="L63" i="27" s="1"/>
  <c r="N63" i="27" s="1"/>
  <c r="K63" i="26"/>
  <c r="L63" i="26" s="1"/>
  <c r="N63" i="26" s="1"/>
  <c r="K66" i="26"/>
  <c r="L66" i="26" s="1"/>
  <c r="N66" i="26" s="1"/>
  <c r="K66" i="28"/>
  <c r="L66" i="28" s="1"/>
  <c r="N66" i="28" s="1"/>
  <c r="K70" i="26"/>
  <c r="L70" i="26" s="1"/>
  <c r="N70" i="26" s="1"/>
  <c r="K70" i="27"/>
  <c r="L70" i="27" s="1"/>
  <c r="N70" i="27" s="1"/>
  <c r="K74" i="26"/>
  <c r="L74" i="26" s="1"/>
  <c r="N74" i="26" s="1"/>
  <c r="K75" i="26"/>
  <c r="L75" i="26" s="1"/>
  <c r="N75" i="26" s="1"/>
  <c r="K75" i="27"/>
  <c r="L75" i="27" s="1"/>
  <c r="N75" i="27" s="1"/>
  <c r="K12" i="27"/>
  <c r="L12" i="27" s="1"/>
  <c r="N12" i="27" s="1"/>
  <c r="K68" i="27"/>
  <c r="L68" i="27" s="1"/>
  <c r="N68" i="27" s="1"/>
  <c r="K19" i="26"/>
  <c r="L19" i="26" s="1"/>
  <c r="N19" i="26" s="1"/>
  <c r="K43" i="26"/>
  <c r="L43" i="26" s="1"/>
  <c r="N43" i="26" s="1"/>
  <c r="K18" i="28"/>
  <c r="L18" i="28" s="1"/>
  <c r="N18" i="28" s="1"/>
  <c r="K30" i="28"/>
  <c r="L30" i="28" s="1"/>
  <c r="N30" i="28" s="1"/>
  <c r="K54" i="28"/>
  <c r="L54" i="28" s="1"/>
  <c r="N54" i="28" s="1"/>
  <c r="K74" i="28"/>
  <c r="L74" i="28" s="1"/>
  <c r="N74" i="28" s="1"/>
  <c r="K50" i="27"/>
  <c r="L50" i="27" s="1"/>
  <c r="N50" i="27" s="1"/>
  <c r="K66" i="27"/>
  <c r="L66" i="27" s="1"/>
  <c r="N66" i="27" s="1"/>
  <c r="K74" i="27"/>
  <c r="L74" i="27" s="1"/>
  <c r="N74" i="27" s="1"/>
  <c r="K13" i="26"/>
  <c r="L13" i="26" s="1"/>
  <c r="N13" i="26" s="1"/>
  <c r="K37" i="26"/>
  <c r="L37" i="26" s="1"/>
  <c r="N37" i="26" s="1"/>
  <c r="K56" i="28"/>
  <c r="L56" i="28" s="1"/>
  <c r="N56" i="28" s="1"/>
  <c r="K11" i="27"/>
  <c r="L11" i="27" s="1"/>
  <c r="N11" i="27" s="1"/>
  <c r="K55" i="26"/>
  <c r="L55" i="26" s="1"/>
  <c r="N55" i="26" s="1"/>
  <c r="K24" i="26"/>
  <c r="L24" i="26" s="1"/>
  <c r="N24" i="26" s="1"/>
  <c r="K58" i="27"/>
  <c r="L58" i="27" s="1"/>
  <c r="N58" i="27" s="1"/>
  <c r="K67" i="26"/>
  <c r="L67" i="26" s="1"/>
  <c r="N67" i="26" s="1"/>
  <c r="K10" i="27"/>
  <c r="L10" i="27" s="1"/>
  <c r="N10" i="27" s="1"/>
  <c r="K25" i="28"/>
  <c r="L25" i="28" s="1"/>
  <c r="N25" i="28" s="1"/>
  <c r="K25" i="26"/>
  <c r="L25" i="26" s="1"/>
  <c r="N25" i="26" s="1"/>
  <c r="K25" i="27"/>
  <c r="L25" i="27" s="1"/>
  <c r="N25" i="27" s="1"/>
  <c r="R29" i="27" l="1"/>
  <c r="F54" i="11"/>
  <c r="F58" i="11"/>
  <c r="O44" i="11"/>
  <c r="AB52" i="11"/>
  <c r="U18" i="11"/>
  <c r="N21" i="11"/>
  <c r="AE36" i="11"/>
  <c r="Z41" i="11"/>
  <c r="F38" i="11"/>
  <c r="AH20" i="11"/>
  <c r="R56" i="11"/>
  <c r="L70" i="11"/>
  <c r="AE67" i="11"/>
  <c r="AI51" i="11"/>
  <c r="K72" i="11"/>
  <c r="M69" i="11"/>
  <c r="AD61" i="11"/>
  <c r="H72" i="11"/>
  <c r="O73" i="11"/>
  <c r="I31" i="11"/>
  <c r="O13" i="11"/>
  <c r="O33" i="11"/>
  <c r="T48" i="11"/>
  <c r="V44" i="11"/>
  <c r="W9" i="11"/>
  <c r="W69" i="11"/>
  <c r="AI8" i="11"/>
  <c r="AH52" i="11"/>
  <c r="K40" i="11"/>
  <c r="AC51" i="11"/>
  <c r="U34" i="11"/>
  <c r="Z16" i="11"/>
  <c r="AG74" i="11"/>
  <c r="J10" i="11"/>
  <c r="AB16" i="11"/>
  <c r="V35" i="11"/>
  <c r="N9" i="11"/>
  <c r="X50" i="11"/>
  <c r="R51" i="11"/>
  <c r="M46" i="11"/>
  <c r="F61" i="11"/>
  <c r="AK12" i="11"/>
  <c r="AK40" i="11"/>
  <c r="S50" i="11"/>
  <c r="Q53" i="11"/>
  <c r="AF57" i="11"/>
  <c r="AG72" i="11"/>
  <c r="V67" i="11"/>
  <c r="AG58" i="11"/>
  <c r="M41" i="11"/>
  <c r="P26" i="11"/>
  <c r="W8" i="11"/>
  <c r="AB32" i="11"/>
  <c r="S71" i="11"/>
  <c r="AC11" i="11"/>
  <c r="Q65" i="11"/>
  <c r="L73" i="11"/>
  <c r="Z10" i="11"/>
  <c r="AH15" i="11"/>
  <c r="R15" i="11"/>
  <c r="L55" i="11"/>
  <c r="AD12" i="11"/>
  <c r="AJ72" i="11"/>
  <c r="L27" i="11"/>
  <c r="AF66" i="11"/>
  <c r="AH47" i="11"/>
  <c r="AI16" i="11"/>
  <c r="AK44" i="11"/>
  <c r="K20" i="11"/>
  <c r="K29" i="11"/>
  <c r="K53" i="11"/>
  <c r="J54" i="11"/>
  <c r="F46" i="11"/>
  <c r="J12" i="11"/>
  <c r="I66" i="11"/>
  <c r="T28" i="11"/>
  <c r="AE24" i="11"/>
  <c r="S10" i="11"/>
  <c r="T23" i="11"/>
  <c r="Q25" i="11"/>
  <c r="Q52" i="11"/>
  <c r="Q57" i="11"/>
  <c r="U49" i="11"/>
  <c r="V42" i="11"/>
  <c r="V63" i="11"/>
  <c r="W64" i="11"/>
  <c r="N69" i="11"/>
  <c r="AJ68" i="11"/>
  <c r="Z25" i="11"/>
  <c r="AF41" i="11"/>
  <c r="AG67" i="11"/>
  <c r="R71" i="11"/>
  <c r="AJ48" i="11"/>
  <c r="O29" i="11"/>
  <c r="T44" i="11"/>
  <c r="V43" i="11"/>
  <c r="W61" i="11"/>
  <c r="R8" i="11"/>
  <c r="AJ24" i="11"/>
  <c r="M29" i="11"/>
  <c r="AG39" i="11"/>
  <c r="K61" i="11"/>
  <c r="S46" i="11"/>
  <c r="Q18" i="11"/>
  <c r="W28" i="11"/>
  <c r="AJ73" i="11"/>
  <c r="Z8" i="11"/>
  <c r="AH16" i="11"/>
  <c r="Q17" i="11"/>
  <c r="X43" i="11"/>
  <c r="Z32" i="11"/>
  <c r="AG75" i="11"/>
  <c r="AD41" i="11"/>
  <c r="F23" i="11"/>
  <c r="K69" i="26"/>
  <c r="L69" i="26" s="1"/>
  <c r="N69" i="26" s="1"/>
  <c r="P69" i="26" s="1"/>
  <c r="Q69" i="26" s="1"/>
  <c r="F66" i="11"/>
  <c r="K36" i="11"/>
  <c r="L53" i="11"/>
  <c r="AD36" i="11"/>
  <c r="O9" i="11"/>
  <c r="AA47" i="11"/>
  <c r="T72" i="11"/>
  <c r="Q49" i="11"/>
  <c r="U11" i="11"/>
  <c r="U46" i="11"/>
  <c r="V12" i="11"/>
  <c r="V48" i="11"/>
  <c r="AJ15" i="11"/>
  <c r="AE68" i="11"/>
  <c r="AF9" i="11"/>
  <c r="AF10" i="11"/>
  <c r="AF25" i="11"/>
  <c r="AG55" i="11"/>
  <c r="AI14" i="11"/>
  <c r="I55" i="11"/>
  <c r="AA40" i="11"/>
  <c r="F30" i="11"/>
  <c r="J14" i="11"/>
  <c r="AA70" i="11"/>
  <c r="AA75" i="11"/>
  <c r="N62" i="11"/>
  <c r="AJ16" i="11"/>
  <c r="AG62" i="11"/>
  <c r="J17" i="11"/>
  <c r="AB45" i="11"/>
  <c r="P34" i="11"/>
  <c r="AH60" i="11"/>
  <c r="AB72" i="11"/>
  <c r="S59" i="11"/>
  <c r="X47" i="11"/>
  <c r="AJ25" i="11"/>
  <c r="AG14" i="11"/>
  <c r="K24" i="11"/>
  <c r="L30" i="11"/>
  <c r="AK32" i="11"/>
  <c r="AB68" i="11"/>
  <c r="Y9" i="11"/>
  <c r="T67" i="11"/>
  <c r="AB20" i="11"/>
  <c r="AA19" i="11"/>
  <c r="AA63" i="11"/>
  <c r="J47" i="11"/>
  <c r="I43" i="11"/>
  <c r="S17" i="11"/>
  <c r="S26" i="11"/>
  <c r="AC43" i="11"/>
  <c r="U30" i="11"/>
  <c r="AH11" i="11"/>
  <c r="J66" i="11"/>
  <c r="X46" i="11"/>
  <c r="M14" i="11"/>
  <c r="R18" i="26"/>
  <c r="P18" i="26"/>
  <c r="Q18" i="26" s="1"/>
  <c r="R63" i="28"/>
  <c r="P63" i="28"/>
  <c r="Q63" i="28" s="1"/>
  <c r="R65" i="26"/>
  <c r="P65" i="26"/>
  <c r="Q65" i="26" s="1"/>
  <c r="AR17" i="11"/>
  <c r="H17" i="10"/>
  <c r="H33" i="10"/>
  <c r="AR33" i="11"/>
  <c r="AR49" i="11"/>
  <c r="H49" i="10"/>
  <c r="AR65" i="11"/>
  <c r="H65" i="10"/>
  <c r="AR70" i="11"/>
  <c r="H70" i="10"/>
  <c r="BU31" i="11"/>
  <c r="AK31" i="10"/>
  <c r="BU63" i="11"/>
  <c r="AK63" i="10"/>
  <c r="O11" i="10"/>
  <c r="AY11" i="11"/>
  <c r="AY43" i="11"/>
  <c r="O43" i="10"/>
  <c r="O43" i="11"/>
  <c r="O75" i="10"/>
  <c r="AY75" i="11"/>
  <c r="AT48" i="11"/>
  <c r="J48" i="10"/>
  <c r="BI22" i="11"/>
  <c r="Y22" i="10"/>
  <c r="Y38" i="10"/>
  <c r="BI38" i="11"/>
  <c r="Y54" i="10"/>
  <c r="BI54" i="11"/>
  <c r="BI70" i="11"/>
  <c r="Y70" i="10"/>
  <c r="K30" i="10"/>
  <c r="AU30" i="11"/>
  <c r="K62" i="10"/>
  <c r="AU62" i="11"/>
  <c r="J23" i="10"/>
  <c r="AT23" i="11"/>
  <c r="BC68" i="11"/>
  <c r="S68" i="10"/>
  <c r="BK29" i="11"/>
  <c r="AA29" i="10"/>
  <c r="BK61" i="11"/>
  <c r="AA61" i="10"/>
  <c r="BD26" i="11"/>
  <c r="T26" i="10"/>
  <c r="BD58" i="11"/>
  <c r="T58" i="10"/>
  <c r="BA19" i="11"/>
  <c r="Q19" i="10"/>
  <c r="Q51" i="10"/>
  <c r="BA51" i="11"/>
  <c r="BQ16" i="11"/>
  <c r="AG16" i="10"/>
  <c r="BQ32" i="11"/>
  <c r="AG32" i="10"/>
  <c r="BQ48" i="11"/>
  <c r="AG48" i="10"/>
  <c r="BQ64" i="11"/>
  <c r="AG64" i="10"/>
  <c r="BA31" i="11"/>
  <c r="Q31" i="10"/>
  <c r="Q63" i="10"/>
  <c r="BA63" i="11"/>
  <c r="U28" i="10"/>
  <c r="BE28" i="11"/>
  <c r="U60" i="10"/>
  <c r="BE60" i="11"/>
  <c r="BF29" i="11"/>
  <c r="V29" i="10"/>
  <c r="BF61" i="11"/>
  <c r="V61" i="10"/>
  <c r="BG26" i="11"/>
  <c r="W26" i="10"/>
  <c r="BG58" i="11"/>
  <c r="W58" i="10"/>
  <c r="AX19" i="11"/>
  <c r="N19" i="10"/>
  <c r="AX51" i="11"/>
  <c r="N51" i="10"/>
  <c r="BH16" i="11"/>
  <c r="X16" i="10"/>
  <c r="BH48" i="11"/>
  <c r="X48" i="10"/>
  <c r="X48" i="11"/>
  <c r="BK37" i="11"/>
  <c r="AA37" i="10"/>
  <c r="AA69" i="10"/>
  <c r="BK69" i="11"/>
  <c r="BE8" i="11"/>
  <c r="U8" i="10"/>
  <c r="U40" i="10"/>
  <c r="BE40" i="11"/>
  <c r="BE72" i="11"/>
  <c r="U72" i="10"/>
  <c r="N31" i="10"/>
  <c r="AX31" i="11"/>
  <c r="N63" i="10"/>
  <c r="AX63" i="11"/>
  <c r="BH28" i="11"/>
  <c r="X28" i="10"/>
  <c r="X60" i="10"/>
  <c r="BH60" i="11"/>
  <c r="R29" i="10"/>
  <c r="BB29" i="11"/>
  <c r="R61" i="10"/>
  <c r="BB61" i="11"/>
  <c r="AJ26" i="10"/>
  <c r="BT26" i="11"/>
  <c r="BT58" i="11"/>
  <c r="AJ58" i="10"/>
  <c r="M19" i="10"/>
  <c r="AW19" i="11"/>
  <c r="M51" i="10"/>
  <c r="AW51" i="11"/>
  <c r="AV16" i="11"/>
  <c r="L16" i="10"/>
  <c r="L48" i="10"/>
  <c r="AV48" i="11"/>
  <c r="AE29" i="10"/>
  <c r="BO29" i="11"/>
  <c r="BO45" i="11"/>
  <c r="AE45" i="10"/>
  <c r="BO61" i="11"/>
  <c r="AE61" i="10"/>
  <c r="AE61" i="11"/>
  <c r="BN39" i="11"/>
  <c r="AD39" i="10"/>
  <c r="AD71" i="10"/>
  <c r="BN71" i="11"/>
  <c r="AZ36" i="11"/>
  <c r="P36" i="10"/>
  <c r="AZ68" i="11"/>
  <c r="P68" i="10"/>
  <c r="BS17" i="11"/>
  <c r="AI17" i="10"/>
  <c r="AI49" i="10"/>
  <c r="BS49" i="11"/>
  <c r="BN35" i="11"/>
  <c r="AD35" i="10"/>
  <c r="AD35" i="11"/>
  <c r="AD67" i="10"/>
  <c r="BN67" i="11"/>
  <c r="P32" i="10"/>
  <c r="AZ32" i="11"/>
  <c r="AZ64" i="11"/>
  <c r="P64" i="10"/>
  <c r="R25" i="27"/>
  <c r="P25" i="27"/>
  <c r="Q25" i="27" s="1"/>
  <c r="AU44" i="9"/>
  <c r="AU51" i="9"/>
  <c r="R24" i="26"/>
  <c r="P24" i="26"/>
  <c r="Q24" i="26" s="1"/>
  <c r="AU17" i="9"/>
  <c r="R37" i="26"/>
  <c r="P37" i="26"/>
  <c r="Q37" i="26" s="1"/>
  <c r="R50" i="27"/>
  <c r="P50" i="27"/>
  <c r="Q50" i="27" s="1"/>
  <c r="AU13" i="9"/>
  <c r="R54" i="28"/>
  <c r="P54" i="28"/>
  <c r="Q54" i="28" s="1"/>
  <c r="P43" i="26"/>
  <c r="Q43" i="26" s="1"/>
  <c r="R43" i="26"/>
  <c r="P68" i="27"/>
  <c r="Q68" i="27" s="1"/>
  <c r="R68" i="27"/>
  <c r="R75" i="27"/>
  <c r="P75" i="27"/>
  <c r="Q75" i="27" s="1"/>
  <c r="P70" i="27"/>
  <c r="Q70" i="27" s="1"/>
  <c r="R70" i="27"/>
  <c r="R63" i="26"/>
  <c r="P63" i="26"/>
  <c r="Q63" i="26" s="1"/>
  <c r="R47" i="28"/>
  <c r="P47" i="28"/>
  <c r="Q47" i="28" s="1"/>
  <c r="R42" i="27"/>
  <c r="P42" i="27"/>
  <c r="Q42" i="27" s="1"/>
  <c r="R39" i="28"/>
  <c r="P39" i="28"/>
  <c r="Q39" i="28" s="1"/>
  <c r="R9" i="27"/>
  <c r="P9" i="27"/>
  <c r="Q9" i="27" s="1"/>
  <c r="R38" i="26"/>
  <c r="P38" i="26"/>
  <c r="Q38" i="26" s="1"/>
  <c r="R32" i="28"/>
  <c r="P32" i="28"/>
  <c r="Q32" i="28" s="1"/>
  <c r="R61" i="26"/>
  <c r="P61" i="26"/>
  <c r="Q61" i="26" s="1"/>
  <c r="R73" i="27"/>
  <c r="P73" i="27"/>
  <c r="Q73" i="27" s="1"/>
  <c r="P10" i="28"/>
  <c r="Q10" i="28" s="1"/>
  <c r="R10" i="28"/>
  <c r="R52" i="27"/>
  <c r="P52" i="27"/>
  <c r="Q52" i="27" s="1"/>
  <c r="AU63" i="9"/>
  <c r="AU48" i="9"/>
  <c r="AU23" i="9"/>
  <c r="P46" i="27"/>
  <c r="Q46" i="27" s="1"/>
  <c r="R46" i="27"/>
  <c r="R22" i="27"/>
  <c r="P22" i="27"/>
  <c r="Q22" i="27" s="1"/>
  <c r="P58" i="28"/>
  <c r="Q58" i="28" s="1"/>
  <c r="R58" i="28"/>
  <c r="P62" i="28"/>
  <c r="Q62" i="28" s="1"/>
  <c r="R62" i="28"/>
  <c r="F52" i="10"/>
  <c r="AP52" i="11"/>
  <c r="AK26" i="10"/>
  <c r="BU26" i="11"/>
  <c r="AP16" i="11"/>
  <c r="F16" i="10"/>
  <c r="AP48" i="11"/>
  <c r="F48" i="10"/>
  <c r="BL55" i="11"/>
  <c r="AB55" i="10"/>
  <c r="AY20" i="11"/>
  <c r="O20" i="10"/>
  <c r="AY56" i="11"/>
  <c r="O56" i="10"/>
  <c r="AA14" i="10"/>
  <c r="BK14" i="11"/>
  <c r="BK58" i="11"/>
  <c r="AA58" i="10"/>
  <c r="BD30" i="11"/>
  <c r="T30" i="10"/>
  <c r="BA12" i="11"/>
  <c r="Q12" i="10"/>
  <c r="BA48" i="11"/>
  <c r="Q48" i="10"/>
  <c r="BE29" i="11"/>
  <c r="U29" i="10"/>
  <c r="AK58" i="10"/>
  <c r="BU58" i="11"/>
  <c r="K58" i="10"/>
  <c r="AU58" i="11"/>
  <c r="J61" i="10"/>
  <c r="AT61" i="11"/>
  <c r="J61" i="11"/>
  <c r="BL22" i="11"/>
  <c r="AB22" i="10"/>
  <c r="O8" i="10"/>
  <c r="AY8" i="11"/>
  <c r="O28" i="10"/>
  <c r="AY28" i="11"/>
  <c r="S13" i="10"/>
  <c r="BC13" i="11"/>
  <c r="BC44" i="11"/>
  <c r="S44" i="10"/>
  <c r="BC56" i="11"/>
  <c r="S56" i="10"/>
  <c r="BA55" i="11"/>
  <c r="Q55" i="10"/>
  <c r="I22" i="10"/>
  <c r="AS22" i="11"/>
  <c r="AY32" i="11"/>
  <c r="O32" i="10"/>
  <c r="BM14" i="11"/>
  <c r="AC14" i="10"/>
  <c r="BM22" i="11"/>
  <c r="AC22" i="10"/>
  <c r="AC22" i="11"/>
  <c r="AC30" i="10"/>
  <c r="BM30" i="11"/>
  <c r="AC46" i="10"/>
  <c r="BM46" i="11"/>
  <c r="BM62" i="11"/>
  <c r="AC62" i="10"/>
  <c r="T31" i="10"/>
  <c r="BD31" i="11"/>
  <c r="BA24" i="11"/>
  <c r="Q24" i="10"/>
  <c r="V21" i="10"/>
  <c r="BF21" i="11"/>
  <c r="V53" i="10"/>
  <c r="BF53" i="11"/>
  <c r="W18" i="10"/>
  <c r="BG18" i="11"/>
  <c r="BG55" i="11"/>
  <c r="W55" i="10"/>
  <c r="AX8" i="11"/>
  <c r="N8" i="10"/>
  <c r="BH21" i="11"/>
  <c r="X21" i="10"/>
  <c r="BB14" i="11"/>
  <c r="R14" i="10"/>
  <c r="BB42" i="11"/>
  <c r="R42" i="10"/>
  <c r="R42" i="11"/>
  <c r="R62" i="10"/>
  <c r="BB62" i="11"/>
  <c r="R62" i="11"/>
  <c r="BT34" i="11"/>
  <c r="AJ34" i="10"/>
  <c r="M12" i="10"/>
  <c r="AW12" i="11"/>
  <c r="BO34" i="11"/>
  <c r="AE34" i="10"/>
  <c r="Z31" i="10"/>
  <c r="BJ31" i="11"/>
  <c r="BJ63" i="11"/>
  <c r="Z63" i="10"/>
  <c r="BP24" i="11"/>
  <c r="AF24" i="10"/>
  <c r="BP56" i="11"/>
  <c r="AF56" i="10"/>
  <c r="BN56" i="11"/>
  <c r="AD56" i="10"/>
  <c r="BS10" i="11"/>
  <c r="AI10" i="10"/>
  <c r="AI30" i="10"/>
  <c r="BS30" i="11"/>
  <c r="V26" i="10"/>
  <c r="BF26" i="11"/>
  <c r="BF50" i="11"/>
  <c r="V50" i="10"/>
  <c r="V50" i="11"/>
  <c r="BG35" i="11"/>
  <c r="W35" i="10"/>
  <c r="BG75" i="11"/>
  <c r="W75" i="10"/>
  <c r="BH40" i="11"/>
  <c r="X40" i="10"/>
  <c r="BH52" i="11"/>
  <c r="X52" i="10"/>
  <c r="R41" i="10"/>
  <c r="BB41" i="11"/>
  <c r="AV21" i="11"/>
  <c r="L21" i="10"/>
  <c r="L60" i="10"/>
  <c r="AV60" i="11"/>
  <c r="V54" i="10"/>
  <c r="BF54" i="11"/>
  <c r="BH56" i="11"/>
  <c r="X56" i="10"/>
  <c r="R26" i="10"/>
  <c r="BB26" i="11"/>
  <c r="BT54" i="11"/>
  <c r="AJ54" i="10"/>
  <c r="AV9" i="11"/>
  <c r="L9" i="10"/>
  <c r="AV56" i="11"/>
  <c r="L56" i="10"/>
  <c r="L56" i="11"/>
  <c r="BO46" i="11"/>
  <c r="AE46" i="10"/>
  <c r="BN16" i="11"/>
  <c r="AD16" i="10"/>
  <c r="AD68" i="10"/>
  <c r="BN68" i="11"/>
  <c r="BR38" i="11"/>
  <c r="AH38" i="10"/>
  <c r="BS54" i="11"/>
  <c r="AI54" i="10"/>
  <c r="P33" i="27"/>
  <c r="Q33" i="27" s="1"/>
  <c r="R33" i="27"/>
  <c r="P49" i="26"/>
  <c r="Q49" i="26" s="1"/>
  <c r="R49" i="26"/>
  <c r="P29" i="26"/>
  <c r="Q29" i="26" s="1"/>
  <c r="R29" i="26"/>
  <c r="AU57" i="9"/>
  <c r="R39" i="27"/>
  <c r="P39" i="27"/>
  <c r="Q39" i="27" s="1"/>
  <c r="AU18" i="9"/>
  <c r="P37" i="27"/>
  <c r="Q37" i="27" s="1"/>
  <c r="R37" i="27"/>
  <c r="R64" i="28"/>
  <c r="P64" i="28"/>
  <c r="Q64" i="28" s="1"/>
  <c r="P60" i="27"/>
  <c r="Q60" i="27" s="1"/>
  <c r="R60" i="27"/>
  <c r="AU38" i="9"/>
  <c r="P65" i="28"/>
  <c r="Q65" i="28" s="1"/>
  <c r="R65" i="28"/>
  <c r="R13" i="28"/>
  <c r="P13" i="28"/>
  <c r="Q13" i="28" s="1"/>
  <c r="AU50" i="9"/>
  <c r="K7" i="28"/>
  <c r="P17" i="26"/>
  <c r="Q17" i="26" s="1"/>
  <c r="R17" i="26"/>
  <c r="P56" i="27"/>
  <c r="Q56" i="27" s="1"/>
  <c r="R56" i="27"/>
  <c r="R53" i="28"/>
  <c r="P53" i="28"/>
  <c r="Q53" i="28" s="1"/>
  <c r="P48" i="27"/>
  <c r="Q48" i="27" s="1"/>
  <c r="R48" i="27"/>
  <c r="P41" i="27"/>
  <c r="Q41" i="27" s="1"/>
  <c r="R41" i="27"/>
  <c r="R12" i="26"/>
  <c r="P12" i="26"/>
  <c r="Q12" i="26" s="1"/>
  <c r="AP27" i="11"/>
  <c r="F27" i="10"/>
  <c r="F42" i="11"/>
  <c r="F50" i="11"/>
  <c r="F65" i="10"/>
  <c r="AP65" i="11"/>
  <c r="H69" i="10"/>
  <c r="AR69" i="11"/>
  <c r="AK72" i="11"/>
  <c r="K75" i="10"/>
  <c r="AU75" i="11"/>
  <c r="AS34" i="11"/>
  <c r="I34" i="10"/>
  <c r="I34" i="11"/>
  <c r="I47" i="10"/>
  <c r="AS47" i="11"/>
  <c r="AB9" i="10"/>
  <c r="BL9" i="11"/>
  <c r="O61" i="11"/>
  <c r="BC51" i="11"/>
  <c r="S51" i="10"/>
  <c r="S75" i="11"/>
  <c r="Y20" i="10"/>
  <c r="BI20" i="11"/>
  <c r="Y27" i="10"/>
  <c r="Y27" i="11"/>
  <c r="BI27" i="11"/>
  <c r="BI32" i="11"/>
  <c r="Y32" i="10"/>
  <c r="Y32" i="11"/>
  <c r="Y48" i="10"/>
  <c r="BI48" i="11"/>
  <c r="Y64" i="10"/>
  <c r="BI64" i="11"/>
  <c r="Y75" i="10"/>
  <c r="BI75" i="11"/>
  <c r="T27" i="10"/>
  <c r="BD27" i="11"/>
  <c r="Q39" i="10"/>
  <c r="BA39" i="11"/>
  <c r="BA50" i="11"/>
  <c r="Q50" i="10"/>
  <c r="Q58" i="10"/>
  <c r="BA58" i="11"/>
  <c r="BA74" i="11"/>
  <c r="Q74" i="10"/>
  <c r="U23" i="10"/>
  <c r="BE23" i="11"/>
  <c r="U51" i="10"/>
  <c r="BE51" i="11"/>
  <c r="BE71" i="11"/>
  <c r="U71" i="10"/>
  <c r="V59" i="10"/>
  <c r="BF59" i="11"/>
  <c r="BG33" i="11"/>
  <c r="W33" i="10"/>
  <c r="BG65" i="11"/>
  <c r="W65" i="10"/>
  <c r="W65" i="11"/>
  <c r="AX58" i="11"/>
  <c r="N58" i="10"/>
  <c r="X18" i="11"/>
  <c r="X59" i="10"/>
  <c r="BH59" i="11"/>
  <c r="AJ9" i="10"/>
  <c r="BT9" i="11"/>
  <c r="BT29" i="11"/>
  <c r="AJ29" i="10"/>
  <c r="AW62" i="11"/>
  <c r="M62" i="10"/>
  <c r="L10" i="11"/>
  <c r="AE8" i="10"/>
  <c r="BO8" i="11"/>
  <c r="BO60" i="11"/>
  <c r="AE60" i="10"/>
  <c r="BQ11" i="11"/>
  <c r="AG11" i="10"/>
  <c r="AG11" i="11"/>
  <c r="BN21" i="11"/>
  <c r="AD21" i="10"/>
  <c r="AD45" i="11"/>
  <c r="P38" i="11"/>
  <c r="P58" i="11"/>
  <c r="BS74" i="11"/>
  <c r="AI74" i="10"/>
  <c r="F9" i="11"/>
  <c r="H8" i="10"/>
  <c r="AR8" i="11"/>
  <c r="H16" i="10"/>
  <c r="AR16" i="11"/>
  <c r="H24" i="10"/>
  <c r="AR24" i="11"/>
  <c r="AR32" i="11"/>
  <c r="H32" i="10"/>
  <c r="AR40" i="11"/>
  <c r="H40" i="10"/>
  <c r="AR48" i="11"/>
  <c r="H48" i="10"/>
  <c r="H56" i="10"/>
  <c r="AR56" i="11"/>
  <c r="H64" i="10"/>
  <c r="AR64" i="11"/>
  <c r="AR71" i="11"/>
  <c r="H71" i="10"/>
  <c r="AK18" i="11"/>
  <c r="AK64" i="11"/>
  <c r="AU45" i="11"/>
  <c r="K45" i="10"/>
  <c r="AU69" i="11"/>
  <c r="K69" i="10"/>
  <c r="J36" i="10"/>
  <c r="AT36" i="11"/>
  <c r="AT49" i="11"/>
  <c r="J49" i="10"/>
  <c r="AT62" i="11"/>
  <c r="J62" i="10"/>
  <c r="AY54" i="11"/>
  <c r="O54" i="10"/>
  <c r="AY70" i="11"/>
  <c r="O70" i="10"/>
  <c r="S9" i="11"/>
  <c r="BC30" i="11"/>
  <c r="S30" i="10"/>
  <c r="S43" i="10"/>
  <c r="BC43" i="11"/>
  <c r="T8" i="11"/>
  <c r="BD36" i="11"/>
  <c r="T36" i="10"/>
  <c r="BA29" i="11"/>
  <c r="Q29" i="10"/>
  <c r="Q44" i="10"/>
  <c r="BA44" i="11"/>
  <c r="U10" i="11"/>
  <c r="U53" i="11"/>
  <c r="U69" i="10"/>
  <c r="BE69" i="11"/>
  <c r="V11" i="11"/>
  <c r="BF27" i="11"/>
  <c r="V27" i="10"/>
  <c r="V68" i="10"/>
  <c r="BF68" i="11"/>
  <c r="N13" i="10"/>
  <c r="AX13" i="11"/>
  <c r="N26" i="10"/>
  <c r="AX26" i="11"/>
  <c r="N38" i="10"/>
  <c r="AX38" i="11"/>
  <c r="N50" i="10"/>
  <c r="AX50" i="11"/>
  <c r="N57" i="11"/>
  <c r="X22" i="11"/>
  <c r="X45" i="10"/>
  <c r="BH45" i="11"/>
  <c r="X58" i="11"/>
  <c r="BB18" i="11"/>
  <c r="R18" i="10"/>
  <c r="BB58" i="11"/>
  <c r="R58" i="10"/>
  <c r="R67" i="11"/>
  <c r="BT28" i="11"/>
  <c r="AJ28" i="10"/>
  <c r="AJ40" i="11"/>
  <c r="M9" i="11"/>
  <c r="M73" i="11"/>
  <c r="L35" i="11"/>
  <c r="BO58" i="11"/>
  <c r="AE58" i="10"/>
  <c r="AE63" i="10"/>
  <c r="BO63" i="11"/>
  <c r="Z24" i="11"/>
  <c r="Z40" i="11"/>
  <c r="Z56" i="11"/>
  <c r="AF14" i="10"/>
  <c r="BP14" i="11"/>
  <c r="BP30" i="11"/>
  <c r="AF30" i="10"/>
  <c r="AF46" i="10"/>
  <c r="BP46" i="11"/>
  <c r="BP62" i="11"/>
  <c r="AF62" i="10"/>
  <c r="AG10" i="11"/>
  <c r="AG35" i="11"/>
  <c r="AG54" i="11"/>
  <c r="AD31" i="10"/>
  <c r="BN31" i="11"/>
  <c r="BN63" i="11"/>
  <c r="AD63" i="10"/>
  <c r="AZ14" i="11"/>
  <c r="P14" i="10"/>
  <c r="P14" i="11"/>
  <c r="P21" i="11"/>
  <c r="P42" i="11"/>
  <c r="P63" i="10"/>
  <c r="AZ63" i="11"/>
  <c r="P70" i="11"/>
  <c r="AH55" i="11"/>
  <c r="AI23" i="11"/>
  <c r="AI44" i="10"/>
  <c r="BS44" i="11"/>
  <c r="AI44" i="11"/>
  <c r="BS57" i="11"/>
  <c r="AI57" i="10"/>
  <c r="F8" i="10"/>
  <c r="AP8" i="11"/>
  <c r="H11" i="10"/>
  <c r="AR11" i="11"/>
  <c r="H27" i="10"/>
  <c r="AR27" i="11"/>
  <c r="AR43" i="11"/>
  <c r="H43" i="10"/>
  <c r="AR59" i="11"/>
  <c r="H59" i="10"/>
  <c r="H75" i="10"/>
  <c r="AR75" i="11"/>
  <c r="AK57" i="10"/>
  <c r="BU57" i="11"/>
  <c r="K55" i="10"/>
  <c r="AU55" i="11"/>
  <c r="K68" i="11"/>
  <c r="AS11" i="11"/>
  <c r="I11" i="10"/>
  <c r="AS40" i="11"/>
  <c r="I40" i="10"/>
  <c r="AS72" i="11"/>
  <c r="I72" i="10"/>
  <c r="BL61" i="11"/>
  <c r="AB61" i="10"/>
  <c r="AB61" i="11"/>
  <c r="AY40" i="11"/>
  <c r="O40" i="10"/>
  <c r="AY68" i="11"/>
  <c r="O68" i="10"/>
  <c r="S42" i="11"/>
  <c r="Y12" i="10"/>
  <c r="BI12" i="11"/>
  <c r="AA9" i="10"/>
  <c r="BK9" i="11"/>
  <c r="AA32" i="10"/>
  <c r="BK32" i="11"/>
  <c r="BK56" i="11"/>
  <c r="AA56" i="10"/>
  <c r="AA64" i="10"/>
  <c r="BK64" i="11"/>
  <c r="BK72" i="11"/>
  <c r="AA72" i="10"/>
  <c r="BD45" i="11"/>
  <c r="T45" i="10"/>
  <c r="BA38" i="11"/>
  <c r="Q38" i="10"/>
  <c r="V36" i="10"/>
  <c r="BF36" i="11"/>
  <c r="BG25" i="11"/>
  <c r="W25" i="10"/>
  <c r="W25" i="11"/>
  <c r="N25" i="11"/>
  <c r="N37" i="11"/>
  <c r="AJ44" i="10"/>
  <c r="BT44" i="11"/>
  <c r="L22" i="11"/>
  <c r="L46" i="11"/>
  <c r="AE44" i="10"/>
  <c r="BO44" i="11"/>
  <c r="AE72" i="11"/>
  <c r="Z12" i="11"/>
  <c r="Z28" i="11"/>
  <c r="Z44" i="11"/>
  <c r="BN8" i="11"/>
  <c r="AD8" i="10"/>
  <c r="P27" i="10"/>
  <c r="AZ27" i="11"/>
  <c r="BR12" i="11"/>
  <c r="AH12" i="10"/>
  <c r="AH64" i="10"/>
  <c r="BR64" i="11"/>
  <c r="BS63" i="11"/>
  <c r="AI63" i="10"/>
  <c r="AP14" i="11"/>
  <c r="F14" i="10"/>
  <c r="F22" i="11"/>
  <c r="F34" i="11"/>
  <c r="AK20" i="11"/>
  <c r="J22" i="10"/>
  <c r="AT22" i="11"/>
  <c r="I68" i="11"/>
  <c r="AB24" i="10"/>
  <c r="BL24" i="11"/>
  <c r="AY16" i="11"/>
  <c r="O16" i="10"/>
  <c r="AA15" i="11"/>
  <c r="AA27" i="11"/>
  <c r="AA34" i="11"/>
  <c r="AA35" i="11"/>
  <c r="AA51" i="11"/>
  <c r="AA59" i="11"/>
  <c r="AA67" i="11"/>
  <c r="V51" i="11"/>
  <c r="BG49" i="11"/>
  <c r="W49" i="10"/>
  <c r="N74" i="11"/>
  <c r="AJ20" i="11"/>
  <c r="M28" i="10"/>
  <c r="AW28" i="11"/>
  <c r="M37" i="11"/>
  <c r="L51" i="10"/>
  <c r="AV51" i="11"/>
  <c r="AE19" i="11"/>
  <c r="AE52" i="11"/>
  <c r="AG30" i="11"/>
  <c r="AG38" i="11"/>
  <c r="AG50" i="11"/>
  <c r="AG51" i="11"/>
  <c r="AG70" i="11"/>
  <c r="P74" i="11"/>
  <c r="AK15" i="29"/>
  <c r="P72" i="26"/>
  <c r="Q72" i="26" s="1"/>
  <c r="R72" i="26"/>
  <c r="BU37" i="11"/>
  <c r="AK37" i="10"/>
  <c r="AK46" i="11"/>
  <c r="K33" i="11"/>
  <c r="K60" i="11"/>
  <c r="K65" i="11"/>
  <c r="J16" i="11"/>
  <c r="J29" i="11"/>
  <c r="I35" i="11"/>
  <c r="AS48" i="11"/>
  <c r="I48" i="10"/>
  <c r="AS70" i="11"/>
  <c r="I70" i="10"/>
  <c r="AS75" i="11"/>
  <c r="I75" i="10"/>
  <c r="I75" i="11"/>
  <c r="BC35" i="11"/>
  <c r="S35" i="10"/>
  <c r="AC8" i="11"/>
  <c r="AC28" i="10"/>
  <c r="BM28" i="11"/>
  <c r="BM36" i="11"/>
  <c r="AC36" i="10"/>
  <c r="Q42" i="10"/>
  <c r="BA42" i="11"/>
  <c r="BA70" i="11"/>
  <c r="Q70" i="10"/>
  <c r="U67" i="10"/>
  <c r="BE67" i="11"/>
  <c r="W12" i="11"/>
  <c r="BG24" i="11"/>
  <c r="W24" i="10"/>
  <c r="W39" i="11"/>
  <c r="W48" i="11"/>
  <c r="N53" i="11"/>
  <c r="N65" i="11"/>
  <c r="X10" i="11"/>
  <c r="X31" i="10"/>
  <c r="BH31" i="11"/>
  <c r="R11" i="11"/>
  <c r="AV71" i="11"/>
  <c r="L71" i="10"/>
  <c r="L71" i="11"/>
  <c r="AE43" i="10"/>
  <c r="BO43" i="11"/>
  <c r="AE51" i="11"/>
  <c r="AD18" i="11"/>
  <c r="AD22" i="10"/>
  <c r="BN22" i="11"/>
  <c r="AZ39" i="11"/>
  <c r="P39" i="10"/>
  <c r="BR36" i="11"/>
  <c r="AH36" i="10"/>
  <c r="AH72" i="11"/>
  <c r="P29" i="28"/>
  <c r="Q29" i="28" s="1"/>
  <c r="R29" i="28"/>
  <c r="AV15" i="9"/>
  <c r="AY15" i="9" s="1"/>
  <c r="F10" i="10"/>
  <c r="AP10" i="11"/>
  <c r="BU22" i="11"/>
  <c r="AK22" i="10"/>
  <c r="AK45" i="11"/>
  <c r="K64" i="11"/>
  <c r="AT43" i="11"/>
  <c r="J43" i="10"/>
  <c r="AS20" i="11"/>
  <c r="I20" i="10"/>
  <c r="AB17" i="10"/>
  <c r="BL17" i="11"/>
  <c r="BL59" i="11"/>
  <c r="AB59" i="10"/>
  <c r="AB64" i="11"/>
  <c r="AC35" i="11"/>
  <c r="T12" i="11"/>
  <c r="T20" i="10"/>
  <c r="BD20" i="11"/>
  <c r="Q41" i="11"/>
  <c r="BE26" i="11"/>
  <c r="U26" i="10"/>
  <c r="BE41" i="11"/>
  <c r="U41" i="10"/>
  <c r="BE58" i="11"/>
  <c r="U58" i="10"/>
  <c r="U58" i="11"/>
  <c r="U74" i="10"/>
  <c r="BE74" i="11"/>
  <c r="U74" i="11"/>
  <c r="N10" i="11"/>
  <c r="N30" i="11"/>
  <c r="AJ64" i="11"/>
  <c r="L38" i="11"/>
  <c r="L54" i="11"/>
  <c r="L62" i="11"/>
  <c r="Z21" i="10"/>
  <c r="BJ21" i="11"/>
  <c r="BJ37" i="11"/>
  <c r="Z37" i="10"/>
  <c r="Z37" i="11"/>
  <c r="Z65" i="11"/>
  <c r="AF18" i="11"/>
  <c r="AF34" i="11"/>
  <c r="AF65" i="11"/>
  <c r="AG19" i="11"/>
  <c r="AD73" i="11"/>
  <c r="AH23" i="11"/>
  <c r="AH39" i="11"/>
  <c r="AH51" i="11"/>
  <c r="AH63" i="10"/>
  <c r="BR63" i="11"/>
  <c r="AH71" i="11"/>
  <c r="AI15" i="11"/>
  <c r="AI35" i="11"/>
  <c r="AI56" i="10"/>
  <c r="BS56" i="11"/>
  <c r="AV47" i="9"/>
  <c r="AY47" i="9" s="1"/>
  <c r="K49" i="11"/>
  <c r="J9" i="10"/>
  <c r="AT9" i="11"/>
  <c r="J50" i="11"/>
  <c r="J74" i="10"/>
  <c r="AT74" i="11"/>
  <c r="O26" i="10"/>
  <c r="AY26" i="11"/>
  <c r="O57" i="11"/>
  <c r="BC61" i="11"/>
  <c r="S61" i="10"/>
  <c r="BC66" i="11"/>
  <c r="S66" i="10"/>
  <c r="S66" i="11"/>
  <c r="BI25" i="11"/>
  <c r="Y25" i="10"/>
  <c r="Y33" i="10"/>
  <c r="BI33" i="11"/>
  <c r="BI45" i="11"/>
  <c r="Y45" i="10"/>
  <c r="Y45" i="11"/>
  <c r="BI53" i="11"/>
  <c r="Y53" i="10"/>
  <c r="AA16" i="10"/>
  <c r="BK16" i="11"/>
  <c r="AA52" i="10"/>
  <c r="BK52" i="11"/>
  <c r="T25" i="11"/>
  <c r="BD29" i="11"/>
  <c r="T29" i="10"/>
  <c r="V19" i="11"/>
  <c r="BH37" i="11"/>
  <c r="X37" i="10"/>
  <c r="X42" i="11"/>
  <c r="BH62" i="11"/>
  <c r="X62" i="10"/>
  <c r="R39" i="11"/>
  <c r="BO74" i="11"/>
  <c r="AE74" i="10"/>
  <c r="BS9" i="11"/>
  <c r="AI9" i="10"/>
  <c r="AK8" i="29"/>
  <c r="AU27" i="9"/>
  <c r="R8" i="27"/>
  <c r="P8" i="27"/>
  <c r="Q8" i="27" s="1"/>
  <c r="AJ12" i="29"/>
  <c r="AR21" i="11"/>
  <c r="H21" i="10"/>
  <c r="AR37" i="11"/>
  <c r="H37" i="10"/>
  <c r="AR53" i="11"/>
  <c r="H53" i="10"/>
  <c r="BU39" i="11"/>
  <c r="AK39" i="10"/>
  <c r="AK71" i="10"/>
  <c r="BU71" i="11"/>
  <c r="BC8" i="11"/>
  <c r="S8" i="10"/>
  <c r="AU34" i="11"/>
  <c r="K34" i="10"/>
  <c r="K66" i="10"/>
  <c r="AU66" i="11"/>
  <c r="J27" i="10"/>
  <c r="AT27" i="11"/>
  <c r="I17" i="10"/>
  <c r="AS17" i="11"/>
  <c r="I49" i="10"/>
  <c r="AS49" i="11"/>
  <c r="AB14" i="10"/>
  <c r="BL14" i="11"/>
  <c r="AB46" i="10"/>
  <c r="BL46" i="11"/>
  <c r="AY39" i="11"/>
  <c r="O39" i="10"/>
  <c r="AY71" i="11"/>
  <c r="O71" i="10"/>
  <c r="S36" i="10"/>
  <c r="BC36" i="11"/>
  <c r="BI10" i="11"/>
  <c r="Y10" i="10"/>
  <c r="BI26" i="11"/>
  <c r="Y26" i="10"/>
  <c r="BI42" i="11"/>
  <c r="Y42" i="10"/>
  <c r="BI58" i="11"/>
  <c r="Y58" i="10"/>
  <c r="Y74" i="10"/>
  <c r="BI74" i="11"/>
  <c r="J60" i="10"/>
  <c r="AT60" i="11"/>
  <c r="J60" i="11"/>
  <c r="AS29" i="11"/>
  <c r="I29" i="10"/>
  <c r="I61" i="10"/>
  <c r="AS61" i="11"/>
  <c r="AB26" i="10"/>
  <c r="BL26" i="11"/>
  <c r="BL58" i="11"/>
  <c r="AB58" i="10"/>
  <c r="AB58" i="11"/>
  <c r="AY19" i="11"/>
  <c r="O19" i="10"/>
  <c r="AY51" i="11"/>
  <c r="O51" i="10"/>
  <c r="BC16" i="11"/>
  <c r="S16" i="10"/>
  <c r="S16" i="11"/>
  <c r="BC48" i="11"/>
  <c r="S48" i="10"/>
  <c r="S72" i="10"/>
  <c r="BC72" i="11"/>
  <c r="BQ20" i="11"/>
  <c r="AG20" i="10"/>
  <c r="BQ36" i="11"/>
  <c r="AG36" i="10"/>
  <c r="BQ52" i="11"/>
  <c r="AG52" i="10"/>
  <c r="BQ68" i="11"/>
  <c r="AG68" i="10"/>
  <c r="AA41" i="10"/>
  <c r="BK41" i="11"/>
  <c r="AA73" i="10"/>
  <c r="BK73" i="11"/>
  <c r="BD38" i="11"/>
  <c r="T38" i="10"/>
  <c r="T70" i="10"/>
  <c r="BD70" i="11"/>
  <c r="R17" i="10"/>
  <c r="BB17" i="11"/>
  <c r="R49" i="10"/>
  <c r="BB49" i="11"/>
  <c r="AJ14" i="10"/>
  <c r="BT14" i="11"/>
  <c r="BT46" i="11"/>
  <c r="AJ46" i="10"/>
  <c r="AW39" i="11"/>
  <c r="M39" i="10"/>
  <c r="AW71" i="11"/>
  <c r="M71" i="10"/>
  <c r="AV36" i="11"/>
  <c r="L36" i="10"/>
  <c r="L68" i="10"/>
  <c r="AV68" i="11"/>
  <c r="BD34" i="11"/>
  <c r="T34" i="10"/>
  <c r="BD66" i="11"/>
  <c r="T66" i="10"/>
  <c r="BA27" i="11"/>
  <c r="Q27" i="10"/>
  <c r="Q59" i="10"/>
  <c r="BA59" i="11"/>
  <c r="V9" i="10"/>
  <c r="BF9" i="11"/>
  <c r="BF41" i="11"/>
  <c r="V41" i="10"/>
  <c r="V73" i="10"/>
  <c r="BF73" i="11"/>
  <c r="BG38" i="11"/>
  <c r="W38" i="10"/>
  <c r="W70" i="10"/>
  <c r="BG70" i="11"/>
  <c r="BO17" i="11"/>
  <c r="AE17" i="10"/>
  <c r="AE33" i="10"/>
  <c r="BO33" i="11"/>
  <c r="BO49" i="11"/>
  <c r="AE49" i="10"/>
  <c r="AE49" i="11"/>
  <c r="AE65" i="10"/>
  <c r="BO65" i="11"/>
  <c r="AE65" i="11"/>
  <c r="AD9" i="10"/>
  <c r="BN9" i="11"/>
  <c r="AI69" i="10"/>
  <c r="BS69" i="11"/>
  <c r="BR37" i="11"/>
  <c r="AH37" i="10"/>
  <c r="AH37" i="11"/>
  <c r="BR69" i="11"/>
  <c r="AH69" i="10"/>
  <c r="BR33" i="11"/>
  <c r="AH33" i="10"/>
  <c r="BR65" i="11"/>
  <c r="AH65" i="10"/>
  <c r="BS29" i="11"/>
  <c r="AI29" i="10"/>
  <c r="BS61" i="11"/>
  <c r="AI61" i="10"/>
  <c r="P25" i="26"/>
  <c r="Q25" i="26" s="1"/>
  <c r="R25" i="26"/>
  <c r="R55" i="26"/>
  <c r="P55" i="26"/>
  <c r="Q55" i="26" s="1"/>
  <c r="R13" i="26"/>
  <c r="P13" i="26"/>
  <c r="Q13" i="26" s="1"/>
  <c r="AU73" i="9"/>
  <c r="AU37" i="9"/>
  <c r="P30" i="28"/>
  <c r="Q30" i="28" s="1"/>
  <c r="R30" i="28"/>
  <c r="P19" i="26"/>
  <c r="Q19" i="26" s="1"/>
  <c r="R19" i="26"/>
  <c r="P12" i="27"/>
  <c r="Q12" i="27" s="1"/>
  <c r="R12" i="27"/>
  <c r="AU71" i="9"/>
  <c r="P75" i="26"/>
  <c r="Q75" i="26" s="1"/>
  <c r="R75" i="26"/>
  <c r="R70" i="26"/>
  <c r="P70" i="26"/>
  <c r="Q70" i="26" s="1"/>
  <c r="P63" i="27"/>
  <c r="Q63" i="27" s="1"/>
  <c r="R63" i="27"/>
  <c r="R47" i="26"/>
  <c r="P47" i="26"/>
  <c r="Q47" i="26" s="1"/>
  <c r="R42" i="28"/>
  <c r="P42" i="28"/>
  <c r="Q42" i="28" s="1"/>
  <c r="R30" i="26"/>
  <c r="P30" i="26"/>
  <c r="Q30" i="26" s="1"/>
  <c r="R14" i="27"/>
  <c r="P14" i="27"/>
  <c r="Q14" i="27" s="1"/>
  <c r="R9" i="28"/>
  <c r="P9" i="28"/>
  <c r="Q9" i="28" s="1"/>
  <c r="P45" i="26"/>
  <c r="Q45" i="26" s="1"/>
  <c r="R45" i="26"/>
  <c r="P55" i="27"/>
  <c r="Q55" i="27" s="1"/>
  <c r="R55" i="27"/>
  <c r="P40" i="28"/>
  <c r="Q40" i="28" s="1"/>
  <c r="R40" i="28"/>
  <c r="AU56" i="9"/>
  <c r="AU32" i="9"/>
  <c r="AU60" i="9"/>
  <c r="K9" i="16"/>
  <c r="L7" i="16"/>
  <c r="R71" i="28"/>
  <c r="P71" i="28"/>
  <c r="Q71" i="28" s="1"/>
  <c r="R52" i="28"/>
  <c r="P52" i="28"/>
  <c r="Q52" i="28" s="1"/>
  <c r="AU49" i="9"/>
  <c r="R46" i="26"/>
  <c r="P46" i="26"/>
  <c r="Q46" i="26" s="1"/>
  <c r="R31" i="27"/>
  <c r="P31" i="27"/>
  <c r="Q31" i="27" s="1"/>
  <c r="AU25" i="9"/>
  <c r="P54" i="27"/>
  <c r="Q54" i="27" s="1"/>
  <c r="R54" i="27"/>
  <c r="R19" i="28"/>
  <c r="P19" i="28"/>
  <c r="Q19" i="28" s="1"/>
  <c r="F20" i="10"/>
  <c r="AP20" i="11"/>
  <c r="AP36" i="11"/>
  <c r="F36" i="10"/>
  <c r="F60" i="10"/>
  <c r="AP60" i="11"/>
  <c r="BU34" i="11"/>
  <c r="AK34" i="10"/>
  <c r="AP24" i="11"/>
  <c r="F24" i="10"/>
  <c r="F56" i="10"/>
  <c r="AP56" i="11"/>
  <c r="BU24" i="11"/>
  <c r="AK24" i="10"/>
  <c r="J56" i="10"/>
  <c r="AT56" i="11"/>
  <c r="BC25" i="11"/>
  <c r="S25" i="10"/>
  <c r="BC57" i="11"/>
  <c r="S57" i="10"/>
  <c r="AA22" i="10"/>
  <c r="BK22" i="11"/>
  <c r="BA68" i="11"/>
  <c r="Q68" i="10"/>
  <c r="U32" i="10"/>
  <c r="BE32" i="11"/>
  <c r="K26" i="10"/>
  <c r="AU26" i="11"/>
  <c r="BL54" i="11"/>
  <c r="AB54" i="10"/>
  <c r="BC24" i="11"/>
  <c r="S24" i="10"/>
  <c r="AA18" i="10"/>
  <c r="BK18" i="11"/>
  <c r="T43" i="10"/>
  <c r="BD43" i="11"/>
  <c r="BE48" i="11"/>
  <c r="U48" i="10"/>
  <c r="J57" i="10"/>
  <c r="AT57" i="11"/>
  <c r="I30" i="10"/>
  <c r="AS30" i="11"/>
  <c r="O60" i="10"/>
  <c r="AY60" i="11"/>
  <c r="BC28" i="11"/>
  <c r="S28" i="10"/>
  <c r="S28" i="11"/>
  <c r="AC9" i="10"/>
  <c r="BM9" i="11"/>
  <c r="BM17" i="11"/>
  <c r="AC17" i="10"/>
  <c r="AC25" i="10"/>
  <c r="BM25" i="11"/>
  <c r="BM41" i="11"/>
  <c r="AC41" i="10"/>
  <c r="BM49" i="11"/>
  <c r="AC49" i="10"/>
  <c r="Y15" i="10"/>
  <c r="BI15" i="11"/>
  <c r="BK62" i="11"/>
  <c r="AA62" i="10"/>
  <c r="BD59" i="11"/>
  <c r="T59" i="10"/>
  <c r="V30" i="10"/>
  <c r="BF30" i="11"/>
  <c r="BF62" i="11"/>
  <c r="V62" i="10"/>
  <c r="W27" i="10"/>
  <c r="BG27" i="11"/>
  <c r="W67" i="10"/>
  <c r="BG67" i="11"/>
  <c r="AX16" i="11"/>
  <c r="N16" i="10"/>
  <c r="N40" i="10"/>
  <c r="AX40" i="11"/>
  <c r="BH29" i="11"/>
  <c r="X29" i="10"/>
  <c r="BH53" i="11"/>
  <c r="X53" i="10"/>
  <c r="AW20" i="11"/>
  <c r="M20" i="10"/>
  <c r="M44" i="10"/>
  <c r="AW44" i="11"/>
  <c r="AE13" i="10"/>
  <c r="BO13" i="11"/>
  <c r="BJ39" i="11"/>
  <c r="Z39" i="10"/>
  <c r="Z39" i="11"/>
  <c r="Z71" i="10"/>
  <c r="BJ71" i="11"/>
  <c r="BP32" i="11"/>
  <c r="AF32" i="10"/>
  <c r="AF64" i="10"/>
  <c r="BP64" i="11"/>
  <c r="BN10" i="11"/>
  <c r="AD10" i="10"/>
  <c r="BN24" i="11"/>
  <c r="AD24" i="10"/>
  <c r="AH26" i="10"/>
  <c r="BR26" i="11"/>
  <c r="AI42" i="10"/>
  <c r="BS42" i="11"/>
  <c r="BF38" i="11"/>
  <c r="V38" i="10"/>
  <c r="V58" i="10"/>
  <c r="BF58" i="11"/>
  <c r="W43" i="10"/>
  <c r="BG43" i="11"/>
  <c r="BH9" i="11"/>
  <c r="X9" i="10"/>
  <c r="X9" i="11"/>
  <c r="R22" i="10"/>
  <c r="BB22" i="11"/>
  <c r="R22" i="11"/>
  <c r="BT22" i="11"/>
  <c r="AJ22" i="10"/>
  <c r="AJ50" i="10"/>
  <c r="BT50" i="11"/>
  <c r="L24" i="10"/>
  <c r="AV24" i="11"/>
  <c r="AV41" i="11"/>
  <c r="L41" i="10"/>
  <c r="AE54" i="10"/>
  <c r="BO54" i="11"/>
  <c r="AF15" i="10"/>
  <c r="BP15" i="11"/>
  <c r="BP31" i="11"/>
  <c r="AF31" i="10"/>
  <c r="BP47" i="11"/>
  <c r="AF47" i="10"/>
  <c r="AG41" i="10"/>
  <c r="BQ41" i="11"/>
  <c r="AZ60" i="11"/>
  <c r="P60" i="10"/>
  <c r="U68" i="10"/>
  <c r="BE68" i="11"/>
  <c r="W50" i="10"/>
  <c r="BG50" i="11"/>
  <c r="BB37" i="11"/>
  <c r="R37" i="10"/>
  <c r="AJ18" i="10"/>
  <c r="BT18" i="11"/>
  <c r="AE62" i="10"/>
  <c r="BO62" i="11"/>
  <c r="BP27" i="11"/>
  <c r="AF27" i="10"/>
  <c r="AF27" i="11"/>
  <c r="AD28" i="10"/>
  <c r="BN28" i="11"/>
  <c r="P12" i="10"/>
  <c r="AZ12" i="11"/>
  <c r="P56" i="10"/>
  <c r="AZ56" i="11"/>
  <c r="P50" i="26"/>
  <c r="Q50" i="26" s="1"/>
  <c r="R50" i="26"/>
  <c r="R72" i="27"/>
  <c r="P72" i="27"/>
  <c r="Q72" i="27" s="1"/>
  <c r="AU41" i="9"/>
  <c r="K8" i="28"/>
  <c r="L8" i="28" s="1"/>
  <c r="N8" i="28" s="1"/>
  <c r="R41" i="26"/>
  <c r="P41" i="26"/>
  <c r="Q41" i="26" s="1"/>
  <c r="P64" i="27"/>
  <c r="Q64" i="27" s="1"/>
  <c r="R64" i="27"/>
  <c r="P10" i="26"/>
  <c r="Q10" i="26" s="1"/>
  <c r="R10" i="26"/>
  <c r="P69" i="27"/>
  <c r="Q69" i="27" s="1"/>
  <c r="R69" i="27"/>
  <c r="AU19" i="9"/>
  <c r="P14" i="28"/>
  <c r="Q14" i="28" s="1"/>
  <c r="R14" i="28"/>
  <c r="P57" i="28"/>
  <c r="Q57" i="28" s="1"/>
  <c r="R57" i="28"/>
  <c r="AU34" i="9"/>
  <c r="P8" i="26"/>
  <c r="Q8" i="26" s="1"/>
  <c r="R8" i="26"/>
  <c r="L8" i="16"/>
  <c r="R68" i="26"/>
  <c r="P68" i="26"/>
  <c r="Q68" i="26" s="1"/>
  <c r="P61" i="28"/>
  <c r="Q61" i="28" s="1"/>
  <c r="R61" i="28"/>
  <c r="P57" i="26"/>
  <c r="Q57" i="26" s="1"/>
  <c r="R57" i="26"/>
  <c r="P56" i="26"/>
  <c r="Q56" i="26" s="1"/>
  <c r="R56" i="26"/>
  <c r="P48" i="26"/>
  <c r="Q48" i="26" s="1"/>
  <c r="R48" i="26"/>
  <c r="P44" i="27"/>
  <c r="Q44" i="27" s="1"/>
  <c r="R44" i="27"/>
  <c r="P21" i="27"/>
  <c r="Q21" i="27" s="1"/>
  <c r="R21" i="27"/>
  <c r="P20" i="26"/>
  <c r="Q20" i="26" s="1"/>
  <c r="R20" i="26"/>
  <c r="AP57" i="11"/>
  <c r="F57" i="10"/>
  <c r="F62" i="11"/>
  <c r="F69" i="11"/>
  <c r="F70" i="11"/>
  <c r="AK19" i="10"/>
  <c r="BU19" i="11"/>
  <c r="K23" i="11"/>
  <c r="AT38" i="11"/>
  <c r="J38" i="10"/>
  <c r="AT59" i="11"/>
  <c r="J59" i="10"/>
  <c r="I23" i="11"/>
  <c r="AB41" i="10"/>
  <c r="BL41" i="11"/>
  <c r="BL69" i="11"/>
  <c r="AB69" i="10"/>
  <c r="O45" i="11"/>
  <c r="S31" i="10"/>
  <c r="BC31" i="11"/>
  <c r="Y28" i="10"/>
  <c r="BI28" i="11"/>
  <c r="Y39" i="10"/>
  <c r="BI39" i="11"/>
  <c r="Y44" i="10"/>
  <c r="BI44" i="11"/>
  <c r="BI55" i="11"/>
  <c r="Y55" i="10"/>
  <c r="Y60" i="10"/>
  <c r="BI60" i="11"/>
  <c r="AA17" i="10"/>
  <c r="BK17" i="11"/>
  <c r="T9" i="10"/>
  <c r="BD9" i="11"/>
  <c r="BD33" i="11"/>
  <c r="T33" i="10"/>
  <c r="T33" i="11"/>
  <c r="T46" i="10"/>
  <c r="BD46" i="11"/>
  <c r="T57" i="10"/>
  <c r="BD57" i="11"/>
  <c r="BD65" i="11"/>
  <c r="T65" i="10"/>
  <c r="BD73" i="11"/>
  <c r="T73" i="10"/>
  <c r="BA22" i="11"/>
  <c r="Q22" i="10"/>
  <c r="Q30" i="11"/>
  <c r="BF28" i="11"/>
  <c r="V28" i="10"/>
  <c r="BH14" i="11"/>
  <c r="X14" i="10"/>
  <c r="BT69" i="11"/>
  <c r="AJ69" i="10"/>
  <c r="M27" i="10"/>
  <c r="AW27" i="11"/>
  <c r="M27" i="11"/>
  <c r="BO28" i="11"/>
  <c r="AE28" i="10"/>
  <c r="AE56" i="11"/>
  <c r="Z20" i="11"/>
  <c r="Z36" i="11"/>
  <c r="Z52" i="11"/>
  <c r="Z68" i="11"/>
  <c r="AF21" i="11"/>
  <c r="AF37" i="11"/>
  <c r="AF53" i="11"/>
  <c r="AF69" i="11"/>
  <c r="AD15" i="10"/>
  <c r="BN15" i="11"/>
  <c r="AD29" i="11"/>
  <c r="AD33" i="10"/>
  <c r="BN33" i="11"/>
  <c r="BN52" i="11"/>
  <c r="AD52" i="10"/>
  <c r="AD57" i="11"/>
  <c r="AD65" i="10"/>
  <c r="BN65" i="11"/>
  <c r="AZ15" i="11"/>
  <c r="P15" i="10"/>
  <c r="AH32" i="10"/>
  <c r="BR32" i="11"/>
  <c r="AH56" i="10"/>
  <c r="BR56" i="11"/>
  <c r="AI19" i="11"/>
  <c r="AI55" i="11"/>
  <c r="F26" i="11"/>
  <c r="AK10" i="11"/>
  <c r="K19" i="11"/>
  <c r="I12" i="10"/>
  <c r="AS12" i="11"/>
  <c r="AS25" i="11"/>
  <c r="I25" i="10"/>
  <c r="AS60" i="11"/>
  <c r="I60" i="10"/>
  <c r="BL8" i="11"/>
  <c r="AB8" i="10"/>
  <c r="AB39" i="10"/>
  <c r="BL39" i="11"/>
  <c r="AB51" i="11"/>
  <c r="AY24" i="11"/>
  <c r="O24" i="10"/>
  <c r="O38" i="11"/>
  <c r="S39" i="11"/>
  <c r="BC54" i="11"/>
  <c r="S54" i="10"/>
  <c r="S54" i="11"/>
  <c r="Y8" i="11"/>
  <c r="BK10" i="11"/>
  <c r="AA10" i="10"/>
  <c r="AA10" i="11"/>
  <c r="T51" i="10"/>
  <c r="BD51" i="11"/>
  <c r="T56" i="11"/>
  <c r="BD71" i="11"/>
  <c r="T71" i="10"/>
  <c r="Q21" i="11"/>
  <c r="BA56" i="11"/>
  <c r="Q56" i="10"/>
  <c r="BA61" i="11"/>
  <c r="Q61" i="10"/>
  <c r="Q73" i="11"/>
  <c r="BE25" i="11"/>
  <c r="U25" i="10"/>
  <c r="U50" i="11"/>
  <c r="U57" i="11"/>
  <c r="BG51" i="11"/>
  <c r="W51" i="10"/>
  <c r="W63" i="10"/>
  <c r="BG63" i="11"/>
  <c r="N22" i="11"/>
  <c r="N34" i="11"/>
  <c r="X70" i="11"/>
  <c r="BT12" i="11"/>
  <c r="AJ12" i="10"/>
  <c r="AJ45" i="10"/>
  <c r="BT45" i="11"/>
  <c r="AJ60" i="10"/>
  <c r="BT60" i="11"/>
  <c r="AJ60" i="11"/>
  <c r="BT67" i="11"/>
  <c r="AJ67" i="10"/>
  <c r="M36" i="10"/>
  <c r="AW36" i="11"/>
  <c r="M49" i="10"/>
  <c r="AW49" i="11"/>
  <c r="M49" i="11"/>
  <c r="M61" i="11"/>
  <c r="AV14" i="11"/>
  <c r="L14" i="10"/>
  <c r="L19" i="10"/>
  <c r="AV19" i="11"/>
  <c r="L34" i="11"/>
  <c r="AV47" i="11"/>
  <c r="L47" i="10"/>
  <c r="L66" i="10"/>
  <c r="AV66" i="11"/>
  <c r="AE26" i="10"/>
  <c r="BO26" i="11"/>
  <c r="BO31" i="11"/>
  <c r="AE31" i="10"/>
  <c r="BJ9" i="11"/>
  <c r="Z9" i="10"/>
  <c r="Z18" i="11"/>
  <c r="AF26" i="11"/>
  <c r="AF42" i="11"/>
  <c r="AF58" i="11"/>
  <c r="AF74" i="11"/>
  <c r="BQ23" i="11"/>
  <c r="AG23" i="10"/>
  <c r="AG34" i="11"/>
  <c r="AG66" i="11"/>
  <c r="AG73" i="11"/>
  <c r="P33" i="11"/>
  <c r="P47" i="10"/>
  <c r="AZ47" i="11"/>
  <c r="P62" i="11"/>
  <c r="BR30" i="11"/>
  <c r="AH30" i="10"/>
  <c r="AH42" i="10"/>
  <c r="BR42" i="11"/>
  <c r="AI28" i="10"/>
  <c r="BS28" i="11"/>
  <c r="AI43" i="11"/>
  <c r="BS60" i="11"/>
  <c r="AI60" i="10"/>
  <c r="AI60" i="11"/>
  <c r="BS68" i="11"/>
  <c r="AI68" i="10"/>
  <c r="F19" i="10"/>
  <c r="AP19" i="11"/>
  <c r="AR18" i="11"/>
  <c r="H18" i="10"/>
  <c r="AR23" i="11"/>
  <c r="H23" i="10"/>
  <c r="H34" i="10"/>
  <c r="AR34" i="11"/>
  <c r="H34" i="11"/>
  <c r="AR39" i="11"/>
  <c r="H39" i="10"/>
  <c r="H50" i="10"/>
  <c r="AR50" i="11"/>
  <c r="H55" i="10"/>
  <c r="AR55" i="11"/>
  <c r="AR66" i="11"/>
  <c r="H66" i="10"/>
  <c r="AK25" i="11"/>
  <c r="K56" i="11"/>
  <c r="AT30" i="11"/>
  <c r="J30" i="10"/>
  <c r="J30" i="11"/>
  <c r="I59" i="10"/>
  <c r="AS59" i="11"/>
  <c r="AY69" i="11"/>
  <c r="O69" i="10"/>
  <c r="BC23" i="11"/>
  <c r="S23" i="10"/>
  <c r="BC67" i="11"/>
  <c r="S67" i="10"/>
  <c r="BE31" i="11"/>
  <c r="U31" i="10"/>
  <c r="U39" i="10"/>
  <c r="BE39" i="11"/>
  <c r="BG45" i="11"/>
  <c r="W45" i="10"/>
  <c r="X26" i="11"/>
  <c r="BH51" i="11"/>
  <c r="X51" i="11"/>
  <c r="X51" i="10"/>
  <c r="BB40" i="11"/>
  <c r="R40" i="10"/>
  <c r="AJ21" i="10"/>
  <c r="BT21" i="11"/>
  <c r="AW30" i="11"/>
  <c r="M30" i="10"/>
  <c r="AV17" i="11"/>
  <c r="L17" i="10"/>
  <c r="L75" i="10"/>
  <c r="AV75" i="11"/>
  <c r="AE40" i="11"/>
  <c r="AF13" i="11"/>
  <c r="AF29" i="11"/>
  <c r="AF45" i="11"/>
  <c r="AF61" i="11"/>
  <c r="AZ50" i="11"/>
  <c r="P50" i="10"/>
  <c r="BS31" i="11"/>
  <c r="AI31" i="10"/>
  <c r="BS47" i="11"/>
  <c r="AI47" i="10"/>
  <c r="F18" i="11"/>
  <c r="AP43" i="11"/>
  <c r="F43" i="10"/>
  <c r="F51" i="10"/>
  <c r="AP51" i="11"/>
  <c r="AP59" i="11"/>
  <c r="F59" i="10"/>
  <c r="F67" i="10"/>
  <c r="AP67" i="11"/>
  <c r="F75" i="10"/>
  <c r="AP75" i="11"/>
  <c r="BU68" i="11"/>
  <c r="AK68" i="10"/>
  <c r="BU70" i="11"/>
  <c r="AK70" i="10"/>
  <c r="K52" i="11"/>
  <c r="J26" i="11"/>
  <c r="I8" i="10"/>
  <c r="AS8" i="11"/>
  <c r="I36" i="11"/>
  <c r="AB25" i="11"/>
  <c r="O65" i="11"/>
  <c r="AA31" i="11"/>
  <c r="BK39" i="11"/>
  <c r="AA39" i="10"/>
  <c r="AA43" i="11"/>
  <c r="AA74" i="10"/>
  <c r="BK74" i="11"/>
  <c r="V56" i="10"/>
  <c r="BF56" i="11"/>
  <c r="V69" i="10"/>
  <c r="BF69" i="11"/>
  <c r="BF72" i="11"/>
  <c r="V72" i="10"/>
  <c r="BG17" i="11"/>
  <c r="W17" i="10"/>
  <c r="W37" i="10"/>
  <c r="BG37" i="11"/>
  <c r="BG57" i="11"/>
  <c r="W57" i="10"/>
  <c r="AX54" i="11"/>
  <c r="N54" i="10"/>
  <c r="N66" i="11"/>
  <c r="AJ36" i="11"/>
  <c r="M17" i="10"/>
  <c r="AW17" i="11"/>
  <c r="M25" i="11"/>
  <c r="AW53" i="11"/>
  <c r="M53" i="10"/>
  <c r="AW68" i="11"/>
  <c r="M68" i="10"/>
  <c r="AE15" i="11"/>
  <c r="AE35" i="11"/>
  <c r="AG63" i="10"/>
  <c r="BQ63" i="11"/>
  <c r="P66" i="11"/>
  <c r="K26" i="27"/>
  <c r="L26" i="27" s="1"/>
  <c r="N26" i="27" s="1"/>
  <c r="K26" i="28"/>
  <c r="L26" i="28" s="1"/>
  <c r="N26" i="28" s="1"/>
  <c r="K26" i="26"/>
  <c r="L26" i="26" s="1"/>
  <c r="N26" i="26" s="1"/>
  <c r="AV30" i="9"/>
  <c r="AY30" i="9" s="1"/>
  <c r="AK14" i="29"/>
  <c r="AK62" i="10"/>
  <c r="BU62" i="11"/>
  <c r="K9" i="11"/>
  <c r="K32" i="11"/>
  <c r="J13" i="11"/>
  <c r="J25" i="11"/>
  <c r="I67" i="11"/>
  <c r="BL37" i="11"/>
  <c r="AB37" i="10"/>
  <c r="BL73" i="11"/>
  <c r="AB73" i="10"/>
  <c r="O46" i="10"/>
  <c r="AY46" i="11"/>
  <c r="S27" i="11"/>
  <c r="S47" i="11"/>
  <c r="BM16" i="11"/>
  <c r="AC16" i="10"/>
  <c r="AC44" i="10"/>
  <c r="BM44" i="11"/>
  <c r="BM52" i="11"/>
  <c r="AC52" i="10"/>
  <c r="AC60" i="10"/>
  <c r="BM60" i="11"/>
  <c r="AC68" i="10"/>
  <c r="BM68" i="11"/>
  <c r="BD13" i="11"/>
  <c r="T13" i="10"/>
  <c r="Q14" i="10"/>
  <c r="BA14" i="11"/>
  <c r="BE27" i="11"/>
  <c r="U27" i="10"/>
  <c r="BE59" i="11"/>
  <c r="U59" i="10"/>
  <c r="BE75" i="11"/>
  <c r="U75" i="10"/>
  <c r="U75" i="11"/>
  <c r="W36" i="11"/>
  <c r="W44" i="11"/>
  <c r="W60" i="11"/>
  <c r="W68" i="10"/>
  <c r="BG68" i="11"/>
  <c r="W68" i="11"/>
  <c r="W72" i="11"/>
  <c r="X15" i="10"/>
  <c r="BH15" i="11"/>
  <c r="X15" i="11"/>
  <c r="BB10" i="11"/>
  <c r="R10" i="10"/>
  <c r="R19" i="11"/>
  <c r="BB23" i="11"/>
  <c r="R23" i="10"/>
  <c r="BB31" i="11"/>
  <c r="R31" i="10"/>
  <c r="BT65" i="11"/>
  <c r="AJ65" i="10"/>
  <c r="L63" i="11"/>
  <c r="AE42" i="10"/>
  <c r="BO42" i="11"/>
  <c r="AD17" i="11"/>
  <c r="BN30" i="11"/>
  <c r="AD30" i="10"/>
  <c r="BN38" i="11"/>
  <c r="AD38" i="10"/>
  <c r="BN46" i="11"/>
  <c r="AD46" i="10"/>
  <c r="AD54" i="10"/>
  <c r="BN54" i="11"/>
  <c r="BN62" i="11"/>
  <c r="AD62" i="10"/>
  <c r="BN70" i="11"/>
  <c r="AD70" i="10"/>
  <c r="P35" i="11"/>
  <c r="AZ55" i="11"/>
  <c r="P55" i="10"/>
  <c r="BR8" i="11"/>
  <c r="AH8" i="10"/>
  <c r="AH28" i="11"/>
  <c r="AH48" i="11"/>
  <c r="P37" i="28"/>
  <c r="Q37" i="28" s="1"/>
  <c r="R37" i="28"/>
  <c r="AV67" i="9"/>
  <c r="AY67" i="9" s="1"/>
  <c r="BU49" i="11"/>
  <c r="AK49" i="10"/>
  <c r="AK61" i="11"/>
  <c r="AU8" i="11"/>
  <c r="K8" i="10"/>
  <c r="K12" i="10"/>
  <c r="AU12" i="11"/>
  <c r="AT71" i="11"/>
  <c r="J71" i="10"/>
  <c r="J71" i="11"/>
  <c r="I19" i="11"/>
  <c r="AS28" i="11"/>
  <c r="I28" i="10"/>
  <c r="I28" i="11"/>
  <c r="AB13" i="11"/>
  <c r="AB31" i="10"/>
  <c r="BL31" i="11"/>
  <c r="AB44" i="10"/>
  <c r="BL44" i="11"/>
  <c r="AB44" i="11"/>
  <c r="O49" i="11"/>
  <c r="S14" i="10"/>
  <c r="BC14" i="11"/>
  <c r="S14" i="11"/>
  <c r="BC18" i="11"/>
  <c r="S18" i="10"/>
  <c r="AC19" i="11"/>
  <c r="BM23" i="11"/>
  <c r="AC23" i="10"/>
  <c r="AC31" i="11"/>
  <c r="AC63" i="11"/>
  <c r="AC67" i="10"/>
  <c r="BM67" i="11"/>
  <c r="AC67" i="11"/>
  <c r="AC75" i="11"/>
  <c r="BA13" i="11"/>
  <c r="Q13" i="10"/>
  <c r="Q37" i="11"/>
  <c r="U14" i="11"/>
  <c r="U33" i="10"/>
  <c r="BE33" i="11"/>
  <c r="U66" i="11"/>
  <c r="V32" i="10"/>
  <c r="BF32" i="11"/>
  <c r="V75" i="11"/>
  <c r="N29" i="11"/>
  <c r="BH35" i="11"/>
  <c r="X35" i="10"/>
  <c r="X67" i="11"/>
  <c r="X75" i="11"/>
  <c r="R48" i="11"/>
  <c r="R75" i="11"/>
  <c r="L58" i="11"/>
  <c r="L74" i="11"/>
  <c r="Z17" i="11"/>
  <c r="Z33" i="11"/>
  <c r="Z64" i="11"/>
  <c r="AF17" i="11"/>
  <c r="AF33" i="11"/>
  <c r="AF49" i="11"/>
  <c r="AF50" i="10"/>
  <c r="BP50" i="11"/>
  <c r="BN37" i="11"/>
  <c r="AD37" i="10"/>
  <c r="BR10" i="11"/>
  <c r="AH10" i="10"/>
  <c r="AH19" i="11"/>
  <c r="AH75" i="11"/>
  <c r="BS40" i="11"/>
  <c r="AI40" i="10"/>
  <c r="AI72" i="11"/>
  <c r="F15" i="10"/>
  <c r="AP15" i="11"/>
  <c r="AK8" i="10"/>
  <c r="BU8" i="11"/>
  <c r="BU13" i="11"/>
  <c r="AK13" i="10"/>
  <c r="AK17" i="10"/>
  <c r="BU17" i="11"/>
  <c r="BU29" i="11"/>
  <c r="AK29" i="10"/>
  <c r="BU60" i="11"/>
  <c r="AK60" i="10"/>
  <c r="AU25" i="11"/>
  <c r="K25" i="10"/>
  <c r="K73" i="11"/>
  <c r="J46" i="11"/>
  <c r="J70" i="11"/>
  <c r="I57" i="10"/>
  <c r="AS57" i="11"/>
  <c r="I64" i="10"/>
  <c r="I64" i="11"/>
  <c r="AS64" i="11"/>
  <c r="AY62" i="11"/>
  <c r="O62" i="10"/>
  <c r="O62" i="11"/>
  <c r="S58" i="11"/>
  <c r="Y41" i="10"/>
  <c r="BI41" i="11"/>
  <c r="Y61" i="10"/>
  <c r="BI61" i="11"/>
  <c r="Y61" i="11"/>
  <c r="Y69" i="10"/>
  <c r="BI69" i="11"/>
  <c r="BK44" i="11"/>
  <c r="AA44" i="10"/>
  <c r="BD49" i="11"/>
  <c r="T49" i="10"/>
  <c r="V15" i="11"/>
  <c r="V39" i="10"/>
  <c r="BF39" i="11"/>
  <c r="V39" i="11"/>
  <c r="AX20" i="11"/>
  <c r="N20" i="10"/>
  <c r="X54" i="11"/>
  <c r="R35" i="10"/>
  <c r="BB35" i="11"/>
  <c r="R55" i="10"/>
  <c r="BB55" i="11"/>
  <c r="BB66" i="11"/>
  <c r="R66" i="10"/>
  <c r="BT37" i="11"/>
  <c r="AJ37" i="10"/>
  <c r="AJ57" i="10"/>
  <c r="BT57" i="11"/>
  <c r="M26" i="11"/>
  <c r="BO12" i="11"/>
  <c r="AE12" i="10"/>
  <c r="AE12" i="11"/>
  <c r="AZ11" i="11"/>
  <c r="P11" i="10"/>
  <c r="P31" i="10"/>
  <c r="AZ31" i="11"/>
  <c r="AU12" i="9"/>
  <c r="AR9" i="11"/>
  <c r="H9" i="10"/>
  <c r="H25" i="10"/>
  <c r="AR25" i="11"/>
  <c r="H41" i="10"/>
  <c r="AR41" i="11"/>
  <c r="AR57" i="11"/>
  <c r="H57" i="10"/>
  <c r="BU15" i="11"/>
  <c r="AK15" i="10"/>
  <c r="BU47" i="11"/>
  <c r="AK47" i="10"/>
  <c r="O27" i="10"/>
  <c r="AY27" i="11"/>
  <c r="O59" i="10"/>
  <c r="AY59" i="11"/>
  <c r="J64" i="10"/>
  <c r="AT64" i="11"/>
  <c r="BI14" i="11"/>
  <c r="Y14" i="10"/>
  <c r="Y30" i="10"/>
  <c r="BI30" i="11"/>
  <c r="BI46" i="11"/>
  <c r="Y46" i="10"/>
  <c r="BI62" i="11"/>
  <c r="Y62" i="10"/>
  <c r="K14" i="10"/>
  <c r="AU14" i="11"/>
  <c r="AU46" i="11"/>
  <c r="K46" i="10"/>
  <c r="J39" i="10"/>
  <c r="AT39" i="11"/>
  <c r="AA13" i="10"/>
  <c r="BK13" i="11"/>
  <c r="BK45" i="11"/>
  <c r="AA45" i="10"/>
  <c r="T10" i="10"/>
  <c r="BD10" i="11"/>
  <c r="BD42" i="11"/>
  <c r="T42" i="10"/>
  <c r="BD74" i="11"/>
  <c r="T74" i="10"/>
  <c r="Q35" i="10"/>
  <c r="BA35" i="11"/>
  <c r="BA67" i="11"/>
  <c r="Q67" i="10"/>
  <c r="BH20" i="11"/>
  <c r="X20" i="10"/>
  <c r="AV72" i="11"/>
  <c r="L72" i="10"/>
  <c r="AG8" i="10"/>
  <c r="BQ8" i="11"/>
  <c r="BQ24" i="11"/>
  <c r="AG24" i="10"/>
  <c r="BQ40" i="11"/>
  <c r="AG40" i="10"/>
  <c r="BQ56" i="11"/>
  <c r="AG56" i="10"/>
  <c r="BA15" i="11"/>
  <c r="Q15" i="10"/>
  <c r="BA47" i="11"/>
  <c r="Q47" i="10"/>
  <c r="U12" i="10"/>
  <c r="BE12" i="11"/>
  <c r="U44" i="10"/>
  <c r="BE44" i="11"/>
  <c r="V13" i="10"/>
  <c r="BF13" i="11"/>
  <c r="V45" i="10"/>
  <c r="BF45" i="11"/>
  <c r="BG10" i="11"/>
  <c r="W10" i="10"/>
  <c r="W10" i="11"/>
  <c r="W42" i="10"/>
  <c r="BG42" i="11"/>
  <c r="W74" i="10"/>
  <c r="BG74" i="11"/>
  <c r="AX35" i="11"/>
  <c r="N35" i="10"/>
  <c r="N67" i="10"/>
  <c r="AX67" i="11"/>
  <c r="BH32" i="11"/>
  <c r="X32" i="10"/>
  <c r="BH64" i="11"/>
  <c r="X64" i="10"/>
  <c r="BK21" i="11"/>
  <c r="AA21" i="10"/>
  <c r="BK53" i="11"/>
  <c r="AA53" i="10"/>
  <c r="BE24" i="11"/>
  <c r="U24" i="10"/>
  <c r="BE56" i="11"/>
  <c r="U56" i="10"/>
  <c r="AX15" i="11"/>
  <c r="N15" i="10"/>
  <c r="N15" i="11"/>
  <c r="N47" i="10"/>
  <c r="AX47" i="11"/>
  <c r="X12" i="10"/>
  <c r="BH12" i="11"/>
  <c r="BH44" i="11"/>
  <c r="X44" i="10"/>
  <c r="BB13" i="11"/>
  <c r="R13" i="10"/>
  <c r="BB45" i="11"/>
  <c r="R45" i="10"/>
  <c r="AJ10" i="10"/>
  <c r="BT10" i="11"/>
  <c r="AJ42" i="10"/>
  <c r="BT42" i="11"/>
  <c r="BT74" i="11"/>
  <c r="AJ74" i="10"/>
  <c r="M35" i="10"/>
  <c r="AW35" i="11"/>
  <c r="AW67" i="11"/>
  <c r="M67" i="10"/>
  <c r="L32" i="10"/>
  <c r="AV32" i="11"/>
  <c r="AV64" i="11"/>
  <c r="L64" i="10"/>
  <c r="BO21" i="11"/>
  <c r="AE21" i="10"/>
  <c r="AE37" i="10"/>
  <c r="BO37" i="11"/>
  <c r="BO53" i="11"/>
  <c r="AE53" i="10"/>
  <c r="AE69" i="10"/>
  <c r="BO69" i="11"/>
  <c r="BN13" i="11"/>
  <c r="AD13" i="10"/>
  <c r="AD23" i="10"/>
  <c r="BN23" i="11"/>
  <c r="BN55" i="11"/>
  <c r="AD55" i="10"/>
  <c r="P20" i="10"/>
  <c r="AZ20" i="11"/>
  <c r="AZ52" i="11"/>
  <c r="P52" i="10"/>
  <c r="BS33" i="11"/>
  <c r="AI33" i="10"/>
  <c r="AI65" i="10"/>
  <c r="BS65" i="11"/>
  <c r="AD19" i="10"/>
  <c r="BN19" i="11"/>
  <c r="BN51" i="11"/>
  <c r="AD51" i="10"/>
  <c r="P16" i="10"/>
  <c r="AZ16" i="11"/>
  <c r="AZ48" i="11"/>
  <c r="P48" i="10"/>
  <c r="P25" i="28"/>
  <c r="Q25" i="28" s="1"/>
  <c r="R25" i="28"/>
  <c r="R67" i="26"/>
  <c r="P67" i="26"/>
  <c r="Q67" i="26" s="1"/>
  <c r="AU45" i="9"/>
  <c r="AU36" i="9"/>
  <c r="P11" i="27"/>
  <c r="Q11" i="27" s="1"/>
  <c r="R11" i="27"/>
  <c r="M13" i="29"/>
  <c r="P74" i="27"/>
  <c r="Q74" i="27" s="1"/>
  <c r="R74" i="27"/>
  <c r="AU21" i="9"/>
  <c r="AU59" i="9"/>
  <c r="P66" i="28"/>
  <c r="Q66" i="28" s="1"/>
  <c r="R66" i="28"/>
  <c r="R43" i="28"/>
  <c r="P43" i="28"/>
  <c r="Q43" i="28" s="1"/>
  <c r="R42" i="26"/>
  <c r="P42" i="26"/>
  <c r="Q42" i="26" s="1"/>
  <c r="R30" i="27"/>
  <c r="P30" i="27"/>
  <c r="Q30" i="27" s="1"/>
  <c r="R14" i="26"/>
  <c r="P14" i="26"/>
  <c r="Q14" i="26" s="1"/>
  <c r="R11" i="26"/>
  <c r="P11" i="26"/>
  <c r="Q11" i="26" s="1"/>
  <c r="R45" i="28"/>
  <c r="P45" i="28"/>
  <c r="Q45" i="28" s="1"/>
  <c r="P40" i="27"/>
  <c r="Q40" i="27" s="1"/>
  <c r="R40" i="27"/>
  <c r="R33" i="28"/>
  <c r="P33" i="28"/>
  <c r="Q33" i="28" s="1"/>
  <c r="R27" i="28"/>
  <c r="P27" i="28"/>
  <c r="Q27" i="28" s="1"/>
  <c r="M14" i="29"/>
  <c r="AU43" i="9"/>
  <c r="M8" i="29"/>
  <c r="R67" i="27"/>
  <c r="P67" i="27"/>
  <c r="Q67" i="27" s="1"/>
  <c r="R22" i="28"/>
  <c r="P22" i="28"/>
  <c r="Q22" i="28" s="1"/>
  <c r="P31" i="26"/>
  <c r="Q31" i="26" s="1"/>
  <c r="R31" i="26"/>
  <c r="R62" i="27"/>
  <c r="P62" i="27"/>
  <c r="Q62" i="27" s="1"/>
  <c r="P54" i="26"/>
  <c r="Q54" i="26" s="1"/>
  <c r="R54" i="26"/>
  <c r="R19" i="27"/>
  <c r="P19" i="27"/>
  <c r="Q19" i="27" s="1"/>
  <c r="F68" i="10"/>
  <c r="AP68" i="11"/>
  <c r="F32" i="10"/>
  <c r="AP32" i="11"/>
  <c r="AP64" i="11"/>
  <c r="F64" i="10"/>
  <c r="AT8" i="11"/>
  <c r="J8" i="10"/>
  <c r="J32" i="10"/>
  <c r="AT32" i="11"/>
  <c r="AB11" i="10"/>
  <c r="BL11" i="11"/>
  <c r="AB11" i="11"/>
  <c r="AB35" i="10"/>
  <c r="BL35" i="11"/>
  <c r="T19" i="10"/>
  <c r="BD19" i="11"/>
  <c r="T55" i="10"/>
  <c r="BD55" i="11"/>
  <c r="BE52" i="11"/>
  <c r="U52" i="10"/>
  <c r="AT28" i="11"/>
  <c r="J28" i="10"/>
  <c r="AS14" i="11"/>
  <c r="I14" i="10"/>
  <c r="O64" i="10"/>
  <c r="AY64" i="11"/>
  <c r="AA26" i="10"/>
  <c r="BK26" i="11"/>
  <c r="Q8" i="10"/>
  <c r="BA8" i="11"/>
  <c r="U16" i="10"/>
  <c r="BE16" i="11"/>
  <c r="U16" i="11"/>
  <c r="AS42" i="11"/>
  <c r="I42" i="10"/>
  <c r="BC40" i="11"/>
  <c r="S40" i="10"/>
  <c r="BM10" i="11"/>
  <c r="AC10" i="10"/>
  <c r="AC26" i="10"/>
  <c r="BM26" i="11"/>
  <c r="BM34" i="11"/>
  <c r="AC34" i="10"/>
  <c r="AC42" i="10"/>
  <c r="BM42" i="11"/>
  <c r="BG30" i="11"/>
  <c r="W30" i="10"/>
  <c r="AX28" i="11"/>
  <c r="N28" i="10"/>
  <c r="N48" i="10"/>
  <c r="AX48" i="11"/>
  <c r="BH41" i="11"/>
  <c r="X41" i="10"/>
  <c r="X61" i="10"/>
  <c r="BH61" i="11"/>
  <c r="BB25" i="11"/>
  <c r="R25" i="10"/>
  <c r="AW32" i="11"/>
  <c r="M32" i="10"/>
  <c r="M52" i="10"/>
  <c r="AW52" i="11"/>
  <c r="L8" i="10"/>
  <c r="AV8" i="11"/>
  <c r="AV44" i="11"/>
  <c r="L44" i="10"/>
  <c r="AE18" i="10"/>
  <c r="BO18" i="11"/>
  <c r="AE50" i="10"/>
  <c r="BO50" i="11"/>
  <c r="BJ15" i="11"/>
  <c r="Z15" i="10"/>
  <c r="BJ47" i="11"/>
  <c r="Z47" i="10"/>
  <c r="BP40" i="11"/>
  <c r="AF40" i="10"/>
  <c r="AH14" i="10"/>
  <c r="BR14" i="11"/>
  <c r="BR34" i="11"/>
  <c r="AH34" i="10"/>
  <c r="AH58" i="10"/>
  <c r="BR58" i="11"/>
  <c r="BS50" i="11"/>
  <c r="AI50" i="10"/>
  <c r="BG15" i="11"/>
  <c r="W15" i="10"/>
  <c r="BG46" i="11"/>
  <c r="W46" i="10"/>
  <c r="AX68" i="11"/>
  <c r="N68" i="10"/>
  <c r="R30" i="10"/>
  <c r="BB30" i="11"/>
  <c r="R30" i="11"/>
  <c r="R50" i="10"/>
  <c r="BB50" i="11"/>
  <c r="AW40" i="11"/>
  <c r="M40" i="10"/>
  <c r="AV49" i="11"/>
  <c r="L49" i="10"/>
  <c r="BO10" i="11"/>
  <c r="AE10" i="10"/>
  <c r="BO38" i="11"/>
  <c r="AE38" i="10"/>
  <c r="V22" i="10"/>
  <c r="BF22" i="11"/>
  <c r="BG19" i="11"/>
  <c r="W19" i="10"/>
  <c r="W59" i="10"/>
  <c r="BG59" i="11"/>
  <c r="X24" i="10"/>
  <c r="BH24" i="11"/>
  <c r="X24" i="11"/>
  <c r="BH68" i="11"/>
  <c r="X68" i="10"/>
  <c r="BB57" i="11"/>
  <c r="R57" i="10"/>
  <c r="M15" i="10"/>
  <c r="AW15" i="11"/>
  <c r="AW56" i="11"/>
  <c r="M56" i="10"/>
  <c r="AV28" i="11"/>
  <c r="L28" i="10"/>
  <c r="BO14" i="11"/>
  <c r="AE14" i="10"/>
  <c r="AF35" i="10"/>
  <c r="BP35" i="11"/>
  <c r="AF35" i="11"/>
  <c r="BN48" i="11"/>
  <c r="AD48" i="10"/>
  <c r="P24" i="10"/>
  <c r="AZ24" i="11"/>
  <c r="AU69" i="9"/>
  <c r="R47" i="27"/>
  <c r="P47" i="27"/>
  <c r="Q47" i="27" s="1"/>
  <c r="P27" i="27"/>
  <c r="Q27" i="27" s="1"/>
  <c r="R27" i="27"/>
  <c r="AU42" i="9"/>
  <c r="R65" i="27"/>
  <c r="P65" i="27"/>
  <c r="Q65" i="27" s="1"/>
  <c r="R64" i="26"/>
  <c r="P64" i="26"/>
  <c r="Q64" i="26" s="1"/>
  <c r="P73" i="26"/>
  <c r="Q73" i="26" s="1"/>
  <c r="R73" i="26"/>
  <c r="R41" i="28"/>
  <c r="P41" i="28"/>
  <c r="Q41" i="28" s="1"/>
  <c r="AU26" i="9"/>
  <c r="AU22" i="9"/>
  <c r="AU14" i="9"/>
  <c r="R44" i="28"/>
  <c r="P44" i="28"/>
  <c r="Q44" i="28" s="1"/>
  <c r="R57" i="27"/>
  <c r="P57" i="27"/>
  <c r="Q57" i="27" s="1"/>
  <c r="R44" i="26"/>
  <c r="P44" i="26"/>
  <c r="Q44" i="26" s="1"/>
  <c r="P21" i="26"/>
  <c r="Q21" i="26" s="1"/>
  <c r="R21" i="26"/>
  <c r="P17" i="27"/>
  <c r="Q17" i="27" s="1"/>
  <c r="R17" i="27"/>
  <c r="R12" i="28"/>
  <c r="P12" i="28"/>
  <c r="Q12" i="28" s="1"/>
  <c r="AP41" i="11"/>
  <c r="F41" i="10"/>
  <c r="F49" i="10"/>
  <c r="AP49" i="11"/>
  <c r="AK41" i="10"/>
  <c r="BU41" i="11"/>
  <c r="AU63" i="11"/>
  <c r="K63" i="10"/>
  <c r="AS46" i="11"/>
  <c r="I46" i="10"/>
  <c r="I69" i="10"/>
  <c r="AS69" i="11"/>
  <c r="BC55" i="11"/>
  <c r="S55" i="10"/>
  <c r="BI24" i="11"/>
  <c r="Y24" i="10"/>
  <c r="Y24" i="11"/>
  <c r="Y35" i="10"/>
  <c r="BI35" i="11"/>
  <c r="BI40" i="11"/>
  <c r="Y40" i="10"/>
  <c r="Y51" i="10"/>
  <c r="BI51" i="11"/>
  <c r="Y56" i="10"/>
  <c r="BI56" i="11"/>
  <c r="Y72" i="10"/>
  <c r="BI72" i="11"/>
  <c r="BK48" i="11"/>
  <c r="AA48" i="10"/>
  <c r="AA48" i="11"/>
  <c r="BA46" i="11"/>
  <c r="Q46" i="10"/>
  <c r="BA54" i="11"/>
  <c r="Q54" i="10"/>
  <c r="Q62" i="10"/>
  <c r="BA62" i="11"/>
  <c r="U19" i="10"/>
  <c r="BE19" i="11"/>
  <c r="U47" i="10"/>
  <c r="BE47" i="11"/>
  <c r="BE55" i="11"/>
  <c r="U55" i="10"/>
  <c r="BF55" i="11"/>
  <c r="V55" i="10"/>
  <c r="BG53" i="11"/>
  <c r="W53" i="10"/>
  <c r="AX14" i="11"/>
  <c r="N14" i="10"/>
  <c r="AX45" i="11"/>
  <c r="N45" i="10"/>
  <c r="AX70" i="11"/>
  <c r="N70" i="10"/>
  <c r="X71" i="10"/>
  <c r="BH71" i="11"/>
  <c r="X71" i="11"/>
  <c r="R60" i="10"/>
  <c r="BB60" i="11"/>
  <c r="BT13" i="11"/>
  <c r="AJ13" i="10"/>
  <c r="M50" i="10"/>
  <c r="AW50" i="11"/>
  <c r="AW74" i="11"/>
  <c r="M74" i="10"/>
  <c r="L67" i="10"/>
  <c r="AV67" i="11"/>
  <c r="AE64" i="10"/>
  <c r="BO64" i="11"/>
  <c r="AG42" i="11"/>
  <c r="AD25" i="11"/>
  <c r="AD44" i="10"/>
  <c r="BN44" i="11"/>
  <c r="AR12" i="11"/>
  <c r="H12" i="10"/>
  <c r="AR20" i="11"/>
  <c r="H20" i="10"/>
  <c r="AR28" i="11"/>
  <c r="H28" i="10"/>
  <c r="H36" i="10"/>
  <c r="AR36" i="11"/>
  <c r="H44" i="10"/>
  <c r="AR44" i="11"/>
  <c r="H52" i="10"/>
  <c r="AR52" i="11"/>
  <c r="AR60" i="11"/>
  <c r="H60" i="10"/>
  <c r="AR68" i="11"/>
  <c r="H68" i="10"/>
  <c r="BU33" i="11"/>
  <c r="AK33" i="10"/>
  <c r="K57" i="10"/>
  <c r="AU57" i="11"/>
  <c r="K57" i="11"/>
  <c r="AT24" i="11"/>
  <c r="J24" i="10"/>
  <c r="AT37" i="11"/>
  <c r="J37" i="10"/>
  <c r="AT58" i="11"/>
  <c r="J58" i="10"/>
  <c r="J72" i="11"/>
  <c r="O63" i="10"/>
  <c r="AY63" i="11"/>
  <c r="AY74" i="11"/>
  <c r="O74" i="10"/>
  <c r="O74" i="11"/>
  <c r="BC29" i="11"/>
  <c r="S29" i="10"/>
  <c r="BD35" i="11"/>
  <c r="T35" i="10"/>
  <c r="T39" i="11"/>
  <c r="T64" i="11"/>
  <c r="BA20" i="11"/>
  <c r="Q20" i="10"/>
  <c r="BA28" i="11"/>
  <c r="Q28" i="10"/>
  <c r="BA32" i="11"/>
  <c r="Q32" i="10"/>
  <c r="BA45" i="11"/>
  <c r="Q45" i="10"/>
  <c r="Q60" i="11"/>
  <c r="BE17" i="11"/>
  <c r="U17" i="10"/>
  <c r="BE70" i="11"/>
  <c r="U70" i="10"/>
  <c r="BF23" i="11"/>
  <c r="V23" i="10"/>
  <c r="BF64" i="11"/>
  <c r="V64" i="10"/>
  <c r="N12" i="10"/>
  <c r="AX12" i="11"/>
  <c r="N33" i="11"/>
  <c r="N49" i="10"/>
  <c r="AX49" i="11"/>
  <c r="N56" i="10"/>
  <c r="AX56" i="11"/>
  <c r="BH27" i="11"/>
  <c r="X27" i="10"/>
  <c r="BH57" i="11"/>
  <c r="X57" i="10"/>
  <c r="BB46" i="11"/>
  <c r="R46" i="10"/>
  <c r="R46" i="11"/>
  <c r="BB59" i="11"/>
  <c r="R59" i="10"/>
  <c r="R59" i="11"/>
  <c r="R72" i="10"/>
  <c r="BB72" i="11"/>
  <c r="AJ8" i="11"/>
  <c r="BT27" i="11"/>
  <c r="AJ27" i="10"/>
  <c r="BT38" i="11"/>
  <c r="AJ38" i="10"/>
  <c r="AE55" i="10"/>
  <c r="BO55" i="11"/>
  <c r="AE59" i="10"/>
  <c r="BO59" i="11"/>
  <c r="AE59" i="11"/>
  <c r="Z29" i="10"/>
  <c r="BJ29" i="11"/>
  <c r="BJ45" i="11"/>
  <c r="Z45" i="10"/>
  <c r="Z61" i="10"/>
  <c r="BJ61" i="11"/>
  <c r="Z61" i="11"/>
  <c r="AF73" i="11"/>
  <c r="AG47" i="10"/>
  <c r="BQ47" i="11"/>
  <c r="AG47" i="11"/>
  <c r="AG59" i="10"/>
  <c r="BQ59" i="11"/>
  <c r="AD43" i="10"/>
  <c r="BN43" i="11"/>
  <c r="AZ13" i="11"/>
  <c r="P13" i="10"/>
  <c r="AZ18" i="11"/>
  <c r="P18" i="11"/>
  <c r="P18" i="10"/>
  <c r="AZ40" i="11"/>
  <c r="P40" i="10"/>
  <c r="P40" i="11"/>
  <c r="AZ69" i="11"/>
  <c r="P69" i="10"/>
  <c r="BR54" i="11"/>
  <c r="AH54" i="10"/>
  <c r="AI21" i="10"/>
  <c r="BS21" i="11"/>
  <c r="AI21" i="11"/>
  <c r="AI48" i="10"/>
  <c r="BS48" i="11"/>
  <c r="AI59" i="11"/>
  <c r="F13" i="11"/>
  <c r="H19" i="10"/>
  <c r="AR19" i="11"/>
  <c r="H35" i="10"/>
  <c r="AR35" i="11"/>
  <c r="AR51" i="11"/>
  <c r="H51" i="10"/>
  <c r="AR67" i="11"/>
  <c r="H67" i="10"/>
  <c r="BU14" i="11"/>
  <c r="AK14" i="10"/>
  <c r="K13" i="10"/>
  <c r="AU13" i="11"/>
  <c r="AU44" i="11"/>
  <c r="K44" i="10"/>
  <c r="I15" i="10"/>
  <c r="AS15" i="11"/>
  <c r="AB19" i="10"/>
  <c r="BL19" i="11"/>
  <c r="AB33" i="10"/>
  <c r="BL33" i="11"/>
  <c r="BL70" i="11"/>
  <c r="AB70" i="10"/>
  <c r="O37" i="10"/>
  <c r="AY37" i="11"/>
  <c r="AY53" i="11"/>
  <c r="O53" i="10"/>
  <c r="AA28" i="10"/>
  <c r="BK28" i="11"/>
  <c r="BK36" i="11"/>
  <c r="AA36" i="10"/>
  <c r="AA60" i="10"/>
  <c r="BK60" i="11"/>
  <c r="BK68" i="11"/>
  <c r="AA68" i="10"/>
  <c r="BD17" i="11"/>
  <c r="T17" i="10"/>
  <c r="BD62" i="11"/>
  <c r="T62" i="10"/>
  <c r="V16" i="10"/>
  <c r="BF16" i="11"/>
  <c r="BG21" i="11"/>
  <c r="W21" i="10"/>
  <c r="AJ66" i="10"/>
  <c r="BT66" i="11"/>
  <c r="L18" i="10"/>
  <c r="AV18" i="11"/>
  <c r="AE48" i="10"/>
  <c r="BO48" i="11"/>
  <c r="AH24" i="10"/>
  <c r="BR24" i="11"/>
  <c r="AI67" i="11"/>
  <c r="F17" i="11"/>
  <c r="F33" i="10"/>
  <c r="AP33" i="11"/>
  <c r="K28" i="11"/>
  <c r="I32" i="11"/>
  <c r="O17" i="11"/>
  <c r="AA23" i="10"/>
  <c r="BK23" i="11"/>
  <c r="AA55" i="10"/>
  <c r="BK55" i="11"/>
  <c r="AA55" i="11"/>
  <c r="BK66" i="11"/>
  <c r="AA66" i="10"/>
  <c r="T32" i="11"/>
  <c r="T40" i="10"/>
  <c r="BD40" i="11"/>
  <c r="U9" i="10"/>
  <c r="BE9" i="11"/>
  <c r="V10" i="10"/>
  <c r="BF10" i="11"/>
  <c r="V49" i="10"/>
  <c r="BF49" i="11"/>
  <c r="W13" i="11"/>
  <c r="W73" i="11"/>
  <c r="R16" i="11"/>
  <c r="BB20" i="11"/>
  <c r="R20" i="10"/>
  <c r="BB28" i="11"/>
  <c r="R28" i="10"/>
  <c r="BT19" i="11"/>
  <c r="AJ19" i="10"/>
  <c r="AJ32" i="11"/>
  <c r="M33" i="11"/>
  <c r="L50" i="10"/>
  <c r="AV50" i="11"/>
  <c r="AE11" i="11"/>
  <c r="BQ31" i="11"/>
  <c r="AG31" i="10"/>
  <c r="BQ43" i="11"/>
  <c r="AG43" i="10"/>
  <c r="AG43" i="11"/>
  <c r="P10" i="10"/>
  <c r="AZ10" i="11"/>
  <c r="AZ25" i="11"/>
  <c r="P25" i="10"/>
  <c r="AI12" i="10"/>
  <c r="BS12" i="11"/>
  <c r="AI12" i="11"/>
  <c r="AU39" i="9"/>
  <c r="AK36" i="10"/>
  <c r="BU36" i="11"/>
  <c r="BU38" i="11"/>
  <c r="AK38" i="10"/>
  <c r="K41" i="11"/>
  <c r="J21" i="11"/>
  <c r="AT41" i="11"/>
  <c r="J41" i="10"/>
  <c r="I44" i="10"/>
  <c r="AS44" i="11"/>
  <c r="AB29" i="11"/>
  <c r="AB49" i="11"/>
  <c r="BL57" i="11"/>
  <c r="AB57" i="10"/>
  <c r="BM24" i="11"/>
  <c r="AC24" i="10"/>
  <c r="AC32" i="10"/>
  <c r="BM32" i="11"/>
  <c r="BM40" i="11"/>
  <c r="AC40" i="10"/>
  <c r="AC40" i="11"/>
  <c r="Q10" i="10"/>
  <c r="BA10" i="11"/>
  <c r="BA34" i="11"/>
  <c r="Q34" i="10"/>
  <c r="BA66" i="11"/>
  <c r="Q66" i="10"/>
  <c r="U15" i="11"/>
  <c r="BG11" i="11"/>
  <c r="W11" i="10"/>
  <c r="W20" i="10"/>
  <c r="BG20" i="11"/>
  <c r="N64" i="10"/>
  <c r="AX64" i="11"/>
  <c r="BH8" i="11"/>
  <c r="X8" i="10"/>
  <c r="BH30" i="11"/>
  <c r="X30" i="10"/>
  <c r="R27" i="11"/>
  <c r="AE47" i="10"/>
  <c r="BO47" i="11"/>
  <c r="AD26" i="10"/>
  <c r="BN26" i="11"/>
  <c r="P54" i="11"/>
  <c r="AH40" i="11"/>
  <c r="AH68" i="10"/>
  <c r="BR68" i="11"/>
  <c r="F12" i="10"/>
  <c r="AP12" i="11"/>
  <c r="BU30" i="11"/>
  <c r="AK30" i="10"/>
  <c r="AU11" i="11"/>
  <c r="K11" i="10"/>
  <c r="AT51" i="11"/>
  <c r="J51" i="10"/>
  <c r="J51" i="11"/>
  <c r="J67" i="10"/>
  <c r="AT67" i="11"/>
  <c r="AS39" i="11"/>
  <c r="I39" i="10"/>
  <c r="I51" i="11"/>
  <c r="AB28" i="11"/>
  <c r="AB36" i="11"/>
  <c r="AB60" i="10"/>
  <c r="BL60" i="11"/>
  <c r="AB75" i="11"/>
  <c r="BC22" i="11"/>
  <c r="S22" i="10"/>
  <c r="BC37" i="11"/>
  <c r="S37" i="10"/>
  <c r="AC27" i="11"/>
  <c r="AC59" i="11"/>
  <c r="Q9" i="11"/>
  <c r="Q33" i="11"/>
  <c r="Q69" i="11"/>
  <c r="BE38" i="11"/>
  <c r="U38" i="10"/>
  <c r="U62" i="11"/>
  <c r="V20" i="10"/>
  <c r="BF20" i="11"/>
  <c r="N42" i="11"/>
  <c r="AX46" i="11"/>
  <c r="N46" i="10"/>
  <c r="R44" i="11"/>
  <c r="BT75" i="11"/>
  <c r="AJ75" i="10"/>
  <c r="L11" i="10"/>
  <c r="AV11" i="11"/>
  <c r="AV31" i="11"/>
  <c r="L31" i="10"/>
  <c r="L43" i="10"/>
  <c r="AV43" i="11"/>
  <c r="Z49" i="10"/>
  <c r="BJ49" i="11"/>
  <c r="BP54" i="11"/>
  <c r="AF54" i="10"/>
  <c r="AF70" i="10"/>
  <c r="BP70" i="11"/>
  <c r="BQ15" i="11"/>
  <c r="AG15" i="10"/>
  <c r="AD69" i="11"/>
  <c r="AD69" i="10"/>
  <c r="BN69" i="11"/>
  <c r="AH35" i="10"/>
  <c r="BR35" i="11"/>
  <c r="BR50" i="11"/>
  <c r="AH50" i="10"/>
  <c r="AH50" i="11"/>
  <c r="AH62" i="10"/>
  <c r="BR62" i="11"/>
  <c r="BR67" i="11"/>
  <c r="AH67" i="10"/>
  <c r="BS20" i="11"/>
  <c r="AI20" i="10"/>
  <c r="BS52" i="11"/>
  <c r="AI52" i="10"/>
  <c r="AV75" i="9"/>
  <c r="AY75" i="9" s="1"/>
  <c r="AU35" i="9"/>
  <c r="F31" i="11"/>
  <c r="AU48" i="11"/>
  <c r="K48" i="10"/>
  <c r="I27" i="10"/>
  <c r="AS27" i="11"/>
  <c r="I27" i="11"/>
  <c r="BL15" i="11"/>
  <c r="AB15" i="10"/>
  <c r="AY22" i="11"/>
  <c r="O22" i="10"/>
  <c r="O30" i="10"/>
  <c r="AY30" i="11"/>
  <c r="O30" i="11"/>
  <c r="BC62" i="11"/>
  <c r="S62" i="10"/>
  <c r="BI16" i="11"/>
  <c r="Y16" i="10"/>
  <c r="Y21" i="10"/>
  <c r="BI21" i="11"/>
  <c r="Y29" i="10"/>
  <c r="BI29" i="11"/>
  <c r="Y29" i="11"/>
  <c r="Y37" i="10"/>
  <c r="BI37" i="11"/>
  <c r="Y37" i="11"/>
  <c r="BI49" i="11"/>
  <c r="Y49" i="10"/>
  <c r="BI57" i="11"/>
  <c r="Y57" i="10"/>
  <c r="AA12" i="10"/>
  <c r="BK12" i="11"/>
  <c r="BK24" i="11"/>
  <c r="AA24" i="10"/>
  <c r="AA24" i="11"/>
  <c r="AX17" i="11"/>
  <c r="N17" i="10"/>
  <c r="BB38" i="11"/>
  <c r="R38" i="10"/>
  <c r="R47" i="11"/>
  <c r="BB63" i="11"/>
  <c r="R63" i="10"/>
  <c r="AJ17" i="10"/>
  <c r="BT17" i="11"/>
  <c r="AJ53" i="11"/>
  <c r="AW22" i="11"/>
  <c r="M22" i="10"/>
  <c r="M58" i="11"/>
  <c r="L42" i="11"/>
  <c r="BO71" i="11"/>
  <c r="AE71" i="10"/>
  <c r="AE75" i="10"/>
  <c r="AE75" i="11"/>
  <c r="BO75" i="11"/>
  <c r="AG22" i="11"/>
  <c r="AZ75" i="11"/>
  <c r="P75" i="10"/>
  <c r="AI9" i="29"/>
  <c r="AJ7" i="29"/>
  <c r="AV55" i="9"/>
  <c r="AY55" i="9" s="1"/>
  <c r="AU11" i="9"/>
  <c r="AU7" i="9"/>
  <c r="AU16" i="9"/>
  <c r="AR74" i="11"/>
  <c r="H74" i="10"/>
  <c r="H13" i="10"/>
  <c r="AR13" i="11"/>
  <c r="AR29" i="11"/>
  <c r="H29" i="10"/>
  <c r="H45" i="10"/>
  <c r="AR45" i="11"/>
  <c r="AR61" i="11"/>
  <c r="H61" i="10"/>
  <c r="BU23" i="11"/>
  <c r="AK23" i="10"/>
  <c r="AK55" i="10"/>
  <c r="BU55" i="11"/>
  <c r="K18" i="10"/>
  <c r="AU18" i="11"/>
  <c r="AU50" i="11"/>
  <c r="K50" i="10"/>
  <c r="AT11" i="11"/>
  <c r="J11" i="10"/>
  <c r="AS33" i="11"/>
  <c r="I33" i="10"/>
  <c r="AS65" i="11"/>
  <c r="I65" i="10"/>
  <c r="BL30" i="11"/>
  <c r="AB30" i="10"/>
  <c r="AB62" i="10"/>
  <c r="BL62" i="11"/>
  <c r="AB62" i="11"/>
  <c r="AY23" i="11"/>
  <c r="O23" i="10"/>
  <c r="AY55" i="11"/>
  <c r="O55" i="10"/>
  <c r="S20" i="10"/>
  <c r="BC20" i="11"/>
  <c r="BC52" i="11"/>
  <c r="S52" i="10"/>
  <c r="Y18" i="10"/>
  <c r="BI18" i="11"/>
  <c r="Y34" i="10"/>
  <c r="BI34" i="11"/>
  <c r="Y50" i="10"/>
  <c r="BI50" i="11"/>
  <c r="BI66" i="11"/>
  <c r="Y66" i="10"/>
  <c r="AA11" i="10"/>
  <c r="BK11" i="11"/>
  <c r="AT44" i="11"/>
  <c r="J44" i="10"/>
  <c r="I13" i="10"/>
  <c r="AS13" i="11"/>
  <c r="AS45" i="11"/>
  <c r="I45" i="10"/>
  <c r="AB10" i="10"/>
  <c r="BL10" i="11"/>
  <c r="AB42" i="10"/>
  <c r="BL42" i="11"/>
  <c r="AB42" i="11"/>
  <c r="AB74" i="10"/>
  <c r="BL74" i="11"/>
  <c r="O35" i="10"/>
  <c r="AY35" i="11"/>
  <c r="AY67" i="11"/>
  <c r="O67" i="10"/>
  <c r="BC32" i="11"/>
  <c r="S32" i="10"/>
  <c r="BC64" i="11"/>
  <c r="S64" i="10"/>
  <c r="BO9" i="11"/>
  <c r="AE9" i="10"/>
  <c r="AG12" i="10"/>
  <c r="BQ12" i="11"/>
  <c r="AG28" i="10"/>
  <c r="BQ28" i="11"/>
  <c r="AG44" i="10"/>
  <c r="BQ44" i="11"/>
  <c r="BQ60" i="11"/>
  <c r="AG60" i="10"/>
  <c r="AA25" i="10"/>
  <c r="BK25" i="11"/>
  <c r="AA57" i="10"/>
  <c r="BK57" i="11"/>
  <c r="BD22" i="11"/>
  <c r="T22" i="10"/>
  <c r="BD54" i="11"/>
  <c r="T54" i="10"/>
  <c r="T54" i="11"/>
  <c r="BB33" i="11"/>
  <c r="R33" i="10"/>
  <c r="BB65" i="11"/>
  <c r="R65" i="10"/>
  <c r="BT30" i="11"/>
  <c r="AJ30" i="10"/>
  <c r="AJ62" i="10"/>
  <c r="BT62" i="11"/>
  <c r="M23" i="10"/>
  <c r="AW23" i="11"/>
  <c r="M55" i="10"/>
  <c r="AW55" i="11"/>
  <c r="AV20" i="11"/>
  <c r="L20" i="10"/>
  <c r="L52" i="10"/>
  <c r="AV52" i="11"/>
  <c r="T18" i="10"/>
  <c r="BD18" i="11"/>
  <c r="BD50" i="11"/>
  <c r="T50" i="10"/>
  <c r="Q11" i="10"/>
  <c r="BA11" i="11"/>
  <c r="BA43" i="11"/>
  <c r="Q43" i="10"/>
  <c r="Q43" i="11"/>
  <c r="Q75" i="10"/>
  <c r="BA75" i="11"/>
  <c r="BF25" i="11"/>
  <c r="V25" i="10"/>
  <c r="V57" i="10"/>
  <c r="BF57" i="11"/>
  <c r="W22" i="10"/>
  <c r="BG22" i="11"/>
  <c r="W54" i="10"/>
  <c r="BG54" i="11"/>
  <c r="W54" i="11"/>
  <c r="AE25" i="10"/>
  <c r="BO25" i="11"/>
  <c r="AE41" i="10"/>
  <c r="BO41" i="11"/>
  <c r="AE57" i="10"/>
  <c r="BO57" i="11"/>
  <c r="BO73" i="11"/>
  <c r="AE73" i="10"/>
  <c r="BR21" i="11"/>
  <c r="AH21" i="10"/>
  <c r="BR53" i="11"/>
  <c r="AH53" i="10"/>
  <c r="BR17" i="11"/>
  <c r="AH17" i="10"/>
  <c r="AH49" i="10"/>
  <c r="BR49" i="11"/>
  <c r="AI13" i="10"/>
  <c r="BS13" i="11"/>
  <c r="BS45" i="11"/>
  <c r="AI45" i="10"/>
  <c r="P10" i="27"/>
  <c r="Q10" i="27" s="1"/>
  <c r="R10" i="27"/>
  <c r="P58" i="27"/>
  <c r="Q58" i="27" s="1"/>
  <c r="R58" i="27"/>
  <c r="L16" i="29"/>
  <c r="L18" i="29" s="1"/>
  <c r="M11" i="29"/>
  <c r="AU31" i="9"/>
  <c r="R56" i="28"/>
  <c r="P56" i="28"/>
  <c r="Q56" i="28" s="1"/>
  <c r="P66" i="27"/>
  <c r="Q66" i="27" s="1"/>
  <c r="R66" i="27"/>
  <c r="P74" i="28"/>
  <c r="Q74" i="28" s="1"/>
  <c r="R74" i="28"/>
  <c r="P18" i="28"/>
  <c r="Q18" i="28" s="1"/>
  <c r="R18" i="28"/>
  <c r="R74" i="26"/>
  <c r="P74" i="26"/>
  <c r="Q74" i="26" s="1"/>
  <c r="R66" i="26"/>
  <c r="P66" i="26"/>
  <c r="Q66" i="26" s="1"/>
  <c r="R50" i="28"/>
  <c r="P50" i="28"/>
  <c r="Q50" i="28" s="1"/>
  <c r="P43" i="27"/>
  <c r="Q43" i="27" s="1"/>
  <c r="R43" i="27"/>
  <c r="R39" i="26"/>
  <c r="P39" i="26"/>
  <c r="Q39" i="26" s="1"/>
  <c r="P18" i="27"/>
  <c r="Q18" i="27" s="1"/>
  <c r="R18" i="27"/>
  <c r="P9" i="26"/>
  <c r="Q9" i="26" s="1"/>
  <c r="R9" i="26"/>
  <c r="R11" i="28"/>
  <c r="P11" i="28"/>
  <c r="Q11" i="28" s="1"/>
  <c r="P38" i="27"/>
  <c r="Q38" i="27" s="1"/>
  <c r="R38" i="27"/>
  <c r="R24" i="27"/>
  <c r="P24" i="27"/>
  <c r="Q24" i="27" s="1"/>
  <c r="R32" i="26"/>
  <c r="P32" i="26"/>
  <c r="Q32" i="26" s="1"/>
  <c r="R60" i="26"/>
  <c r="P60" i="26"/>
  <c r="Q60" i="26" s="1"/>
  <c r="R49" i="28"/>
  <c r="P49" i="28"/>
  <c r="Q49" i="28" s="1"/>
  <c r="AU61" i="9"/>
  <c r="AU10" i="9"/>
  <c r="R52" i="26"/>
  <c r="P52" i="26"/>
  <c r="Q52" i="26" s="1"/>
  <c r="AU70" i="9"/>
  <c r="R27" i="26"/>
  <c r="P27" i="26"/>
  <c r="Q27" i="26" s="1"/>
  <c r="P67" i="28"/>
  <c r="Q67" i="28" s="1"/>
  <c r="R67" i="28"/>
  <c r="P46" i="28"/>
  <c r="Q46" i="28" s="1"/>
  <c r="R46" i="28"/>
  <c r="P22" i="26"/>
  <c r="Q22" i="26" s="1"/>
  <c r="R22" i="26"/>
  <c r="M15" i="29"/>
  <c r="R58" i="26"/>
  <c r="P58" i="26"/>
  <c r="Q58" i="26" s="1"/>
  <c r="R31" i="28"/>
  <c r="P31" i="28"/>
  <c r="Q31" i="28" s="1"/>
  <c r="P62" i="26"/>
  <c r="Q62" i="26" s="1"/>
  <c r="R62" i="26"/>
  <c r="AP28" i="11"/>
  <c r="F28" i="10"/>
  <c r="AP44" i="11"/>
  <c r="F44" i="10"/>
  <c r="AP40" i="11"/>
  <c r="F40" i="10"/>
  <c r="F72" i="10"/>
  <c r="AP72" i="11"/>
  <c r="AT20" i="11"/>
  <c r="J20" i="10"/>
  <c r="AT40" i="11"/>
  <c r="J40" i="10"/>
  <c r="J40" i="11"/>
  <c r="AT68" i="11"/>
  <c r="J68" i="10"/>
  <c r="AB23" i="10"/>
  <c r="BL23" i="11"/>
  <c r="O12" i="10"/>
  <c r="AY12" i="11"/>
  <c r="AY48" i="11"/>
  <c r="O48" i="10"/>
  <c r="O48" i="11"/>
  <c r="BC45" i="11"/>
  <c r="S45" i="10"/>
  <c r="BK50" i="11"/>
  <c r="AA50" i="10"/>
  <c r="BD75" i="11"/>
  <c r="T75" i="10"/>
  <c r="BA40" i="11"/>
  <c r="Q40" i="10"/>
  <c r="U20" i="10"/>
  <c r="BE20" i="11"/>
  <c r="U61" i="11"/>
  <c r="BE61" i="11"/>
  <c r="U61" i="10"/>
  <c r="AT53" i="11"/>
  <c r="J53" i="10"/>
  <c r="J53" i="11"/>
  <c r="I26" i="10"/>
  <c r="AS26" i="11"/>
  <c r="I58" i="10"/>
  <c r="AS58" i="11"/>
  <c r="BL34" i="11"/>
  <c r="AB34" i="10"/>
  <c r="BC53" i="11"/>
  <c r="S53" i="10"/>
  <c r="BE37" i="11"/>
  <c r="U37" i="10"/>
  <c r="BK46" i="11"/>
  <c r="AA46" i="10"/>
  <c r="Q36" i="10"/>
  <c r="BA36" i="11"/>
  <c r="BE36" i="11"/>
  <c r="U36" i="10"/>
  <c r="I10" i="10"/>
  <c r="AS10" i="11"/>
  <c r="I54" i="10"/>
  <c r="AS54" i="11"/>
  <c r="I54" i="11"/>
  <c r="AY15" i="11"/>
  <c r="O15" i="10"/>
  <c r="S60" i="10"/>
  <c r="BC60" i="11"/>
  <c r="BM13" i="11"/>
  <c r="AC13" i="10"/>
  <c r="AC21" i="10"/>
  <c r="BM21" i="11"/>
  <c r="BM29" i="11"/>
  <c r="AC29" i="10"/>
  <c r="AC29" i="11"/>
  <c r="AC37" i="10"/>
  <c r="BM45" i="11"/>
  <c r="AC45" i="10"/>
  <c r="T14" i="10"/>
  <c r="BD14" i="11"/>
  <c r="BA71" i="11"/>
  <c r="Q71" i="10"/>
  <c r="W47" i="10"/>
  <c r="BG47" i="11"/>
  <c r="AX60" i="11"/>
  <c r="N60" i="10"/>
  <c r="R54" i="10"/>
  <c r="M64" i="10"/>
  <c r="AW64" i="11"/>
  <c r="L25" i="10"/>
  <c r="AV25" i="11"/>
  <c r="L61" i="10"/>
  <c r="AV61" i="11"/>
  <c r="Z23" i="10"/>
  <c r="BJ23" i="11"/>
  <c r="Z55" i="10"/>
  <c r="BJ55" i="11"/>
  <c r="AF16" i="10"/>
  <c r="BP16" i="11"/>
  <c r="BP48" i="11"/>
  <c r="AF48" i="10"/>
  <c r="BR46" i="11"/>
  <c r="AH46" i="10"/>
  <c r="AI22" i="10"/>
  <c r="BS22" i="11"/>
  <c r="U64" i="10"/>
  <c r="BE64" i="11"/>
  <c r="BF18" i="11"/>
  <c r="V18" i="10"/>
  <c r="W23" i="10"/>
  <c r="BG23" i="11"/>
  <c r="AX36" i="11"/>
  <c r="N36" i="10"/>
  <c r="N71" i="10"/>
  <c r="AX71" i="11"/>
  <c r="X49" i="10"/>
  <c r="BH49" i="11"/>
  <c r="BB53" i="11"/>
  <c r="R53" i="10"/>
  <c r="M8" i="10"/>
  <c r="AW8" i="11"/>
  <c r="L13" i="10"/>
  <c r="AV13" i="11"/>
  <c r="BO22" i="11"/>
  <c r="AE22" i="10"/>
  <c r="BP23" i="11"/>
  <c r="AF23" i="10"/>
  <c r="BP39" i="11"/>
  <c r="AF39" i="10"/>
  <c r="BQ57" i="11"/>
  <c r="AG57" i="10"/>
  <c r="AH22" i="10"/>
  <c r="BR22" i="11"/>
  <c r="BS58" i="11"/>
  <c r="AI58" i="10"/>
  <c r="BF34" i="11"/>
  <c r="V34" i="10"/>
  <c r="W31" i="10"/>
  <c r="BG31" i="11"/>
  <c r="W62" i="10"/>
  <c r="BG62" i="11"/>
  <c r="X36" i="10"/>
  <c r="BH36" i="11"/>
  <c r="BB9" i="11"/>
  <c r="R9" i="10"/>
  <c r="R9" i="11"/>
  <c r="AW24" i="11"/>
  <c r="M24" i="10"/>
  <c r="AV45" i="11"/>
  <c r="L45" i="10"/>
  <c r="BO30" i="11"/>
  <c r="AE30" i="10"/>
  <c r="AF11" i="10"/>
  <c r="BP11" i="11"/>
  <c r="AF43" i="10"/>
  <c r="BP43" i="11"/>
  <c r="BN60" i="11"/>
  <c r="AD60" i="10"/>
  <c r="AD60" i="11"/>
  <c r="AZ44" i="11"/>
  <c r="P44" i="10"/>
  <c r="AU62" i="9"/>
  <c r="R68" i="28"/>
  <c r="P68" i="28"/>
  <c r="Q68" i="28" s="1"/>
  <c r="R48" i="28"/>
  <c r="P48" i="28"/>
  <c r="Q48" i="28" s="1"/>
  <c r="P24" i="28"/>
  <c r="Q24" i="28" s="1"/>
  <c r="R24" i="28"/>
  <c r="P53" i="26"/>
  <c r="Q53" i="26" s="1"/>
  <c r="R53" i="26"/>
  <c r="M12" i="29"/>
  <c r="R75" i="28"/>
  <c r="P75" i="28"/>
  <c r="Q75" i="28" s="1"/>
  <c r="P49" i="27"/>
  <c r="Q49" i="27" s="1"/>
  <c r="R49" i="27"/>
  <c r="AU28" i="9"/>
  <c r="AU54" i="9"/>
  <c r="AU52" i="9"/>
  <c r="AU66" i="9"/>
  <c r="R69" i="28"/>
  <c r="P69" i="28"/>
  <c r="Q69" i="28" s="1"/>
  <c r="P21" i="28"/>
  <c r="Q21" i="28" s="1"/>
  <c r="R21" i="28"/>
  <c r="R20" i="28"/>
  <c r="P20" i="28"/>
  <c r="Q20" i="28" s="1"/>
  <c r="P73" i="28"/>
  <c r="Q73" i="28" s="1"/>
  <c r="R73" i="28"/>
  <c r="R61" i="27"/>
  <c r="P61" i="27"/>
  <c r="Q61" i="27" s="1"/>
  <c r="P53" i="27"/>
  <c r="Q53" i="27" s="1"/>
  <c r="R53" i="27"/>
  <c r="P20" i="27"/>
  <c r="Q20" i="27" s="1"/>
  <c r="R20" i="27"/>
  <c r="P17" i="28"/>
  <c r="Q17" i="28" s="1"/>
  <c r="R17" i="28"/>
  <c r="R13" i="27"/>
  <c r="P13" i="27"/>
  <c r="Q13" i="27" s="1"/>
  <c r="AP73" i="11"/>
  <c r="F73" i="10"/>
  <c r="F73" i="11"/>
  <c r="BU73" i="11"/>
  <c r="AK73" i="10"/>
  <c r="J52" i="10"/>
  <c r="AT52" i="11"/>
  <c r="AT63" i="11"/>
  <c r="J63" i="10"/>
  <c r="BL53" i="11"/>
  <c r="AB53" i="10"/>
  <c r="AY10" i="11"/>
  <c r="O10" i="10"/>
  <c r="BC11" i="11"/>
  <c r="S11" i="10"/>
  <c r="BI19" i="11"/>
  <c r="Y19" i="10"/>
  <c r="BI31" i="11"/>
  <c r="Y31" i="10"/>
  <c r="Y36" i="10"/>
  <c r="BI36" i="11"/>
  <c r="BI52" i="11"/>
  <c r="Y52" i="10"/>
  <c r="Y63" i="10"/>
  <c r="BI63" i="11"/>
  <c r="BI68" i="11"/>
  <c r="Y68" i="10"/>
  <c r="Y68" i="11"/>
  <c r="T37" i="10"/>
  <c r="BD37" i="11"/>
  <c r="T53" i="10"/>
  <c r="BD53" i="11"/>
  <c r="BD61" i="11"/>
  <c r="T61" i="10"/>
  <c r="T61" i="11"/>
  <c r="T69" i="10"/>
  <c r="BD69" i="11"/>
  <c r="BA26" i="11"/>
  <c r="Q26" i="10"/>
  <c r="BF24" i="11"/>
  <c r="V24" i="10"/>
  <c r="BT56" i="11"/>
  <c r="AJ56" i="10"/>
  <c r="M10" i="10"/>
  <c r="AW10" i="11"/>
  <c r="BO32" i="11"/>
  <c r="AE32" i="10"/>
  <c r="AD49" i="10"/>
  <c r="BN49" i="11"/>
  <c r="BN53" i="11"/>
  <c r="AD53" i="10"/>
  <c r="AD64" i="11"/>
  <c r="BN64" i="11"/>
  <c r="AD64" i="10"/>
  <c r="P8" i="10"/>
  <c r="AZ8" i="11"/>
  <c r="AZ19" i="11"/>
  <c r="P19" i="10"/>
  <c r="AZ71" i="11"/>
  <c r="P71" i="10"/>
  <c r="AH44" i="10"/>
  <c r="BR44" i="11"/>
  <c r="F25" i="10"/>
  <c r="AP25" i="11"/>
  <c r="BU65" i="11"/>
  <c r="AK65" i="10"/>
  <c r="I16" i="10"/>
  <c r="AS16" i="11"/>
  <c r="I56" i="10"/>
  <c r="AS56" i="11"/>
  <c r="BL21" i="11"/>
  <c r="AB21" i="10"/>
  <c r="AB40" i="10"/>
  <c r="BL40" i="11"/>
  <c r="O34" i="10"/>
  <c r="AY34" i="11"/>
  <c r="S74" i="10"/>
  <c r="BC74" i="11"/>
  <c r="Y13" i="10"/>
  <c r="BI13" i="11"/>
  <c r="BD52" i="11"/>
  <c r="T52" i="10"/>
  <c r="T63" i="10"/>
  <c r="BD63" i="11"/>
  <c r="BD68" i="11"/>
  <c r="T68" i="10"/>
  <c r="Q64" i="10"/>
  <c r="BA64" i="11"/>
  <c r="BE22" i="11"/>
  <c r="U22" i="10"/>
  <c r="BE54" i="11"/>
  <c r="U54" i="10"/>
  <c r="V47" i="11"/>
  <c r="BG52" i="11"/>
  <c r="W52" i="10"/>
  <c r="BH69" i="11"/>
  <c r="X69" i="10"/>
  <c r="BT41" i="11"/>
  <c r="AJ41" i="10"/>
  <c r="AJ49" i="10"/>
  <c r="BT49" i="11"/>
  <c r="AJ61" i="10"/>
  <c r="BT61" i="11"/>
  <c r="M48" i="10"/>
  <c r="AW48" i="11"/>
  <c r="M60" i="10"/>
  <c r="AW60" i="11"/>
  <c r="L12" i="10"/>
  <c r="AV12" i="11"/>
  <c r="AV15" i="11"/>
  <c r="L15" i="10"/>
  <c r="AV23" i="11"/>
  <c r="L23" i="10"/>
  <c r="AV40" i="11"/>
  <c r="L40" i="10"/>
  <c r="AV65" i="11"/>
  <c r="L65" i="10"/>
  <c r="AE27" i="10"/>
  <c r="BO27" i="11"/>
  <c r="BJ13" i="11"/>
  <c r="Z13" i="10"/>
  <c r="BQ21" i="11"/>
  <c r="AG21" i="10"/>
  <c r="BQ27" i="11"/>
  <c r="AG27" i="10"/>
  <c r="AZ43" i="11"/>
  <c r="P43" i="10"/>
  <c r="P51" i="10"/>
  <c r="AZ51" i="11"/>
  <c r="AH18" i="10"/>
  <c r="BR18" i="11"/>
  <c r="AH31" i="10"/>
  <c r="BR31" i="11"/>
  <c r="BS24" i="11"/>
  <c r="AI24" i="10"/>
  <c r="BS32" i="11"/>
  <c r="AI32" i="10"/>
  <c r="BS64" i="11"/>
  <c r="AI64" i="10"/>
  <c r="F35" i="10"/>
  <c r="AP35" i="11"/>
  <c r="AR10" i="11"/>
  <c r="H10" i="10"/>
  <c r="H15" i="10"/>
  <c r="AR15" i="11"/>
  <c r="H26" i="10"/>
  <c r="AR26" i="11"/>
  <c r="H31" i="10"/>
  <c r="AR31" i="11"/>
  <c r="H31" i="11"/>
  <c r="H42" i="10"/>
  <c r="AR42" i="11"/>
  <c r="H47" i="10"/>
  <c r="AR47" i="11"/>
  <c r="H58" i="10"/>
  <c r="AR58" i="11"/>
  <c r="H58" i="11"/>
  <c r="AR63" i="11"/>
  <c r="H63" i="10"/>
  <c r="AK56" i="10"/>
  <c r="BU56" i="11"/>
  <c r="AT18" i="11"/>
  <c r="J18" i="10"/>
  <c r="AS62" i="11"/>
  <c r="I62" i="10"/>
  <c r="AY18" i="11"/>
  <c r="O18" i="10"/>
  <c r="S19" i="10"/>
  <c r="BC19" i="11"/>
  <c r="BC63" i="11"/>
  <c r="S63" i="10"/>
  <c r="Y11" i="10"/>
  <c r="BI11" i="11"/>
  <c r="U35" i="10"/>
  <c r="BE35" i="11"/>
  <c r="U63" i="10"/>
  <c r="BE63" i="11"/>
  <c r="BG41" i="11"/>
  <c r="W41" i="10"/>
  <c r="BH39" i="11"/>
  <c r="X39" i="10"/>
  <c r="BB12" i="11"/>
  <c r="R12" i="10"/>
  <c r="BB52" i="11"/>
  <c r="R52" i="10"/>
  <c r="BT43" i="11"/>
  <c r="AJ43" i="10"/>
  <c r="M18" i="10"/>
  <c r="AW18" i="11"/>
  <c r="M42" i="10"/>
  <c r="AW42" i="11"/>
  <c r="M42" i="11"/>
  <c r="AV59" i="11"/>
  <c r="L59" i="10"/>
  <c r="L59" i="11"/>
  <c r="BO16" i="11"/>
  <c r="AE16" i="10"/>
  <c r="AZ46" i="11"/>
  <c r="P46" i="10"/>
  <c r="AI27" i="10"/>
  <c r="BS27" i="11"/>
  <c r="BS34" i="11"/>
  <c r="AI34" i="10"/>
  <c r="AI62" i="10"/>
  <c r="BS62" i="11"/>
  <c r="AP47" i="11"/>
  <c r="F47" i="10"/>
  <c r="AP55" i="11"/>
  <c r="F55" i="10"/>
  <c r="AP63" i="11"/>
  <c r="F63" i="10"/>
  <c r="F71" i="10"/>
  <c r="AP71" i="11"/>
  <c r="BU28" i="11"/>
  <c r="AK28" i="10"/>
  <c r="BU69" i="11"/>
  <c r="AK69" i="10"/>
  <c r="AA30" i="10"/>
  <c r="BK30" i="11"/>
  <c r="AA38" i="10"/>
  <c r="BK38" i="11"/>
  <c r="BK42" i="11"/>
  <c r="AA42" i="10"/>
  <c r="BK71" i="11"/>
  <c r="AA71" i="10"/>
  <c r="AA71" i="11"/>
  <c r="BF52" i="11"/>
  <c r="V52" i="10"/>
  <c r="BF60" i="11"/>
  <c r="V60" i="10"/>
  <c r="V71" i="10"/>
  <c r="BF71" i="11"/>
  <c r="BG29" i="11"/>
  <c r="W29" i="10"/>
  <c r="R24" i="10"/>
  <c r="BB24" i="11"/>
  <c r="AW16" i="11"/>
  <c r="M16" i="10"/>
  <c r="AW21" i="11"/>
  <c r="M21" i="10"/>
  <c r="M21" i="11"/>
  <c r="M65" i="11"/>
  <c r="AE23" i="10"/>
  <c r="BO23" i="11"/>
  <c r="AZ30" i="11"/>
  <c r="P30" i="10"/>
  <c r="R70" i="28"/>
  <c r="P70" i="28"/>
  <c r="Q70" i="28" s="1"/>
  <c r="K34" i="28"/>
  <c r="L34" i="28" s="1"/>
  <c r="N34" i="28" s="1"/>
  <c r="K34" i="27"/>
  <c r="L34" i="27" s="1"/>
  <c r="N34" i="27" s="1"/>
  <c r="K34" i="26"/>
  <c r="L34" i="26" s="1"/>
  <c r="N34" i="26" s="1"/>
  <c r="AU8" i="9"/>
  <c r="AK54" i="10"/>
  <c r="BU54" i="11"/>
  <c r="K37" i="10"/>
  <c r="AU37" i="11"/>
  <c r="AS52" i="11"/>
  <c r="I52" i="10"/>
  <c r="I71" i="10"/>
  <c r="AS71" i="11"/>
  <c r="AB65" i="10"/>
  <c r="BL65" i="11"/>
  <c r="O42" i="10"/>
  <c r="AY42" i="11"/>
  <c r="O50" i="10"/>
  <c r="AY50" i="11"/>
  <c r="S15" i="10"/>
  <c r="BC15" i="11"/>
  <c r="BM12" i="11"/>
  <c r="AC12" i="10"/>
  <c r="AC12" i="11"/>
  <c r="BM20" i="11"/>
  <c r="AC20" i="10"/>
  <c r="AC48" i="10"/>
  <c r="BM48" i="11"/>
  <c r="AC56" i="10"/>
  <c r="BM56" i="11"/>
  <c r="BM64" i="11"/>
  <c r="AC64" i="10"/>
  <c r="BM72" i="11"/>
  <c r="AC72" i="10"/>
  <c r="BD21" i="11"/>
  <c r="T21" i="10"/>
  <c r="BE43" i="11"/>
  <c r="U43" i="10"/>
  <c r="W16" i="11"/>
  <c r="W40" i="10"/>
  <c r="BG40" i="11"/>
  <c r="W56" i="10"/>
  <c r="BG56" i="11"/>
  <c r="BG71" i="11"/>
  <c r="W71" i="10"/>
  <c r="N73" i="11"/>
  <c r="BH11" i="11"/>
  <c r="X11" i="10"/>
  <c r="X19" i="10"/>
  <c r="BH19" i="11"/>
  <c r="BB32" i="11"/>
  <c r="R32" i="10"/>
  <c r="AE39" i="10"/>
  <c r="BO39" i="11"/>
  <c r="AD34" i="10"/>
  <c r="BN34" i="11"/>
  <c r="AD42" i="10"/>
  <c r="BN42" i="11"/>
  <c r="BN50" i="11"/>
  <c r="AD50" i="10"/>
  <c r="BN58" i="11"/>
  <c r="AD58" i="10"/>
  <c r="AD66" i="10"/>
  <c r="BN66" i="11"/>
  <c r="P59" i="10"/>
  <c r="AZ59" i="11"/>
  <c r="AI16" i="29"/>
  <c r="AI18" i="29" s="1"/>
  <c r="AJ11" i="29"/>
  <c r="P55" i="28"/>
  <c r="Q55" i="28" s="1"/>
  <c r="R55" i="28"/>
  <c r="P40" i="26"/>
  <c r="Q40" i="26" s="1"/>
  <c r="R40" i="26"/>
  <c r="AK48" i="10"/>
  <c r="BU48" i="11"/>
  <c r="BU53" i="11"/>
  <c r="AK53" i="10"/>
  <c r="AU16" i="11"/>
  <c r="K16" i="10"/>
  <c r="J55" i="10"/>
  <c r="AT55" i="11"/>
  <c r="J75" i="10"/>
  <c r="AT75" i="11"/>
  <c r="AS24" i="11"/>
  <c r="I24" i="10"/>
  <c r="I37" i="10"/>
  <c r="AS37" i="11"/>
  <c r="AB56" i="10"/>
  <c r="BL56" i="11"/>
  <c r="BC21" i="11"/>
  <c r="S21" i="10"/>
  <c r="S34" i="10"/>
  <c r="BC34" i="11"/>
  <c r="T15" i="10"/>
  <c r="BD15" i="11"/>
  <c r="BE42" i="11"/>
  <c r="U42" i="10"/>
  <c r="BF40" i="11"/>
  <c r="V40" i="10"/>
  <c r="N18" i="10"/>
  <c r="AX18" i="11"/>
  <c r="BH63" i="11"/>
  <c r="X63" i="10"/>
  <c r="R64" i="10"/>
  <c r="BB64" i="11"/>
  <c r="L57" i="10"/>
  <c r="AV57" i="11"/>
  <c r="BJ53" i="11"/>
  <c r="Z53" i="10"/>
  <c r="Z69" i="10"/>
  <c r="BJ69" i="11"/>
  <c r="AF22" i="10"/>
  <c r="BP22" i="11"/>
  <c r="AF38" i="10"/>
  <c r="BP38" i="11"/>
  <c r="BN11" i="11"/>
  <c r="AD11" i="10"/>
  <c r="AH59" i="11"/>
  <c r="BR74" i="11"/>
  <c r="AH74" i="10"/>
  <c r="AI36" i="11"/>
  <c r="AI36" i="10"/>
  <c r="BS36" i="11"/>
  <c r="BU9" i="11"/>
  <c r="AK9" i="10"/>
  <c r="BU16" i="11"/>
  <c r="AK16" i="10"/>
  <c r="BU21" i="11"/>
  <c r="AK21" i="10"/>
  <c r="I63" i="10"/>
  <c r="AS63" i="11"/>
  <c r="BL12" i="11"/>
  <c r="AB12" i="10"/>
  <c r="O58" i="10"/>
  <c r="AY58" i="11"/>
  <c r="O58" i="11"/>
  <c r="O66" i="10"/>
  <c r="AY66" i="11"/>
  <c r="Y65" i="10"/>
  <c r="BI65" i="11"/>
  <c r="BI73" i="11"/>
  <c r="Y73" i="10"/>
  <c r="BK20" i="11"/>
  <c r="AA20" i="10"/>
  <c r="BD24" i="11"/>
  <c r="T24" i="10"/>
  <c r="BD41" i="11"/>
  <c r="T41" i="10"/>
  <c r="BF8" i="11"/>
  <c r="V8" i="10"/>
  <c r="BH34" i="11"/>
  <c r="X34" i="10"/>
  <c r="X38" i="10"/>
  <c r="BH38" i="11"/>
  <c r="R43" i="11"/>
  <c r="BT33" i="11"/>
  <c r="AJ33" i="10"/>
  <c r="AJ33" i="11"/>
  <c r="AJ52" i="11"/>
  <c r="M34" i="11"/>
  <c r="M38" i="10"/>
  <c r="AW38" i="11"/>
  <c r="M54" i="10"/>
  <c r="AW54" i="11"/>
  <c r="M54" i="11"/>
  <c r="M70" i="11"/>
  <c r="AE20" i="11"/>
  <c r="AG18" i="11"/>
  <c r="AZ23" i="11"/>
  <c r="P23" i="10"/>
  <c r="P67" i="11"/>
  <c r="AV72" i="9"/>
  <c r="AY72" i="9" s="1"/>
  <c r="K36" i="27"/>
  <c r="L36" i="27" s="1"/>
  <c r="N36" i="27" s="1"/>
  <c r="K36" i="26"/>
  <c r="L36" i="26" s="1"/>
  <c r="N36" i="26" s="1"/>
  <c r="K36" i="28"/>
  <c r="L36" i="28" s="1"/>
  <c r="N36" i="28" s="1"/>
  <c r="K60" i="28"/>
  <c r="L60" i="28" s="1"/>
  <c r="N60" i="28" s="1"/>
  <c r="K33" i="26"/>
  <c r="L33" i="26" s="1"/>
  <c r="N33" i="26" s="1"/>
  <c r="K16" i="27"/>
  <c r="L16" i="27" s="1"/>
  <c r="N16" i="27" s="1"/>
  <c r="K16" i="26"/>
  <c r="L16" i="26" s="1"/>
  <c r="N16" i="26" s="1"/>
  <c r="K16" i="28"/>
  <c r="L16" i="28" s="1"/>
  <c r="N16" i="28" s="1"/>
  <c r="K59" i="28"/>
  <c r="L59" i="28" s="1"/>
  <c r="N59" i="28" s="1"/>
  <c r="K59" i="26"/>
  <c r="L59" i="26" s="1"/>
  <c r="N59" i="26" s="1"/>
  <c r="K59" i="27"/>
  <c r="L59" i="27" s="1"/>
  <c r="N59" i="27" s="1"/>
  <c r="K71" i="26"/>
  <c r="L71" i="26" s="1"/>
  <c r="N71" i="26" s="1"/>
  <c r="K71" i="27"/>
  <c r="L71" i="27" s="1"/>
  <c r="N71" i="27" s="1"/>
  <c r="K28" i="26"/>
  <c r="L28" i="26" s="1"/>
  <c r="N28" i="26" s="1"/>
  <c r="K28" i="27"/>
  <c r="L28" i="27" s="1"/>
  <c r="N28" i="27" s="1"/>
  <c r="K28" i="28"/>
  <c r="L28" i="28" s="1"/>
  <c r="N28" i="28" s="1"/>
  <c r="K51" i="26"/>
  <c r="L51" i="26" s="1"/>
  <c r="N51" i="26" s="1"/>
  <c r="K51" i="28"/>
  <c r="L51" i="28" s="1"/>
  <c r="N51" i="28" s="1"/>
  <c r="K51" i="27"/>
  <c r="L51" i="27" s="1"/>
  <c r="N51" i="27" s="1"/>
  <c r="K35" i="27"/>
  <c r="L35" i="27" s="1"/>
  <c r="N35" i="27" s="1"/>
  <c r="K35" i="26"/>
  <c r="L35" i="26" s="1"/>
  <c r="N35" i="26" s="1"/>
  <c r="K35" i="28"/>
  <c r="L35" i="28" s="1"/>
  <c r="N35" i="28" s="1"/>
  <c r="K15" i="27"/>
  <c r="L15" i="27" s="1"/>
  <c r="N15" i="27" s="1"/>
  <c r="K15" i="26"/>
  <c r="L15" i="26" s="1"/>
  <c r="N15" i="26" s="1"/>
  <c r="K23" i="28"/>
  <c r="L23" i="28" s="1"/>
  <c r="N23" i="28" s="1"/>
  <c r="K23" i="26"/>
  <c r="L23" i="26" s="1"/>
  <c r="N23" i="26" s="1"/>
  <c r="K23" i="27"/>
  <c r="L23" i="27" s="1"/>
  <c r="N23" i="27" s="1"/>
  <c r="R69" i="26" l="1"/>
  <c r="AK21" i="11"/>
  <c r="AH74" i="11"/>
  <c r="AK53" i="11"/>
  <c r="X11" i="11"/>
  <c r="W71" i="11"/>
  <c r="AC56" i="11"/>
  <c r="AA38" i="11"/>
  <c r="AG21" i="11"/>
  <c r="T52" i="11"/>
  <c r="I56" i="11"/>
  <c r="AD49" i="11"/>
  <c r="P44" i="11"/>
  <c r="W47" i="11"/>
  <c r="U37" i="11"/>
  <c r="AB34" i="11"/>
  <c r="AB23" i="11"/>
  <c r="J68" i="11"/>
  <c r="M55" i="11"/>
  <c r="R33" i="11"/>
  <c r="O67" i="11"/>
  <c r="O23" i="11"/>
  <c r="H61" i="11"/>
  <c r="AE48" i="11"/>
  <c r="AA60" i="11"/>
  <c r="T35" i="11"/>
  <c r="H52" i="11"/>
  <c r="F49" i="11"/>
  <c r="F41" i="11"/>
  <c r="X68" i="11"/>
  <c r="AE38" i="11"/>
  <c r="N48" i="11"/>
  <c r="N35" i="11"/>
  <c r="Q67" i="11"/>
  <c r="Y30" i="11"/>
  <c r="Y14" i="11"/>
  <c r="T49" i="11"/>
  <c r="AH10" i="11"/>
  <c r="X35" i="11"/>
  <c r="AD62" i="11"/>
  <c r="AC44" i="11"/>
  <c r="AB37" i="11"/>
  <c r="F51" i="11"/>
  <c r="L14" i="11"/>
  <c r="AH56" i="11"/>
  <c r="AE28" i="11"/>
  <c r="V38" i="11"/>
  <c r="AF64" i="11"/>
  <c r="F56" i="11"/>
  <c r="AG52" i="11"/>
  <c r="AK39" i="11"/>
  <c r="W49" i="11"/>
  <c r="O16" i="11"/>
  <c r="P27" i="11"/>
  <c r="AA56" i="11"/>
  <c r="O40" i="11"/>
  <c r="H59" i="11"/>
  <c r="N50" i="11"/>
  <c r="O54" i="11"/>
  <c r="AI54" i="11"/>
  <c r="W35" i="11"/>
  <c r="O28" i="11"/>
  <c r="Q12" i="11"/>
  <c r="F16" i="11"/>
  <c r="AI17" i="11"/>
  <c r="W58" i="11"/>
  <c r="T26" i="11"/>
  <c r="H17" i="11"/>
  <c r="AA20" i="11"/>
  <c r="O66" i="11"/>
  <c r="I63" i="11"/>
  <c r="AF22" i="11"/>
  <c r="T15" i="11"/>
  <c r="I24" i="11"/>
  <c r="K16" i="11"/>
  <c r="M16" i="11"/>
  <c r="F63" i="11"/>
  <c r="S19" i="11"/>
  <c r="F35" i="11"/>
  <c r="AG27" i="11"/>
  <c r="AE27" i="11"/>
  <c r="L15" i="11"/>
  <c r="AN26" i="30"/>
  <c r="T63" i="11"/>
  <c r="AB40" i="11"/>
  <c r="Q26" i="11"/>
  <c r="AF39" i="11"/>
  <c r="AI22" i="11"/>
  <c r="S60" i="11"/>
  <c r="AE73" i="11"/>
  <c r="T18" i="11"/>
  <c r="AJ62" i="11"/>
  <c r="AE9" i="11"/>
  <c r="Y66" i="11"/>
  <c r="K18" i="11"/>
  <c r="L11" i="11"/>
  <c r="F12" i="11"/>
  <c r="X30" i="11"/>
  <c r="AJ19" i="11"/>
  <c r="AB19" i="11"/>
  <c r="AI48" i="11"/>
  <c r="AG59" i="11"/>
  <c r="S55" i="11"/>
  <c r="M40" i="11"/>
  <c r="AH34" i="11"/>
  <c r="AF40" i="11"/>
  <c r="AE50" i="11"/>
  <c r="J28" i="11"/>
  <c r="AI33" i="11"/>
  <c r="AE69" i="11"/>
  <c r="AA53" i="11"/>
  <c r="AG40" i="11"/>
  <c r="H57" i="11"/>
  <c r="K25" i="11"/>
  <c r="AC52" i="11"/>
  <c r="W17" i="11"/>
  <c r="AK70" i="11"/>
  <c r="S23" i="11"/>
  <c r="AJ12" i="11"/>
  <c r="AB8" i="11"/>
  <c r="AB41" i="11"/>
  <c r="J59" i="11"/>
  <c r="AG41" i="11"/>
  <c r="AK24" i="11"/>
  <c r="V9" i="11"/>
  <c r="AA73" i="11"/>
  <c r="Y26" i="11"/>
  <c r="K34" i="11"/>
  <c r="R58" i="11"/>
  <c r="H48" i="11"/>
  <c r="AJ29" i="11"/>
  <c r="AD16" i="11"/>
  <c r="V21" i="11"/>
  <c r="AC46" i="11"/>
  <c r="O32" i="11"/>
  <c r="S13" i="11"/>
  <c r="O56" i="11"/>
  <c r="U60" i="11"/>
  <c r="Q19" i="11"/>
  <c r="AA61" i="11"/>
  <c r="H65" i="11"/>
  <c r="X38" i="11"/>
  <c r="Y65" i="11"/>
  <c r="N18" i="11"/>
  <c r="I37" i="11"/>
  <c r="J55" i="11"/>
  <c r="AE23" i="11"/>
  <c r="H47" i="11"/>
  <c r="H26" i="11"/>
  <c r="AI64" i="11"/>
  <c r="AH18" i="11"/>
  <c r="Y36" i="11"/>
  <c r="Y31" i="11"/>
  <c r="AF11" i="11"/>
  <c r="Z55" i="11"/>
  <c r="T14" i="11"/>
  <c r="AI13" i="11"/>
  <c r="AG12" i="11"/>
  <c r="AA11" i="11"/>
  <c r="AH35" i="11"/>
  <c r="Z49" i="11"/>
  <c r="AA23" i="11"/>
  <c r="AE64" i="11"/>
  <c r="Y72" i="11"/>
  <c r="M15" i="11"/>
  <c r="X61" i="11"/>
  <c r="AC42" i="11"/>
  <c r="AD19" i="11"/>
  <c r="AI65" i="11"/>
  <c r="AD23" i="11"/>
  <c r="U44" i="11"/>
  <c r="O27" i="11"/>
  <c r="AJ57" i="11"/>
  <c r="Y41" i="11"/>
  <c r="AB31" i="11"/>
  <c r="W37" i="11"/>
  <c r="L75" i="11"/>
  <c r="AE26" i="11"/>
  <c r="AJ45" i="11"/>
  <c r="AB39" i="11"/>
  <c r="P56" i="11"/>
  <c r="Y74" i="11"/>
  <c r="AF14" i="11"/>
  <c r="N13" i="11"/>
  <c r="Q51" i="11"/>
  <c r="AD42" i="11"/>
  <c r="R32" i="11"/>
  <c r="X19" i="11"/>
  <c r="AC64" i="11"/>
  <c r="I71" i="11"/>
  <c r="I52" i="11"/>
  <c r="P30" i="11"/>
  <c r="V60" i="11"/>
  <c r="F71" i="11"/>
  <c r="P46" i="11"/>
  <c r="X39" i="11"/>
  <c r="W41" i="11"/>
  <c r="L23" i="11"/>
  <c r="AJ41" i="11"/>
  <c r="U22" i="11"/>
  <c r="P19" i="11"/>
  <c r="V24" i="11"/>
  <c r="T69" i="11"/>
  <c r="J63" i="11"/>
  <c r="AI58" i="11"/>
  <c r="T24" i="11"/>
  <c r="Z53" i="11"/>
  <c r="X63" i="11"/>
  <c r="AD50" i="11"/>
  <c r="AE39" i="11"/>
  <c r="U43" i="11"/>
  <c r="S15" i="11"/>
  <c r="AB65" i="11"/>
  <c r="AK54" i="11"/>
  <c r="V71" i="11"/>
  <c r="AI34" i="11"/>
  <c r="R12" i="11"/>
  <c r="Y11" i="11"/>
  <c r="J18" i="11"/>
  <c r="AH31" i="11"/>
  <c r="AJ61" i="11"/>
  <c r="X69" i="11"/>
  <c r="W52" i="11"/>
  <c r="U54" i="11"/>
  <c r="O34" i="11"/>
  <c r="P71" i="11"/>
  <c r="Y63" i="11"/>
  <c r="AB53" i="11"/>
  <c r="W62" i="11"/>
  <c r="AH22" i="11"/>
  <c r="AE22" i="11"/>
  <c r="N36" i="11"/>
  <c r="AF48" i="11"/>
  <c r="Z23" i="11"/>
  <c r="BM37" i="11"/>
  <c r="AC37" i="11"/>
  <c r="M38" i="11"/>
  <c r="X34" i="11"/>
  <c r="AK16" i="11"/>
  <c r="AD11" i="11"/>
  <c r="Z69" i="11"/>
  <c r="R64" i="11"/>
  <c r="S34" i="11"/>
  <c r="P59" i="11"/>
  <c r="W56" i="11"/>
  <c r="O42" i="11"/>
  <c r="K37" i="11"/>
  <c r="AA30" i="11"/>
  <c r="AI62" i="11"/>
  <c r="M18" i="11"/>
  <c r="H15" i="11"/>
  <c r="M48" i="11"/>
  <c r="F25" i="11"/>
  <c r="AF23" i="11"/>
  <c r="X49" i="11"/>
  <c r="BB54" i="11"/>
  <c r="R54" i="11"/>
  <c r="AC32" i="11"/>
  <c r="R50" i="11"/>
  <c r="X41" i="11"/>
  <c r="N28" i="11"/>
  <c r="AD55" i="11"/>
  <c r="AD13" i="11"/>
  <c r="AE37" i="11"/>
  <c r="AJ74" i="11"/>
  <c r="R45" i="11"/>
  <c r="R13" i="11"/>
  <c r="X12" i="11"/>
  <c r="AA21" i="11"/>
  <c r="V45" i="11"/>
  <c r="U12" i="11"/>
  <c r="AG24" i="11"/>
  <c r="X20" i="11"/>
  <c r="T10" i="11"/>
  <c r="J64" i="11"/>
  <c r="H41" i="11"/>
  <c r="AK17" i="11"/>
  <c r="AI40" i="11"/>
  <c r="AD37" i="11"/>
  <c r="K12" i="11"/>
  <c r="AD30" i="11"/>
  <c r="AE42" i="11"/>
  <c r="AJ65" i="11"/>
  <c r="Q14" i="11"/>
  <c r="AA74" i="11"/>
  <c r="AA39" i="11"/>
  <c r="AK68" i="11"/>
  <c r="AI47" i="11"/>
  <c r="H66" i="11"/>
  <c r="AE31" i="11"/>
  <c r="L66" i="11"/>
  <c r="I60" i="11"/>
  <c r="X14" i="11"/>
  <c r="V28" i="11"/>
  <c r="Q22" i="11"/>
  <c r="T57" i="11"/>
  <c r="Y44" i="11"/>
  <c r="J38" i="11"/>
  <c r="AK19" i="11"/>
  <c r="AE62" i="11"/>
  <c r="R37" i="11"/>
  <c r="AE54" i="11"/>
  <c r="V58" i="11"/>
  <c r="AI42" i="11"/>
  <c r="AE13" i="11"/>
  <c r="W27" i="11"/>
  <c r="T59" i="11"/>
  <c r="AK34" i="11"/>
  <c r="AI61" i="11"/>
  <c r="W70" i="11"/>
  <c r="R49" i="11"/>
  <c r="AG36" i="11"/>
  <c r="AB26" i="11"/>
  <c r="Y10" i="11"/>
  <c r="I49" i="11"/>
  <c r="AA52" i="11"/>
  <c r="S61" i="11"/>
  <c r="O26" i="11"/>
  <c r="U41" i="11"/>
  <c r="AB59" i="11"/>
  <c r="F10" i="11"/>
  <c r="AI63" i="11"/>
  <c r="Q38" i="11"/>
  <c r="I11" i="11"/>
  <c r="K55" i="11"/>
  <c r="H16" i="11"/>
  <c r="U71" i="11"/>
  <c r="Q50" i="11"/>
  <c r="Q48" i="11"/>
  <c r="F48" i="11"/>
  <c r="AD67" i="11"/>
  <c r="AI49" i="11"/>
  <c r="AE45" i="11"/>
  <c r="L16" i="11"/>
  <c r="X60" i="11"/>
  <c r="U40" i="11"/>
  <c r="U8" i="11"/>
  <c r="S53" i="11"/>
  <c r="S45" i="11"/>
  <c r="AH49" i="11"/>
  <c r="Y21" i="11"/>
  <c r="Y16" i="11"/>
  <c r="U9" i="11"/>
  <c r="AA68" i="11"/>
  <c r="H51" i="11"/>
  <c r="V23" i="11"/>
  <c r="Q28" i="11"/>
  <c r="S29" i="11"/>
  <c r="H20" i="11"/>
  <c r="W53" i="11"/>
  <c r="Q62" i="11"/>
  <c r="Y51" i="11"/>
  <c r="AK41" i="11"/>
  <c r="M35" i="11"/>
  <c r="AJ10" i="11"/>
  <c r="K14" i="11"/>
  <c r="AD54" i="11"/>
  <c r="AG63" i="11"/>
  <c r="M36" i="11"/>
  <c r="AJ67" i="11"/>
  <c r="AJ18" i="11"/>
  <c r="AF15" i="11"/>
  <c r="L24" i="11"/>
  <c r="W67" i="11"/>
  <c r="V30" i="11"/>
  <c r="AC25" i="11"/>
  <c r="T43" i="11"/>
  <c r="S24" i="11"/>
  <c r="K26" i="11"/>
  <c r="AA22" i="11"/>
  <c r="S25" i="11"/>
  <c r="AJ14" i="11"/>
  <c r="AB14" i="11"/>
  <c r="AH63" i="11"/>
  <c r="U67" i="11"/>
  <c r="H64" i="11"/>
  <c r="Q58" i="11"/>
  <c r="I47" i="11"/>
  <c r="AH38" i="11"/>
  <c r="X56" i="11"/>
  <c r="X52" i="11"/>
  <c r="AE34" i="11"/>
  <c r="W55" i="11"/>
  <c r="AC30" i="11"/>
  <c r="AD39" i="11"/>
  <c r="L48" i="11"/>
  <c r="AJ26" i="11"/>
  <c r="X16" i="11"/>
  <c r="O15" i="11"/>
  <c r="I10" i="11"/>
  <c r="Q40" i="11"/>
  <c r="F40" i="11"/>
  <c r="F44" i="11"/>
  <c r="AH21" i="11"/>
  <c r="Q75" i="11"/>
  <c r="AG60" i="11"/>
  <c r="I45" i="11"/>
  <c r="S52" i="11"/>
  <c r="K50" i="11"/>
  <c r="H74" i="11"/>
  <c r="M22" i="11"/>
  <c r="AJ17" i="11"/>
  <c r="S62" i="11"/>
  <c r="AI20" i="11"/>
  <c r="AF54" i="11"/>
  <c r="S22" i="11"/>
  <c r="AB60" i="11"/>
  <c r="I39" i="11"/>
  <c r="W11" i="11"/>
  <c r="Q66" i="11"/>
  <c r="AG31" i="11"/>
  <c r="L50" i="11"/>
  <c r="R28" i="11"/>
  <c r="V49" i="11"/>
  <c r="O53" i="11"/>
  <c r="AK14" i="11"/>
  <c r="H35" i="11"/>
  <c r="AE55" i="11"/>
  <c r="V64" i="11"/>
  <c r="J24" i="11"/>
  <c r="H60" i="11"/>
  <c r="H28" i="11"/>
  <c r="AD44" i="11"/>
  <c r="L67" i="11"/>
  <c r="N70" i="11"/>
  <c r="U19" i="11"/>
  <c r="K63" i="11"/>
  <c r="AE14" i="11"/>
  <c r="W19" i="11"/>
  <c r="N68" i="11"/>
  <c r="AH14" i="11"/>
  <c r="Z15" i="11"/>
  <c r="M52" i="11"/>
  <c r="X29" i="11"/>
  <c r="AC49" i="11"/>
  <c r="U48" i="11"/>
  <c r="AA18" i="11"/>
  <c r="AB54" i="11"/>
  <c r="U32" i="11"/>
  <c r="Q68" i="11"/>
  <c r="AH33" i="11"/>
  <c r="L9" i="11"/>
  <c r="R41" i="11"/>
  <c r="Z63" i="11"/>
  <c r="R14" i="11"/>
  <c r="Q55" i="11"/>
  <c r="AA14" i="11"/>
  <c r="AD71" i="11"/>
  <c r="AG48" i="11"/>
  <c r="K62" i="11"/>
  <c r="Y22" i="11"/>
  <c r="H70" i="11"/>
  <c r="Q36" i="11"/>
  <c r="U20" i="11"/>
  <c r="AH53" i="11"/>
  <c r="AE57" i="11"/>
  <c r="AE41" i="11"/>
  <c r="W22" i="11"/>
  <c r="L52" i="11"/>
  <c r="M23" i="11"/>
  <c r="AA57" i="11"/>
  <c r="AG28" i="11"/>
  <c r="O35" i="11"/>
  <c r="AB10" i="11"/>
  <c r="Y18" i="11"/>
  <c r="I33" i="11"/>
  <c r="H45" i="11"/>
  <c r="AA12" i="11"/>
  <c r="K48" i="11"/>
  <c r="AI52" i="11"/>
  <c r="AJ75" i="11"/>
  <c r="N46" i="11"/>
  <c r="V20" i="11"/>
  <c r="U38" i="11"/>
  <c r="S37" i="11"/>
  <c r="AK38" i="11"/>
  <c r="L18" i="11"/>
  <c r="K13" i="11"/>
  <c r="AA26" i="11"/>
  <c r="F32" i="11"/>
  <c r="AD51" i="11"/>
  <c r="AE21" i="11"/>
  <c r="L64" i="11"/>
  <c r="N47" i="11"/>
  <c r="N67" i="11"/>
  <c r="J39" i="11"/>
  <c r="Y46" i="11"/>
  <c r="O59" i="11"/>
  <c r="R35" i="11"/>
  <c r="N20" i="11"/>
  <c r="Y69" i="11"/>
  <c r="I57" i="11"/>
  <c r="AK13" i="11"/>
  <c r="AC23" i="11"/>
  <c r="R31" i="11"/>
  <c r="T13" i="11"/>
  <c r="AB73" i="11"/>
  <c r="F59" i="11"/>
  <c r="R40" i="11"/>
  <c r="H39" i="11"/>
  <c r="AH42" i="11"/>
  <c r="I12" i="11"/>
  <c r="AD65" i="11"/>
  <c r="AD52" i="11"/>
  <c r="T73" i="11"/>
  <c r="T46" i="11"/>
  <c r="AA17" i="11"/>
  <c r="Y39" i="11"/>
  <c r="F57" i="11"/>
  <c r="P60" i="11"/>
  <c r="X53" i="11"/>
  <c r="AA62" i="11"/>
  <c r="O60" i="11"/>
  <c r="F20" i="11"/>
  <c r="AI29" i="11"/>
  <c r="AH69" i="11"/>
  <c r="W38" i="11"/>
  <c r="T34" i="11"/>
  <c r="T38" i="11"/>
  <c r="S48" i="11"/>
  <c r="O39" i="11"/>
  <c r="K66" i="11"/>
  <c r="H37" i="11"/>
  <c r="AI9" i="11"/>
  <c r="Y53" i="11"/>
  <c r="AC28" i="11"/>
  <c r="S35" i="11"/>
  <c r="T45" i="11"/>
  <c r="H75" i="11"/>
  <c r="AF62" i="11"/>
  <c r="S30" i="11"/>
  <c r="O70" i="11"/>
  <c r="K69" i="11"/>
  <c r="F65" i="11"/>
  <c r="T31" i="11"/>
  <c r="X28" i="11"/>
  <c r="W26" i="11"/>
  <c r="AG64" i="11"/>
  <c r="AA29" i="11"/>
  <c r="Y38" i="11"/>
  <c r="Q72" i="10"/>
  <c r="BA72" i="11"/>
  <c r="AT73" i="11"/>
  <c r="J73" i="10"/>
  <c r="AB63" i="10"/>
  <c r="BL63" i="11"/>
  <c r="AS18" i="11"/>
  <c r="I18" i="10"/>
  <c r="AK43" i="10"/>
  <c r="BU43" i="11"/>
  <c r="AV60" i="9"/>
  <c r="AY60" i="9" s="1"/>
  <c r="AV56" i="9"/>
  <c r="AY56" i="9" s="1"/>
  <c r="AV73" i="9"/>
  <c r="AY73" i="9" s="1"/>
  <c r="H21" i="11"/>
  <c r="AU20" i="9"/>
  <c r="AU64" i="9"/>
  <c r="BA47" i="9"/>
  <c r="BF47" i="9"/>
  <c r="BS46" i="11"/>
  <c r="AI46" i="10"/>
  <c r="BN72" i="11"/>
  <c r="AD72" i="10"/>
  <c r="AF60" i="10"/>
  <c r="BP60" i="11"/>
  <c r="AF60" i="11"/>
  <c r="AF12" i="10"/>
  <c r="BP12" i="11"/>
  <c r="H43" i="11"/>
  <c r="AN31" i="30"/>
  <c r="BS18" i="11"/>
  <c r="AI18" i="10"/>
  <c r="AD21" i="11"/>
  <c r="BN14" i="11"/>
  <c r="AD14" i="10"/>
  <c r="AF52" i="10"/>
  <c r="BP52" i="11"/>
  <c r="AE8" i="11"/>
  <c r="M62" i="11"/>
  <c r="X13" i="10"/>
  <c r="BH13" i="11"/>
  <c r="AX32" i="11"/>
  <c r="N32" i="10"/>
  <c r="V59" i="11"/>
  <c r="Q74" i="11"/>
  <c r="BK65" i="11"/>
  <c r="AA65" i="10"/>
  <c r="AF51" i="10"/>
  <c r="BP51" i="11"/>
  <c r="Z58" i="10"/>
  <c r="BJ58" i="11"/>
  <c r="Z58" i="11"/>
  <c r="AE46" i="11"/>
  <c r="R26" i="11"/>
  <c r="AX11" i="11"/>
  <c r="N11" i="10"/>
  <c r="N11" i="11"/>
  <c r="L21" i="11"/>
  <c r="AX39" i="11"/>
  <c r="N39" i="10"/>
  <c r="N39" i="11"/>
  <c r="W75" i="11"/>
  <c r="BS70" i="11"/>
  <c r="AI70" i="10"/>
  <c r="AI70" i="11"/>
  <c r="P41" i="10"/>
  <c r="AZ41" i="11"/>
  <c r="P41" i="11"/>
  <c r="AD56" i="11"/>
  <c r="AF24" i="11"/>
  <c r="AV33" i="11"/>
  <c r="L33" i="10"/>
  <c r="L33" i="11"/>
  <c r="N8" i="11"/>
  <c r="AC54" i="10"/>
  <c r="BM54" i="11"/>
  <c r="S65" i="10"/>
  <c r="BC65" i="11"/>
  <c r="AT35" i="11"/>
  <c r="J35" i="10"/>
  <c r="U45" i="10"/>
  <c r="BE45" i="11"/>
  <c r="AB22" i="11"/>
  <c r="K58" i="11"/>
  <c r="U29" i="11"/>
  <c r="AA58" i="11"/>
  <c r="AB55" i="11"/>
  <c r="AK26" i="11"/>
  <c r="AV13" i="9"/>
  <c r="AY13" i="9" s="1"/>
  <c r="P32" i="11"/>
  <c r="P36" i="11"/>
  <c r="AJ58" i="11"/>
  <c r="U72" i="11"/>
  <c r="AA37" i="11"/>
  <c r="N19" i="11"/>
  <c r="V29" i="11"/>
  <c r="Q31" i="11"/>
  <c r="AG16" i="11"/>
  <c r="J23" i="11"/>
  <c r="Y54" i="11"/>
  <c r="O75" i="11"/>
  <c r="AK31" i="11"/>
  <c r="H33" i="11"/>
  <c r="R35" i="27"/>
  <c r="P35" i="27"/>
  <c r="Q35" i="27" s="1"/>
  <c r="J76" i="27"/>
  <c r="J84" i="27" s="1"/>
  <c r="K7" i="27"/>
  <c r="R59" i="27"/>
  <c r="P59" i="27"/>
  <c r="Q59" i="27" s="1"/>
  <c r="Z59" i="10"/>
  <c r="BJ59" i="11"/>
  <c r="AA49" i="10"/>
  <c r="BK49" i="11"/>
  <c r="BN20" i="11"/>
  <c r="AD20" i="10"/>
  <c r="AD47" i="10"/>
  <c r="BN47" i="11"/>
  <c r="BH73" i="11"/>
  <c r="X73" i="10"/>
  <c r="BM53" i="11"/>
  <c r="AC53" i="10"/>
  <c r="AN20" i="30"/>
  <c r="AV26" i="9"/>
  <c r="AY26" i="9" s="1"/>
  <c r="AJ23" i="10"/>
  <c r="BT23" i="11"/>
  <c r="AU74" i="11"/>
  <c r="K74" i="10"/>
  <c r="I38" i="10"/>
  <c r="AS38" i="11"/>
  <c r="AP45" i="11"/>
  <c r="F45" i="10"/>
  <c r="N13" i="29"/>
  <c r="AV45" i="9"/>
  <c r="AY45" i="9" s="1"/>
  <c r="BA30" i="9"/>
  <c r="BF30" i="9"/>
  <c r="Z70" i="10"/>
  <c r="BJ70" i="11"/>
  <c r="Z70" i="11"/>
  <c r="J76" i="26"/>
  <c r="J84" i="26" s="1"/>
  <c r="K7" i="26"/>
  <c r="P51" i="27"/>
  <c r="Q51" i="27" s="1"/>
  <c r="R51" i="27"/>
  <c r="R59" i="26"/>
  <c r="P59" i="26"/>
  <c r="Q59" i="26" s="1"/>
  <c r="P16" i="27"/>
  <c r="Q16" i="27" s="1"/>
  <c r="R16" i="27"/>
  <c r="R33" i="26"/>
  <c r="P33" i="26"/>
  <c r="Q33" i="26" s="1"/>
  <c r="AK11" i="29"/>
  <c r="P34" i="27"/>
  <c r="Q34" i="27" s="1"/>
  <c r="R34" i="27"/>
  <c r="BQ69" i="11"/>
  <c r="AG69" i="10"/>
  <c r="BJ75" i="11"/>
  <c r="Z75" i="10"/>
  <c r="BJ27" i="11"/>
  <c r="Z27" i="10"/>
  <c r="Z27" i="11"/>
  <c r="AD53" i="11"/>
  <c r="AV29" i="11"/>
  <c r="L29" i="10"/>
  <c r="Y52" i="11"/>
  <c r="BC49" i="11"/>
  <c r="S49" i="10"/>
  <c r="AV54" i="9"/>
  <c r="AY54" i="9" s="1"/>
  <c r="N12" i="29"/>
  <c r="AV62" i="9"/>
  <c r="AY62" i="9" s="1"/>
  <c r="AH70" i="10"/>
  <c r="BR70" i="11"/>
  <c r="AH70" i="11"/>
  <c r="BP75" i="11"/>
  <c r="AF75" i="10"/>
  <c r="Z50" i="10"/>
  <c r="BJ50" i="11"/>
  <c r="M59" i="10"/>
  <c r="AW59" i="11"/>
  <c r="P72" i="10"/>
  <c r="AZ72" i="11"/>
  <c r="AJ39" i="10"/>
  <c r="BT39" i="11"/>
  <c r="AJ39" i="11"/>
  <c r="BR66" i="11"/>
  <c r="AH66" i="10"/>
  <c r="L61" i="11"/>
  <c r="AJ71" i="10"/>
  <c r="BT71" i="11"/>
  <c r="AU42" i="11"/>
  <c r="K42" i="10"/>
  <c r="AV61" i="9"/>
  <c r="AY61" i="9" s="1"/>
  <c r="N11" i="29"/>
  <c r="AV7" i="9"/>
  <c r="AV35" i="9"/>
  <c r="AY35" i="9" s="1"/>
  <c r="W20" i="11"/>
  <c r="AZ45" i="11"/>
  <c r="P45" i="10"/>
  <c r="W34" i="10"/>
  <c r="BG34" i="11"/>
  <c r="AB33" i="11"/>
  <c r="BT55" i="11"/>
  <c r="AJ55" i="10"/>
  <c r="V74" i="10"/>
  <c r="BF74" i="11"/>
  <c r="V17" i="10"/>
  <c r="BF17" i="11"/>
  <c r="AV69" i="9"/>
  <c r="AY69" i="9" s="1"/>
  <c r="AJ13" i="29"/>
  <c r="AI25" i="10"/>
  <c r="BS25" i="11"/>
  <c r="BR9" i="11"/>
  <c r="AH9" i="10"/>
  <c r="AG49" i="10"/>
  <c r="BQ49" i="11"/>
  <c r="M75" i="10"/>
  <c r="AW75" i="11"/>
  <c r="V70" i="10"/>
  <c r="BF70" i="11"/>
  <c r="AD27" i="10"/>
  <c r="BN27" i="11"/>
  <c r="AC18" i="10"/>
  <c r="BM18" i="11"/>
  <c r="AB38" i="10"/>
  <c r="BL38" i="11"/>
  <c r="O64" i="11"/>
  <c r="BA23" i="11"/>
  <c r="Q23" i="10"/>
  <c r="Q23" i="11"/>
  <c r="AA33" i="10"/>
  <c r="BK33" i="11"/>
  <c r="AA33" i="11"/>
  <c r="BC33" i="11"/>
  <c r="S33" i="10"/>
  <c r="AB66" i="10"/>
  <c r="BL66" i="11"/>
  <c r="AS50" i="11"/>
  <c r="I50" i="10"/>
  <c r="AT65" i="11"/>
  <c r="J65" i="10"/>
  <c r="J65" i="11"/>
  <c r="AU59" i="11"/>
  <c r="K59" i="10"/>
  <c r="BU42" i="11"/>
  <c r="AK42" i="10"/>
  <c r="F64" i="11"/>
  <c r="M16" i="29"/>
  <c r="M18" i="29" s="1"/>
  <c r="N14" i="29"/>
  <c r="T42" i="11"/>
  <c r="L9" i="29"/>
  <c r="L20" i="29" s="1"/>
  <c r="M7" i="29"/>
  <c r="BF67" i="9"/>
  <c r="BA67" i="9"/>
  <c r="O21" i="11"/>
  <c r="BN75" i="11"/>
  <c r="AD75" i="10"/>
  <c r="BF14" i="11"/>
  <c r="V14" i="10"/>
  <c r="AU43" i="11"/>
  <c r="K43" i="10"/>
  <c r="AI38" i="10"/>
  <c r="BS38" i="11"/>
  <c r="AI38" i="11"/>
  <c r="AV41" i="9"/>
  <c r="AY41" i="9" s="1"/>
  <c r="BQ33" i="11"/>
  <c r="AG33" i="10"/>
  <c r="AX23" i="11"/>
  <c r="N23" i="10"/>
  <c r="U68" i="11"/>
  <c r="AF63" i="10"/>
  <c r="BP63" i="11"/>
  <c r="AW72" i="11"/>
  <c r="M72" i="10"/>
  <c r="BG66" i="11"/>
  <c r="W66" i="10"/>
  <c r="AD10" i="11"/>
  <c r="BT51" i="11"/>
  <c r="AJ51" i="10"/>
  <c r="AB18" i="10"/>
  <c r="BL18" i="11"/>
  <c r="K54" i="10"/>
  <c r="AU54" i="11"/>
  <c r="BD11" i="11"/>
  <c r="T11" i="10"/>
  <c r="K71" i="10"/>
  <c r="AU71" i="11"/>
  <c r="AU27" i="11"/>
  <c r="K27" i="10"/>
  <c r="AV25" i="9"/>
  <c r="AY25" i="9" s="1"/>
  <c r="L9" i="16"/>
  <c r="M7" i="16"/>
  <c r="L68" i="11"/>
  <c r="AL8" i="29"/>
  <c r="J43" i="11"/>
  <c r="BF15" i="9"/>
  <c r="BA15" i="9"/>
  <c r="P39" i="11"/>
  <c r="AE43" i="11"/>
  <c r="AC36" i="11"/>
  <c r="I48" i="11"/>
  <c r="AK37" i="11"/>
  <c r="AL15" i="29"/>
  <c r="AH12" i="11"/>
  <c r="AD8" i="11"/>
  <c r="AA64" i="11"/>
  <c r="Y12" i="11"/>
  <c r="O68" i="11"/>
  <c r="I40" i="11"/>
  <c r="AK57" i="11"/>
  <c r="H27" i="11"/>
  <c r="F8" i="11"/>
  <c r="AI57" i="11"/>
  <c r="AD31" i="11"/>
  <c r="AJ28" i="11"/>
  <c r="N26" i="11"/>
  <c r="T36" i="11"/>
  <c r="S43" i="11"/>
  <c r="J49" i="11"/>
  <c r="J36" i="11"/>
  <c r="AI74" i="11"/>
  <c r="AF20" i="10"/>
  <c r="BP20" i="11"/>
  <c r="Z35" i="10"/>
  <c r="BJ35" i="11"/>
  <c r="AE60" i="11"/>
  <c r="R21" i="10"/>
  <c r="BB21" i="11"/>
  <c r="W33" i="11"/>
  <c r="U23" i="11"/>
  <c r="Q39" i="11"/>
  <c r="T27" i="11"/>
  <c r="Y64" i="11"/>
  <c r="BI59" i="11"/>
  <c r="Y59" i="10"/>
  <c r="Y20" i="11"/>
  <c r="S51" i="11"/>
  <c r="AB9" i="11"/>
  <c r="F27" i="11"/>
  <c r="AV50" i="9"/>
  <c r="AY50" i="9" s="1"/>
  <c r="AH73" i="10"/>
  <c r="BR73" i="11"/>
  <c r="AJ54" i="11"/>
  <c r="BS66" i="11"/>
  <c r="AI66" i="10"/>
  <c r="AI66" i="11"/>
  <c r="BR13" i="11"/>
  <c r="AH13" i="10"/>
  <c r="L60" i="11"/>
  <c r="AJ70" i="10"/>
  <c r="BT70" i="11"/>
  <c r="AJ11" i="10"/>
  <c r="BT11" i="11"/>
  <c r="X40" i="11"/>
  <c r="V26" i="11"/>
  <c r="AF56" i="11"/>
  <c r="AE66" i="10"/>
  <c r="BO66" i="11"/>
  <c r="X21" i="11"/>
  <c r="V53" i="11"/>
  <c r="Q24" i="11"/>
  <c r="AC62" i="11"/>
  <c r="AC38" i="10"/>
  <c r="BM38" i="11"/>
  <c r="AC14" i="11"/>
  <c r="BL50" i="11"/>
  <c r="AB50" i="10"/>
  <c r="I22" i="11"/>
  <c r="S56" i="11"/>
  <c r="S44" i="11"/>
  <c r="O8" i="11"/>
  <c r="AK58" i="11"/>
  <c r="T30" i="11"/>
  <c r="AS9" i="11"/>
  <c r="I9" i="10"/>
  <c r="I9" i="11"/>
  <c r="K15" i="10"/>
  <c r="AU15" i="11"/>
  <c r="BU11" i="11"/>
  <c r="AK11" i="10"/>
  <c r="AK35" i="10"/>
  <c r="BU35" i="11"/>
  <c r="AV48" i="9"/>
  <c r="AY48" i="9" s="1"/>
  <c r="AV44" i="9"/>
  <c r="AY44" i="9" s="1"/>
  <c r="P64" i="11"/>
  <c r="P68" i="11"/>
  <c r="AE29" i="11"/>
  <c r="M19" i="11"/>
  <c r="R29" i="11"/>
  <c r="N31" i="11"/>
  <c r="AA69" i="11"/>
  <c r="N51" i="11"/>
  <c r="V61" i="11"/>
  <c r="Q63" i="11"/>
  <c r="AG32" i="11"/>
  <c r="Y70" i="11"/>
  <c r="J48" i="11"/>
  <c r="H49" i="11"/>
  <c r="R23" i="27"/>
  <c r="P23" i="27"/>
  <c r="Q23" i="27" s="1"/>
  <c r="AU65" i="9"/>
  <c r="R71" i="26"/>
  <c r="P71" i="26"/>
  <c r="Q71" i="26" s="1"/>
  <c r="R16" i="26"/>
  <c r="P16" i="26"/>
  <c r="Q16" i="26" s="1"/>
  <c r="R36" i="27"/>
  <c r="P36" i="27"/>
  <c r="Q36" i="27" s="1"/>
  <c r="AN27" i="30"/>
  <c r="AZ57" i="11"/>
  <c r="P57" i="10"/>
  <c r="AO21" i="30"/>
  <c r="AV66" i="9"/>
  <c r="AY66" i="9" s="1"/>
  <c r="BR45" i="11"/>
  <c r="AH45" i="10"/>
  <c r="BP71" i="11"/>
  <c r="AF71" i="10"/>
  <c r="Z62" i="10"/>
  <c r="BJ62" i="11"/>
  <c r="AW31" i="11"/>
  <c r="M31" i="10"/>
  <c r="BS53" i="11"/>
  <c r="AI53" i="10"/>
  <c r="BE73" i="11"/>
  <c r="U73" i="10"/>
  <c r="BM69" i="11"/>
  <c r="AC69" i="10"/>
  <c r="J31" i="10"/>
  <c r="AT31" i="11"/>
  <c r="AK27" i="10"/>
  <c r="BU27" i="11"/>
  <c r="AV70" i="9"/>
  <c r="AY70" i="9" s="1"/>
  <c r="AV11" i="9"/>
  <c r="AY11" i="9" s="1"/>
  <c r="V10" i="11"/>
  <c r="BI67" i="11"/>
  <c r="Y67" i="10"/>
  <c r="Z74" i="10"/>
  <c r="BJ74" i="11"/>
  <c r="BR57" i="11"/>
  <c r="AH57" i="10"/>
  <c r="BB73" i="11"/>
  <c r="R73" i="10"/>
  <c r="BM74" i="11"/>
  <c r="AC74" i="10"/>
  <c r="BU74" i="11"/>
  <c r="AK74" i="10"/>
  <c r="AV21" i="9"/>
  <c r="AY21" i="9" s="1"/>
  <c r="O36" i="10"/>
  <c r="AY36" i="11"/>
  <c r="AX44" i="11"/>
  <c r="N44" i="10"/>
  <c r="AI11" i="10"/>
  <c r="BS11" i="11"/>
  <c r="BJ38" i="11"/>
  <c r="Z38" i="10"/>
  <c r="P49" i="10"/>
  <c r="AZ49" i="11"/>
  <c r="R23" i="26"/>
  <c r="P23" i="26"/>
  <c r="Q23" i="26" s="1"/>
  <c r="AU33" i="9"/>
  <c r="R28" i="27"/>
  <c r="P28" i="27"/>
  <c r="Q28" i="27" s="1"/>
  <c r="R23" i="28"/>
  <c r="P23" i="28"/>
  <c r="Q23" i="28" s="1"/>
  <c r="R35" i="28"/>
  <c r="P35" i="28"/>
  <c r="Q35" i="28" s="1"/>
  <c r="R51" i="28"/>
  <c r="P51" i="28"/>
  <c r="Q51" i="28" s="1"/>
  <c r="P28" i="26"/>
  <c r="Q28" i="26" s="1"/>
  <c r="R28" i="26"/>
  <c r="R59" i="28"/>
  <c r="P59" i="28"/>
  <c r="Q59" i="28" s="1"/>
  <c r="R60" i="28"/>
  <c r="P60" i="28"/>
  <c r="Q60" i="28" s="1"/>
  <c r="P36" i="28"/>
  <c r="Q36" i="28" s="1"/>
  <c r="R36" i="28"/>
  <c r="BF72" i="9"/>
  <c r="BA72" i="9"/>
  <c r="T41" i="11"/>
  <c r="U42" i="11"/>
  <c r="AC20" i="11"/>
  <c r="AV8" i="9"/>
  <c r="AY8" i="9" s="1"/>
  <c r="P34" i="28"/>
  <c r="Q34" i="28" s="1"/>
  <c r="R34" i="28"/>
  <c r="W29" i="11"/>
  <c r="AK28" i="11"/>
  <c r="F47" i="11"/>
  <c r="R52" i="11"/>
  <c r="N24" i="10"/>
  <c r="AX24" i="11"/>
  <c r="N24" i="11"/>
  <c r="U35" i="11"/>
  <c r="S41" i="10"/>
  <c r="BC41" i="11"/>
  <c r="S41" i="11"/>
  <c r="I62" i="11"/>
  <c r="H63" i="11"/>
  <c r="P43" i="11"/>
  <c r="AO31" i="30"/>
  <c r="M60" i="11"/>
  <c r="AK65" i="11"/>
  <c r="AH44" i="11"/>
  <c r="P37" i="10"/>
  <c r="AZ37" i="11"/>
  <c r="X33" i="10"/>
  <c r="BH33" i="11"/>
  <c r="T37" i="11"/>
  <c r="Y19" i="11"/>
  <c r="O10" i="11"/>
  <c r="L45" i="11"/>
  <c r="R69" i="10"/>
  <c r="BB69" i="11"/>
  <c r="R69" i="11"/>
  <c r="AX55" i="11"/>
  <c r="N55" i="10"/>
  <c r="V34" i="11"/>
  <c r="AG25" i="10"/>
  <c r="BQ25" i="11"/>
  <c r="BP55" i="11"/>
  <c r="AF55" i="10"/>
  <c r="Z46" i="10"/>
  <c r="BJ46" i="11"/>
  <c r="Z14" i="10"/>
  <c r="BJ14" i="11"/>
  <c r="AW43" i="11"/>
  <c r="M43" i="10"/>
  <c r="X72" i="10"/>
  <c r="BH72" i="11"/>
  <c r="AX59" i="11"/>
  <c r="N59" i="10"/>
  <c r="AZ9" i="11"/>
  <c r="P9" i="10"/>
  <c r="BQ45" i="11"/>
  <c r="AG45" i="10"/>
  <c r="M64" i="11"/>
  <c r="N60" i="11"/>
  <c r="Q71" i="11"/>
  <c r="BM61" i="11"/>
  <c r="AC61" i="10"/>
  <c r="AC45" i="11"/>
  <c r="AC13" i="11"/>
  <c r="AB71" i="10"/>
  <c r="BL71" i="11"/>
  <c r="I26" i="11"/>
  <c r="AT19" i="11"/>
  <c r="J19" i="10"/>
  <c r="AA50" i="11"/>
  <c r="BL43" i="11"/>
  <c r="AB43" i="10"/>
  <c r="F72" i="11"/>
  <c r="H73" i="10"/>
  <c r="AR73" i="11"/>
  <c r="AP21" i="11"/>
  <c r="F21" i="10"/>
  <c r="N15" i="29"/>
  <c r="AI45" i="11"/>
  <c r="AE25" i="11"/>
  <c r="V25" i="11"/>
  <c r="T50" i="11"/>
  <c r="R65" i="11"/>
  <c r="S32" i="11"/>
  <c r="J44" i="11"/>
  <c r="Y34" i="11"/>
  <c r="O55" i="11"/>
  <c r="I65" i="11"/>
  <c r="J11" i="11"/>
  <c r="AK23" i="11"/>
  <c r="H13" i="11"/>
  <c r="AV16" i="9"/>
  <c r="AY16" i="9" s="1"/>
  <c r="BA55" i="9"/>
  <c r="BF55" i="9"/>
  <c r="AI20" i="29"/>
  <c r="N17" i="11"/>
  <c r="Y49" i="11"/>
  <c r="AB15" i="11"/>
  <c r="AH62" i="11"/>
  <c r="AF70" i="11"/>
  <c r="L31" i="11"/>
  <c r="J67" i="11"/>
  <c r="AE47" i="11"/>
  <c r="N64" i="11"/>
  <c r="Q10" i="11"/>
  <c r="AB57" i="11"/>
  <c r="AV39" i="9"/>
  <c r="AY39" i="9" s="1"/>
  <c r="P10" i="11"/>
  <c r="AA66" i="11"/>
  <c r="F33" i="11"/>
  <c r="AH24" i="11"/>
  <c r="T17" i="11"/>
  <c r="AA28" i="11"/>
  <c r="BC12" i="11"/>
  <c r="S12" i="10"/>
  <c r="AB70" i="11"/>
  <c r="K44" i="11"/>
  <c r="AR62" i="11"/>
  <c r="H62" i="10"/>
  <c r="H19" i="11"/>
  <c r="P69" i="11"/>
  <c r="AD43" i="11"/>
  <c r="Z29" i="11"/>
  <c r="AJ27" i="11"/>
  <c r="R72" i="11"/>
  <c r="X27" i="11"/>
  <c r="N49" i="11"/>
  <c r="N12" i="11"/>
  <c r="U17" i="11"/>
  <c r="Q45" i="11"/>
  <c r="Q32" i="11"/>
  <c r="H36" i="11"/>
  <c r="R60" i="11"/>
  <c r="N14" i="11"/>
  <c r="V55" i="11"/>
  <c r="U47" i="11"/>
  <c r="Q46" i="11"/>
  <c r="Y35" i="11"/>
  <c r="I46" i="11"/>
  <c r="AV22" i="9"/>
  <c r="AY22" i="9" s="1"/>
  <c r="AU58" i="9"/>
  <c r="AD48" i="11"/>
  <c r="BJ42" i="11"/>
  <c r="Z42" i="10"/>
  <c r="M56" i="11"/>
  <c r="R57" i="11"/>
  <c r="W59" i="11"/>
  <c r="AI41" i="10"/>
  <c r="BS41" i="11"/>
  <c r="L49" i="11"/>
  <c r="W15" i="11"/>
  <c r="AH58" i="11"/>
  <c r="Z47" i="11"/>
  <c r="L44" i="11"/>
  <c r="L8" i="11"/>
  <c r="BT59" i="11"/>
  <c r="AJ59" i="10"/>
  <c r="R25" i="11"/>
  <c r="V65" i="10"/>
  <c r="BF65" i="11"/>
  <c r="U65" i="10"/>
  <c r="BE65" i="11"/>
  <c r="BM66" i="11"/>
  <c r="AC66" i="10"/>
  <c r="AC50" i="10"/>
  <c r="BM50" i="11"/>
  <c r="AC26" i="11"/>
  <c r="S40" i="11"/>
  <c r="AT69" i="11"/>
  <c r="J69" i="10"/>
  <c r="K22" i="10"/>
  <c r="AU22" i="11"/>
  <c r="I14" i="11"/>
  <c r="U52" i="11"/>
  <c r="T19" i="11"/>
  <c r="J8" i="11"/>
  <c r="F11" i="10"/>
  <c r="AP11" i="11"/>
  <c r="AV59" i="9"/>
  <c r="AY59" i="9" s="1"/>
  <c r="AV36" i="9"/>
  <c r="AY36" i="9" s="1"/>
  <c r="P20" i="11"/>
  <c r="M67" i="11"/>
  <c r="U24" i="11"/>
  <c r="X32" i="11"/>
  <c r="W42" i="11"/>
  <c r="Q47" i="11"/>
  <c r="AG56" i="11"/>
  <c r="L72" i="11"/>
  <c r="T74" i="11"/>
  <c r="AA13" i="11"/>
  <c r="K46" i="11"/>
  <c r="Y62" i="11"/>
  <c r="AK15" i="11"/>
  <c r="H9" i="11"/>
  <c r="P11" i="11"/>
  <c r="AJ37" i="11"/>
  <c r="R55" i="11"/>
  <c r="AK29" i="11"/>
  <c r="F15" i="11"/>
  <c r="V32" i="11"/>
  <c r="U33" i="11"/>
  <c r="T16" i="11"/>
  <c r="P55" i="11"/>
  <c r="AD70" i="11"/>
  <c r="AD38" i="11"/>
  <c r="U27" i="11"/>
  <c r="AC60" i="11"/>
  <c r="AK62" i="11"/>
  <c r="R26" i="26"/>
  <c r="P26" i="26"/>
  <c r="Q26" i="26" s="1"/>
  <c r="M53" i="11"/>
  <c r="M17" i="11"/>
  <c r="W57" i="11"/>
  <c r="V69" i="11"/>
  <c r="F67" i="11"/>
  <c r="AJ63" i="10"/>
  <c r="BT63" i="11"/>
  <c r="R70" i="10"/>
  <c r="BB70" i="11"/>
  <c r="U31" i="11"/>
  <c r="S67" i="11"/>
  <c r="O52" i="10"/>
  <c r="AY52" i="11"/>
  <c r="I59" i="11"/>
  <c r="H50" i="11"/>
  <c r="H18" i="11"/>
  <c r="AG23" i="11"/>
  <c r="Z9" i="11"/>
  <c r="L47" i="11"/>
  <c r="L19" i="11"/>
  <c r="W51" i="11"/>
  <c r="T51" i="11"/>
  <c r="AG53" i="10"/>
  <c r="BQ53" i="11"/>
  <c r="Y71" i="10"/>
  <c r="BI71" i="11"/>
  <c r="Y55" i="11"/>
  <c r="AB69" i="11"/>
  <c r="M8" i="16"/>
  <c r="AV34" i="9"/>
  <c r="AY34" i="9" s="1"/>
  <c r="P8" i="28"/>
  <c r="Q8" i="28" s="1"/>
  <c r="R8" i="28"/>
  <c r="AH41" i="10"/>
  <c r="BR41" i="11"/>
  <c r="Z34" i="10"/>
  <c r="BJ34" i="11"/>
  <c r="V66" i="10"/>
  <c r="BF66" i="11"/>
  <c r="AF31" i="11"/>
  <c r="BJ54" i="11"/>
  <c r="Z54" i="10"/>
  <c r="BJ22" i="11"/>
  <c r="Z22" i="10"/>
  <c r="AJ22" i="11"/>
  <c r="AZ73" i="11"/>
  <c r="P73" i="10"/>
  <c r="AZ29" i="11"/>
  <c r="P29" i="10"/>
  <c r="P29" i="11"/>
  <c r="AD24" i="11"/>
  <c r="AG29" i="10"/>
  <c r="BQ29" i="11"/>
  <c r="Z71" i="11"/>
  <c r="M20" i="11"/>
  <c r="N16" i="11"/>
  <c r="BM73" i="11"/>
  <c r="AC73" i="10"/>
  <c r="AC57" i="10"/>
  <c r="BM57" i="11"/>
  <c r="BM33" i="11"/>
  <c r="AC33" i="10"/>
  <c r="AC9" i="11"/>
  <c r="J57" i="11"/>
  <c r="K38" i="10"/>
  <c r="AU38" i="11"/>
  <c r="K38" i="11"/>
  <c r="S57" i="11"/>
  <c r="AS73" i="11"/>
  <c r="I73" i="10"/>
  <c r="I73" i="11"/>
  <c r="J56" i="11"/>
  <c r="F36" i="11"/>
  <c r="F37" i="10"/>
  <c r="AP37" i="11"/>
  <c r="AV32" i="9"/>
  <c r="AY32" i="9" s="1"/>
  <c r="AV71" i="9"/>
  <c r="AY71" i="9" s="1"/>
  <c r="AV37" i="9"/>
  <c r="AY37" i="9" s="1"/>
  <c r="AD9" i="11"/>
  <c r="AE17" i="11"/>
  <c r="V41" i="11"/>
  <c r="Q59" i="11"/>
  <c r="T66" i="11"/>
  <c r="M71" i="11"/>
  <c r="M39" i="11"/>
  <c r="T70" i="11"/>
  <c r="AG68" i="11"/>
  <c r="S72" i="11"/>
  <c r="O19" i="11"/>
  <c r="I29" i="11"/>
  <c r="Y42" i="11"/>
  <c r="O71" i="11"/>
  <c r="AB46" i="11"/>
  <c r="J27" i="11"/>
  <c r="AK71" i="11"/>
  <c r="AU24" i="9"/>
  <c r="AK12" i="29"/>
  <c r="AV27" i="9"/>
  <c r="AY27" i="9" s="1"/>
  <c r="Z21" i="11"/>
  <c r="U26" i="11"/>
  <c r="T20" i="11"/>
  <c r="I20" i="11"/>
  <c r="AH36" i="11"/>
  <c r="X31" i="11"/>
  <c r="Q42" i="11"/>
  <c r="I70" i="11"/>
  <c r="F14" i="11"/>
  <c r="AH64" i="11"/>
  <c r="AF28" i="10"/>
  <c r="BP28" i="11"/>
  <c r="AE44" i="11"/>
  <c r="AA72" i="11"/>
  <c r="AA9" i="11"/>
  <c r="I72" i="11"/>
  <c r="AR54" i="11"/>
  <c r="H54" i="10"/>
  <c r="H54" i="11"/>
  <c r="H11" i="11"/>
  <c r="P63" i="11"/>
  <c r="AD63" i="11"/>
  <c r="AE63" i="11"/>
  <c r="X45" i="11"/>
  <c r="N38" i="11"/>
  <c r="V27" i="11"/>
  <c r="U69" i="11"/>
  <c r="Q29" i="11"/>
  <c r="J62" i="11"/>
  <c r="K45" i="11"/>
  <c r="H32" i="11"/>
  <c r="BN32" i="11"/>
  <c r="AD32" i="10"/>
  <c r="AF68" i="10"/>
  <c r="BP68" i="11"/>
  <c r="BP36" i="11"/>
  <c r="AF36" i="10"/>
  <c r="Z51" i="10"/>
  <c r="BJ51" i="11"/>
  <c r="AJ9" i="11"/>
  <c r="U51" i="11"/>
  <c r="Y75" i="11"/>
  <c r="Y48" i="11"/>
  <c r="BI43" i="11"/>
  <c r="Y43" i="10"/>
  <c r="K75" i="11"/>
  <c r="H69" i="11"/>
  <c r="AV38" i="9"/>
  <c r="AY38" i="9" s="1"/>
  <c r="AV18" i="9"/>
  <c r="AY18" i="9" s="1"/>
  <c r="AV57" i="9"/>
  <c r="AY57" i="9" s="1"/>
  <c r="P53" i="10"/>
  <c r="AZ53" i="11"/>
  <c r="BQ17" i="11"/>
  <c r="AG17" i="10"/>
  <c r="AF19" i="10"/>
  <c r="BP19" i="11"/>
  <c r="BJ26" i="11"/>
  <c r="Z26" i="10"/>
  <c r="N75" i="10"/>
  <c r="AX75" i="11"/>
  <c r="V54" i="11"/>
  <c r="AX27" i="11"/>
  <c r="N27" i="10"/>
  <c r="AI30" i="11"/>
  <c r="AI10" i="11"/>
  <c r="P17" i="10"/>
  <c r="AZ17" i="11"/>
  <c r="P17" i="11"/>
  <c r="Z31" i="11"/>
  <c r="AV69" i="11"/>
  <c r="L69" i="10"/>
  <c r="M12" i="11"/>
  <c r="AJ34" i="11"/>
  <c r="W18" i="11"/>
  <c r="K51" i="10"/>
  <c r="AU51" i="11"/>
  <c r="AU70" i="11"/>
  <c r="K70" i="10"/>
  <c r="F52" i="11"/>
  <c r="M51" i="11"/>
  <c r="R61" i="11"/>
  <c r="N63" i="11"/>
  <c r="U28" i="11"/>
  <c r="T58" i="11"/>
  <c r="K30" i="11"/>
  <c r="O11" i="11"/>
  <c r="AK63" i="11"/>
  <c r="K15" i="28"/>
  <c r="L15" i="28" s="1"/>
  <c r="N15" i="28" s="1"/>
  <c r="P28" i="28"/>
  <c r="Q28" i="28" s="1"/>
  <c r="R28" i="28"/>
  <c r="AU46" i="9"/>
  <c r="R34" i="26"/>
  <c r="P34" i="26"/>
  <c r="Q34" i="26" s="1"/>
  <c r="BN40" i="11"/>
  <c r="AD40" i="10"/>
  <c r="BJ30" i="11"/>
  <c r="Z30" i="10"/>
  <c r="BI23" i="11"/>
  <c r="Y23" i="10"/>
  <c r="Y23" i="11"/>
  <c r="AY72" i="11"/>
  <c r="O72" i="10"/>
  <c r="K67" i="10"/>
  <c r="AU67" i="11"/>
  <c r="AK50" i="10"/>
  <c r="BU50" i="11"/>
  <c r="AU40" i="9"/>
  <c r="AK7" i="29"/>
  <c r="BS26" i="11"/>
  <c r="AI26" i="10"/>
  <c r="AR30" i="11"/>
  <c r="H30" i="10"/>
  <c r="AV14" i="9"/>
  <c r="AY14" i="9" s="1"/>
  <c r="AJ35" i="10"/>
  <c r="BT35" i="11"/>
  <c r="AF8" i="10"/>
  <c r="BP8" i="11"/>
  <c r="BF33" i="11"/>
  <c r="V33" i="10"/>
  <c r="BM58" i="11"/>
  <c r="AC58" i="10"/>
  <c r="P26" i="27"/>
  <c r="Q26" i="27" s="1"/>
  <c r="R26" i="27"/>
  <c r="I8" i="11"/>
  <c r="BB34" i="11"/>
  <c r="R34" i="10"/>
  <c r="R34" i="11"/>
  <c r="AU74" i="9"/>
  <c r="Z66" i="10"/>
  <c r="BJ66" i="11"/>
  <c r="AD59" i="10"/>
  <c r="BN59" i="11"/>
  <c r="BQ61" i="11"/>
  <c r="AG61" i="10"/>
  <c r="BM65" i="11"/>
  <c r="AC65" i="10"/>
  <c r="R15" i="27"/>
  <c r="P15" i="27"/>
  <c r="Q15" i="27" s="1"/>
  <c r="R15" i="26"/>
  <c r="P15" i="26"/>
  <c r="Q15" i="26" s="1"/>
  <c r="P35" i="26"/>
  <c r="Q35" i="26" s="1"/>
  <c r="R35" i="26"/>
  <c r="AU9" i="9"/>
  <c r="P51" i="26"/>
  <c r="Q51" i="26" s="1"/>
  <c r="R51" i="26"/>
  <c r="R71" i="27"/>
  <c r="P71" i="27"/>
  <c r="Q71" i="27" s="1"/>
  <c r="R16" i="28"/>
  <c r="P16" i="28"/>
  <c r="Q16" i="28" s="1"/>
  <c r="AU53" i="9"/>
  <c r="R36" i="26"/>
  <c r="P36" i="26"/>
  <c r="Q36" i="26" s="1"/>
  <c r="P23" i="11"/>
  <c r="V8" i="11"/>
  <c r="Y73" i="11"/>
  <c r="AB12" i="11"/>
  <c r="AK9" i="11"/>
  <c r="AF38" i="11"/>
  <c r="L57" i="11"/>
  <c r="S21" i="11"/>
  <c r="J75" i="11"/>
  <c r="AK48" i="11"/>
  <c r="AD66" i="11"/>
  <c r="AD34" i="11"/>
  <c r="T21" i="11"/>
  <c r="AC72" i="11"/>
  <c r="AC48" i="11"/>
  <c r="O50" i="11"/>
  <c r="V52" i="11"/>
  <c r="AA42" i="11"/>
  <c r="AK69" i="11"/>
  <c r="F55" i="11"/>
  <c r="AI27" i="11"/>
  <c r="AZ65" i="11"/>
  <c r="P65" i="10"/>
  <c r="AG37" i="10"/>
  <c r="BQ37" i="11"/>
  <c r="BJ43" i="11"/>
  <c r="Z43" i="10"/>
  <c r="BJ11" i="11"/>
  <c r="Z11" i="10"/>
  <c r="AV37" i="11"/>
  <c r="L37" i="10"/>
  <c r="AJ43" i="11"/>
  <c r="X25" i="10"/>
  <c r="BH25" i="11"/>
  <c r="U63" i="11"/>
  <c r="Q16" i="10"/>
  <c r="BA16" i="11"/>
  <c r="BK8" i="11"/>
  <c r="AA8" i="10"/>
  <c r="S63" i="11"/>
  <c r="O18" i="11"/>
  <c r="J45" i="10"/>
  <c r="AT45" i="11"/>
  <c r="H42" i="11"/>
  <c r="H10" i="11"/>
  <c r="AI32" i="11"/>
  <c r="P51" i="11"/>
  <c r="Z13" i="11"/>
  <c r="L65" i="11"/>
  <c r="AJ49" i="11"/>
  <c r="Q64" i="11"/>
  <c r="Y13" i="11"/>
  <c r="AB21" i="11"/>
  <c r="AN14" i="30"/>
  <c r="P8" i="11"/>
  <c r="AE32" i="11"/>
  <c r="M10" i="11"/>
  <c r="AJ56" i="11"/>
  <c r="BH17" i="11"/>
  <c r="X17" i="10"/>
  <c r="BF37" i="11"/>
  <c r="V37" i="10"/>
  <c r="V37" i="11"/>
  <c r="T53" i="11"/>
  <c r="Y47" i="10"/>
  <c r="BI47" i="11"/>
  <c r="S11" i="11"/>
  <c r="J52" i="11"/>
  <c r="AK73" i="11"/>
  <c r="AV52" i="9"/>
  <c r="AY52" i="9" s="1"/>
  <c r="AV28" i="9"/>
  <c r="AY28" i="9" s="1"/>
  <c r="BS37" i="11"/>
  <c r="AI37" i="10"/>
  <c r="AH29" i="10"/>
  <c r="BR29" i="11"/>
  <c r="AG65" i="10"/>
  <c r="BQ65" i="11"/>
  <c r="AF43" i="11"/>
  <c r="AE30" i="11"/>
  <c r="M24" i="11"/>
  <c r="X36" i="11"/>
  <c r="W31" i="11"/>
  <c r="AG57" i="11"/>
  <c r="L13" i="11"/>
  <c r="M8" i="11"/>
  <c r="R53" i="11"/>
  <c r="N71" i="11"/>
  <c r="W23" i="11"/>
  <c r="U64" i="11"/>
  <c r="AH46" i="11"/>
  <c r="AF16" i="11"/>
  <c r="L25" i="11"/>
  <c r="AJ31" i="10"/>
  <c r="BT31" i="11"/>
  <c r="AC21" i="11"/>
  <c r="AB47" i="10"/>
  <c r="BL47" i="11"/>
  <c r="J15" i="10"/>
  <c r="AT15" i="11"/>
  <c r="U36" i="11"/>
  <c r="AA46" i="11"/>
  <c r="I58" i="11"/>
  <c r="T75" i="11"/>
  <c r="O12" i="11"/>
  <c r="AS53" i="11"/>
  <c r="I53" i="10"/>
  <c r="J20" i="11"/>
  <c r="F28" i="11"/>
  <c r="AV10" i="9"/>
  <c r="AY10" i="9" s="1"/>
  <c r="AV31" i="9"/>
  <c r="AY31" i="9" s="1"/>
  <c r="AH17" i="11"/>
  <c r="V57" i="11"/>
  <c r="Q11" i="11"/>
  <c r="L20" i="11"/>
  <c r="AJ30" i="11"/>
  <c r="T22" i="11"/>
  <c r="AA25" i="11"/>
  <c r="AG44" i="11"/>
  <c r="S64" i="11"/>
  <c r="AB74" i="11"/>
  <c r="I13" i="11"/>
  <c r="Y50" i="11"/>
  <c r="S20" i="11"/>
  <c r="AB30" i="11"/>
  <c r="AK55" i="11"/>
  <c r="H29" i="11"/>
  <c r="AU68" i="9"/>
  <c r="AT76" i="9"/>
  <c r="P75" i="11"/>
  <c r="R63" i="11"/>
  <c r="R38" i="11"/>
  <c r="Y57" i="11"/>
  <c r="O22" i="11"/>
  <c r="BF75" i="9"/>
  <c r="BA75" i="9"/>
  <c r="AH67" i="11"/>
  <c r="AG15" i="11"/>
  <c r="L43" i="11"/>
  <c r="K11" i="11"/>
  <c r="AD26" i="11"/>
  <c r="X8" i="11"/>
  <c r="Q34" i="11"/>
  <c r="I44" i="11"/>
  <c r="J41" i="11"/>
  <c r="AK36" i="11"/>
  <c r="P25" i="11"/>
  <c r="R20" i="11"/>
  <c r="AJ66" i="11"/>
  <c r="AX52" i="11"/>
  <c r="N52" i="10"/>
  <c r="W21" i="11"/>
  <c r="T62" i="11"/>
  <c r="AA36" i="11"/>
  <c r="O37" i="11"/>
  <c r="I15" i="11"/>
  <c r="H67" i="11"/>
  <c r="AR46" i="11"/>
  <c r="H46" i="10"/>
  <c r="AH54" i="11"/>
  <c r="P13" i="11"/>
  <c r="Z45" i="11"/>
  <c r="AJ38" i="11"/>
  <c r="X57" i="11"/>
  <c r="U70" i="11"/>
  <c r="Q20" i="11"/>
  <c r="O63" i="11"/>
  <c r="J58" i="11"/>
  <c r="AK33" i="11"/>
  <c r="H44" i="11"/>
  <c r="H12" i="11"/>
  <c r="M74" i="11"/>
  <c r="AJ13" i="11"/>
  <c r="N45" i="11"/>
  <c r="U55" i="11"/>
  <c r="Q54" i="11"/>
  <c r="Y56" i="11"/>
  <c r="I69" i="11"/>
  <c r="AV42" i="9"/>
  <c r="AY42" i="9" s="1"/>
  <c r="AI73" i="10"/>
  <c r="BS73" i="11"/>
  <c r="AI73" i="11"/>
  <c r="BR61" i="11"/>
  <c r="AH61" i="10"/>
  <c r="P24" i="11"/>
  <c r="AF67" i="10"/>
  <c r="BP67" i="11"/>
  <c r="L28" i="11"/>
  <c r="AX43" i="11"/>
  <c r="N43" i="10"/>
  <c r="V22" i="11"/>
  <c r="AE10" i="11"/>
  <c r="AW63" i="11"/>
  <c r="M63" i="10"/>
  <c r="W46" i="11"/>
  <c r="AI50" i="11"/>
  <c r="AZ61" i="11"/>
  <c r="P61" i="10"/>
  <c r="BP72" i="11"/>
  <c r="AF72" i="10"/>
  <c r="AE18" i="11"/>
  <c r="M32" i="11"/>
  <c r="AX72" i="11"/>
  <c r="N72" i="10"/>
  <c r="W30" i="11"/>
  <c r="AC34" i="11"/>
  <c r="AC10" i="11"/>
  <c r="I42" i="11"/>
  <c r="Q8" i="11"/>
  <c r="T55" i="11"/>
  <c r="S69" i="10"/>
  <c r="BC69" i="11"/>
  <c r="S69" i="11"/>
  <c r="AY31" i="11"/>
  <c r="O31" i="10"/>
  <c r="AS21" i="11"/>
  <c r="I21" i="10"/>
  <c r="J32" i="11"/>
  <c r="BU67" i="11"/>
  <c r="AK67" i="10"/>
  <c r="F68" i="11"/>
  <c r="N8" i="29"/>
  <c r="AV43" i="9"/>
  <c r="AY43" i="9" s="1"/>
  <c r="P48" i="11"/>
  <c r="P16" i="11"/>
  <c r="P52" i="11"/>
  <c r="AE53" i="11"/>
  <c r="L32" i="11"/>
  <c r="AJ42" i="11"/>
  <c r="X44" i="11"/>
  <c r="U56" i="11"/>
  <c r="X64" i="11"/>
  <c r="W74" i="11"/>
  <c r="V13" i="11"/>
  <c r="Q15" i="11"/>
  <c r="AG8" i="11"/>
  <c r="Q35" i="11"/>
  <c r="AA45" i="11"/>
  <c r="AK47" i="11"/>
  <c r="H25" i="11"/>
  <c r="AV12" i="9"/>
  <c r="AY12" i="9" s="1"/>
  <c r="P31" i="11"/>
  <c r="R66" i="11"/>
  <c r="AA44" i="11"/>
  <c r="AK60" i="11"/>
  <c r="AK8" i="11"/>
  <c r="Q13" i="11"/>
  <c r="S18" i="11"/>
  <c r="K8" i="11"/>
  <c r="AK49" i="11"/>
  <c r="AH8" i="11"/>
  <c r="R23" i="11"/>
  <c r="R10" i="11"/>
  <c r="AL14" i="29"/>
  <c r="R26" i="28"/>
  <c r="P26" i="28"/>
  <c r="Q26" i="28" s="1"/>
  <c r="N54" i="11"/>
  <c r="V72" i="11"/>
  <c r="F75" i="11"/>
  <c r="F43" i="11"/>
  <c r="AI31" i="11"/>
  <c r="L17" i="11"/>
  <c r="AJ21" i="11"/>
  <c r="W14" i="10"/>
  <c r="BG14" i="11"/>
  <c r="W14" i="11"/>
  <c r="U39" i="11"/>
  <c r="O69" i="11"/>
  <c r="H55" i="11"/>
  <c r="H23" i="11"/>
  <c r="F19" i="11"/>
  <c r="AI28" i="11"/>
  <c r="W63" i="11"/>
  <c r="U25" i="11"/>
  <c r="Q61" i="11"/>
  <c r="I25" i="11"/>
  <c r="AH32" i="11"/>
  <c r="AZ28" i="11"/>
  <c r="P28" i="10"/>
  <c r="P15" i="11"/>
  <c r="AD33" i="11"/>
  <c r="AD15" i="11"/>
  <c r="AJ69" i="11"/>
  <c r="BF46" i="11"/>
  <c r="V46" i="10"/>
  <c r="T65" i="11"/>
  <c r="T9" i="11"/>
  <c r="Y60" i="11"/>
  <c r="Y28" i="11"/>
  <c r="S31" i="11"/>
  <c r="F74" i="11"/>
  <c r="AV19" i="9"/>
  <c r="AY19" i="9" s="1"/>
  <c r="P12" i="11"/>
  <c r="AD28" i="11"/>
  <c r="AF59" i="10"/>
  <c r="BP59" i="11"/>
  <c r="AW47" i="11"/>
  <c r="M47" i="10"/>
  <c r="M47" i="11"/>
  <c r="BH65" i="11"/>
  <c r="X65" i="10"/>
  <c r="W50" i="11"/>
  <c r="AG9" i="10"/>
  <c r="BQ9" i="11"/>
  <c r="AF47" i="11"/>
  <c r="L41" i="11"/>
  <c r="AJ50" i="11"/>
  <c r="W43" i="11"/>
  <c r="AH26" i="11"/>
  <c r="AF32" i="11"/>
  <c r="M44" i="11"/>
  <c r="BB74" i="11"/>
  <c r="R74" i="10"/>
  <c r="N40" i="11"/>
  <c r="V62" i="11"/>
  <c r="Y15" i="11"/>
  <c r="AC41" i="11"/>
  <c r="AC17" i="11"/>
  <c r="BL67" i="11"/>
  <c r="AB67" i="10"/>
  <c r="AU10" i="11"/>
  <c r="K10" i="10"/>
  <c r="AY47" i="11"/>
  <c r="O47" i="10"/>
  <c r="BU66" i="11"/>
  <c r="AK66" i="10"/>
  <c r="BD47" i="11"/>
  <c r="T47" i="10"/>
  <c r="AU47" i="11"/>
  <c r="K47" i="10"/>
  <c r="AK59" i="10"/>
  <c r="BU59" i="11"/>
  <c r="F24" i="11"/>
  <c r="F60" i="11"/>
  <c r="AV49" i="9"/>
  <c r="AY49" i="9" s="1"/>
  <c r="AH65" i="11"/>
  <c r="AI69" i="11"/>
  <c r="AE33" i="11"/>
  <c r="V73" i="11"/>
  <c r="Q27" i="11"/>
  <c r="L36" i="11"/>
  <c r="AJ46" i="11"/>
  <c r="R17" i="11"/>
  <c r="AA41" i="11"/>
  <c r="AG20" i="11"/>
  <c r="O51" i="11"/>
  <c r="Y58" i="11"/>
  <c r="S36" i="11"/>
  <c r="I17" i="11"/>
  <c r="S8" i="11"/>
  <c r="H53" i="11"/>
  <c r="AJ9" i="29"/>
  <c r="AE74" i="11"/>
  <c r="X62" i="11"/>
  <c r="X37" i="11"/>
  <c r="T29" i="11"/>
  <c r="Y33" i="11"/>
  <c r="Y25" i="11"/>
  <c r="J74" i="11"/>
  <c r="J9" i="11"/>
  <c r="AB17" i="11"/>
  <c r="Q70" i="11"/>
  <c r="L51" i="11"/>
  <c r="M28" i="11"/>
  <c r="O25" i="11"/>
  <c r="AB24" i="11"/>
  <c r="BP44" i="11"/>
  <c r="AF44" i="10"/>
  <c r="AJ44" i="11"/>
  <c r="V36" i="11"/>
  <c r="BE13" i="11"/>
  <c r="U13" i="10"/>
  <c r="K31" i="10"/>
  <c r="AU31" i="11"/>
  <c r="H38" i="10"/>
  <c r="AR38" i="11"/>
  <c r="R18" i="11"/>
  <c r="V68" i="11"/>
  <c r="Q44" i="11"/>
  <c r="H8" i="11"/>
  <c r="BJ67" i="11"/>
  <c r="Z67" i="10"/>
  <c r="Z19" i="10"/>
  <c r="BJ19" i="11"/>
  <c r="AU29" i="9"/>
  <c r="K76" i="28"/>
  <c r="K84" i="28" s="1"/>
  <c r="L7" i="28"/>
  <c r="AH25" i="10"/>
  <c r="BR25" i="11"/>
  <c r="AH25" i="11"/>
  <c r="BO70" i="11"/>
  <c r="AE70" i="10"/>
  <c r="AW11" i="11"/>
  <c r="M11" i="10"/>
  <c r="BT47" i="11"/>
  <c r="AJ47" i="10"/>
  <c r="BQ13" i="11"/>
  <c r="AG13" i="10"/>
  <c r="U21" i="10"/>
  <c r="BE21" i="11"/>
  <c r="AC70" i="10"/>
  <c r="BM70" i="11"/>
  <c r="I74" i="10"/>
  <c r="AS74" i="11"/>
  <c r="K35" i="10"/>
  <c r="AU35" i="11"/>
  <c r="O20" i="11"/>
  <c r="AS41" i="11"/>
  <c r="I41" i="10"/>
  <c r="K39" i="10"/>
  <c r="AU39" i="11"/>
  <c r="BU51" i="11"/>
  <c r="AK51" i="10"/>
  <c r="AP29" i="11"/>
  <c r="F29" i="10"/>
  <c r="AV23" i="9"/>
  <c r="AY23" i="9" s="1"/>
  <c r="AV63" i="9"/>
  <c r="AY63" i="9" s="1"/>
  <c r="AV17" i="9"/>
  <c r="AY17" i="9" s="1"/>
  <c r="AV51" i="9"/>
  <c r="AY51" i="9" s="1"/>
  <c r="Z67" i="11" l="1"/>
  <c r="O47" i="11"/>
  <c r="P61" i="11"/>
  <c r="AH61" i="11"/>
  <c r="V65" i="11"/>
  <c r="AJ59" i="11"/>
  <c r="AF55" i="11"/>
  <c r="AG33" i="11"/>
  <c r="AD20" i="11"/>
  <c r="AF44" i="11"/>
  <c r="AK67" i="11"/>
  <c r="I21" i="11"/>
  <c r="O31" i="11"/>
  <c r="N72" i="11"/>
  <c r="J15" i="11"/>
  <c r="AG65" i="11"/>
  <c r="X17" i="11"/>
  <c r="K70" i="11"/>
  <c r="P73" i="11"/>
  <c r="Z22" i="11"/>
  <c r="U65" i="11"/>
  <c r="AC69" i="11"/>
  <c r="V70" i="11"/>
  <c r="V17" i="11"/>
  <c r="F45" i="11"/>
  <c r="S65" i="11"/>
  <c r="AK43" i="11"/>
  <c r="K67" i="11"/>
  <c r="Z51" i="11"/>
  <c r="AC57" i="11"/>
  <c r="AG29" i="11"/>
  <c r="F11" i="11"/>
  <c r="Z74" i="11"/>
  <c r="Z62" i="11"/>
  <c r="AJ11" i="11"/>
  <c r="AI25" i="11"/>
  <c r="Z50" i="11"/>
  <c r="AF75" i="11"/>
  <c r="AG13" i="11"/>
  <c r="AU76" i="9"/>
  <c r="Z66" i="11"/>
  <c r="AF8" i="11"/>
  <c r="O72" i="11"/>
  <c r="K15" i="11"/>
  <c r="AC38" i="11"/>
  <c r="AJ70" i="11"/>
  <c r="AH13" i="11"/>
  <c r="AH73" i="11"/>
  <c r="Z35" i="11"/>
  <c r="AK66" i="11"/>
  <c r="X65" i="11"/>
  <c r="N43" i="11"/>
  <c r="AI37" i="11"/>
  <c r="AD32" i="11"/>
  <c r="AC33" i="11"/>
  <c r="AG53" i="11"/>
  <c r="O52" i="11"/>
  <c r="AJ63" i="11"/>
  <c r="S12" i="11"/>
  <c r="F21" i="11"/>
  <c r="AB71" i="11"/>
  <c r="AC61" i="11"/>
  <c r="AG45" i="11"/>
  <c r="N59" i="11"/>
  <c r="Z38" i="11"/>
  <c r="AH57" i="11"/>
  <c r="K54" i="11"/>
  <c r="W66" i="11"/>
  <c r="K43" i="11"/>
  <c r="M75" i="11"/>
  <c r="W34" i="11"/>
  <c r="AC54" i="11"/>
  <c r="N32" i="11"/>
  <c r="Z19" i="11"/>
  <c r="H38" i="11"/>
  <c r="P28" i="11"/>
  <c r="Y47" i="11"/>
  <c r="Z43" i="11"/>
  <c r="AG17" i="11"/>
  <c r="Y43" i="11"/>
  <c r="AF68" i="11"/>
  <c r="AH41" i="11"/>
  <c r="R70" i="11"/>
  <c r="AI41" i="11"/>
  <c r="H73" i="11"/>
  <c r="P49" i="11"/>
  <c r="AK74" i="11"/>
  <c r="P57" i="11"/>
  <c r="AF20" i="11"/>
  <c r="K27" i="11"/>
  <c r="AF63" i="11"/>
  <c r="AJ55" i="11"/>
  <c r="P45" i="11"/>
  <c r="I38" i="11"/>
  <c r="X73" i="11"/>
  <c r="AA65" i="11"/>
  <c r="Q72" i="11"/>
  <c r="I41" i="11"/>
  <c r="K35" i="11"/>
  <c r="AJ47" i="11"/>
  <c r="Z34" i="11"/>
  <c r="AB38" i="11"/>
  <c r="V74" i="11"/>
  <c r="P72" i="11"/>
  <c r="AJ23" i="11"/>
  <c r="AC53" i="11"/>
  <c r="AO7" i="30"/>
  <c r="I61" i="11"/>
  <c r="AK59" i="11"/>
  <c r="BF19" i="9"/>
  <c r="BA19" i="9"/>
  <c r="AF72" i="11"/>
  <c r="M63" i="11"/>
  <c r="AN32" i="30"/>
  <c r="G17" i="10"/>
  <c r="AL17" i="10" s="1"/>
  <c r="BF31" i="9"/>
  <c r="BA31" i="9"/>
  <c r="AH29" i="11"/>
  <c r="BF52" i="9"/>
  <c r="BA52" i="9"/>
  <c r="L12" i="11"/>
  <c r="J45" i="11"/>
  <c r="X25" i="11"/>
  <c r="L37" i="11"/>
  <c r="P65" i="11"/>
  <c r="G20" i="10"/>
  <c r="AL20" i="10" s="1"/>
  <c r="G61" i="10"/>
  <c r="AL61" i="10" s="1"/>
  <c r="BF18" i="9"/>
  <c r="BA18" i="9"/>
  <c r="AN7" i="30"/>
  <c r="G39" i="10"/>
  <c r="AL39" i="10" s="1"/>
  <c r="AN35" i="30"/>
  <c r="AL12" i="29"/>
  <c r="BA37" i="9"/>
  <c r="BF37" i="9"/>
  <c r="AC73" i="11"/>
  <c r="Z54" i="11"/>
  <c r="V66" i="11"/>
  <c r="J69" i="11"/>
  <c r="AC66" i="11"/>
  <c r="AO32" i="30"/>
  <c r="BF22" i="9"/>
  <c r="BA22" i="9"/>
  <c r="AO26" i="30"/>
  <c r="H62" i="11"/>
  <c r="AN13" i="30"/>
  <c r="R7" i="10"/>
  <c r="R76" i="10" s="1"/>
  <c r="BB55" i="9"/>
  <c r="J19" i="11"/>
  <c r="P9" i="11"/>
  <c r="AO33" i="30"/>
  <c r="AG25" i="11"/>
  <c r="N55" i="11"/>
  <c r="X33" i="11"/>
  <c r="P37" i="11"/>
  <c r="AO23" i="30"/>
  <c r="BA8" i="9"/>
  <c r="BF8" i="9"/>
  <c r="AP35" i="30"/>
  <c r="BB72" i="9"/>
  <c r="AI11" i="11"/>
  <c r="O36" i="11"/>
  <c r="AO37" i="30"/>
  <c r="AO12" i="30"/>
  <c r="BF21" i="9"/>
  <c r="BA21" i="9"/>
  <c r="AC74" i="11"/>
  <c r="Y67" i="11"/>
  <c r="BA70" i="9"/>
  <c r="BF70" i="9"/>
  <c r="U73" i="11"/>
  <c r="BF66" i="9"/>
  <c r="BA66" i="9"/>
  <c r="AV65" i="9"/>
  <c r="AY65" i="9" s="1"/>
  <c r="BA48" i="9"/>
  <c r="BF48" i="9"/>
  <c r="R21" i="11"/>
  <c r="G22" i="10"/>
  <c r="AN15" i="29"/>
  <c r="AM15" i="29"/>
  <c r="BB15" i="9"/>
  <c r="AG7" i="10"/>
  <c r="AG76" i="10" s="1"/>
  <c r="M72" i="11"/>
  <c r="AO9" i="30"/>
  <c r="V14" i="11"/>
  <c r="BB67" i="9"/>
  <c r="N7" i="29"/>
  <c r="M9" i="29"/>
  <c r="M20" i="29" s="1"/>
  <c r="AN12" i="30"/>
  <c r="AB66" i="11"/>
  <c r="AD27" i="11"/>
  <c r="AH9" i="11"/>
  <c r="BF35" i="9"/>
  <c r="BA35" i="9"/>
  <c r="BF61" i="9"/>
  <c r="BA61" i="9"/>
  <c r="BF62" i="9"/>
  <c r="BA62" i="9"/>
  <c r="S49" i="11"/>
  <c r="L29" i="11"/>
  <c r="Z75" i="11"/>
  <c r="AL11" i="29"/>
  <c r="K76" i="26"/>
  <c r="K84" i="26" s="1"/>
  <c r="L7" i="26"/>
  <c r="I7" i="10"/>
  <c r="I76" i="10" s="1"/>
  <c r="K74" i="11"/>
  <c r="AN38" i="30"/>
  <c r="AD47" i="11"/>
  <c r="G24" i="10"/>
  <c r="AL24" i="10" s="1"/>
  <c r="X13" i="11"/>
  <c r="AD14" i="11"/>
  <c r="AP28" i="30"/>
  <c r="BB47" i="9"/>
  <c r="AV20" i="9"/>
  <c r="AY20" i="9" s="1"/>
  <c r="AB63" i="11"/>
  <c r="BF51" i="9"/>
  <c r="BA51" i="9"/>
  <c r="BA63" i="9"/>
  <c r="BF63" i="9"/>
  <c r="F29" i="11"/>
  <c r="K39" i="11"/>
  <c r="U21" i="11"/>
  <c r="AE70" i="11"/>
  <c r="AV29" i="9"/>
  <c r="AY29" i="9" s="1"/>
  <c r="G28" i="10"/>
  <c r="AL28" i="10" s="1"/>
  <c r="BA49" i="9"/>
  <c r="BF49" i="9"/>
  <c r="T47" i="11"/>
  <c r="I30" i="11"/>
  <c r="AN28" i="30"/>
  <c r="BA12" i="9"/>
  <c r="BF12" i="9"/>
  <c r="BA43" i="9"/>
  <c r="BF43" i="9"/>
  <c r="R8" i="29"/>
  <c r="AB35" i="11"/>
  <c r="N52" i="11"/>
  <c r="AO27" i="30"/>
  <c r="I53" i="11"/>
  <c r="AP21" i="30"/>
  <c r="AA8" i="11"/>
  <c r="Z11" i="11"/>
  <c r="AG37" i="11"/>
  <c r="AO35" i="30"/>
  <c r="AV9" i="9"/>
  <c r="AY9" i="9" s="1"/>
  <c r="AV74" i="9"/>
  <c r="AY74" i="9" s="1"/>
  <c r="V33" i="11"/>
  <c r="BA14" i="9"/>
  <c r="BF14" i="9"/>
  <c r="G72" i="10"/>
  <c r="AL72" i="10" s="1"/>
  <c r="AL7" i="29"/>
  <c r="AK9" i="29"/>
  <c r="AV46" i="9"/>
  <c r="AY46" i="9" s="1"/>
  <c r="AF19" i="11"/>
  <c r="BF32" i="9"/>
  <c r="BA32" i="9"/>
  <c r="O8" i="16"/>
  <c r="R8" i="16" s="1"/>
  <c r="AN9" i="30"/>
  <c r="BA36" i="9"/>
  <c r="BF36" i="9"/>
  <c r="AP27" i="30"/>
  <c r="AN18" i="30"/>
  <c r="Z14" i="11"/>
  <c r="C72" i="10"/>
  <c r="N44" i="11"/>
  <c r="BF11" i="9"/>
  <c r="BA11" i="9"/>
  <c r="BA44" i="9"/>
  <c r="BF44" i="9"/>
  <c r="AE66" i="11"/>
  <c r="AD68" i="11"/>
  <c r="AP34" i="30"/>
  <c r="AN10" i="30"/>
  <c r="BF25" i="9"/>
  <c r="BA25" i="9"/>
  <c r="AB18" i="11"/>
  <c r="AP17" i="30"/>
  <c r="O14" i="29"/>
  <c r="P14" i="29"/>
  <c r="AG49" i="11"/>
  <c r="AK13" i="29"/>
  <c r="X7" i="10"/>
  <c r="X76" i="10" s="1"/>
  <c r="P11" i="29"/>
  <c r="O11" i="29"/>
  <c r="N16" i="29"/>
  <c r="N18" i="29" s="1"/>
  <c r="BF54" i="9"/>
  <c r="BA54" i="9"/>
  <c r="AP31" i="30"/>
  <c r="G12" i="10"/>
  <c r="AL12" i="10" s="1"/>
  <c r="C30" i="10"/>
  <c r="AP13" i="30"/>
  <c r="P13" i="29"/>
  <c r="O13" i="29"/>
  <c r="AA49" i="11"/>
  <c r="BA13" i="9"/>
  <c r="BF13" i="9"/>
  <c r="U45" i="11"/>
  <c r="J76" i="28"/>
  <c r="J84" i="28" s="1"/>
  <c r="AF52" i="11"/>
  <c r="AJ7" i="10"/>
  <c r="AJ76" i="10" s="1"/>
  <c r="AO30" i="30"/>
  <c r="AO10" i="30"/>
  <c r="AO29" i="30"/>
  <c r="BF73" i="9"/>
  <c r="BA73" i="9"/>
  <c r="BA60" i="9"/>
  <c r="BF60" i="9"/>
  <c r="AC70" i="11"/>
  <c r="M11" i="11"/>
  <c r="U13" i="11"/>
  <c r="K47" i="11"/>
  <c r="K10" i="11"/>
  <c r="AB67" i="11"/>
  <c r="R74" i="11"/>
  <c r="AN25" i="30"/>
  <c r="AG9" i="11"/>
  <c r="AN36" i="30"/>
  <c r="P47" i="11"/>
  <c r="W45" i="11"/>
  <c r="AM14" i="29"/>
  <c r="AN14" i="29"/>
  <c r="AP37" i="30"/>
  <c r="AF67" i="11"/>
  <c r="BA42" i="9"/>
  <c r="BF42" i="9"/>
  <c r="AO38" i="30"/>
  <c r="BB75" i="9"/>
  <c r="AB47" i="11"/>
  <c r="AN33" i="30"/>
  <c r="BF28" i="9"/>
  <c r="BA28" i="9"/>
  <c r="Q7" i="10"/>
  <c r="Q76" i="10" s="1"/>
  <c r="AG61" i="11"/>
  <c r="AI26" i="11"/>
  <c r="AO8" i="30"/>
  <c r="Z26" i="11"/>
  <c r="BA57" i="9"/>
  <c r="BF57" i="9"/>
  <c r="BF38" i="9"/>
  <c r="BA38" i="9"/>
  <c r="BA27" i="9"/>
  <c r="BF27" i="9"/>
  <c r="AV24" i="9"/>
  <c r="AY24" i="9" s="1"/>
  <c r="BA71" i="9"/>
  <c r="BF71" i="9"/>
  <c r="Y71" i="11"/>
  <c r="AV58" i="9"/>
  <c r="AY58" i="9" s="1"/>
  <c r="J37" i="11"/>
  <c r="G40" i="10"/>
  <c r="AL40" i="10" s="1"/>
  <c r="AN22" i="30"/>
  <c r="BA39" i="9"/>
  <c r="BF39" i="9"/>
  <c r="C55" i="10"/>
  <c r="BF16" i="9"/>
  <c r="BA16" i="9"/>
  <c r="O15" i="29"/>
  <c r="P15" i="29"/>
  <c r="AO14" i="30"/>
  <c r="G75" i="10"/>
  <c r="AL75" i="10" s="1"/>
  <c r="AV33" i="9"/>
  <c r="AY33" i="9" s="1"/>
  <c r="AO19" i="30"/>
  <c r="G33" i="10"/>
  <c r="AL33" i="10" s="1"/>
  <c r="AK27" i="11"/>
  <c r="S68" i="11"/>
  <c r="BF50" i="9"/>
  <c r="BA50" i="9"/>
  <c r="AO28" i="30"/>
  <c r="C15" i="10"/>
  <c r="AN15" i="30"/>
  <c r="M9" i="16"/>
  <c r="O7" i="16"/>
  <c r="AO13" i="30"/>
  <c r="C67" i="10"/>
  <c r="AC7" i="10"/>
  <c r="AC76" i="10" s="1"/>
  <c r="G71" i="10"/>
  <c r="AL71" i="10" s="1"/>
  <c r="AP26" i="30"/>
  <c r="AO22" i="30"/>
  <c r="AE7" i="10"/>
  <c r="AE76" i="10" s="1"/>
  <c r="BA45" i="9"/>
  <c r="BF45" i="9"/>
  <c r="BF26" i="9"/>
  <c r="BA26" i="9"/>
  <c r="G60" i="10"/>
  <c r="AL60" i="10" s="1"/>
  <c r="G9" i="10"/>
  <c r="AL9" i="10" s="1"/>
  <c r="AN21" i="30"/>
  <c r="G44" i="10"/>
  <c r="AL44" i="10" s="1"/>
  <c r="AV64" i="9"/>
  <c r="AY64" i="9" s="1"/>
  <c r="BF17" i="9"/>
  <c r="BA17" i="9"/>
  <c r="BF23" i="9"/>
  <c r="BA23" i="9"/>
  <c r="I74" i="11"/>
  <c r="L76" i="28"/>
  <c r="L84" i="28" s="1"/>
  <c r="N7" i="28"/>
  <c r="AA32" i="11"/>
  <c r="AD7" i="10"/>
  <c r="AD76" i="10" s="1"/>
  <c r="AO20" i="30"/>
  <c r="C75" i="10"/>
  <c r="AV68" i="9"/>
  <c r="AY68" i="9" s="1"/>
  <c r="BA10" i="9"/>
  <c r="BF10" i="9"/>
  <c r="S73" i="10"/>
  <c r="BC73" i="11"/>
  <c r="AN23" i="30"/>
  <c r="AV53" i="9"/>
  <c r="AY53" i="9" s="1"/>
  <c r="AC65" i="11"/>
  <c r="AN17" i="30"/>
  <c r="AV40" i="9"/>
  <c r="AY40" i="9" s="1"/>
  <c r="R15" i="28"/>
  <c r="P15" i="28"/>
  <c r="Q15" i="28" s="1"/>
  <c r="N27" i="11"/>
  <c r="N75" i="11"/>
  <c r="P53" i="11"/>
  <c r="AF36" i="11"/>
  <c r="AO34" i="30"/>
  <c r="F37" i="11"/>
  <c r="BF34" i="9"/>
  <c r="BA34" i="9"/>
  <c r="AO17" i="30"/>
  <c r="BF59" i="9"/>
  <c r="BA59" i="9"/>
  <c r="G14" i="10"/>
  <c r="G56" i="10"/>
  <c r="AL56" i="10" s="1"/>
  <c r="G8" i="10"/>
  <c r="AL8" i="10" s="1"/>
  <c r="AN37" i="30"/>
  <c r="AN11" i="30"/>
  <c r="V18" i="11"/>
  <c r="X72" i="11"/>
  <c r="AN24" i="30"/>
  <c r="S74" i="11"/>
  <c r="AH7" i="10"/>
  <c r="AH76" i="10" s="1"/>
  <c r="R73" i="11"/>
  <c r="AI53" i="11"/>
  <c r="AH45" i="11"/>
  <c r="AK11" i="11"/>
  <c r="AN30" i="30"/>
  <c r="AP8" i="29"/>
  <c r="AN29" i="30"/>
  <c r="T11" i="11"/>
  <c r="N23" i="11"/>
  <c r="BF41" i="9"/>
  <c r="BA41" i="9"/>
  <c r="AD75" i="11"/>
  <c r="AN16" i="30"/>
  <c r="AN34" i="30"/>
  <c r="AN19" i="30"/>
  <c r="S33" i="11"/>
  <c r="BA69" i="9"/>
  <c r="BF69" i="9"/>
  <c r="AY7" i="9"/>
  <c r="AN8" i="30"/>
  <c r="AH66" i="11"/>
  <c r="O12" i="29"/>
  <c r="P12" i="29"/>
  <c r="AG69" i="11"/>
  <c r="AJ16" i="29"/>
  <c r="BB30" i="9"/>
  <c r="AO16" i="30"/>
  <c r="K76" i="27"/>
  <c r="K84" i="27" s="1"/>
  <c r="L7" i="27"/>
  <c r="AD72" i="11"/>
  <c r="G55" i="10"/>
  <c r="AL55" i="10" s="1"/>
  <c r="C47" i="10"/>
  <c r="AO15" i="30"/>
  <c r="BF56" i="9"/>
  <c r="BA56" i="9"/>
  <c r="J73" i="11"/>
  <c r="AM72" i="10" l="1"/>
  <c r="AM75" i="10"/>
  <c r="H40" i="11"/>
  <c r="V56" i="11"/>
  <c r="W24" i="11"/>
  <c r="H71" i="11"/>
  <c r="AV76" i="9"/>
  <c r="AY76" i="9"/>
  <c r="AD22" i="11"/>
  <c r="L76" i="27"/>
  <c r="L84" i="27" s="1"/>
  <c r="N7" i="27"/>
  <c r="C69" i="10"/>
  <c r="W13" i="17"/>
  <c r="H24" i="11"/>
  <c r="AP32" i="30"/>
  <c r="C59" i="10"/>
  <c r="G63" i="10"/>
  <c r="AL63" i="10" s="1"/>
  <c r="H30" i="11"/>
  <c r="AK56" i="11"/>
  <c r="BA68" i="9"/>
  <c r="BF68" i="9"/>
  <c r="BB23" i="9"/>
  <c r="O7" i="10"/>
  <c r="O76" i="10" s="1"/>
  <c r="C26" i="10"/>
  <c r="S7" i="10"/>
  <c r="S76" i="10" s="1"/>
  <c r="AQ31" i="30"/>
  <c r="G21" i="10"/>
  <c r="AL21" i="10" s="1"/>
  <c r="AT42" i="11"/>
  <c r="J42" i="10"/>
  <c r="L40" i="11"/>
  <c r="AO24" i="30"/>
  <c r="AO11" i="30"/>
  <c r="C16" i="10"/>
  <c r="G48" i="10"/>
  <c r="AL48" i="10" s="1"/>
  <c r="G65" i="10"/>
  <c r="AL65" i="10" s="1"/>
  <c r="BB71" i="9"/>
  <c r="BB27" i="9"/>
  <c r="C57" i="10"/>
  <c r="W34" i="30"/>
  <c r="C28" i="10"/>
  <c r="AM28" i="10" s="1"/>
  <c r="AC24" i="11"/>
  <c r="N56" i="11"/>
  <c r="U59" i="11"/>
  <c r="BB60" i="9"/>
  <c r="BB54" i="9"/>
  <c r="C25" i="10"/>
  <c r="C11" i="10"/>
  <c r="AB7" i="10"/>
  <c r="AB76" i="10" s="1"/>
  <c r="M50" i="11"/>
  <c r="K22" i="11"/>
  <c r="C32" i="10"/>
  <c r="AP8" i="30"/>
  <c r="P7" i="10"/>
  <c r="P76" i="10" s="1"/>
  <c r="BB43" i="9"/>
  <c r="AO36" i="30"/>
  <c r="BB51" i="9"/>
  <c r="W21" i="30"/>
  <c r="W27" i="30"/>
  <c r="AP10" i="30"/>
  <c r="BB61" i="9"/>
  <c r="AQ34" i="30"/>
  <c r="AE58" i="11"/>
  <c r="BB48" i="9"/>
  <c r="BA65" i="9"/>
  <c r="BF65" i="9"/>
  <c r="BB70" i="9"/>
  <c r="C55" i="11"/>
  <c r="C22" i="10"/>
  <c r="C37" i="10"/>
  <c r="C52" i="10"/>
  <c r="C31" i="10"/>
  <c r="C19" i="10"/>
  <c r="W26" i="30"/>
  <c r="C56" i="10"/>
  <c r="AM56" i="10" s="1"/>
  <c r="C30" i="11"/>
  <c r="AJ20" i="29"/>
  <c r="AJ18" i="29"/>
  <c r="Q12" i="29"/>
  <c r="R12" i="29" s="1"/>
  <c r="BB69" i="9"/>
  <c r="AP9" i="30"/>
  <c r="BB41" i="9"/>
  <c r="G59" i="10"/>
  <c r="AL59" i="10" s="1"/>
  <c r="J7" i="10"/>
  <c r="AD58" i="11"/>
  <c r="AP33" i="30"/>
  <c r="AK30" i="11"/>
  <c r="V16" i="11"/>
  <c r="O46" i="11"/>
  <c r="BB34" i="9"/>
  <c r="G29" i="10"/>
  <c r="AL29" i="10" s="1"/>
  <c r="W31" i="30"/>
  <c r="BF53" i="9"/>
  <c r="BA53" i="9"/>
  <c r="AQ37" i="30"/>
  <c r="P7" i="28"/>
  <c r="R7" i="28"/>
  <c r="R76" i="28" s="1"/>
  <c r="R84" i="28" s="1"/>
  <c r="N76" i="28"/>
  <c r="N84" i="28" s="1"/>
  <c r="C17" i="10"/>
  <c r="AM17" i="10" s="1"/>
  <c r="W24" i="30"/>
  <c r="W15" i="30"/>
  <c r="G45" i="10"/>
  <c r="AL45" i="10" s="1"/>
  <c r="BA64" i="9"/>
  <c r="BF64" i="9"/>
  <c r="AP16" i="30"/>
  <c r="C50" i="10"/>
  <c r="G49" i="10"/>
  <c r="AL49" i="10" s="1"/>
  <c r="Q15" i="29"/>
  <c r="R15" i="29" s="1"/>
  <c r="G68" i="10"/>
  <c r="AL68" i="10" s="1"/>
  <c r="BF24" i="9"/>
  <c r="BA24" i="9"/>
  <c r="BB38" i="9"/>
  <c r="BB57" i="9"/>
  <c r="W40" i="11"/>
  <c r="AQ21" i="30"/>
  <c r="AP20" i="30"/>
  <c r="C42" i="10"/>
  <c r="W9" i="17"/>
  <c r="BB73" i="9"/>
  <c r="BB13" i="9"/>
  <c r="Q13" i="29"/>
  <c r="R13" i="29" s="1"/>
  <c r="C54" i="10"/>
  <c r="AP22" i="30"/>
  <c r="AQ26" i="30"/>
  <c r="AL13" i="29"/>
  <c r="G70" i="10"/>
  <c r="AL70" i="10" s="1"/>
  <c r="Q14" i="29"/>
  <c r="R14" i="29" s="1"/>
  <c r="G36" i="10"/>
  <c r="AL36" i="10" s="1"/>
  <c r="C44" i="10"/>
  <c r="AM44" i="10" s="1"/>
  <c r="AP14" i="30"/>
  <c r="G43" i="10"/>
  <c r="AL43" i="10" s="1"/>
  <c r="H68" i="11"/>
  <c r="AI56" i="11"/>
  <c r="F7" i="10"/>
  <c r="C14" i="10"/>
  <c r="W35" i="30"/>
  <c r="BA74" i="9"/>
  <c r="BF74" i="9"/>
  <c r="R24" i="11"/>
  <c r="I16" i="11"/>
  <c r="T8" i="29"/>
  <c r="AD46" i="11"/>
  <c r="C63" i="10"/>
  <c r="AM63" i="10" s="1"/>
  <c r="C51" i="10"/>
  <c r="W11" i="17"/>
  <c r="W10" i="30"/>
  <c r="M7" i="10"/>
  <c r="M76" i="10" s="1"/>
  <c r="BA20" i="9"/>
  <c r="BF20" i="9"/>
  <c r="C47" i="11"/>
  <c r="AQ13" i="30"/>
  <c r="AK16" i="29"/>
  <c r="AK18" i="29" s="1"/>
  <c r="C61" i="10"/>
  <c r="AM61" i="10" s="1"/>
  <c r="BB35" i="9"/>
  <c r="AO15" i="29"/>
  <c r="AP15" i="29" s="1"/>
  <c r="BB66" i="9"/>
  <c r="BB21" i="9"/>
  <c r="C72" i="11"/>
  <c r="T68" i="11"/>
  <c r="G53" i="10"/>
  <c r="AL53" i="10" s="1"/>
  <c r="AQ27" i="30"/>
  <c r="T40" i="11"/>
  <c r="P50" i="11"/>
  <c r="BB37" i="9"/>
  <c r="BB18" i="9"/>
  <c r="W18" i="30"/>
  <c r="W12" i="17"/>
  <c r="W28" i="30"/>
  <c r="G42" i="10"/>
  <c r="G7" i="10"/>
  <c r="X59" i="11"/>
  <c r="H7" i="10"/>
  <c r="AR8" i="29"/>
  <c r="G35" i="10"/>
  <c r="AL35" i="10" s="1"/>
  <c r="N58" i="11"/>
  <c r="AP12" i="30"/>
  <c r="AP23" i="30"/>
  <c r="AF7" i="10"/>
  <c r="AF76" i="10" s="1"/>
  <c r="Q56" i="11"/>
  <c r="AE16" i="11"/>
  <c r="C10" i="10"/>
  <c r="G38" i="10"/>
  <c r="AL38" i="10" s="1"/>
  <c r="C23" i="10"/>
  <c r="W29" i="30"/>
  <c r="W36" i="30"/>
  <c r="G31" i="10"/>
  <c r="AL31" i="10" s="1"/>
  <c r="C45" i="10"/>
  <c r="AM45" i="10" s="1"/>
  <c r="AQ17" i="30"/>
  <c r="G54" i="10"/>
  <c r="AL54" i="10" s="1"/>
  <c r="G10" i="10"/>
  <c r="AL10" i="10" s="1"/>
  <c r="BA33" i="9"/>
  <c r="BF33" i="9"/>
  <c r="AI24" i="11"/>
  <c r="AM55" i="10"/>
  <c r="C39" i="10"/>
  <c r="AM39" i="10" s="1"/>
  <c r="C38" i="10"/>
  <c r="W38" i="30"/>
  <c r="W37" i="30"/>
  <c r="BB28" i="9"/>
  <c r="T7" i="10"/>
  <c r="T76" i="10" s="1"/>
  <c r="J22" i="11"/>
  <c r="G67" i="10"/>
  <c r="AL67" i="10" s="1"/>
  <c r="AQ28" i="30"/>
  <c r="G51" i="10"/>
  <c r="AL51" i="10" s="1"/>
  <c r="G27" i="10"/>
  <c r="AL27" i="10" s="1"/>
  <c r="Q11" i="29"/>
  <c r="O16" i="29"/>
  <c r="U7" i="10"/>
  <c r="U76" i="10" s="1"/>
  <c r="BB44" i="9"/>
  <c r="BB11" i="9"/>
  <c r="AA7" i="10"/>
  <c r="AA76" i="10" s="1"/>
  <c r="G41" i="10"/>
  <c r="AL41" i="10" s="1"/>
  <c r="C36" i="10"/>
  <c r="AI68" i="11"/>
  <c r="Y8" i="16"/>
  <c r="T8" i="16"/>
  <c r="BA46" i="9"/>
  <c r="BF46" i="9"/>
  <c r="E15" i="10"/>
  <c r="AP7" i="29"/>
  <c r="AL9" i="29"/>
  <c r="BB14" i="9"/>
  <c r="C12" i="10"/>
  <c r="AM12" i="10" s="1"/>
  <c r="AO25" i="30"/>
  <c r="C49" i="10"/>
  <c r="AM49" i="10" s="1"/>
  <c r="BB63" i="9"/>
  <c r="AP29" i="30"/>
  <c r="AP30" i="30"/>
  <c r="L76" i="26"/>
  <c r="L84" i="26" s="1"/>
  <c r="N7" i="26"/>
  <c r="BB62" i="9"/>
  <c r="C35" i="10"/>
  <c r="R7" i="29"/>
  <c r="N9" i="29"/>
  <c r="N20" i="29" s="1"/>
  <c r="C15" i="11"/>
  <c r="H56" i="11"/>
  <c r="C70" i="10"/>
  <c r="AM70" i="10" s="1"/>
  <c r="C21" i="10"/>
  <c r="AM21" i="10" s="1"/>
  <c r="C8" i="10"/>
  <c r="AM8" i="10" s="1"/>
  <c r="AO18" i="30"/>
  <c r="G16" i="10"/>
  <c r="AL16" i="10" s="1"/>
  <c r="AF50" i="11"/>
  <c r="AN12" i="29"/>
  <c r="AM12" i="29"/>
  <c r="C18" i="10"/>
  <c r="AD40" i="11"/>
  <c r="AB56" i="11"/>
  <c r="BB52" i="9"/>
  <c r="BB31" i="9"/>
  <c r="Y40" i="11"/>
  <c r="AC16" i="11"/>
  <c r="M30" i="11"/>
  <c r="BB19" i="9"/>
  <c r="BB56" i="9"/>
  <c r="BF7" i="9"/>
  <c r="BA7" i="9"/>
  <c r="C41" i="10"/>
  <c r="AM41" i="10" s="1"/>
  <c r="G13" i="10"/>
  <c r="AL13" i="10" s="1"/>
  <c r="G23" i="10"/>
  <c r="AQ35" i="30"/>
  <c r="V7" i="10"/>
  <c r="V76" i="10" s="1"/>
  <c r="AH68" i="11"/>
  <c r="Z7" i="10"/>
  <c r="Z76" i="10" s="1"/>
  <c r="BB59" i="9"/>
  <c r="C34" i="10"/>
  <c r="G52" i="10"/>
  <c r="AL52" i="10" s="1"/>
  <c r="AF46" i="11"/>
  <c r="G15" i="10"/>
  <c r="BA40" i="9"/>
  <c r="BF40" i="9"/>
  <c r="BB10" i="9"/>
  <c r="M68" i="11"/>
  <c r="AH30" i="11"/>
  <c r="BB17" i="9"/>
  <c r="AP15" i="30"/>
  <c r="BB26" i="9"/>
  <c r="BB45" i="9"/>
  <c r="O9" i="16"/>
  <c r="R7" i="16"/>
  <c r="BB50" i="9"/>
  <c r="BB16" i="9"/>
  <c r="BB39" i="9"/>
  <c r="BA58" i="9"/>
  <c r="BF58" i="9"/>
  <c r="T71" i="11"/>
  <c r="C71" i="10"/>
  <c r="AM71" i="10" s="1"/>
  <c r="C27" i="10"/>
  <c r="AK22" i="11"/>
  <c r="AF30" i="11"/>
  <c r="L69" i="11"/>
  <c r="V40" i="11"/>
  <c r="C75" i="11"/>
  <c r="BB42" i="9"/>
  <c r="AO14" i="29"/>
  <c r="AP14" i="29" s="1"/>
  <c r="G64" i="10"/>
  <c r="AL64" i="10" s="1"/>
  <c r="W25" i="30"/>
  <c r="W22" i="30"/>
  <c r="C60" i="10"/>
  <c r="AM60" i="10" s="1"/>
  <c r="C73" i="10"/>
  <c r="C13" i="10"/>
  <c r="P16" i="29"/>
  <c r="BB25" i="9"/>
  <c r="AP19" i="30"/>
  <c r="G73" i="10"/>
  <c r="AL73" i="10" s="1"/>
  <c r="BB36" i="9"/>
  <c r="BB32" i="9"/>
  <c r="AA16" i="11"/>
  <c r="G19" i="10"/>
  <c r="AL19" i="10" s="1"/>
  <c r="G46" i="10"/>
  <c r="AL46" i="10" s="1"/>
  <c r="G37" i="10"/>
  <c r="AL37" i="10" s="1"/>
  <c r="W13" i="30"/>
  <c r="BA9" i="9"/>
  <c r="BF9" i="9"/>
  <c r="AP38" i="30"/>
  <c r="C43" i="10"/>
  <c r="AM43" i="10" s="1"/>
  <c r="BB12" i="9"/>
  <c r="AC68" i="11"/>
  <c r="BB49" i="9"/>
  <c r="BF29" i="9"/>
  <c r="BA29" i="9"/>
  <c r="W19" i="30"/>
  <c r="AK7" i="10"/>
  <c r="AK76" i="10" s="1"/>
  <c r="L7" i="10"/>
  <c r="L76" i="10" s="1"/>
  <c r="G47" i="10"/>
  <c r="AL47" i="10" s="1"/>
  <c r="AM11" i="29"/>
  <c r="AN11" i="29"/>
  <c r="C62" i="10"/>
  <c r="C67" i="11"/>
  <c r="C48" i="10"/>
  <c r="AM48" i="10" s="1"/>
  <c r="C66" i="10"/>
  <c r="BB8" i="9"/>
  <c r="AE71" i="11"/>
  <c r="G11" i="10"/>
  <c r="AL11" i="10" s="1"/>
  <c r="G32" i="10"/>
  <c r="AL32" i="10" s="1"/>
  <c r="BB22" i="9"/>
  <c r="O24" i="11"/>
  <c r="AN39" i="30"/>
  <c r="AN41" i="30" s="1"/>
  <c r="W30" i="30"/>
  <c r="G25" i="10"/>
  <c r="AL25" i="10" s="1"/>
  <c r="AO39" i="30"/>
  <c r="AO41" i="30" s="1"/>
  <c r="AM27" i="10" l="1"/>
  <c r="J76" i="10"/>
  <c r="AM36" i="10"/>
  <c r="AL42" i="10"/>
  <c r="AM38" i="10"/>
  <c r="J31" i="11"/>
  <c r="AM59" i="10"/>
  <c r="I18" i="11"/>
  <c r="K51" i="11"/>
  <c r="AF51" i="11"/>
  <c r="AF12" i="11"/>
  <c r="AM42" i="10"/>
  <c r="AM31" i="10"/>
  <c r="AM11" i="10"/>
  <c r="AB50" i="11"/>
  <c r="I50" i="11"/>
  <c r="M31" i="11"/>
  <c r="AQ9" i="30"/>
  <c r="X12" i="30"/>
  <c r="AQ7" i="30"/>
  <c r="K7" i="10"/>
  <c r="K76" i="10" s="1"/>
  <c r="C50" i="11"/>
  <c r="C26" i="11"/>
  <c r="C10" i="11"/>
  <c r="M43" i="11"/>
  <c r="BB7" i="9"/>
  <c r="BA76" i="9"/>
  <c r="X30" i="30"/>
  <c r="X13" i="30"/>
  <c r="AQ72" i="11"/>
  <c r="BV72" i="11" s="1"/>
  <c r="AQ19" i="30"/>
  <c r="C11" i="11"/>
  <c r="Y7" i="10"/>
  <c r="Y76" i="10" s="1"/>
  <c r="C21" i="11"/>
  <c r="BB74" i="9"/>
  <c r="AQ8" i="30"/>
  <c r="C73" i="11"/>
  <c r="X37" i="30"/>
  <c r="AC58" i="11"/>
  <c r="C38" i="11"/>
  <c r="AR17" i="30"/>
  <c r="BB64" i="9"/>
  <c r="X29" i="30"/>
  <c r="AF28" i="11"/>
  <c r="T12" i="29"/>
  <c r="W12" i="29" s="1"/>
  <c r="Q16" i="11"/>
  <c r="AF71" i="11"/>
  <c r="W8" i="17"/>
  <c r="C54" i="11"/>
  <c r="C60" i="11"/>
  <c r="C71" i="11"/>
  <c r="AQ33" i="11"/>
  <c r="BV33" i="11" s="1"/>
  <c r="X24" i="30"/>
  <c r="BB68" i="9"/>
  <c r="AS35" i="30"/>
  <c r="G50" i="10"/>
  <c r="AL50" i="10" s="1"/>
  <c r="AM47" i="10"/>
  <c r="AQ61" i="11"/>
  <c r="BV61" i="11" s="1"/>
  <c r="AO11" i="29"/>
  <c r="AQ30" i="30"/>
  <c r="AQ10" i="30"/>
  <c r="AQ28" i="11"/>
  <c r="BV28" i="11" s="1"/>
  <c r="AD59" i="11"/>
  <c r="C32" i="11"/>
  <c r="AM73" i="10"/>
  <c r="AK51" i="11"/>
  <c r="AJ31" i="11"/>
  <c r="X34" i="30"/>
  <c r="C58" i="10"/>
  <c r="C39" i="11"/>
  <c r="AP11" i="30"/>
  <c r="AQ75" i="11"/>
  <c r="BV75" i="11" s="1"/>
  <c r="R9" i="16"/>
  <c r="Y7" i="16"/>
  <c r="T7" i="16"/>
  <c r="BB40" i="9"/>
  <c r="AQ14" i="11"/>
  <c r="X13" i="17"/>
  <c r="AP7" i="30"/>
  <c r="C56" i="11"/>
  <c r="X20" i="30"/>
  <c r="AO12" i="29"/>
  <c r="AP12" i="29" s="1"/>
  <c r="R9" i="29"/>
  <c r="T7" i="29"/>
  <c r="AJ71" i="11"/>
  <c r="J35" i="11"/>
  <c r="C63" i="11"/>
  <c r="K31" i="11"/>
  <c r="C14" i="11"/>
  <c r="C46" i="10"/>
  <c r="AM46" i="10" s="1"/>
  <c r="U8" i="16"/>
  <c r="X22" i="30"/>
  <c r="C28" i="11"/>
  <c r="C33" i="10"/>
  <c r="AM33" i="10" s="1"/>
  <c r="AQ71" i="11"/>
  <c r="BV71" i="11" s="1"/>
  <c r="Z42" i="11"/>
  <c r="AT8" i="29"/>
  <c r="C18" i="11"/>
  <c r="C37" i="11"/>
  <c r="AP18" i="30"/>
  <c r="AK35" i="11"/>
  <c r="AK42" i="11"/>
  <c r="C20" i="10"/>
  <c r="AM20" i="10" s="1"/>
  <c r="AQ29" i="30"/>
  <c r="N7" i="10"/>
  <c r="N76" i="10" s="1"/>
  <c r="T14" i="29"/>
  <c r="W14" i="29" s="1"/>
  <c r="AM54" i="10"/>
  <c r="T13" i="29"/>
  <c r="W13" i="29" s="1"/>
  <c r="BB24" i="9"/>
  <c r="AC50" i="11"/>
  <c r="X36" i="30"/>
  <c r="BB53" i="9"/>
  <c r="AQ17" i="11"/>
  <c r="BV17" i="11" s="1"/>
  <c r="C65" i="10"/>
  <c r="AM65" i="10" s="1"/>
  <c r="C61" i="11"/>
  <c r="X11" i="17"/>
  <c r="AK20" i="29"/>
  <c r="G74" i="10"/>
  <c r="AL74" i="10" s="1"/>
  <c r="C27" i="11"/>
  <c r="AQ40" i="11"/>
  <c r="BV40" i="11" s="1"/>
  <c r="AM67" i="10"/>
  <c r="AQ60" i="11"/>
  <c r="BV60" i="11" s="1"/>
  <c r="G18" i="10"/>
  <c r="AL18" i="10" s="1"/>
  <c r="G34" i="10"/>
  <c r="AL34" i="10" s="1"/>
  <c r="W20" i="30"/>
  <c r="G69" i="10"/>
  <c r="AL69" i="10" s="1"/>
  <c r="C29" i="10"/>
  <c r="AM29" i="10" s="1"/>
  <c r="C49" i="11"/>
  <c r="C12" i="11"/>
  <c r="BB9" i="9"/>
  <c r="X8" i="17"/>
  <c r="AR14" i="29"/>
  <c r="AQ23" i="30"/>
  <c r="C19" i="11"/>
  <c r="V46" i="11"/>
  <c r="AL15" i="10"/>
  <c r="AR26" i="30"/>
  <c r="Q16" i="29"/>
  <c r="R11" i="29"/>
  <c r="AQ20" i="30"/>
  <c r="G62" i="10"/>
  <c r="AL62" i="10" s="1"/>
  <c r="AQ9" i="11"/>
  <c r="BV9" i="11" s="1"/>
  <c r="AM10" i="10"/>
  <c r="AR35" i="30"/>
  <c r="AQ39" i="11"/>
  <c r="BV39" i="11" s="1"/>
  <c r="AQ8" i="11"/>
  <c r="BV8" i="11" s="1"/>
  <c r="X12" i="17"/>
  <c r="AB43" i="11"/>
  <c r="C48" i="11"/>
  <c r="W16" i="30"/>
  <c r="X35" i="30"/>
  <c r="AQ15" i="30"/>
  <c r="G30" i="10"/>
  <c r="C22" i="11"/>
  <c r="Z59" i="11"/>
  <c r="W9" i="30"/>
  <c r="X27" i="30"/>
  <c r="BB29" i="9"/>
  <c r="AP36" i="30"/>
  <c r="C9" i="10"/>
  <c r="AM9" i="10" s="1"/>
  <c r="W23" i="30"/>
  <c r="C25" i="11"/>
  <c r="AM13" i="10"/>
  <c r="C42" i="11"/>
  <c r="AR21" i="30"/>
  <c r="W7" i="10"/>
  <c r="W76" i="10" s="1"/>
  <c r="C45" i="11"/>
  <c r="C17" i="11"/>
  <c r="G26" i="10"/>
  <c r="AL26" i="10" s="1"/>
  <c r="C59" i="11"/>
  <c r="AQ32" i="30"/>
  <c r="BF76" i="9"/>
  <c r="C7" i="10"/>
  <c r="C52" i="11"/>
  <c r="AS34" i="30"/>
  <c r="R7" i="26"/>
  <c r="R76" i="26" s="1"/>
  <c r="R84" i="26" s="1"/>
  <c r="N76" i="26"/>
  <c r="N84" i="26" s="1"/>
  <c r="P7" i="26"/>
  <c r="X9" i="30"/>
  <c r="X23" i="30"/>
  <c r="AR7" i="29"/>
  <c r="AP9" i="29"/>
  <c r="G66" i="10"/>
  <c r="AL66" i="10" s="1"/>
  <c r="C44" i="11"/>
  <c r="X25" i="30"/>
  <c r="BB33" i="9"/>
  <c r="C66" i="11"/>
  <c r="AR15" i="29"/>
  <c r="K71" i="11"/>
  <c r="AI18" i="11"/>
  <c r="BB20" i="9"/>
  <c r="AM51" i="10"/>
  <c r="AP25" i="30"/>
  <c r="C74" i="10"/>
  <c r="AL16" i="29"/>
  <c r="AL18" i="29" s="1"/>
  <c r="E23" i="10" s="1"/>
  <c r="AM23" i="10" s="1"/>
  <c r="AM13" i="29"/>
  <c r="AM16" i="29" s="1"/>
  <c r="AN13" i="29"/>
  <c r="AQ12" i="11"/>
  <c r="BV12" i="11" s="1"/>
  <c r="G57" i="10"/>
  <c r="AL57" i="10" s="1"/>
  <c r="X38" i="30"/>
  <c r="C57" i="11"/>
  <c r="H14" i="10"/>
  <c r="AL14" i="10" s="1"/>
  <c r="P76" i="28"/>
  <c r="P84" i="28" s="1"/>
  <c r="Q7" i="28"/>
  <c r="Q76" i="28" s="1"/>
  <c r="Q84" i="28" s="1"/>
  <c r="C34" i="11"/>
  <c r="AQ12" i="30"/>
  <c r="C69" i="11"/>
  <c r="AM52" i="10"/>
  <c r="C70" i="11"/>
  <c r="BB65" i="9"/>
  <c r="C51" i="11"/>
  <c r="AQ38" i="30"/>
  <c r="X14" i="30"/>
  <c r="AM32" i="10"/>
  <c r="AQ14" i="30"/>
  <c r="AM25" i="10"/>
  <c r="X11" i="30"/>
  <c r="AM15" i="10"/>
  <c r="AM26" i="10"/>
  <c r="X15" i="30"/>
  <c r="C68" i="10"/>
  <c r="AM68" i="10" s="1"/>
  <c r="X31" i="30"/>
  <c r="AK50" i="11"/>
  <c r="AM69" i="10"/>
  <c r="P7" i="27"/>
  <c r="N76" i="27"/>
  <c r="N84" i="27" s="1"/>
  <c r="R7" i="27"/>
  <c r="R76" i="27" s="1"/>
  <c r="R84" i="27" s="1"/>
  <c r="AS13" i="30"/>
  <c r="Z46" i="11"/>
  <c r="X21" i="30"/>
  <c r="C36" i="11"/>
  <c r="X26" i="30"/>
  <c r="AR27" i="30"/>
  <c r="C8" i="11"/>
  <c r="K42" i="11"/>
  <c r="AR13" i="30"/>
  <c r="AQ24" i="11"/>
  <c r="BV24" i="11" s="1"/>
  <c r="X16" i="30"/>
  <c r="AI7" i="10"/>
  <c r="AI76" i="10" s="1"/>
  <c r="P20" i="29"/>
  <c r="P21" i="29" s="1"/>
  <c r="P23" i="29" s="1"/>
  <c r="P18" i="29"/>
  <c r="AF59" i="11"/>
  <c r="BB58" i="9"/>
  <c r="C16" i="11"/>
  <c r="AP24" i="30"/>
  <c r="AQ44" i="11"/>
  <c r="BV44" i="11" s="1"/>
  <c r="C40" i="10"/>
  <c r="AM40" i="10" s="1"/>
  <c r="Z30" i="11"/>
  <c r="K59" i="11"/>
  <c r="AQ55" i="11"/>
  <c r="BV55" i="11" s="1"/>
  <c r="C31" i="11"/>
  <c r="AQ20" i="11"/>
  <c r="BV20" i="11" s="1"/>
  <c r="AM35" i="10"/>
  <c r="C62" i="11"/>
  <c r="H22" i="10"/>
  <c r="AL22" i="10" s="1"/>
  <c r="X19" i="30"/>
  <c r="BB46" i="9"/>
  <c r="AQ22" i="30"/>
  <c r="O20" i="29"/>
  <c r="O21" i="29" s="1"/>
  <c r="O23" i="29" s="1"/>
  <c r="O18" i="29"/>
  <c r="AQ56" i="11"/>
  <c r="BV56" i="11" s="1"/>
  <c r="AQ33" i="30"/>
  <c r="H46" i="11"/>
  <c r="AQ22" i="11"/>
  <c r="AR34" i="30"/>
  <c r="C35" i="11"/>
  <c r="M59" i="11"/>
  <c r="W12" i="30"/>
  <c r="W8" i="29"/>
  <c r="W14" i="30"/>
  <c r="F76" i="10"/>
  <c r="C13" i="11"/>
  <c r="AR28" i="30"/>
  <c r="W11" i="30"/>
  <c r="C24" i="10"/>
  <c r="AM24" i="10" s="1"/>
  <c r="T15" i="29"/>
  <c r="W15" i="29" s="1"/>
  <c r="AR31" i="30"/>
  <c r="C64" i="10"/>
  <c r="AM64" i="10" s="1"/>
  <c r="C53" i="10"/>
  <c r="AM53" i="10" s="1"/>
  <c r="AJ35" i="11"/>
  <c r="C41" i="11"/>
  <c r="X28" i="30"/>
  <c r="AM19" i="10"/>
  <c r="X18" i="30"/>
  <c r="AM37" i="10"/>
  <c r="AS27" i="30"/>
  <c r="AJ51" i="11"/>
  <c r="AI46" i="11"/>
  <c r="C43" i="11"/>
  <c r="G58" i="10"/>
  <c r="AL58" i="10" s="1"/>
  <c r="AC18" i="11"/>
  <c r="X9" i="17"/>
  <c r="AS21" i="30"/>
  <c r="AM16" i="10"/>
  <c r="AQ16" i="30"/>
  <c r="C23" i="11"/>
  <c r="AR37" i="30"/>
  <c r="Y59" i="11"/>
  <c r="AM50" i="10" l="1"/>
  <c r="E76" i="10"/>
  <c r="AL23" i="10"/>
  <c r="AM66" i="10"/>
  <c r="AM34" i="10"/>
  <c r="AM18" i="10"/>
  <c r="AM18" i="29"/>
  <c r="AM20" i="29"/>
  <c r="AM21" i="29" s="1"/>
  <c r="Z12" i="17"/>
  <c r="AQ31" i="11"/>
  <c r="BV31" i="11" s="1"/>
  <c r="AQ15" i="11"/>
  <c r="BV15" i="11" s="1"/>
  <c r="BA7" i="11"/>
  <c r="BA76" i="11" s="1"/>
  <c r="C65" i="11"/>
  <c r="Y18" i="30"/>
  <c r="Z24" i="30"/>
  <c r="AQ70" i="11"/>
  <c r="BV70" i="11" s="1"/>
  <c r="BH7" i="11"/>
  <c r="BH76" i="11" s="1"/>
  <c r="Y34" i="30"/>
  <c r="X10" i="30"/>
  <c r="BT7" i="11"/>
  <c r="BT76" i="11" s="1"/>
  <c r="AL30" i="10"/>
  <c r="AM30" i="10"/>
  <c r="AQ25" i="11"/>
  <c r="BV25" i="11" s="1"/>
  <c r="T11" i="29"/>
  <c r="R16" i="29"/>
  <c r="R18" i="29" s="1"/>
  <c r="AN16" i="29"/>
  <c r="BB7" i="11"/>
  <c r="BB76" i="11" s="1"/>
  <c r="AR38" i="30"/>
  <c r="AQ25" i="30"/>
  <c r="AQ45" i="11"/>
  <c r="BV45" i="11" s="1"/>
  <c r="AQ18" i="30"/>
  <c r="G76" i="10"/>
  <c r="Y13" i="17"/>
  <c r="Z35" i="30"/>
  <c r="BR7" i="11"/>
  <c r="BR76" i="11" s="1"/>
  <c r="Z25" i="30"/>
  <c r="C46" i="11"/>
  <c r="Y28" i="30"/>
  <c r="Y19" i="30"/>
  <c r="Y20" i="30"/>
  <c r="C76" i="10"/>
  <c r="AM7" i="10"/>
  <c r="AR30" i="30"/>
  <c r="Q18" i="29"/>
  <c r="Q20" i="29"/>
  <c r="AQ64" i="11"/>
  <c r="BV64" i="11" s="1"/>
  <c r="AU35" i="30"/>
  <c r="J42" i="11"/>
  <c r="Y38" i="30"/>
  <c r="AR8" i="30"/>
  <c r="W8" i="30"/>
  <c r="S73" i="11"/>
  <c r="Z9" i="30"/>
  <c r="C40" i="11"/>
  <c r="U7" i="16"/>
  <c r="T9" i="16"/>
  <c r="C68" i="11"/>
  <c r="AR12" i="30"/>
  <c r="AQ29" i="11"/>
  <c r="BV29" i="11" s="1"/>
  <c r="BO7" i="11"/>
  <c r="BO76" i="11" s="1"/>
  <c r="H76" i="10"/>
  <c r="C7" i="11"/>
  <c r="BB76" i="9"/>
  <c r="Z13" i="17"/>
  <c r="AQ11" i="30"/>
  <c r="AR7" i="30"/>
  <c r="Y25" i="30"/>
  <c r="Y36" i="30"/>
  <c r="AS31" i="30"/>
  <c r="AR16" i="30"/>
  <c r="AR19" i="30"/>
  <c r="AR12" i="29"/>
  <c r="BN7" i="11"/>
  <c r="BN76" i="11" s="1"/>
  <c r="AQ52" i="11"/>
  <c r="BV52" i="11" s="1"/>
  <c r="AS22" i="30"/>
  <c r="W17" i="30"/>
  <c r="AQ73" i="11"/>
  <c r="BV73" i="11" s="1"/>
  <c r="AQ32" i="11"/>
  <c r="BV32" i="11" s="1"/>
  <c r="AQ59" i="11"/>
  <c r="BV59" i="11" s="1"/>
  <c r="AO13" i="29"/>
  <c r="AP13" i="29" s="1"/>
  <c r="AQ37" i="11"/>
  <c r="BV37" i="11" s="1"/>
  <c r="Z16" i="30"/>
  <c r="Z26" i="30"/>
  <c r="AS29" i="30"/>
  <c r="AQ67" i="11"/>
  <c r="BV67" i="11" s="1"/>
  <c r="Y35" i="30"/>
  <c r="Y29" i="30"/>
  <c r="AD15" i="29"/>
  <c r="Y15" i="29"/>
  <c r="Y37" i="30"/>
  <c r="AQ53" i="11"/>
  <c r="BV53" i="11" s="1"/>
  <c r="AQ51" i="11"/>
  <c r="BV51" i="11" s="1"/>
  <c r="Y13" i="30"/>
  <c r="C58" i="11"/>
  <c r="AQ19" i="11"/>
  <c r="BV19" i="11" s="1"/>
  <c r="Y21" i="30"/>
  <c r="Q7" i="27"/>
  <c r="Q76" i="27" s="1"/>
  <c r="Q84" i="27" s="1"/>
  <c r="P76" i="27"/>
  <c r="P84" i="27" s="1"/>
  <c r="AQ48" i="11"/>
  <c r="BV48" i="11" s="1"/>
  <c r="AQ65" i="11"/>
  <c r="BV65" i="11" s="1"/>
  <c r="Z28" i="30"/>
  <c r="AT15" i="29"/>
  <c r="AQ38" i="11"/>
  <c r="BV38" i="11" s="1"/>
  <c r="C33" i="11"/>
  <c r="AT7" i="29"/>
  <c r="AR9" i="29"/>
  <c r="Z19" i="30"/>
  <c r="Z20" i="30"/>
  <c r="AQ24" i="30"/>
  <c r="AR10" i="30"/>
  <c r="AQ47" i="11"/>
  <c r="BV47" i="11" s="1"/>
  <c r="Y26" i="30"/>
  <c r="Y11" i="17"/>
  <c r="Z22" i="30"/>
  <c r="AQ41" i="11"/>
  <c r="BV41" i="11" s="1"/>
  <c r="AS17" i="30"/>
  <c r="AT14" i="29"/>
  <c r="AS28" i="30"/>
  <c r="AM62" i="10"/>
  <c r="Z31" i="30"/>
  <c r="Z11" i="30"/>
  <c r="Y14" i="30"/>
  <c r="C53" i="11"/>
  <c r="AQ68" i="11"/>
  <c r="BV68" i="11" s="1"/>
  <c r="Z38" i="30"/>
  <c r="AQ10" i="11"/>
  <c r="BV10" i="11" s="1"/>
  <c r="AR20" i="30"/>
  <c r="AL20" i="29"/>
  <c r="Y23" i="30"/>
  <c r="T9" i="29"/>
  <c r="W7" i="29"/>
  <c r="AU34" i="30"/>
  <c r="AQ46" i="11"/>
  <c r="BV46" i="11" s="1"/>
  <c r="AP11" i="29"/>
  <c r="AM57" i="10"/>
  <c r="Z9" i="17"/>
  <c r="C64" i="11"/>
  <c r="AQ42" i="11"/>
  <c r="BV42" i="11" s="1"/>
  <c r="AS33" i="30"/>
  <c r="Y15" i="30"/>
  <c r="AQ21" i="11"/>
  <c r="BV21" i="11" s="1"/>
  <c r="Z30" i="30"/>
  <c r="Z21" i="30"/>
  <c r="AS16" i="30"/>
  <c r="Y16" i="30"/>
  <c r="AR33" i="30"/>
  <c r="Y22" i="30"/>
  <c r="AS32" i="30"/>
  <c r="AQ63" i="11"/>
  <c r="BV63" i="11" s="1"/>
  <c r="AS37" i="30"/>
  <c r="AR14" i="30"/>
  <c r="AD13" i="29"/>
  <c r="Y13" i="29"/>
  <c r="AD14" i="29"/>
  <c r="Y14" i="29"/>
  <c r="Y9" i="30"/>
  <c r="R20" i="29"/>
  <c r="Y27" i="30"/>
  <c r="AQ11" i="11"/>
  <c r="BV11" i="11" s="1"/>
  <c r="C74" i="11"/>
  <c r="Y24" i="30"/>
  <c r="Y12" i="17"/>
  <c r="AL7" i="10"/>
  <c r="Y8" i="29"/>
  <c r="AD8" i="29"/>
  <c r="AQ36" i="30"/>
  <c r="AQ49" i="11"/>
  <c r="BV49" i="11" s="1"/>
  <c r="AQ35" i="11"/>
  <c r="BV35" i="11" s="1"/>
  <c r="AQ54" i="11"/>
  <c r="BV54" i="11" s="1"/>
  <c r="AQ16" i="11"/>
  <c r="BV16" i="11" s="1"/>
  <c r="AS7" i="11"/>
  <c r="AS76" i="11" s="1"/>
  <c r="Z15" i="30"/>
  <c r="W10" i="17"/>
  <c r="Z29" i="30"/>
  <c r="BM7" i="11"/>
  <c r="BM76" i="11" s="1"/>
  <c r="Z37" i="30"/>
  <c r="AR29" i="30"/>
  <c r="AS19" i="30"/>
  <c r="Z13" i="30"/>
  <c r="Y30" i="30"/>
  <c r="AQ23" i="11"/>
  <c r="AR32" i="30"/>
  <c r="Z34" i="30"/>
  <c r="AR15" i="30"/>
  <c r="AM22" i="10"/>
  <c r="Z36" i="30"/>
  <c r="AQ36" i="11"/>
  <c r="BV36" i="11" s="1"/>
  <c r="AM74" i="10"/>
  <c r="C20" i="11"/>
  <c r="Q7" i="26"/>
  <c r="Q76" i="26" s="1"/>
  <c r="Q84" i="26" s="1"/>
  <c r="P76" i="26"/>
  <c r="P84" i="26" s="1"/>
  <c r="W32" i="30"/>
  <c r="AR23" i="30"/>
  <c r="AS26" i="30"/>
  <c r="C29" i="11"/>
  <c r="Z11" i="17"/>
  <c r="Z18" i="30"/>
  <c r="AQ27" i="11"/>
  <c r="BV27" i="11" s="1"/>
  <c r="AR22" i="30"/>
  <c r="W33" i="30"/>
  <c r="C9" i="11"/>
  <c r="AS10" i="30"/>
  <c r="AU13" i="30"/>
  <c r="W7" i="30"/>
  <c r="Y31" i="30"/>
  <c r="Y11" i="30"/>
  <c r="Z14" i="30"/>
  <c r="W7" i="17"/>
  <c r="W14" i="17" s="1"/>
  <c r="C24" i="11"/>
  <c r="AM14" i="10"/>
  <c r="AU8" i="29"/>
  <c r="Z23" i="30"/>
  <c r="AP39" i="30"/>
  <c r="AP41" i="30" s="1"/>
  <c r="AQ13" i="11"/>
  <c r="BV13" i="11" s="1"/>
  <c r="Y9" i="16"/>
  <c r="AM58" i="10"/>
  <c r="Z27" i="30"/>
  <c r="AU21" i="30"/>
  <c r="Y9" i="17"/>
  <c r="AU27" i="30"/>
  <c r="Y12" i="29"/>
  <c r="AD12" i="29"/>
  <c r="AQ43" i="11"/>
  <c r="BV43" i="11" s="1"/>
  <c r="BQ7" i="11"/>
  <c r="BQ76" i="11" s="1"/>
  <c r="AS23" i="30"/>
  <c r="AM23" i="29" l="1"/>
  <c r="AN23" i="11" s="1"/>
  <c r="AN76" i="11" s="1"/>
  <c r="AO16" i="29"/>
  <c r="AQ39" i="30"/>
  <c r="AQ41" i="30" s="1"/>
  <c r="G9" i="11"/>
  <c r="AL9" i="11" s="1"/>
  <c r="AR9" i="30"/>
  <c r="AR22" i="11"/>
  <c r="BV22" i="11" s="1"/>
  <c r="Z10" i="30"/>
  <c r="AU16" i="30"/>
  <c r="AL76" i="10"/>
  <c r="AA37" i="30"/>
  <c r="AA29" i="30"/>
  <c r="AU23" i="30"/>
  <c r="Z13" i="29"/>
  <c r="AW35" i="30"/>
  <c r="I7" i="11"/>
  <c r="I76" i="11" s="1"/>
  <c r="AR18" i="30"/>
  <c r="AW27" i="30"/>
  <c r="AO20" i="29"/>
  <c r="AO18" i="29"/>
  <c r="AP7" i="11"/>
  <c r="AA18" i="30"/>
  <c r="AQ26" i="11"/>
  <c r="BV26" i="11" s="1"/>
  <c r="AS8" i="30"/>
  <c r="AA34" i="30"/>
  <c r="Z15" i="29"/>
  <c r="BP7" i="11"/>
  <c r="BP76" i="11" s="1"/>
  <c r="AA13" i="30"/>
  <c r="AR11" i="30"/>
  <c r="AW21" i="30"/>
  <c r="AT12" i="29"/>
  <c r="AQ18" i="11"/>
  <c r="BV18" i="11" s="1"/>
  <c r="AR14" i="11"/>
  <c r="BV14" i="11" s="1"/>
  <c r="X10" i="17"/>
  <c r="C76" i="11"/>
  <c r="AA9" i="17"/>
  <c r="BK7" i="11"/>
  <c r="BK76" i="11" s="1"/>
  <c r="AA14" i="30"/>
  <c r="AU31" i="30"/>
  <c r="AM76" i="10"/>
  <c r="G72" i="11"/>
  <c r="AL72" i="11" s="1"/>
  <c r="BU7" i="11"/>
  <c r="BU76" i="11" s="1"/>
  <c r="Z12" i="29"/>
  <c r="AQ50" i="11"/>
  <c r="BV50" i="11" s="1"/>
  <c r="W39" i="30"/>
  <c r="W41" i="30" s="1"/>
  <c r="AU28" i="30"/>
  <c r="X7" i="30"/>
  <c r="AR36" i="30"/>
  <c r="Z14" i="29"/>
  <c r="AH7" i="11"/>
  <c r="AH76" i="11" s="1"/>
  <c r="AW13" i="30"/>
  <c r="AA19" i="30"/>
  <c r="AA27" i="30"/>
  <c r="AD7" i="29"/>
  <c r="W9" i="29"/>
  <c r="Y7" i="29"/>
  <c r="AS38" i="30"/>
  <c r="AU14" i="29"/>
  <c r="G56" i="11"/>
  <c r="AL56" i="11" s="1"/>
  <c r="BE7" i="11"/>
  <c r="BE76" i="11" s="1"/>
  <c r="AS30" i="30"/>
  <c r="AS36" i="30"/>
  <c r="BJ7" i="11"/>
  <c r="BJ76" i="11" s="1"/>
  <c r="AT7" i="11"/>
  <c r="AT76" i="11" s="1"/>
  <c r="Q7" i="11"/>
  <c r="Q76" i="11" s="1"/>
  <c r="X7" i="17"/>
  <c r="AY7" i="11"/>
  <c r="AY76" i="11" s="1"/>
  <c r="AA35" i="30"/>
  <c r="BD7" i="11"/>
  <c r="BD76" i="11" s="1"/>
  <c r="AQ74" i="11"/>
  <c r="BV74" i="11" s="1"/>
  <c r="AA31" i="30"/>
  <c r="AS24" i="30"/>
  <c r="AN18" i="29"/>
  <c r="AN20" i="29"/>
  <c r="AN21" i="29" s="1"/>
  <c r="AN23" i="29" s="1"/>
  <c r="AO23" i="11" s="1"/>
  <c r="AO76" i="11" s="1"/>
  <c r="AS12" i="30"/>
  <c r="AU22" i="30"/>
  <c r="AU17" i="30"/>
  <c r="AU32" i="30"/>
  <c r="AQ62" i="11"/>
  <c r="BV62" i="11" s="1"/>
  <c r="Y12" i="30"/>
  <c r="AQ7" i="11"/>
  <c r="AS15" i="30"/>
  <c r="AQ30" i="11"/>
  <c r="BV30" i="11" s="1"/>
  <c r="G44" i="11"/>
  <c r="AL44" i="11" s="1"/>
  <c r="AV7" i="11"/>
  <c r="AV76" i="11" s="1"/>
  <c r="X8" i="30"/>
  <c r="AR25" i="30"/>
  <c r="AS14" i="30"/>
  <c r="AU29" i="30"/>
  <c r="BF7" i="11"/>
  <c r="BF76" i="11" s="1"/>
  <c r="AU7" i="29"/>
  <c r="AT9" i="29"/>
  <c r="AU15" i="29"/>
  <c r="AQ57" i="11"/>
  <c r="BV57" i="11" s="1"/>
  <c r="AA36" i="30"/>
  <c r="AU19" i="30"/>
  <c r="X17" i="30"/>
  <c r="AR13" i="29"/>
  <c r="Y10" i="30"/>
  <c r="AU26" i="30"/>
  <c r="AU33" i="30"/>
  <c r="AW34" i="30"/>
  <c r="AA23" i="30"/>
  <c r="AZ7" i="11"/>
  <c r="AZ76" i="11" s="1"/>
  <c r="X33" i="30"/>
  <c r="Y8" i="17"/>
  <c r="BC7" i="11"/>
  <c r="BC76" i="11" s="1"/>
  <c r="AS20" i="30"/>
  <c r="AM9" i="11"/>
  <c r="AR24" i="30"/>
  <c r="Z8" i="29"/>
  <c r="X32" i="30"/>
  <c r="AQ66" i="11"/>
  <c r="BV66" i="11" s="1"/>
  <c r="Z12" i="30"/>
  <c r="R7" i="11"/>
  <c r="R76" i="11" s="1"/>
  <c r="AP16" i="29"/>
  <c r="AR11" i="29"/>
  <c r="AU10" i="30"/>
  <c r="G61" i="11"/>
  <c r="AL61" i="11" s="1"/>
  <c r="AR7" i="11"/>
  <c r="AQ58" i="11"/>
  <c r="BV58" i="11" s="1"/>
  <c r="G24" i="11"/>
  <c r="AL24" i="11" s="1"/>
  <c r="AA11" i="17"/>
  <c r="H22" i="11"/>
  <c r="AA38" i="30"/>
  <c r="AR39" i="30"/>
  <c r="AR41" i="30" s="1"/>
  <c r="U9" i="16"/>
  <c r="AG7" i="11"/>
  <c r="AG76" i="11" s="1"/>
  <c r="G55" i="11"/>
  <c r="AL55" i="11" s="1"/>
  <c r="BL7" i="11"/>
  <c r="BL76" i="11" s="1"/>
  <c r="AA11" i="30"/>
  <c r="AU37" i="30"/>
  <c r="AQ34" i="11"/>
  <c r="BV34" i="11" s="1"/>
  <c r="AQ69" i="11"/>
  <c r="BV69" i="11" s="1"/>
  <c r="T16" i="29"/>
  <c r="T18" i="29" s="1"/>
  <c r="W11" i="29"/>
  <c r="AA26" i="30"/>
  <c r="AA28" i="30"/>
  <c r="AW7" i="11"/>
  <c r="AW76" i="11" s="1"/>
  <c r="AA20" i="30"/>
  <c r="AR76" i="11" l="1"/>
  <c r="X14" i="17"/>
  <c r="G14" i="11"/>
  <c r="AW31" i="30"/>
  <c r="AD23" i="30"/>
  <c r="AD9" i="17"/>
  <c r="AF7" i="11"/>
  <c r="AF76" i="11" s="1"/>
  <c r="AW26" i="30"/>
  <c r="AA7" i="11"/>
  <c r="AA76" i="11" s="1"/>
  <c r="AI34" i="30"/>
  <c r="G17" i="11"/>
  <c r="AL17" i="11" s="1"/>
  <c r="AD36" i="30"/>
  <c r="AT11" i="29"/>
  <c r="AR16" i="29"/>
  <c r="G37" i="11"/>
  <c r="AL37" i="11" s="1"/>
  <c r="AC7" i="11"/>
  <c r="AC76" i="11" s="1"/>
  <c r="AA13" i="17"/>
  <c r="AI26" i="30"/>
  <c r="G71" i="11"/>
  <c r="AL71" i="11" s="1"/>
  <c r="AT13" i="29"/>
  <c r="AD11" i="17"/>
  <c r="E15" i="11"/>
  <c r="AU9" i="29"/>
  <c r="AW10" i="30"/>
  <c r="T20" i="29"/>
  <c r="G28" i="11"/>
  <c r="AL28" i="11" s="1"/>
  <c r="AD14" i="30"/>
  <c r="AW29" i="30"/>
  <c r="AM56" i="11"/>
  <c r="AD9" i="29"/>
  <c r="BI7" i="11"/>
  <c r="BI76" i="11" s="1"/>
  <c r="V7" i="11"/>
  <c r="V76" i="11" s="1"/>
  <c r="AI29" i="30"/>
  <c r="U7" i="11"/>
  <c r="U76" i="11" s="1"/>
  <c r="AU20" i="30"/>
  <c r="AI20" i="30"/>
  <c r="AD11" i="30"/>
  <c r="AD38" i="30"/>
  <c r="H7" i="11"/>
  <c r="G20" i="11"/>
  <c r="AL20" i="11" s="1"/>
  <c r="AI23" i="30"/>
  <c r="W16" i="29"/>
  <c r="W18" i="29" s="1"/>
  <c r="Y11" i="29"/>
  <c r="AD11" i="29"/>
  <c r="AE7" i="11"/>
  <c r="AE76" i="11" s="1"/>
  <c r="AM55" i="11"/>
  <c r="AI9" i="17"/>
  <c r="AU7" i="30"/>
  <c r="X7" i="11"/>
  <c r="X76" i="11" s="1"/>
  <c r="AW19" i="30"/>
  <c r="AD34" i="30"/>
  <c r="AI18" i="30"/>
  <c r="AP18" i="29"/>
  <c r="AP20" i="29"/>
  <c r="Y7" i="30"/>
  <c r="G41" i="11"/>
  <c r="AL41" i="11" s="1"/>
  <c r="AD37" i="30"/>
  <c r="AA22" i="30"/>
  <c r="AW17" i="30"/>
  <c r="G23" i="11"/>
  <c r="AI31" i="30"/>
  <c r="AU30" i="30"/>
  <c r="AD27" i="30"/>
  <c r="G35" i="11"/>
  <c r="AL35" i="11" s="1"/>
  <c r="AI19" i="30"/>
  <c r="G21" i="11"/>
  <c r="AL21" i="11" s="1"/>
  <c r="G7" i="11"/>
  <c r="G75" i="11"/>
  <c r="AL75" i="11" s="1"/>
  <c r="AI13" i="30"/>
  <c r="AA15" i="30"/>
  <c r="Z7" i="29"/>
  <c r="Y9" i="29"/>
  <c r="G13" i="11"/>
  <c r="AL13" i="11" s="1"/>
  <c r="AX35" i="30"/>
  <c r="AA24" i="30"/>
  <c r="AA12" i="17"/>
  <c r="G15" i="11"/>
  <c r="AW22" i="30"/>
  <c r="AW28" i="30"/>
  <c r="AW37" i="30"/>
  <c r="AI11" i="30"/>
  <c r="AA25" i="30"/>
  <c r="BS7" i="11"/>
  <c r="BS76" i="11" s="1"/>
  <c r="Y33" i="30"/>
  <c r="AX34" i="30"/>
  <c r="G27" i="11"/>
  <c r="AL27" i="11" s="1"/>
  <c r="AU7" i="11"/>
  <c r="AU76" i="11" s="1"/>
  <c r="Y17" i="30"/>
  <c r="G54" i="11"/>
  <c r="AL54" i="11" s="1"/>
  <c r="AM61" i="11"/>
  <c r="AS25" i="30"/>
  <c r="AS11" i="30"/>
  <c r="AI37" i="30"/>
  <c r="G53" i="11"/>
  <c r="AL53" i="11" s="1"/>
  <c r="AW32" i="30"/>
  <c r="BW9" i="11"/>
  <c r="AD28" i="30"/>
  <c r="AD26" i="30"/>
  <c r="AD35" i="30"/>
  <c r="AU36" i="30"/>
  <c r="AD19" i="30"/>
  <c r="AQ76" i="11"/>
  <c r="G12" i="11"/>
  <c r="AL12" i="11" s="1"/>
  <c r="G65" i="11"/>
  <c r="AL65" i="11" s="1"/>
  <c r="Z8" i="17"/>
  <c r="AD13" i="30"/>
  <c r="AA30" i="30"/>
  <c r="AX7" i="11"/>
  <c r="AX76" i="11" s="1"/>
  <c r="AD29" i="30"/>
  <c r="S7" i="11"/>
  <c r="S76" i="11" s="1"/>
  <c r="X39" i="30"/>
  <c r="X41" i="30" s="1"/>
  <c r="BG7" i="11"/>
  <c r="BG76" i="11" s="1"/>
  <c r="AM72" i="11"/>
  <c r="AJ7" i="11"/>
  <c r="AJ76" i="11" s="1"/>
  <c r="AS7" i="30"/>
  <c r="AU12" i="30"/>
  <c r="AD7" i="11"/>
  <c r="AD76" i="11" s="1"/>
  <c r="AI38" i="30"/>
  <c r="AU12" i="29"/>
  <c r="AP76" i="11"/>
  <c r="Y32" i="30"/>
  <c r="AX13" i="30"/>
  <c r="G22" i="11"/>
  <c r="AL22" i="11" s="1"/>
  <c r="G68" i="11"/>
  <c r="AL68" i="11" s="1"/>
  <c r="AW33" i="30"/>
  <c r="AI36" i="30"/>
  <c r="AU8" i="30"/>
  <c r="AD18" i="30"/>
  <c r="Y8" i="30"/>
  <c r="AX27" i="30"/>
  <c r="Z7" i="11"/>
  <c r="Z76" i="11" s="1"/>
  <c r="AM24" i="11"/>
  <c r="AI28" i="30"/>
  <c r="AU24" i="30"/>
  <c r="AD31" i="30"/>
  <c r="AI35" i="30"/>
  <c r="Y7" i="17"/>
  <c r="AA21" i="30"/>
  <c r="AI11" i="17"/>
  <c r="G39" i="11"/>
  <c r="AL39" i="11" s="1"/>
  <c r="G60" i="11"/>
  <c r="AL60" i="11" s="1"/>
  <c r="AK7" i="11"/>
  <c r="AK76" i="11" s="1"/>
  <c r="AU38" i="30"/>
  <c r="AI27" i="30"/>
  <c r="AS18" i="30"/>
  <c r="AM44" i="11"/>
  <c r="AA9" i="30"/>
  <c r="G40" i="11"/>
  <c r="AL40" i="11" s="1"/>
  <c r="G51" i="11"/>
  <c r="AL51" i="11" s="1"/>
  <c r="AI14" i="30"/>
  <c r="Y10" i="17"/>
  <c r="AX21" i="30"/>
  <c r="AS9" i="30"/>
  <c r="M7" i="11"/>
  <c r="M76" i="11" s="1"/>
  <c r="AU14" i="30"/>
  <c r="AW23" i="30"/>
  <c r="AW16" i="30"/>
  <c r="AU15" i="30"/>
  <c r="BV23" i="11"/>
  <c r="AA16" i="30"/>
  <c r="G8" i="11"/>
  <c r="AL8" i="11" s="1"/>
  <c r="G33" i="11"/>
  <c r="AL33" i="11" s="1"/>
  <c r="G63" i="11"/>
  <c r="AL63" i="11" s="1"/>
  <c r="AD20" i="30"/>
  <c r="G38" i="11"/>
  <c r="AL38" i="11" s="1"/>
  <c r="G11" i="11"/>
  <c r="AL11" i="11" s="1"/>
  <c r="G25" i="11"/>
  <c r="AL25" i="11" s="1"/>
  <c r="W20" i="29" l="1"/>
  <c r="AL15" i="11"/>
  <c r="AM15" i="11" s="1"/>
  <c r="B10" i="8"/>
  <c r="B11" i="8" s="1"/>
  <c r="AD8" i="17"/>
  <c r="AW12" i="30"/>
  <c r="G43" i="11"/>
  <c r="AL43" i="11" s="1"/>
  <c r="AX10" i="30"/>
  <c r="AM60" i="11"/>
  <c r="AF26" i="30"/>
  <c r="Z17" i="30"/>
  <c r="AI25" i="30"/>
  <c r="AD16" i="30"/>
  <c r="AM12" i="11"/>
  <c r="AD22" i="30"/>
  <c r="AW20" i="30"/>
  <c r="G18" i="11"/>
  <c r="AL18" i="11" s="1"/>
  <c r="AW36" i="30"/>
  <c r="AA8" i="17"/>
  <c r="AD16" i="29"/>
  <c r="AD18" i="29" s="1"/>
  <c r="O7" i="11"/>
  <c r="O76" i="11" s="1"/>
  <c r="AM28" i="11"/>
  <c r="AU18" i="30"/>
  <c r="P7" i="11"/>
  <c r="P76" i="11" s="1"/>
  <c r="AD21" i="30"/>
  <c r="AW24" i="30"/>
  <c r="AF28" i="30"/>
  <c r="AR18" i="29"/>
  <c r="AR20" i="29"/>
  <c r="Z8" i="30"/>
  <c r="AX33" i="30"/>
  <c r="G45" i="11"/>
  <c r="AL45" i="11" s="1"/>
  <c r="AA12" i="30"/>
  <c r="AM11" i="11"/>
  <c r="AF11" i="30"/>
  <c r="AM33" i="11"/>
  <c r="AM8" i="11"/>
  <c r="BW44" i="11"/>
  <c r="Y14" i="17"/>
  <c r="BW24" i="11"/>
  <c r="AX32" i="30"/>
  <c r="AS39" i="30"/>
  <c r="AS41" i="30" s="1"/>
  <c r="BW72" i="11"/>
  <c r="AI12" i="17"/>
  <c r="AD24" i="30"/>
  <c r="AX16" i="30"/>
  <c r="AF14" i="30"/>
  <c r="G52" i="11"/>
  <c r="AL52" i="11" s="1"/>
  <c r="AM27" i="11"/>
  <c r="T7" i="11"/>
  <c r="T76" i="11" s="1"/>
  <c r="G59" i="11"/>
  <c r="AL59" i="11" s="1"/>
  <c r="G64" i="11"/>
  <c r="AL64" i="11" s="1"/>
  <c r="AU25" i="30"/>
  <c r="G69" i="11"/>
  <c r="AL69" i="11" s="1"/>
  <c r="Y16" i="29"/>
  <c r="Y18" i="29" s="1"/>
  <c r="Z11" i="29"/>
  <c r="G47" i="11"/>
  <c r="AL47" i="11" s="1"/>
  <c r="AD15" i="30"/>
  <c r="AW38" i="30"/>
  <c r="L7" i="11"/>
  <c r="L76" i="11" s="1"/>
  <c r="W7" i="11"/>
  <c r="W76" i="11" s="1"/>
  <c r="AX17" i="30"/>
  <c r="G19" i="11"/>
  <c r="AL19" i="11" s="1"/>
  <c r="AM37" i="11"/>
  <c r="AT16" i="29"/>
  <c r="AU11" i="29"/>
  <c r="AI13" i="17"/>
  <c r="AU11" i="30"/>
  <c r="AF9" i="17"/>
  <c r="AX28" i="30"/>
  <c r="G46" i="11"/>
  <c r="AL46" i="11" s="1"/>
  <c r="AI9" i="30"/>
  <c r="AM13" i="11"/>
  <c r="AF38" i="30"/>
  <c r="AM63" i="11"/>
  <c r="AX29" i="30"/>
  <c r="AI30" i="30"/>
  <c r="AM40" i="11"/>
  <c r="AF19" i="30"/>
  <c r="AM39" i="11"/>
  <c r="AF34" i="30"/>
  <c r="AA10" i="30"/>
  <c r="AM68" i="11"/>
  <c r="AM22" i="11"/>
  <c r="BV7" i="11"/>
  <c r="AB7" i="11"/>
  <c r="AB76" i="11" s="1"/>
  <c r="AM65" i="11"/>
  <c r="AG11" i="17"/>
  <c r="AI22" i="30"/>
  <c r="BW61" i="11"/>
  <c r="AW8" i="30"/>
  <c r="G36" i="11"/>
  <c r="AL36" i="11" s="1"/>
  <c r="G58" i="11"/>
  <c r="AL58" i="11" s="1"/>
  <c r="G10" i="11"/>
  <c r="AL10" i="11" s="1"/>
  <c r="G16" i="11"/>
  <c r="AL16" i="11" s="1"/>
  <c r="AM75" i="11"/>
  <c r="G29" i="11"/>
  <c r="AL29" i="11" s="1"/>
  <c r="G73" i="11"/>
  <c r="AL73" i="11" s="1"/>
  <c r="AM41" i="11"/>
  <c r="AX26" i="30"/>
  <c r="AU9" i="30"/>
  <c r="AF13" i="30"/>
  <c r="G48" i="11"/>
  <c r="AL48" i="11" s="1"/>
  <c r="AF27" i="30"/>
  <c r="AW30" i="30"/>
  <c r="AU13" i="29"/>
  <c r="AF31" i="30"/>
  <c r="AX19" i="30"/>
  <c r="Z33" i="30"/>
  <c r="Z32" i="30"/>
  <c r="AF29" i="30"/>
  <c r="AW7" i="30"/>
  <c r="AM51" i="11"/>
  <c r="G42" i="11"/>
  <c r="AL42" i="11" s="1"/>
  <c r="AF36" i="30"/>
  <c r="Z9" i="29"/>
  <c r="AM35" i="11"/>
  <c r="AM20" i="11"/>
  <c r="Z7" i="30"/>
  <c r="Z10" i="17"/>
  <c r="AM25" i="11"/>
  <c r="AM38" i="11"/>
  <c r="J7" i="11"/>
  <c r="J76" i="11" s="1"/>
  <c r="G67" i="11"/>
  <c r="AL67" i="11" s="1"/>
  <c r="G70" i="11"/>
  <c r="AL70" i="11" s="1"/>
  <c r="AD30" i="30"/>
  <c r="AD13" i="17"/>
  <c r="G49" i="11"/>
  <c r="AL49" i="11" s="1"/>
  <c r="AG9" i="17"/>
  <c r="AD25" i="30"/>
  <c r="AX37" i="30"/>
  <c r="AF20" i="30"/>
  <c r="AI16" i="30"/>
  <c r="AD12" i="17"/>
  <c r="AI24" i="30"/>
  <c r="AW14" i="30"/>
  <c r="AD9" i="30"/>
  <c r="AF11" i="17"/>
  <c r="AM53" i="11"/>
  <c r="F7" i="11"/>
  <c r="AM54" i="11"/>
  <c r="AM21" i="11"/>
  <c r="AI7" i="11"/>
  <c r="AI76" i="11" s="1"/>
  <c r="Z7" i="17"/>
  <c r="AF35" i="30"/>
  <c r="G32" i="11"/>
  <c r="AL32" i="11" s="1"/>
  <c r="Y39" i="30"/>
  <c r="Y41" i="30" s="1"/>
  <c r="AF23" i="30"/>
  <c r="BW55" i="11"/>
  <c r="AX31" i="30"/>
  <c r="AX22" i="30"/>
  <c r="AW15" i="30"/>
  <c r="AX23" i="30"/>
  <c r="BW56" i="11"/>
  <c r="AI15" i="30"/>
  <c r="AI21" i="30"/>
  <c r="AM71" i="11"/>
  <c r="AF37" i="30"/>
  <c r="AF18" i="30"/>
  <c r="AM17" i="11"/>
  <c r="G31" i="11"/>
  <c r="AL31" i="11" s="1"/>
  <c r="AD20" i="29" l="1"/>
  <c r="Y20" i="29"/>
  <c r="AF8" i="17"/>
  <c r="AA33" i="30"/>
  <c r="AM31" i="11"/>
  <c r="G34" i="11"/>
  <c r="AL34" i="11" s="1"/>
  <c r="AM32" i="11"/>
  <c r="Z14" i="17"/>
  <c r="F76" i="11"/>
  <c r="BW53" i="11"/>
  <c r="AW11" i="30"/>
  <c r="AG38" i="30"/>
  <c r="AW9" i="30"/>
  <c r="BW35" i="11"/>
  <c r="BW51" i="11"/>
  <c r="AM48" i="11"/>
  <c r="AW25" i="30"/>
  <c r="AM58" i="11"/>
  <c r="AM36" i="11"/>
  <c r="AX14" i="30"/>
  <c r="AF12" i="17"/>
  <c r="BV76" i="11"/>
  <c r="BW22" i="11"/>
  <c r="BW68" i="11"/>
  <c r="AG13" i="17"/>
  <c r="AG35" i="30"/>
  <c r="AM46" i="11"/>
  <c r="Z16" i="29"/>
  <c r="Z18" i="29" s="1"/>
  <c r="AM69" i="11"/>
  <c r="AX20" i="30"/>
  <c r="G66" i="11"/>
  <c r="AL66" i="11" s="1"/>
  <c r="AG29" i="30"/>
  <c r="G57" i="11"/>
  <c r="AL57" i="11" s="1"/>
  <c r="BW12" i="11"/>
  <c r="AM43" i="11"/>
  <c r="AW18" i="30"/>
  <c r="AW39" i="30" s="1"/>
  <c r="AW41" i="30" s="1"/>
  <c r="AM70" i="11"/>
  <c r="AD12" i="30"/>
  <c r="H14" i="11"/>
  <c r="AG11" i="30"/>
  <c r="AG18" i="30"/>
  <c r="N7" i="11"/>
  <c r="N76" i="11" s="1"/>
  <c r="G26" i="11"/>
  <c r="AL26" i="11" s="1"/>
  <c r="AG12" i="17"/>
  <c r="BW39" i="11"/>
  <c r="BW63" i="11"/>
  <c r="AA8" i="30"/>
  <c r="AT18" i="29"/>
  <c r="AT20" i="29"/>
  <c r="AM19" i="11"/>
  <c r="AG28" i="30"/>
  <c r="AX24" i="30"/>
  <c r="AF22" i="30"/>
  <c r="AM52" i="11"/>
  <c r="AG19" i="30"/>
  <c r="BW11" i="11"/>
  <c r="AA32" i="30"/>
  <c r="AM18" i="11"/>
  <c r="AG20" i="30"/>
  <c r="BW60" i="11"/>
  <c r="AG13" i="30"/>
  <c r="AX36" i="30"/>
  <c r="AA7" i="30"/>
  <c r="G74" i="11"/>
  <c r="AL74" i="11" s="1"/>
  <c r="AG34" i="30"/>
  <c r="BW17" i="11"/>
  <c r="AG31" i="30"/>
  <c r="BW71" i="11"/>
  <c r="Y7" i="11"/>
  <c r="Y76" i="11" s="1"/>
  <c r="BW21" i="11"/>
  <c r="AM49" i="11"/>
  <c r="AG26" i="30"/>
  <c r="AX12" i="30"/>
  <c r="BW25" i="11"/>
  <c r="AF15" i="30"/>
  <c r="BW20" i="11"/>
  <c r="AM42" i="11"/>
  <c r="BW41" i="11"/>
  <c r="AM29" i="11"/>
  <c r="AM16" i="11"/>
  <c r="AM10" i="11"/>
  <c r="AA7" i="17"/>
  <c r="AG14" i="30"/>
  <c r="AF24" i="30"/>
  <c r="AG23" i="30"/>
  <c r="BW37" i="11"/>
  <c r="AF21" i="30"/>
  <c r="AX30" i="30"/>
  <c r="AG27" i="30"/>
  <c r="AA10" i="17"/>
  <c r="AM59" i="11"/>
  <c r="BW27" i="11"/>
  <c r="AG36" i="30"/>
  <c r="AF25" i="30"/>
  <c r="AF30" i="30"/>
  <c r="BW8" i="11"/>
  <c r="BW33" i="11"/>
  <c r="G62" i="11"/>
  <c r="AL62" i="11" s="1"/>
  <c r="AX38" i="30"/>
  <c r="AX15" i="30"/>
  <c r="AD10" i="30"/>
  <c r="BW54" i="11"/>
  <c r="AX8" i="30"/>
  <c r="K7" i="11"/>
  <c r="K76" i="11" s="1"/>
  <c r="AM67" i="11"/>
  <c r="BW38" i="11"/>
  <c r="Z39" i="30"/>
  <c r="Z41" i="30" s="1"/>
  <c r="AG37" i="30"/>
  <c r="AM73" i="11"/>
  <c r="BW75" i="11"/>
  <c r="AF9" i="30"/>
  <c r="BW65" i="11"/>
  <c r="AF16" i="30"/>
  <c r="AF13" i="17"/>
  <c r="BW40" i="11"/>
  <c r="AU39" i="30"/>
  <c r="AU41" i="30" s="1"/>
  <c r="BW13" i="11"/>
  <c r="AU16" i="29"/>
  <c r="AM47" i="11"/>
  <c r="G50" i="11"/>
  <c r="AL50" i="11" s="1"/>
  <c r="AM64" i="11"/>
  <c r="G30" i="11"/>
  <c r="AL30" i="11" s="1"/>
  <c r="AA17" i="30"/>
  <c r="AM45" i="11"/>
  <c r="BW28" i="11"/>
  <c r="BW15" i="11"/>
  <c r="Z20" i="29" l="1"/>
  <c r="AF7" i="17"/>
  <c r="BW45" i="11"/>
  <c r="AM30" i="11"/>
  <c r="AD32" i="30"/>
  <c r="BW29" i="11"/>
  <c r="BW42" i="11"/>
  <c r="AD7" i="30"/>
  <c r="AX7" i="30"/>
  <c r="AX18" i="30"/>
  <c r="AA39" i="30"/>
  <c r="AA41" i="30" s="1"/>
  <c r="AF10" i="30"/>
  <c r="BW19" i="11"/>
  <c r="AX25" i="30"/>
  <c r="AI12" i="30"/>
  <c r="BW70" i="11"/>
  <c r="AD33" i="30"/>
  <c r="BW43" i="11"/>
  <c r="AD7" i="17"/>
  <c r="BW32" i="11"/>
  <c r="AM34" i="11"/>
  <c r="AG24" i="30"/>
  <c r="BW67" i="11"/>
  <c r="AX11" i="30"/>
  <c r="AD8" i="30"/>
  <c r="AA14" i="17"/>
  <c r="H76" i="11"/>
  <c r="AL14" i="11"/>
  <c r="AM66" i="11"/>
  <c r="AG22" i="30"/>
  <c r="AF12" i="30"/>
  <c r="AG8" i="17"/>
  <c r="BW64" i="11"/>
  <c r="AM50" i="11"/>
  <c r="AI8" i="17"/>
  <c r="AM62" i="11"/>
  <c r="AI32" i="30"/>
  <c r="BW59" i="11"/>
  <c r="G76" i="11"/>
  <c r="BW10" i="11"/>
  <c r="BW16" i="11"/>
  <c r="BW49" i="11"/>
  <c r="AG30" i="30"/>
  <c r="AM26" i="11"/>
  <c r="AI33" i="30"/>
  <c r="AI17" i="30"/>
  <c r="AG9" i="30"/>
  <c r="BW48" i="11"/>
  <c r="BW31" i="11"/>
  <c r="AG25" i="30"/>
  <c r="BW47" i="11"/>
  <c r="AU18" i="29"/>
  <c r="E23" i="11" s="1"/>
  <c r="AU20" i="29"/>
  <c r="BW73" i="11"/>
  <c r="AI10" i="30"/>
  <c r="AG16" i="30"/>
  <c r="AM74" i="11"/>
  <c r="BW18" i="11"/>
  <c r="BW52" i="11"/>
  <c r="AG21" i="30"/>
  <c r="AX9" i="30"/>
  <c r="AG15" i="30"/>
  <c r="AM57" i="11"/>
  <c r="AD17" i="30"/>
  <c r="BW69" i="11"/>
  <c r="AD10" i="17"/>
  <c r="BW46" i="11"/>
  <c r="BW36" i="11"/>
  <c r="BW58" i="11"/>
  <c r="AL7" i="11"/>
  <c r="AM7" i="11" l="1"/>
  <c r="AG12" i="30"/>
  <c r="BW57" i="11"/>
  <c r="AF32" i="30"/>
  <c r="BW26" i="11"/>
  <c r="BW62" i="11"/>
  <c r="AF33" i="30"/>
  <c r="BW74" i="11"/>
  <c r="AF7" i="30"/>
  <c r="BW50" i="11"/>
  <c r="AI10" i="17"/>
  <c r="AF17" i="30"/>
  <c r="BW34" i="11"/>
  <c r="AD14" i="17"/>
  <c r="AF8" i="30"/>
  <c r="BW30" i="11"/>
  <c r="AI8" i="30"/>
  <c r="E76" i="11"/>
  <c r="AL23" i="11"/>
  <c r="AL76" i="11" s="1"/>
  <c r="AG10" i="30"/>
  <c r="AM14" i="11"/>
  <c r="AF10" i="17"/>
  <c r="AF14" i="17" s="1"/>
  <c r="AI7" i="30"/>
  <c r="BW66" i="11"/>
  <c r="AI7" i="17"/>
  <c r="AX39" i="30"/>
  <c r="AX41" i="30" s="1"/>
  <c r="AD39" i="30"/>
  <c r="AD41" i="30" s="1"/>
  <c r="AI14" i="17" l="1"/>
  <c r="AI39" i="30"/>
  <c r="AI41" i="30" s="1"/>
  <c r="AG8" i="30"/>
  <c r="AG7" i="17"/>
  <c r="AF39" i="30"/>
  <c r="AF41" i="30" s="1"/>
  <c r="AG33" i="30"/>
  <c r="AG10" i="17"/>
  <c r="AG7" i="30"/>
  <c r="BW14" i="11"/>
  <c r="AG17" i="30"/>
  <c r="AG32" i="30"/>
  <c r="AM23" i="11"/>
  <c r="AM76" i="11" s="1"/>
  <c r="BW7" i="11"/>
  <c r="AG14" i="17" l="1"/>
  <c r="AG39" i="30"/>
  <c r="AG41" i="30" s="1"/>
  <c r="BW23" i="11"/>
  <c r="BW76" i="11" s="1"/>
</calcChain>
</file>

<file path=xl/sharedStrings.xml><?xml version="1.0" encoding="utf-8"?>
<sst xmlns="http://schemas.openxmlformats.org/spreadsheetml/2006/main" count="12381" uniqueCount="1445">
  <si>
    <t>School 
System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</si>
  <si>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</si>
  <si>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</si>
  <si>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</si>
  <si>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</si>
  <si>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</si>
  <si>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</si>
  <si>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</si>
  <si>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</si>
  <si>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</si>
  <si>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</si>
  <si>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</si>
  <si>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</si>
  <si>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</si>
  <si>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</si>
  <si>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</si>
  <si>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</si>
  <si>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</si>
  <si>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</si>
  <si>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</si>
  <si>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</si>
  <si>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</si>
  <si>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</si>
  <si>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</si>
  <si>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</si>
  <si>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</si>
  <si>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</si>
  <si>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</si>
  <si>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</si>
  <si>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</si>
  <si>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</si>
  <si>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</si>
  <si>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</si>
  <si>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</si>
  <si>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</si>
  <si>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</si>
  <si>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</si>
  <si>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</si>
  <si>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</si>
  <si>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</si>
  <si>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</si>
  <si>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</si>
  <si>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</si>
  <si>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</si>
  <si>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</si>
  <si>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</si>
  <si>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</si>
  <si>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</si>
  <si>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</si>
  <si>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</si>
  <si>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</si>
  <si>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</si>
  <si>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</si>
  <si>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</si>
  <si>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</si>
  <si>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</si>
  <si>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</si>
  <si>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</si>
  <si>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</si>
  <si>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</si>
  <si>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</si>
  <si>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</si>
  <si>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</si>
  <si>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</si>
  <si>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</si>
  <si>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</si>
  <si>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</si>
  <si>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</si>
  <si>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</si>
  <si>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</si>
  <si>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</si>
  <si>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MFP Formula Items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</si>
  <si>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</si>
  <si>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</si>
  <si>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</si>
  <si>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</si>
  <si>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</si>
  <si>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</si>
  <si>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</si>
  <si>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</si>
  <si>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</si>
  <si>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</si>
  <si>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</si>
  <si>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</si>
  <si>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</si>
  <si>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</si>
  <si>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</si>
  <si>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</si>
  <si>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</si>
  <si>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</si>
  <si>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</si>
  <si>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</si>
  <si>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</si>
  <si>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</si>
  <si>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</si>
  <si>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</si>
  <si>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</si>
  <si>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</si>
  <si>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</si>
  <si>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</si>
  <si>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</si>
  <si>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</si>
  <si>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</si>
  <si>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</si>
  <si>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</si>
  <si>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</si>
  <si>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</si>
  <si>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</si>
  <si>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</si>
  <si>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</si>
  <si>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</si>
  <si>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</si>
  <si>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</si>
  <si>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</si>
  <si>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</si>
  <si>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</si>
  <si>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</si>
  <si>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</si>
  <si>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</si>
  <si>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</si>
  <si>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</si>
  <si>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</si>
  <si>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</si>
  <si>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</si>
  <si>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</si>
  <si>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</si>
  <si>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</si>
  <si>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</si>
  <si>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</si>
  <si>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</si>
  <si>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</si>
  <si>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</si>
  <si>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</si>
  <si>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</si>
  <si>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</si>
  <si>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</si>
  <si>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</si>
  <si>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</si>
  <si>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</si>
  <si>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</si>
  <si>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</si>
  <si>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</si>
  <si>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</si>
  <si>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</si>
  <si>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</si>
  <si>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</si>
  <si>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</si>
  <si>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</si>
  <si>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</si>
  <si>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</si>
  <si>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</si>
  <si>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</si>
  <si>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</si>
  <si>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</si>
  <si>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</si>
  <si>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</si>
  <si>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</si>
  <si>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</si>
  <si>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</si>
  <si>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</si>
  <si>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</si>
  <si>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</si>
  <si>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</si>
  <si>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</si>
  <si>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</si>
  <si>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</si>
  <si>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</si>
  <si>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</si>
  <si>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</si>
  <si>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</si>
  <si>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</si>
  <si>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</si>
  <si>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</si>
  <si>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</si>
  <si>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</si>
  <si>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</si>
  <si>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</si>
  <si>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</si>
  <si>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</si>
  <si>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</si>
  <si>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</si>
  <si>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</si>
  <si>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</si>
  <si>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</si>
  <si>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</si>
  <si>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</si>
  <si>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</si>
  <si>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</si>
  <si>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</si>
  <si>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</si>
  <si>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</si>
  <si>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</si>
  <si>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</si>
  <si>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</si>
  <si>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</si>
  <si>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</si>
  <si>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</si>
  <si>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</si>
  <si>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</si>
  <si>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</si>
  <si>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</si>
  <si>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</si>
  <si>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</si>
  <si>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</si>
  <si>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</si>
  <si>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</si>
  <si>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</si>
  <si>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</si>
  <si>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</si>
  <si>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</si>
  <si>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</si>
  <si>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</si>
  <si>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</si>
  <si>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</si>
  <si>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</si>
  <si>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</si>
  <si>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</si>
  <si>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</si>
  <si>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</si>
  <si>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</si>
  <si>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</si>
  <si>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</si>
  <si>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</si>
  <si>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</si>
  <si>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</si>
  <si>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</si>
  <si>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</si>
  <si>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</si>
  <si>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</si>
  <si>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</si>
  <si>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</si>
  <si>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</si>
  <si>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</si>
  <si>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T7, C3c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</si>
  <si>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</si>
  <si>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</si>
  <si>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</si>
  <si>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</si>
  <si>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</si>
  <si>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</si>
  <si>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</si>
  <si>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</si>
  <si>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</si>
  <si>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</si>
  <si>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</si>
  <si>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</si>
  <si>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</si>
  <si>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</si>
  <si>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</si>
  <si>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</si>
  <si>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</si>
  <si>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</si>
  <si>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</si>
  <si>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</si>
  <si>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</si>
  <si>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</si>
  <si>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</si>
  <si>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</si>
  <si>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</si>
  <si>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</si>
  <si>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</si>
  <si>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</si>
  <si>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</si>
  <si>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</si>
  <si>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</si>
  <si>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</si>
  <si>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</si>
  <si>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</si>
  <si>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</si>
  <si>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</si>
  <si>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3A4001</t>
  </si>
  <si>
    <t>3A7001</t>
  </si>
  <si>
    <t>(4a)</t>
  </si>
  <si>
    <t>T3, C12</t>
  </si>
  <si>
    <t>T4, C9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</si>
  <si>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</si>
  <si>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</si>
  <si>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</si>
  <si>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</si>
  <si>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</si>
  <si>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</si>
  <si>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</si>
  <si>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</si>
  <si>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</si>
  <si>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</si>
  <si>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</si>
  <si>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</si>
  <si>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
Student
Units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</si>
  <si>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</si>
  <si>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</si>
  <si>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</si>
  <si>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</si>
  <si>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</si>
  <si>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</si>
  <si>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</si>
  <si>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</si>
  <si>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</si>
  <si>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>TABLE 1: STATE LEVEL SUMMARY</t>
  </si>
  <si>
    <t>MFP Local Revenue Representation 
for Youth in Secure Care</t>
  </si>
  <si>
    <t>Adjusted
Local
Revenue
Representation
Per Pupil
including
OJJ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</si>
  <si>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</si>
  <si>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</si>
  <si>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</si>
  <si>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</si>
  <si>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</si>
  <si>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</si>
  <si>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</si>
  <si>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</si>
  <si>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</si>
  <si>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</si>
  <si>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</si>
  <si>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</si>
  <si>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</si>
  <si>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</si>
  <si>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</si>
  <si>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</si>
  <si>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</si>
  <si>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</si>
  <si>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</si>
  <si>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</si>
  <si>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</si>
  <si>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</si>
  <si>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</si>
  <si>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</si>
  <si>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</si>
  <si>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</si>
  <si>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</si>
  <si>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</si>
  <si>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</si>
  <si>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</si>
  <si>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</si>
  <si>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</si>
  <si>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</si>
  <si>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</si>
  <si>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</si>
  <si>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>T3, C5</t>
  </si>
  <si>
    <t>T4, C10</t>
  </si>
  <si>
    <t xml:space="preserve">State Cost
Allocation
Monthly
Payment
</t>
  </si>
  <si>
    <t>Total
Local Revenue Representation
due monthly
to Other
Public Schools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</si>
  <si>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</si>
  <si>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</si>
  <si>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</si>
  <si>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</si>
  <si>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</si>
  <si>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</si>
  <si>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</si>
  <si>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</si>
  <si>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</si>
  <si>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Balance Due EBR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</si>
  <si>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</si>
  <si>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</si>
  <si>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</si>
  <si>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</si>
  <si>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</si>
  <si>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</si>
  <si>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</si>
  <si>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</si>
  <si>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</si>
  <si>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</si>
  <si>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</si>
  <si>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</si>
  <si>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</si>
  <si>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</si>
  <si>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</si>
  <si>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</si>
  <si>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</si>
  <si>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</si>
  <si>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</si>
  <si>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</si>
  <si>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</si>
  <si>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</si>
  <si>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</si>
  <si>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</si>
  <si>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</si>
  <si>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</si>
  <si>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</si>
  <si>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</si>
  <si>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</si>
  <si>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</si>
  <si>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</si>
  <si>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</si>
  <si>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</si>
  <si>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</si>
  <si>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</si>
  <si>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</si>
  <si>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</si>
  <si>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</si>
  <si>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</si>
  <si>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</si>
  <si>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</si>
  <si>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</si>
  <si>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</si>
  <si>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</si>
  <si>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</si>
  <si>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</si>
  <si>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</si>
  <si>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</si>
  <si>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</si>
  <si>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</si>
  <si>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</si>
  <si>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</si>
  <si>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LAVCA 10% Return to State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</si>
  <si>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</si>
  <si>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</si>
  <si>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</si>
  <si>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</si>
  <si>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</si>
  <si>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</si>
  <si>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</si>
  <si>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</si>
  <si>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</si>
  <si>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</si>
  <si>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</si>
  <si>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</si>
  <si>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</si>
  <si>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</si>
  <si>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</si>
  <si>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</si>
  <si>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</si>
  <si>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</si>
  <si>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</si>
  <si>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</si>
  <si>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</si>
  <si>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</si>
  <si>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</si>
  <si>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</si>
  <si>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</si>
  <si>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</si>
  <si>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</si>
  <si>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</si>
  <si>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</si>
  <si>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</si>
  <si>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</si>
  <si>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</si>
  <si>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</si>
  <si>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</si>
  <si>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</si>
  <si>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</si>
  <si>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</si>
  <si>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</si>
  <si>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</si>
  <si>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</si>
  <si>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</si>
  <si>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</si>
  <si>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</si>
  <si>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</si>
  <si>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</si>
  <si>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</si>
  <si>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</si>
  <si>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</si>
  <si>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</si>
  <si>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</si>
  <si>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</si>
  <si>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</si>
  <si>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</si>
  <si>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</si>
  <si>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</si>
  <si>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</si>
  <si>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</si>
  <si>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</si>
  <si>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</si>
  <si>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</si>
  <si>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</si>
  <si>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</si>
  <si>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</si>
  <si>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</si>
  <si>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</si>
  <si>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</si>
  <si>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</si>
  <si>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</si>
  <si>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</si>
  <si>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</si>
  <si>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</si>
  <si>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</si>
  <si>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</si>
  <si>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</si>
  <si>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</si>
  <si>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</si>
  <si>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</si>
  <si>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</si>
  <si>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</si>
  <si>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</si>
  <si>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</si>
  <si>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</si>
  <si>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</si>
  <si>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</si>
  <si>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</si>
  <si>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</si>
  <si>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</si>
  <si>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</si>
  <si>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</si>
  <si>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</si>
  <si>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</si>
  <si>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</si>
  <si>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</si>
  <si>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</si>
  <si>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</si>
  <si>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</si>
  <si>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</si>
  <si>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</si>
  <si>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</si>
  <si>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</si>
  <si>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</si>
  <si>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</si>
  <si>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</si>
  <si>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</si>
  <si>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</si>
  <si>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</si>
  <si>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</si>
  <si>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</si>
  <si>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</si>
  <si>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</si>
  <si>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</si>
  <si>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</si>
  <si>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</si>
  <si>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</si>
  <si>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</si>
  <si>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</si>
  <si>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</si>
  <si>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</si>
  <si>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</si>
  <si>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</si>
  <si>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</si>
  <si>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Noble Minds</t>
  </si>
  <si>
    <t>JCFA
Lafayette</t>
  </si>
  <si>
    <t>Collegiate Academies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</si>
  <si>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</si>
  <si>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</si>
  <si>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</si>
  <si>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</si>
  <si>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</si>
  <si>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</si>
  <si>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</si>
  <si>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</si>
  <si>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</si>
  <si>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</si>
  <si>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</si>
  <si>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</si>
  <si>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</si>
  <si>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</si>
  <si>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</si>
  <si>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</si>
  <si>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</si>
  <si>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</si>
  <si>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</si>
  <si>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</si>
  <si>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</si>
  <si>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</si>
  <si>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</si>
  <si>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</si>
  <si>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</si>
  <si>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</si>
  <si>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</si>
  <si>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</si>
  <si>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</si>
  <si>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</si>
  <si>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</si>
  <si>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</si>
  <si>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</si>
  <si>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</si>
  <si>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</si>
  <si>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</si>
  <si>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</si>
  <si>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</si>
  <si>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</si>
  <si>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</si>
  <si>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</si>
  <si>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</si>
  <si>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</si>
  <si>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</si>
  <si>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</si>
  <si>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</si>
  <si>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KPC 63320
C3</t>
  </si>
  <si>
    <t>KPC 63320
C4</t>
  </si>
  <si>
    <t>KPC 63320
C5</t>
  </si>
  <si>
    <t>Prior Year
T7, C32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</si>
  <si>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</si>
  <si>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</si>
  <si>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</si>
  <si>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</si>
  <si>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</si>
  <si>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</si>
  <si>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</si>
  <si>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</si>
  <si>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</si>
  <si>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</si>
  <si>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</si>
  <si>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</si>
  <si>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</si>
  <si>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</si>
  <si>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</si>
  <si>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</si>
  <si>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</si>
  <si>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</si>
  <si>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</si>
  <si>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</si>
  <si>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</si>
  <si>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</si>
  <si>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</si>
  <si>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</si>
  <si>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</si>
  <si>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</si>
  <si>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</si>
  <si>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</si>
  <si>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</si>
  <si>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</si>
  <si>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</si>
  <si>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</si>
  <si>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</si>
  <si>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</si>
  <si>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</si>
  <si>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</si>
  <si>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</si>
  <si>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</si>
  <si>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</si>
  <si>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</si>
  <si>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</si>
  <si>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</si>
  <si>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</si>
  <si>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</si>
  <si>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</si>
  <si>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</si>
  <si>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</si>
  <si>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</si>
  <si>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</si>
  <si>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</si>
  <si>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</si>
  <si>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</si>
  <si>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</si>
  <si>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</si>
  <si>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</si>
  <si>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</si>
  <si>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</si>
  <si>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</si>
  <si>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</si>
  <si>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</si>
  <si>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</si>
  <si>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</si>
  <si>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</si>
  <si>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</si>
  <si>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</si>
  <si>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</si>
  <si>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</si>
  <si>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</si>
  <si>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</si>
  <si>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</si>
  <si>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</si>
  <si>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</si>
  <si>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</si>
  <si>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</si>
  <si>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</si>
  <si>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</si>
  <si>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</si>
  <si>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</si>
  <si>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</si>
  <si>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</si>
  <si>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</si>
  <si>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</si>
  <si>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</si>
  <si>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</si>
  <si>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</si>
  <si>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</si>
  <si>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</si>
  <si>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</si>
  <si>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</si>
  <si>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</si>
  <si>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</si>
  <si>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</si>
  <si>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</si>
  <si>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</si>
  <si>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</si>
  <si>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</si>
  <si>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</si>
  <si>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</si>
  <si>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</si>
  <si>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</si>
  <si>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</si>
  <si>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</si>
  <si>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</si>
  <si>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</si>
  <si>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</si>
  <si>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</si>
  <si>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</si>
  <si>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</si>
  <si>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</si>
  <si>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</si>
  <si>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</si>
  <si>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</si>
  <si>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</si>
  <si>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</si>
  <si>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</si>
  <si>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</si>
  <si>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</si>
  <si>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</si>
  <si>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</si>
  <si>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</si>
  <si>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</si>
  <si>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</si>
  <si>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</si>
  <si>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</si>
  <si>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</si>
  <si>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</si>
  <si>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</si>
  <si>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</si>
  <si>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</si>
  <si>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</si>
  <si>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</si>
  <si>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</si>
  <si>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</si>
  <si>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</si>
  <si>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</si>
  <si>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</si>
  <si>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</si>
  <si>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</si>
  <si>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</si>
  <si>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</si>
  <si>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</si>
  <si>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</si>
  <si>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</si>
  <si>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</si>
  <si>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</si>
  <si>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</si>
  <si>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</si>
  <si>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</si>
  <si>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</si>
  <si>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</si>
  <si>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</si>
  <si>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</si>
  <si>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</si>
  <si>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</si>
  <si>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</si>
  <si>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</si>
  <si>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</si>
  <si>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</si>
  <si>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</si>
  <si>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</si>
  <si>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</si>
  <si>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</si>
  <si>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</si>
  <si>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</si>
  <si>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</si>
  <si>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</si>
  <si>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</si>
  <si>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</si>
  <si>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</si>
  <si>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</si>
  <si>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</si>
  <si>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</si>
  <si>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</si>
  <si>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</si>
  <si>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</si>
  <si>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</si>
  <si>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</si>
  <si>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</si>
  <si>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</si>
  <si>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</si>
  <si>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</si>
  <si>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</si>
  <si>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</si>
  <si>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</si>
  <si>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</si>
  <si>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</si>
  <si>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</si>
  <si>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</si>
  <si>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</si>
  <si>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</si>
  <si>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</si>
  <si>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</si>
  <si>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</si>
  <si>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</si>
  <si>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</si>
  <si>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</si>
  <si>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</si>
  <si>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</si>
  <si>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</si>
  <si>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</si>
  <si>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</si>
  <si>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</si>
  <si>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</si>
  <si>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</si>
  <si>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</si>
  <si>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</si>
  <si>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</si>
  <si>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</si>
  <si>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</si>
  <si>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</si>
  <si>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</si>
  <si>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</si>
  <si>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</si>
  <si>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</si>
  <si>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</si>
  <si>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</si>
  <si>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</si>
  <si>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</si>
  <si>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</si>
  <si>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</si>
  <si>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</si>
  <si>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</si>
  <si>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</si>
  <si>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C24 + C40</t>
  </si>
  <si>
    <t>C27 + C43</t>
  </si>
  <si>
    <t>C37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</si>
  <si>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</si>
  <si>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</si>
  <si>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</si>
  <si>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</si>
  <si>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</si>
  <si>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</si>
  <si>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</si>
  <si>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</si>
  <si>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</si>
  <si>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</si>
  <si>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</si>
  <si>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</si>
  <si>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</si>
  <si>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</si>
  <si>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</si>
  <si>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</si>
  <si>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</si>
  <si>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</si>
  <si>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</si>
  <si>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</si>
  <si>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</si>
  <si>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</si>
  <si>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</si>
  <si>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</si>
  <si>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</si>
  <si>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</si>
  <si>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</si>
  <si>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</si>
  <si>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</si>
  <si>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</si>
  <si>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</si>
  <si>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</si>
  <si>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</si>
  <si>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</si>
  <si>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</si>
  <si>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</si>
  <si>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</si>
  <si>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</si>
  <si>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</si>
  <si>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</si>
  <si>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</si>
  <si>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</si>
  <si>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</si>
  <si>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</si>
  <si>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</si>
  <si>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</si>
  <si>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</si>
  <si>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</si>
  <si>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</si>
  <si>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</si>
  <si>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</si>
  <si>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</si>
  <si>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</si>
  <si>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</si>
  <si>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</si>
  <si>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</si>
  <si>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</si>
  <si>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</si>
  <si>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</si>
  <si>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</si>
  <si>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</si>
  <si>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</si>
  <si>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</si>
  <si>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</si>
  <si>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</si>
  <si>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</si>
  <si>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</si>
  <si>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</si>
  <si>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</si>
  <si>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</si>
  <si>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</si>
  <si>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</si>
  <si>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</si>
  <si>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</si>
  <si>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</si>
  <si>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</si>
  <si>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</si>
  <si>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</si>
  <si>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</si>
  <si>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</si>
  <si>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</si>
  <si>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</si>
  <si>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</si>
  <si>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</si>
  <si>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</si>
  <si>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</si>
  <si>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</si>
  <si>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</si>
  <si>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</si>
  <si>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</si>
  <si>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</si>
  <si>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</si>
  <si>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</si>
  <si>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</si>
  <si>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</si>
  <si>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</si>
  <si>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</si>
  <si>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</si>
  <si>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</si>
  <si>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</si>
  <si>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</si>
  <si>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</si>
  <si>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</si>
  <si>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</si>
  <si>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</si>
  <si>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</si>
  <si>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</si>
  <si>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</si>
  <si>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</si>
  <si>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</si>
  <si>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</si>
  <si>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</si>
  <si>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</si>
  <si>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</si>
  <si>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</si>
  <si>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</si>
  <si>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</si>
  <si>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</si>
  <si>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</si>
  <si>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</si>
  <si>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</si>
  <si>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</si>
  <si>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</si>
  <si>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</si>
  <si>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</si>
  <si>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</si>
  <si>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</si>
  <si>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</si>
  <si>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</si>
  <si>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</si>
  <si>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</si>
  <si>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</si>
  <si>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</si>
  <si>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</si>
  <si>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</si>
  <si>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</si>
  <si>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</si>
  <si>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</si>
  <si>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</si>
  <si>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</si>
  <si>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</si>
  <si>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</si>
  <si>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</si>
  <si>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</si>
  <si>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</si>
  <si>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</si>
  <si>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</si>
  <si>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</si>
  <si>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</si>
  <si>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</si>
  <si>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</si>
  <si>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</si>
  <si>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</si>
  <si>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</si>
  <si>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</si>
  <si>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</si>
  <si>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</si>
  <si>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</si>
  <si>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</si>
  <si>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</si>
  <si>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</si>
  <si>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</si>
  <si>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</si>
  <si>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</si>
  <si>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</si>
  <si>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</si>
  <si>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</si>
  <si>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</si>
  <si>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</si>
  <si>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</si>
  <si>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</si>
  <si>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</si>
  <si>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</si>
  <si>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</si>
  <si>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</si>
  <si>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</si>
  <si>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</si>
  <si>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</si>
  <si>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</si>
  <si>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</si>
  <si>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</si>
  <si>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</si>
  <si>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</si>
  <si>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</si>
  <si>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</si>
  <si>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</si>
  <si>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</si>
  <si>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</si>
  <si>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</si>
  <si>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</si>
  <si>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</si>
  <si>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</si>
  <si>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</si>
  <si>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T5C1Y, C49</t>
  </si>
  <si>
    <t>T5C1Z,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</si>
  <si>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</si>
  <si>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</si>
  <si>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</si>
  <si>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</si>
  <si>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</si>
  <si>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</si>
  <si>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</si>
  <si>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</si>
  <si>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</si>
  <si>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</si>
  <si>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</si>
  <si>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</si>
  <si>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</si>
  <si>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</si>
  <si>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</si>
  <si>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</si>
  <si>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</si>
  <si>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</si>
  <si>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</si>
  <si>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</si>
  <si>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</si>
  <si>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</si>
  <si>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t>If C3b &gt; 10%,
3a x (1 + 10%)</t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</si>
  <si>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</si>
  <si>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</si>
  <si>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</si>
  <si>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</si>
  <si>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</si>
  <si>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</si>
  <si>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</si>
  <si>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</si>
  <si>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</si>
  <si>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</si>
  <si>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</si>
  <si>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</si>
  <si>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</si>
  <si>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</si>
  <si>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</si>
  <si>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</si>
  <si>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</si>
  <si>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</si>
  <si>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</si>
  <si>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</si>
  <si>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</si>
  <si>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</si>
  <si>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</si>
  <si>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</si>
  <si>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</si>
  <si>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Univ View 10% Return to State</t>
  </si>
  <si>
    <t>Current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</si>
  <si>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</si>
  <si>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</si>
  <si>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</si>
  <si>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t>N/A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</si>
  <si>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</si>
  <si>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</si>
  <si>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</si>
  <si>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T5C1AI, C16</t>
  </si>
  <si>
    <t>T5C1AJ, C16</t>
  </si>
  <si>
    <t>Ad Valorem
Constitutional Tax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</si>
  <si>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</si>
  <si>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</si>
  <si>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T5C1AK, C43</t>
  </si>
  <si>
    <t>T5C1AL, C43</t>
  </si>
  <si>
    <t>T5C1AK, C49</t>
  </si>
  <si>
    <t>T5C1AL, C49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</si>
  <si>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</si>
  <si>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</si>
  <si>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</si>
  <si>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</si>
  <si>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</si>
  <si>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</si>
  <si>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</si>
  <si>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</si>
  <si>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</si>
  <si>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</si>
  <si>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</si>
  <si>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</si>
  <si>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</si>
  <si>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</si>
  <si>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</si>
  <si>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</si>
  <si>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</si>
  <si>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</si>
  <si>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</si>
  <si>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</si>
  <si>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</si>
  <si>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</si>
  <si>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</si>
  <si>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</si>
  <si>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</si>
  <si>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</si>
  <si>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</si>
  <si>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</si>
  <si>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</si>
  <si>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</si>
  <si>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</si>
  <si>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</si>
  <si>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</si>
  <si>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</si>
  <si>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</si>
  <si>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</si>
  <si>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</si>
  <si>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</si>
  <si>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</si>
  <si>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</si>
  <si>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</si>
  <si>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</si>
  <si>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</si>
  <si>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</si>
  <si>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</si>
  <si>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</si>
  <si>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</si>
  <si>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</si>
  <si>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</si>
  <si>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</si>
  <si>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</si>
  <si>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</si>
  <si>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</si>
  <si>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C6 x $100</t>
  </si>
  <si>
    <t>T3A, C8</t>
  </si>
  <si>
    <t>T3A, C9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</si>
  <si>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</si>
  <si>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</si>
  <si>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</si>
  <si>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</si>
  <si>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</si>
  <si>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</si>
  <si>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</si>
  <si>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</si>
  <si>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</si>
  <si>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</si>
  <si>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</si>
  <si>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</si>
  <si>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</si>
  <si>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</si>
  <si>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</si>
  <si>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</si>
  <si>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</si>
  <si>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</si>
  <si>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</si>
  <si>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</si>
  <si>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</si>
  <si>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</si>
  <si>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</si>
  <si>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</si>
  <si>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</si>
  <si>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</si>
  <si>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</si>
  <si>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</si>
  <si>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</si>
  <si>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</si>
  <si>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</si>
  <si>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</si>
  <si>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</si>
  <si>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</si>
  <si>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</si>
  <si>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</si>
  <si>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</si>
  <si>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</si>
  <si>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</si>
  <si>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</si>
  <si>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</si>
  <si>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</si>
  <si>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</si>
  <si>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</si>
  <si>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</si>
  <si>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</si>
  <si>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</si>
  <si>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</si>
  <si>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</si>
  <si>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</si>
  <si>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</si>
  <si>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</si>
  <si>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</si>
  <si>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</si>
  <si>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</si>
  <si>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</si>
  <si>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</si>
  <si>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</si>
  <si>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</si>
  <si>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</si>
  <si>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</si>
  <si>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</si>
  <si>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</si>
  <si>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</si>
  <si>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</si>
  <si>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</si>
  <si>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</si>
  <si>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</si>
  <si>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</si>
  <si>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</si>
  <si>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</si>
  <si>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</si>
  <si>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</si>
  <si>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</si>
  <si>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</si>
  <si>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</si>
  <si>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</si>
  <si>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</si>
  <si>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</si>
  <si>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</si>
  <si>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</si>
  <si>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</si>
  <si>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</si>
  <si>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</si>
  <si>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</si>
  <si>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</si>
  <si>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</si>
  <si>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</si>
  <si>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</si>
  <si>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</si>
  <si>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C10 + C11
T4, C2 + T4, C14</t>
  </si>
  <si>
    <t>C12
T4, C7 + T4, C9 + T4, C10</t>
  </si>
  <si>
    <t>Level 4
Monthly
Funds</t>
  </si>
  <si>
    <t>Level 4
Annual
Allocation</t>
  </si>
  <si>
    <t>Stipends
 for Foreign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</si>
  <si>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</si>
  <si>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</si>
  <si>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</si>
  <si>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</si>
  <si>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</si>
  <si>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</si>
  <si>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</si>
  <si>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</si>
  <si>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</si>
  <si>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</si>
  <si>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</si>
  <si>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</si>
  <si>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</si>
  <si>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City/Parish</t>
  </si>
  <si>
    <t>T2, C50</t>
  </si>
  <si>
    <t>T5B2, C37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</si>
  <si>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</si>
  <si>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</si>
  <si>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Recovery 
School 
District</t>
  </si>
  <si>
    <t>T5B2, C36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</si>
  <si>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 District Building)</t>
    </r>
  </si>
  <si>
    <t>GEO
Next
Generation</t>
  </si>
  <si>
    <t>Red
River
Charter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</si>
  <si>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</si>
  <si>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t>Redesign Dalton Charter School</t>
  </si>
  <si>
    <t>Redesign Lanier Charter School</t>
  </si>
  <si>
    <t>Redesign Glen Oaks</t>
  </si>
  <si>
    <t>2018 Assessed Property Value</t>
  </si>
  <si>
    <t>2.1.20 Student Counts
RSD Operated &amp; Type 5 Charter Schools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</si>
  <si>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</si>
  <si>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</si>
  <si>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</si>
  <si>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</si>
  <si>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</si>
  <si>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</t>
  </si>
  <si>
    <t>2018
Net Assessed
Taxable
Property
with Growth
Cap of 10%</t>
  </si>
  <si>
    <t>FY2018-19
Computed
Sales
Tax Base
with Growth
Cap of 15%</t>
  </si>
  <si>
    <r>
      <t xml:space="preserve">Qualifying
Teachers
As of 2.1.20
</t>
    </r>
    <r>
      <rPr>
        <sz val="10"/>
        <color indexed="18"/>
        <rFont val="Arial"/>
        <family val="2"/>
      </rPr>
      <t>(Includes
Escadrille)</t>
    </r>
  </si>
  <si>
    <t>T5C1AK, C16</t>
  </si>
  <si>
    <t>T5C1AL, C16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</si>
  <si>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</si>
  <si>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</si>
  <si>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</si>
  <si>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</si>
  <si>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</si>
  <si>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</si>
  <si>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</si>
  <si>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</si>
  <si>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2018
Ad Valorem
Tax Revenues</t>
  </si>
  <si>
    <t>Projected
Yield of
Property
Tax Millage
Rate of</t>
  </si>
  <si>
    <t>FY2018-19
Sales Tax
Revenue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</si>
  <si>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</si>
  <si>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</si>
  <si>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2018-2019 Computed Sales Tax Base</t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</si>
  <si>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</si>
  <si>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</si>
  <si>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2018-2019 Summary Of Sales Taxes</t>
  </si>
  <si>
    <t>Summary Of 2018-2019 Ad Valorem Taxes</t>
  </si>
  <si>
    <t>State Approved
Public Schools</t>
  </si>
  <si>
    <t>Percent
Change
of Net
Assessed
Taxable
Property</t>
  </si>
  <si>
    <t>Noble
Minds
Institute
W18001</t>
  </si>
  <si>
    <t>Noble
Minds
Institute</t>
  </si>
  <si>
    <t>Noble Minds Institute</t>
  </si>
  <si>
    <t>FY2020-2021 MFP Budget Letter</t>
  </si>
  <si>
    <t>FY2020-21 Weighted State Cost Allocation Per Pupils
Types 1, 2, 3, 3B, and 4 Charter Schools</t>
  </si>
  <si>
    <t>FY2020-21 Unweighted State Cost Allocation Per Pupils
Types 1, 2, 3, 3B, and 4 Charter Schools</t>
  </si>
  <si>
    <t>FY2020-21
State Cost
Allocation 
of Level 1</t>
  </si>
  <si>
    <t>Feb. 1, 2020
MFP Funded
Membership</t>
  </si>
  <si>
    <t>Feb. 1, 2020
Student
Count</t>
  </si>
  <si>
    <t>Oct. 1, 2019
Student
Count</t>
  </si>
  <si>
    <t>FY2020-21
State Cost
Allocation 
Of Level 1</t>
  </si>
  <si>
    <t>February 1, 2020
Student Membership</t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</si>
  <si>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</si>
  <si>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2-1-20)</t>
    </r>
  </si>
  <si>
    <r>
      <t xml:space="preserve">Student Count
</t>
    </r>
    <r>
      <rPr>
        <sz val="10"/>
        <color indexed="18"/>
        <rFont val="Arial"/>
        <family val="2"/>
      </rPr>
      <t>(Per LEADS
10-1-19)</t>
    </r>
  </si>
  <si>
    <r>
      <t xml:space="preserve">Student Count
</t>
    </r>
    <r>
      <rPr>
        <sz val="10"/>
        <color indexed="18"/>
        <rFont val="Arial"/>
        <family val="2"/>
      </rPr>
      <t>(Per SER
2-1-20)</t>
    </r>
  </si>
  <si>
    <t>October
2020
Mid-Year
Adjustment
for Students</t>
  </si>
  <si>
    <t>February
2021
Mid-Year
Adjustment
for Students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</si>
  <si>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FY2018-19
and
FY2019-20)</t>
    </r>
  </si>
  <si>
    <t>Change in
Funded
Student
Count Per
Oct. 2020
Mid-Year
Adjustment</t>
  </si>
  <si>
    <t>October
2020
Mid-Year
Adjustment</t>
  </si>
  <si>
    <t>Change in
Funded
Student
Count Per
Feb. 2021
Mid-Year
Adjustment</t>
  </si>
  <si>
    <r>
      <t xml:space="preserve">February
2021
Mid-Year
Adjustment
</t>
    </r>
    <r>
      <rPr>
        <sz val="10"/>
        <color indexed="18"/>
        <rFont val="Arial"/>
        <family val="2"/>
      </rPr>
      <t>(Half the
Per Pupil)</t>
    </r>
  </si>
  <si>
    <t>School Systems
and Schools</t>
  </si>
  <si>
    <t>Placeholder
for Closed
Other Public
School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</si>
  <si>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</si>
  <si>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Sum(C2:C35)</t>
  </si>
  <si>
    <t>C1 + C36 OR
Sum(C1:C35)</t>
  </si>
  <si>
    <r>
      <t xml:space="preserve">C37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</si>
  <si>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FY2020-21
Total MFP
Allocation
- State Cost
Allocations to
Other Public
Schools</t>
  </si>
  <si>
    <t>FY2020-21
Certificated &amp;
Non-Certificated
Pay Raises</t>
  </si>
  <si>
    <t>IF C40 &gt; 0, C40</t>
  </si>
  <si>
    <t>IF C40 &lt; 0, C40</t>
  </si>
  <si>
    <t>C43 + C44</t>
  </si>
  <si>
    <t>C37 + C39 + C40 + C45</t>
  </si>
  <si>
    <t>C46 + C47 + C48</t>
  </si>
  <si>
    <t>Prior Month File:
(C50 + C52)</t>
  </si>
  <si>
    <t>C49 - C50</t>
  </si>
  <si>
    <t>C51 ÷ Months
Remaining</t>
  </si>
  <si>
    <t>C49 + C53 + C54 + C55</t>
  </si>
  <si>
    <t>FY2020-21
Total MFP
Allocation
- State Cost
Allocations to
Other Public
Schools
+/- Adjustments</t>
  </si>
  <si>
    <t>FY2020-21
Total MFP
Allocation
- State Cost
Allocations to
Other Public
Schools
+/- Adjustments
+ Monthly Level 4</t>
  </si>
  <si>
    <t>FY2020-21
Total MFP
Allocation
- State Cost
Allocations to
Other Public
Schools
+/- Adjustments
+ Total Level 4
Funds</t>
  </si>
  <si>
    <t>T2, C56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</si>
  <si>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</si>
  <si>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</si>
  <si>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</si>
  <si>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</si>
  <si>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</si>
  <si>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YTD Payments</t>
  </si>
  <si>
    <t>C1 + C36</t>
  </si>
  <si>
    <t>Sum(C39:C71)</t>
  </si>
  <si>
    <t>C37 + C38 + C72</t>
  </si>
  <si>
    <t>Gifted and
Talented
Students
(GT)</t>
  </si>
  <si>
    <t>Economy-
of-Scale
Percent
Support</t>
  </si>
  <si>
    <t>Total
Weighted
Add-On
Student
Units</t>
  </si>
  <si>
    <t>Total
Weighted
Membership
and Units</t>
  </si>
  <si>
    <t>Per SIS
2-1-20</t>
  </si>
  <si>
    <t>(Per SER
2-1-20)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</si>
  <si>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</si>
  <si>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</si>
  <si>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</si>
  <si>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</si>
  <si>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</si>
  <si>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</si>
  <si>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</si>
  <si>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</si>
  <si>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</si>
  <si>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</si>
  <si>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Grand Total
Levels 1, 2 &amp; 3
State Cost
Allocation</t>
  </si>
  <si>
    <t>Mandated Cost
Adjustment</t>
  </si>
  <si>
    <t>Continuation
of Prior Year
Pay Raises
Per Pupil
Amount</t>
  </si>
  <si>
    <t>Increase
Cost
Adjustment</t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</si>
  <si>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2021 Data)</t>
    </r>
  </si>
  <si>
    <r>
      <t xml:space="preserve">Grades
7 - 12
</t>
    </r>
    <r>
      <rPr>
        <sz val="10"/>
        <color indexed="18"/>
        <rFont val="Arial"/>
        <family val="2"/>
      </rPr>
      <t>2.1.20 SIS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</si>
  <si>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
May 2021
Data)</t>
    </r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</si>
  <si>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</si>
  <si>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t>Continuation
of Prior Year
Pay Raises
Per Pupil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</si>
  <si>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</si>
  <si>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</si>
  <si>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</si>
  <si>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</si>
  <si>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</si>
  <si>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</si>
  <si>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Feb. 1, 2020
MFP
Funded
Membership</t>
  </si>
  <si>
    <t>Feb. 1, 2020
MFP
Funded
Membership
+
OJJ ADM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</si>
  <si>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</si>
  <si>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</si>
  <si>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</si>
  <si>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</si>
  <si>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</si>
  <si>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r>
      <t xml:space="preserve">February
2021
Mid-Year
Adjustment
</t>
    </r>
    <r>
      <rPr>
        <sz val="10"/>
        <color indexed="18"/>
        <rFont val="Arial"/>
        <family val="2"/>
      </rPr>
      <t xml:space="preserve">
(Half the
Per Pupil)</t>
    </r>
  </si>
  <si>
    <t>Admin
Fee to the
Dept. of
Education
.25%</t>
  </si>
  <si>
    <t>Year To
Date State
Payments</t>
  </si>
  <si>
    <r>
      <t xml:space="preserve">Initial
FY2020-21
Local Revenue
Representation
Per Pupil
</t>
    </r>
    <r>
      <rPr>
        <sz val="10"/>
        <color indexed="18"/>
        <rFont val="Arial"/>
        <family val="2"/>
      </rPr>
      <t xml:space="preserve">
(per charter law)</t>
    </r>
  </si>
  <si>
    <t>Admin
Fee to the
Dept. of
Education
0.25%</t>
  </si>
  <si>
    <t>Placeholder for Closed LEA</t>
  </si>
  <si>
    <r>
      <t xml:space="preserve">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</si>
  <si>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</si>
  <si>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</si>
  <si>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</si>
  <si>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</si>
  <si>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</si>
  <si>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</si>
  <si>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</si>
  <si>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</si>
  <si>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</si>
  <si>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</si>
  <si>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</si>
  <si>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T7, C27</t>
  </si>
  <si>
    <t>T7, C32</t>
  </si>
  <si>
    <t>T7, C36</t>
  </si>
  <si>
    <t>T7, C39</t>
  </si>
  <si>
    <t>T7, C40</t>
  </si>
  <si>
    <t>Total
Sales Tax
Revenue
With CAFR
Audit Adjs.</t>
  </si>
  <si>
    <t>Total
Ad Valorem
Revenue
Including Debt
With CAFR
Audit Adjs.</t>
  </si>
  <si>
    <t>Local
Admin Fee
to the 
Dept. of
Education
Current</t>
  </si>
  <si>
    <t>Local
Admin Fee
to the 
Dept. of
Education
YTD Pmt</t>
  </si>
  <si>
    <t>YTD Payment
From App Ctrl</t>
  </si>
  <si>
    <t>C46 - C47</t>
  </si>
  <si>
    <t>C25 + C41</t>
  </si>
  <si>
    <t>C28 + C44</t>
  </si>
  <si>
    <t>C38</t>
  </si>
  <si>
    <t>C47 - C48</t>
  </si>
  <si>
    <t>Level 1 State Cost Allocation</t>
  </si>
  <si>
    <t xml:space="preserve">Level 2 Incentive for Local Effort 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</si>
  <si>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Schools, and Legacy Type 2 Charter Schools)</t>
    </r>
  </si>
  <si>
    <t>Total MFP State Cost Allocation</t>
  </si>
  <si>
    <r>
      <rPr>
        <b/>
        <sz val="12"/>
        <rFont val="Arial Narrow"/>
        <family val="2"/>
      </rPr>
      <t>Prior Year Audit Adjustments</t>
    </r>
    <r>
      <rPr>
        <sz val="12"/>
        <rFont val="Arial Narrow"/>
        <family val="2"/>
      </rPr>
      <t/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</si>
  <si>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 xml:space="preserve">(Placeholder)
</t>
    </r>
    <r>
      <rPr>
        <sz val="11"/>
        <rFont val="Arial Narrow"/>
        <family val="2"/>
      </rPr>
      <t>(Foreign Language/Escadrille Associate Program Salary and Stipend, Career Development, High Cost Services, Supplemental Course Allocation)</t>
    </r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</si>
  <si>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Costs, FY2019-20 Certificated &amp; Non-Certificated Pay Raises)</t>
    </r>
  </si>
  <si>
    <r>
      <t xml:space="preserve">C2 x 14.76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</si>
  <si>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0.73%</t>
  </si>
  <si>
    <t>C4 x $69.60</t>
  </si>
  <si>
    <t>Qualifying
First Year
Teachers</t>
  </si>
  <si>
    <t>Oct. 2020*</t>
  </si>
  <si>
    <t>Grades
9 - 12
10.1.20 SIS</t>
  </si>
  <si>
    <t>FY2020-21
Budget Letter
March 2021</t>
  </si>
  <si>
    <t>FY2020-21 Final Local Revenue Representation Per Pupils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</si>
  <si>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Final
Local Revenue
Representation)</t>
    </r>
  </si>
  <si>
    <t>Number of
Qualifying
Courses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</si>
  <si>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FY2019-20 Average Daily Membership (ADM)</t>
    </r>
  </si>
  <si>
    <t>ADM for
Youth in
Secure
Care</t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</si>
  <si>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
In a District
Building</t>
    </r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</si>
  <si>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</si>
  <si>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FY2020-21
Local Revenue
Representation
Per Pupil
</t>
    </r>
    <r>
      <rPr>
        <sz val="10"/>
        <color indexed="18"/>
        <rFont val="Arial"/>
        <family val="2"/>
      </rPr>
      <t xml:space="preserve">
(per charter law)</t>
    </r>
  </si>
  <si>
    <t>Change in
Funded
Student
Count Per
Oct. 2020
Mid-Year Adj.</t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</si>
  <si>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
90%</t>
    </r>
  </si>
  <si>
    <t>Internal Only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</si>
  <si>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</si>
  <si>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t>March Only: Local Revenue Representation Admin. Fee Payable to DOE (.25%)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</si>
  <si>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</si>
  <si>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t>C8 x $241
Or Minimum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</si>
  <si>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</si>
  <si>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</si>
  <si>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</si>
  <si>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</si>
  <si>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</si>
  <si>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</si>
  <si>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</si>
  <si>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</si>
  <si>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T9, C6 x 90%</t>
  </si>
  <si>
    <t>T9, C7 x 90%</t>
  </si>
  <si>
    <t>T9, C8 x 90%</t>
  </si>
  <si>
    <t>T9, C9 x 90%</t>
  </si>
  <si>
    <t>T9, C10 x 90%</t>
  </si>
  <si>
    <t>T9, C12 x 90%</t>
  </si>
  <si>
    <t>(Per SIS
10-1-19)</t>
  </si>
  <si>
    <r>
      <t xml:space="preserve">Student Count
</t>
    </r>
    <r>
      <rPr>
        <sz val="10"/>
        <color indexed="18"/>
        <rFont val="Arial"/>
        <family val="2"/>
      </rPr>
      <t>(Per SIS
10-1-19)</t>
    </r>
  </si>
  <si>
    <t>March 2021
Payment
Amount</t>
  </si>
  <si>
    <r>
      <rPr>
        <b/>
        <sz val="12"/>
        <rFont val="Arial Narrow"/>
        <family val="2"/>
      </rPr>
      <t>Mid-Year Student Allocations</t>
    </r>
    <r>
      <rPr>
        <sz val="12"/>
        <rFont val="Arial Narrow"/>
        <family val="2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</si>
</sst>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0_);[Red]\(0\)"/>
    <numFmt numFmtId="170" formatCode="#,##0.0"/>
    <numFmt numFmtId="171" formatCode="0.0%"/>
    <numFmt numFmtId="172" formatCode="0.00_);\(0.00\)"/>
    <numFmt numFmtId="173" formatCode="&quot;$&quot;#,##0.00000"/>
    <numFmt numFmtId="174" formatCode="&quot;$&quot;#,##0.000000"/>
    <numFmt numFmtId="175" formatCode="#,##0.0_);[Red]\(#,##0.0\)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0"/>
      <color rgb="FF800080"/>
      <name val="Arial"/>
      <family val="2"/>
    </font>
    <font>
      <sz val="12"/>
      <color rgb="FFFF0000"/>
      <name val="Arial Narrow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59999389629810485"/>
        <bgColor indexed="0"/>
      </patternFill>
    </fill>
  </fills>
  <borders count="4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7847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5" fillId="0" borderId="0"/>
    <xf numFmtId="0" fontId="39" fillId="0" borderId="0"/>
    <xf numFmtId="0" fontId="25" fillId="23" borderId="7" applyNumberFormat="0" applyFont="0" applyAlignment="0" applyProtection="0"/>
    <xf numFmtId="0" fontId="61" fillId="20" borderId="8" applyNumberFormat="0" applyAlignment="0" applyProtection="0"/>
    <xf numFmtId="9" fontId="23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9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4" fillId="0" borderId="0"/>
    <xf numFmtId="43" fontId="16" fillId="0" borderId="0" applyFont="0" applyFill="0" applyBorder="0" applyAlignment="0" applyProtection="0"/>
    <xf numFmtId="0" fontId="58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51" fillId="20" borderId="49" applyNumberFormat="0" applyAlignment="0" applyProtection="0"/>
    <xf numFmtId="0" fontId="63" fillId="0" borderId="60" applyNumberFormat="0" applyFill="0" applyAlignment="0" applyProtection="0"/>
    <xf numFmtId="0" fontId="51" fillId="20" borderId="63" applyNumberFormat="0" applyAlignment="0" applyProtection="0"/>
    <xf numFmtId="0" fontId="61" fillId="20" borderId="89" applyNumberFormat="0" applyAlignment="0" applyProtection="0"/>
    <xf numFmtId="0" fontId="61" fillId="20" borderId="85" applyNumberFormat="0" applyAlignment="0" applyProtection="0"/>
    <xf numFmtId="0" fontId="51" fillId="20" borderId="71" applyNumberFormat="0" applyAlignment="0" applyProtection="0"/>
    <xf numFmtId="0" fontId="58" fillId="7" borderId="53" applyNumberFormat="0" applyAlignment="0" applyProtection="0"/>
    <xf numFmtId="0" fontId="23" fillId="23" borderId="64" applyNumberFormat="0" applyFont="0" applyAlignment="0" applyProtection="0"/>
    <xf numFmtId="0" fontId="61" fillId="20" borderId="73" applyNumberFormat="0" applyAlignment="0" applyProtection="0"/>
    <xf numFmtId="0" fontId="23" fillId="23" borderId="54" applyNumberFormat="0" applyFont="0" applyAlignment="0" applyProtection="0"/>
    <xf numFmtId="0" fontId="61" fillId="20" borderId="55" applyNumberFormat="0" applyAlignment="0" applyProtection="0"/>
    <xf numFmtId="0" fontId="51" fillId="20" borderId="42" applyNumberFormat="0" applyAlignment="0" applyProtection="0"/>
    <xf numFmtId="0" fontId="63" fillId="0" borderId="56" applyNumberFormat="0" applyFill="0" applyAlignment="0" applyProtection="0"/>
    <xf numFmtId="0" fontId="51" fillId="20" borderId="75" applyNumberFormat="0" applyAlignment="0" applyProtection="0"/>
    <xf numFmtId="0" fontId="63" fillId="0" borderId="66" applyNumberFormat="0" applyFill="0" applyAlignment="0" applyProtection="0"/>
    <xf numFmtId="43" fontId="23" fillId="0" borderId="0" applyFont="0" applyFill="0" applyBorder="0" applyAlignment="0" applyProtection="0"/>
    <xf numFmtId="0" fontId="61" fillId="20" borderId="59" applyNumberFormat="0" applyAlignment="0" applyProtection="0"/>
    <xf numFmtId="0" fontId="58" fillId="7" borderId="42" applyNumberFormat="0" applyAlignment="0" applyProtection="0"/>
    <xf numFmtId="0" fontId="23" fillId="23" borderId="43" applyNumberFormat="0" applyFont="0" applyAlignment="0" applyProtection="0"/>
    <xf numFmtId="0" fontId="61" fillId="20" borderId="44" applyNumberFormat="0" applyAlignment="0" applyProtection="0"/>
    <xf numFmtId="0" fontId="63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8" fillId="7" borderId="49" applyNumberFormat="0" applyAlignment="0" applyProtection="0"/>
    <xf numFmtId="0" fontId="51" fillId="20" borderId="57" applyNumberFormat="0" applyAlignment="0" applyProtection="0"/>
    <xf numFmtId="0" fontId="61" fillId="20" borderId="69" applyNumberFormat="0" applyAlignment="0" applyProtection="0"/>
    <xf numFmtId="0" fontId="58" fillId="7" borderId="75" applyNumberFormat="0" applyAlignment="0" applyProtection="0"/>
    <xf numFmtId="0" fontId="23" fillId="23" borderId="50" applyNumberFormat="0" applyFont="0" applyAlignment="0" applyProtection="0"/>
    <xf numFmtId="0" fontId="61" fillId="20" borderId="51" applyNumberFormat="0" applyAlignment="0" applyProtection="0"/>
    <xf numFmtId="0" fontId="63" fillId="0" borderId="52" applyNumberFormat="0" applyFill="0" applyAlignment="0" applyProtection="0"/>
    <xf numFmtId="0" fontId="63" fillId="0" borderId="70" applyNumberFormat="0" applyFill="0" applyAlignment="0" applyProtection="0"/>
    <xf numFmtId="0" fontId="61" fillId="20" borderId="65" applyNumberFormat="0" applyAlignment="0" applyProtection="0"/>
    <xf numFmtId="0" fontId="51" fillId="20" borderId="87" applyNumberFormat="0" applyAlignment="0" applyProtection="0"/>
    <xf numFmtId="0" fontId="58" fillId="7" borderId="57" applyNumberFormat="0" applyAlignment="0" applyProtection="0"/>
    <xf numFmtId="0" fontId="63" fillId="0" borderId="78" applyNumberFormat="0" applyFill="0" applyAlignment="0" applyProtection="0"/>
    <xf numFmtId="0" fontId="51" fillId="20" borderId="53" applyNumberFormat="0" applyAlignment="0" applyProtection="0"/>
    <xf numFmtId="0" fontId="58" fillId="7" borderId="71" applyNumberFormat="0" applyAlignment="0" applyProtection="0"/>
    <xf numFmtId="0" fontId="61" fillId="20" borderId="77" applyNumberFormat="0" applyAlignment="0" applyProtection="0"/>
    <xf numFmtId="0" fontId="51" fillId="20" borderId="79" applyNumberFormat="0" applyAlignment="0" applyProtection="0"/>
    <xf numFmtId="0" fontId="51" fillId="20" borderId="67" applyNumberFormat="0" applyAlignment="0" applyProtection="0"/>
    <xf numFmtId="0" fontId="58" fillId="7" borderId="83" applyNumberFormat="0" applyAlignment="0" applyProtection="0"/>
    <xf numFmtId="0" fontId="58" fillId="7" borderId="67" applyNumberFormat="0" applyAlignment="0" applyProtection="0"/>
    <xf numFmtId="0" fontId="63" fillId="0" borderId="98" applyNumberFormat="0" applyFill="0" applyAlignment="0" applyProtection="0"/>
    <xf numFmtId="0" fontId="63" fillId="0" borderId="86" applyNumberFormat="0" applyFill="0" applyAlignment="0" applyProtection="0"/>
    <xf numFmtId="0" fontId="23" fillId="23" borderId="72" applyNumberFormat="0" applyFont="0" applyAlignment="0" applyProtection="0"/>
    <xf numFmtId="0" fontId="63" fillId="0" borderId="74" applyNumberFormat="0" applyFill="0" applyAlignment="0" applyProtection="0"/>
    <xf numFmtId="0" fontId="51" fillId="20" borderId="91" applyNumberFormat="0" applyAlignment="0" applyProtection="0"/>
    <xf numFmtId="0" fontId="23" fillId="23" borderId="96" applyNumberFormat="0" applyFont="0" applyAlignment="0" applyProtection="0"/>
    <xf numFmtId="0" fontId="58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61" fillId="20" borderId="81" applyNumberFormat="0" applyAlignment="0" applyProtection="0"/>
    <xf numFmtId="0" fontId="63" fillId="0" borderId="82" applyNumberFormat="0" applyFill="0" applyAlignment="0" applyProtection="0"/>
    <xf numFmtId="0" fontId="58" fillId="7" borderId="107" applyNumberFormat="0" applyAlignment="0" applyProtection="0"/>
    <xf numFmtId="0" fontId="58" fillId="7" borderId="87" applyNumberFormat="0" applyAlignment="0" applyProtection="0"/>
    <xf numFmtId="0" fontId="63" fillId="0" borderId="102" applyNumberFormat="0" applyFill="0" applyAlignment="0" applyProtection="0"/>
    <xf numFmtId="0" fontId="51" fillId="20" borderId="83" applyNumberFormat="0" applyAlignment="0" applyProtection="0"/>
    <xf numFmtId="0" fontId="23" fillId="23" borderId="88" applyNumberFormat="0" applyFont="0" applyAlignment="0" applyProtection="0"/>
    <xf numFmtId="0" fontId="63" fillId="0" borderId="90" applyNumberFormat="0" applyFill="0" applyAlignment="0" applyProtection="0"/>
    <xf numFmtId="0" fontId="61" fillId="20" borderId="97" applyNumberFormat="0" applyAlignment="0" applyProtection="0"/>
    <xf numFmtId="0" fontId="23" fillId="23" borderId="100" applyNumberFormat="0" applyFont="0" applyAlignment="0" applyProtection="0"/>
    <xf numFmtId="0" fontId="51" fillId="20" borderId="99" applyNumberFormat="0" applyAlignment="0" applyProtection="0"/>
    <xf numFmtId="0" fontId="58" fillId="7" borderId="91" applyNumberFormat="0" applyAlignment="0" applyProtection="0"/>
    <xf numFmtId="0" fontId="58" fillId="7" borderId="103" applyNumberFormat="0" applyAlignment="0" applyProtection="0"/>
    <xf numFmtId="0" fontId="23" fillId="23" borderId="92" applyNumberFormat="0" applyFont="0" applyAlignment="0" applyProtection="0"/>
    <xf numFmtId="0" fontId="61" fillId="20" borderId="93" applyNumberFormat="0" applyAlignment="0" applyProtection="0"/>
    <xf numFmtId="0" fontId="63" fillId="0" borderId="94" applyNumberFormat="0" applyFill="0" applyAlignment="0" applyProtection="0"/>
    <xf numFmtId="0" fontId="61" fillId="20" borderId="101" applyNumberFormat="0" applyAlignment="0" applyProtection="0"/>
    <xf numFmtId="0" fontId="51" fillId="20" borderId="95" applyNumberFormat="0" applyAlignment="0" applyProtection="0"/>
    <xf numFmtId="0" fontId="23" fillId="23" borderId="108" applyNumberFormat="0" applyFont="0" applyAlignment="0" applyProtection="0"/>
    <xf numFmtId="0" fontId="51" fillId="20" borderId="103" applyNumberFormat="0" applyAlignment="0" applyProtection="0"/>
    <xf numFmtId="0" fontId="63" fillId="0" borderId="110" applyNumberFormat="0" applyFill="0" applyAlignment="0" applyProtection="0"/>
    <xf numFmtId="0" fontId="61" fillId="20" borderId="109" applyNumberFormat="0" applyAlignment="0" applyProtection="0"/>
    <xf numFmtId="0" fontId="58" fillId="7" borderId="95" applyNumberFormat="0" applyAlignment="0" applyProtection="0"/>
    <xf numFmtId="0" fontId="63" fillId="0" borderId="106" applyNumberFormat="0" applyFill="0" applyAlignment="0" applyProtection="0"/>
    <xf numFmtId="0" fontId="58" fillId="7" borderId="99" applyNumberFormat="0" applyAlignment="0" applyProtection="0"/>
    <xf numFmtId="0" fontId="23" fillId="23" borderId="104" applyNumberFormat="0" applyFont="0" applyAlignment="0" applyProtection="0"/>
    <xf numFmtId="0" fontId="61" fillId="20" borderId="105" applyNumberFormat="0" applyAlignment="0" applyProtection="0"/>
    <xf numFmtId="0" fontId="51" fillId="20" borderId="107" applyNumberFormat="0" applyAlignment="0" applyProtection="0"/>
    <xf numFmtId="0" fontId="58" fillId="7" borderId="121" applyNumberFormat="0" applyAlignment="0" applyProtection="0"/>
    <xf numFmtId="0" fontId="61" fillId="20" borderId="119" applyNumberFormat="0" applyAlignment="0" applyProtection="0"/>
    <xf numFmtId="0" fontId="58" fillId="7" borderId="116" applyNumberFormat="0" applyAlignment="0" applyProtection="0"/>
    <xf numFmtId="0" fontId="51" fillId="20" borderId="112" applyNumberFormat="0" applyAlignment="0" applyProtection="0"/>
    <xf numFmtId="0" fontId="58" fillId="7" borderId="117" applyNumberFormat="0" applyAlignment="0" applyProtection="0"/>
    <xf numFmtId="0" fontId="58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61" fillId="20" borderId="114" applyNumberFormat="0" applyAlignment="0" applyProtection="0"/>
    <xf numFmtId="0" fontId="63" fillId="0" borderId="115" applyNumberFormat="0" applyFill="0" applyAlignment="0" applyProtection="0"/>
    <xf numFmtId="0" fontId="63" fillId="0" borderId="120" applyNumberFormat="0" applyFill="0" applyAlignment="0" applyProtection="0"/>
    <xf numFmtId="0" fontId="51" fillId="20" borderId="121" applyNumberFormat="0" applyAlignment="0" applyProtection="0"/>
    <xf numFmtId="0" fontId="51" fillId="20" borderId="116" applyNumberFormat="0" applyAlignment="0" applyProtection="0"/>
    <xf numFmtId="0" fontId="51" fillId="20" borderId="117" applyNumberFormat="0" applyAlignment="0" applyProtection="0"/>
    <xf numFmtId="0" fontId="23" fillId="23" borderId="122" applyNumberFormat="0" applyFont="0" applyAlignment="0" applyProtection="0"/>
    <xf numFmtId="0" fontId="61" fillId="20" borderId="123" applyNumberFormat="0" applyAlignment="0" applyProtection="0"/>
    <xf numFmtId="0" fontId="63" fillId="0" borderId="124" applyNumberFormat="0" applyFill="0" applyAlignment="0" applyProtection="0"/>
    <xf numFmtId="0" fontId="58" fillId="7" borderId="165" applyNumberFormat="0" applyAlignment="0" applyProtection="0"/>
    <xf numFmtId="0" fontId="61" fillId="20" borderId="139" applyNumberFormat="0" applyAlignment="0" applyProtection="0"/>
    <xf numFmtId="0" fontId="58" fillId="7" borderId="161" applyNumberFormat="0" applyAlignment="0" applyProtection="0"/>
    <xf numFmtId="0" fontId="23" fillId="23" borderId="138" applyNumberFormat="0" applyFont="0" applyAlignment="0" applyProtection="0"/>
    <xf numFmtId="0" fontId="63" fillId="0" borderId="175" applyNumberFormat="0" applyFill="0" applyAlignment="0" applyProtection="0"/>
    <xf numFmtId="0" fontId="23" fillId="23" borderId="130" applyNumberFormat="0" applyFont="0" applyAlignment="0" applyProtection="0"/>
    <xf numFmtId="0" fontId="63" fillId="0" borderId="156" applyNumberFormat="0" applyFill="0" applyAlignment="0" applyProtection="0"/>
    <xf numFmtId="0" fontId="58" fillId="7" borderId="129" applyNumberFormat="0" applyAlignment="0" applyProtection="0"/>
    <xf numFmtId="0" fontId="61" fillId="20" borderId="163" applyNumberFormat="0" applyAlignment="0" applyProtection="0"/>
    <xf numFmtId="0" fontId="51" fillId="20" borderId="161" applyNumberFormat="0" applyAlignment="0" applyProtection="0"/>
    <xf numFmtId="0" fontId="63" fillId="0" borderId="164" applyNumberFormat="0" applyFill="0" applyAlignment="0" applyProtection="0"/>
    <xf numFmtId="0" fontId="58" fillId="7" borderId="172" applyNumberFormat="0" applyAlignment="0" applyProtection="0"/>
    <xf numFmtId="0" fontId="58" fillId="7" borderId="149" applyNumberFormat="0" applyAlignment="0" applyProtection="0"/>
    <xf numFmtId="0" fontId="51" fillId="20" borderId="133" applyNumberFormat="0" applyAlignment="0" applyProtection="0"/>
    <xf numFmtId="0" fontId="61" fillId="20" borderId="147" applyNumberFormat="0" applyAlignment="0" applyProtection="0"/>
    <xf numFmtId="0" fontId="23" fillId="23" borderId="150" applyNumberFormat="0" applyFont="0" applyAlignment="0" applyProtection="0"/>
    <xf numFmtId="0" fontId="63" fillId="0" borderId="140" applyNumberFormat="0" applyFill="0" applyAlignment="0" applyProtection="0"/>
    <xf numFmtId="0" fontId="63" fillId="0" borderId="128" applyNumberFormat="0" applyFill="0" applyAlignment="0" applyProtection="0"/>
    <xf numFmtId="0" fontId="23" fillId="23" borderId="158" applyNumberFormat="0" applyFont="0" applyAlignment="0" applyProtection="0"/>
    <xf numFmtId="0" fontId="61" fillId="20" borderId="127" applyNumberFormat="0" applyAlignment="0" applyProtection="0"/>
    <xf numFmtId="0" fontId="23" fillId="23" borderId="126" applyNumberFormat="0" applyFont="0" applyAlignment="0" applyProtection="0"/>
    <xf numFmtId="0" fontId="58" fillId="7" borderId="137" applyNumberFormat="0" applyAlignment="0" applyProtection="0"/>
    <xf numFmtId="0" fontId="58" fillId="7" borderId="125" applyNumberFormat="0" applyAlignment="0" applyProtection="0"/>
    <xf numFmtId="0" fontId="23" fillId="23" borderId="173" applyNumberFormat="0" applyFont="0" applyAlignment="0" applyProtection="0"/>
    <xf numFmtId="0" fontId="63" fillId="0" borderId="148" applyNumberFormat="0" applyFill="0" applyAlignment="0" applyProtection="0"/>
    <xf numFmtId="0" fontId="23" fillId="23" borderId="146" applyNumberFormat="0" applyFont="0" applyAlignment="0" applyProtection="0"/>
    <xf numFmtId="0" fontId="61" fillId="20" borderId="155" applyNumberFormat="0" applyAlignment="0" applyProtection="0"/>
    <xf numFmtId="0" fontId="61" fillId="20" borderId="131" applyNumberFormat="0" applyAlignment="0" applyProtection="0"/>
    <xf numFmtId="0" fontId="51" fillId="20" borderId="125" applyNumberFormat="0" applyAlignment="0" applyProtection="0"/>
    <xf numFmtId="0" fontId="63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63" fillId="0" borderId="160" applyNumberFormat="0" applyFill="0" applyAlignment="0" applyProtection="0"/>
    <xf numFmtId="0" fontId="63" fillId="0" borderId="136" applyNumberFormat="0" applyFill="0" applyAlignment="0" applyProtection="0"/>
    <xf numFmtId="0" fontId="51" fillId="20" borderId="129" applyNumberFormat="0" applyAlignment="0" applyProtection="0"/>
    <xf numFmtId="0" fontId="51" fillId="20" borderId="149" applyNumberFormat="0" applyAlignment="0" applyProtection="0"/>
    <xf numFmtId="0" fontId="61" fillId="20" borderId="159" applyNumberFormat="0" applyAlignment="0" applyProtection="0"/>
    <xf numFmtId="0" fontId="58" fillId="7" borderId="141" applyNumberFormat="0" applyAlignment="0" applyProtection="0"/>
    <xf numFmtId="0" fontId="61" fillId="20" borderId="174" applyNumberFormat="0" applyAlignment="0" applyProtection="0"/>
    <xf numFmtId="0" fontId="58" fillId="7" borderId="133" applyNumberFormat="0" applyAlignment="0" applyProtection="0"/>
    <xf numFmtId="0" fontId="51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1" fillId="20" borderId="168" applyNumberFormat="0" applyAlignment="0" applyProtection="0"/>
    <xf numFmtId="0" fontId="51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1" fillId="20" borderId="137" applyNumberFormat="0" applyAlignment="0" applyProtection="0"/>
    <xf numFmtId="0" fontId="61" fillId="20" borderId="135" applyNumberFormat="0" applyAlignment="0" applyProtection="0"/>
    <xf numFmtId="0" fontId="51" fillId="20" borderId="172" applyNumberFormat="0" applyAlignment="0" applyProtection="0"/>
    <xf numFmtId="0" fontId="23" fillId="23" borderId="169" applyNumberFormat="0" applyFont="0" applyAlignment="0" applyProtection="0"/>
    <xf numFmtId="0" fontId="61" fillId="20" borderId="151" applyNumberFormat="0" applyAlignment="0" applyProtection="0"/>
    <xf numFmtId="0" fontId="58" fillId="7" borderId="157" applyNumberFormat="0" applyAlignment="0" applyProtection="0"/>
    <xf numFmtId="0" fontId="58" fillId="7" borderId="145" applyNumberFormat="0" applyAlignment="0" applyProtection="0"/>
    <xf numFmtId="0" fontId="58" fillId="7" borderId="153" applyNumberFormat="0" applyAlignment="0" applyProtection="0"/>
    <xf numFmtId="0" fontId="23" fillId="23" borderId="142" applyNumberFormat="0" applyFont="0" applyAlignment="0" applyProtection="0"/>
    <xf numFmtId="0" fontId="61" fillId="20" borderId="143" applyNumberFormat="0" applyAlignment="0" applyProtection="0"/>
    <xf numFmtId="0" fontId="63" fillId="0" borderId="144" applyNumberFormat="0" applyFill="0" applyAlignment="0" applyProtection="0"/>
    <xf numFmtId="0" fontId="23" fillId="23" borderId="162" applyNumberFormat="0" applyFont="0" applyAlignment="0" applyProtection="0"/>
    <xf numFmtId="0" fontId="51" fillId="20" borderId="157" applyNumberFormat="0" applyAlignment="0" applyProtection="0"/>
    <xf numFmtId="0" fontId="58" fillId="7" borderId="168" applyNumberFormat="0" applyAlignment="0" applyProtection="0"/>
    <xf numFmtId="0" fontId="63" fillId="0" borderId="167" applyNumberFormat="0" applyFill="0" applyAlignment="0" applyProtection="0"/>
    <xf numFmtId="0" fontId="51" fillId="20" borderId="153" applyNumberFormat="0" applyAlignment="0" applyProtection="0"/>
    <xf numFmtId="0" fontId="51" fillId="20" borderId="165" applyNumberFormat="0" applyAlignment="0" applyProtection="0"/>
    <xf numFmtId="0" fontId="63" fillId="0" borderId="152" applyNumberFormat="0" applyFill="0" applyAlignment="0" applyProtection="0"/>
    <xf numFmtId="0" fontId="61" fillId="20" borderId="170" applyNumberFormat="0" applyAlignment="0" applyProtection="0"/>
    <xf numFmtId="0" fontId="23" fillId="23" borderId="166" applyNumberFormat="0" applyFont="0" applyAlignment="0" applyProtection="0"/>
    <xf numFmtId="0" fontId="63" fillId="0" borderId="171" applyNumberFormat="0" applyFill="0" applyAlignment="0" applyProtection="0"/>
    <xf numFmtId="0" fontId="15" fillId="0" borderId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72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72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5" applyNumberFormat="0" applyFill="0" applyAlignment="0" applyProtection="0"/>
    <xf numFmtId="0" fontId="64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1" fillId="20" borderId="172" applyNumberFormat="0" applyAlignment="0" applyProtection="0"/>
    <xf numFmtId="0" fontId="51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80" applyNumberFormat="0" applyFill="0" applyAlignment="0" applyProtection="0"/>
    <xf numFmtId="0" fontId="61" fillId="20" borderId="179" applyNumberFormat="0" applyAlignment="0" applyProtection="0"/>
    <xf numFmtId="0" fontId="23" fillId="23" borderId="178" applyNumberFormat="0" applyFont="0" applyAlignment="0" applyProtection="0"/>
    <xf numFmtId="0" fontId="58" fillId="7" borderId="177" applyNumberFormat="0" applyAlignment="0" applyProtection="0"/>
    <xf numFmtId="0" fontId="51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83" applyNumberFormat="0" applyFill="0" applyAlignment="0" applyProtection="0"/>
    <xf numFmtId="0" fontId="64" fillId="0" borderId="0" applyNumberForma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51" fillId="20" borderId="185" applyNumberFormat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" fillId="0" borderId="0"/>
    <xf numFmtId="0" fontId="75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9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9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92" applyNumberFormat="0" applyFill="0" applyAlignment="0" applyProtection="0"/>
    <xf numFmtId="0" fontId="6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75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0" borderId="0"/>
    <xf numFmtId="0" fontId="51" fillId="20" borderId="206" applyNumberFormat="0" applyAlignment="0" applyProtection="0"/>
    <xf numFmtId="0" fontId="58" fillId="7" borderId="206" applyNumberFormat="0" applyAlignment="0" applyProtection="0"/>
    <xf numFmtId="0" fontId="23" fillId="23" borderId="207" applyNumberFormat="0" applyFont="0" applyAlignment="0" applyProtection="0"/>
    <xf numFmtId="0" fontId="61" fillId="20" borderId="208" applyNumberFormat="0" applyAlignment="0" applyProtection="0"/>
    <xf numFmtId="0" fontId="63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3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0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1" fontId="26" fillId="26" borderId="216" xfId="0" applyNumberFormat="1" applyFont="1" applyFill="1" applyBorder="1" applyAlignment="1" applyProtection="1">
      <alignment horizontal="center" vertical="center"/>
    </xf>
    <xf numFmtId="0" fontId="44" fillId="31" borderId="14" xfId="0" applyFont="1" applyFill="1" applyBorder="1" applyAlignment="1" applyProtection="1">
      <alignment vertical="center" wrapText="1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30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5" fillId="46" borderId="215" xfId="0" applyFont="1" applyFill="1" applyBorder="1" applyAlignment="1" applyProtection="1">
      <alignment horizontal="center" vertical="center" wrapText="1"/>
    </xf>
    <xf numFmtId="0" fontId="35" fillId="45" borderId="215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/>
    </xf>
    <xf numFmtId="6" fontId="43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5" fillId="34" borderId="184" xfId="0" applyFont="1" applyFill="1" applyBorder="1" applyAlignment="1" applyProtection="1">
      <alignment horizontal="center" vertical="center" wrapText="1"/>
    </xf>
    <xf numFmtId="0" fontId="35" fillId="40" borderId="41" xfId="0" applyFont="1" applyFill="1" applyBorder="1" applyAlignment="1" applyProtection="1">
      <alignment horizontal="center" vertical="center" wrapText="1"/>
    </xf>
    <xf numFmtId="0" fontId="35" fillId="35" borderId="41" xfId="0" applyFont="1" applyFill="1" applyBorder="1" applyAlignment="1" applyProtection="1">
      <alignment horizontal="center" vertical="center" wrapText="1"/>
    </xf>
    <xf numFmtId="49" fontId="44" fillId="31" borderId="197" xfId="53" applyNumberFormat="1" applyFont="1" applyFill="1" applyBorder="1" applyAlignment="1" applyProtection="1">
      <alignment horizontal="center" vertical="center" wrapText="1"/>
    </xf>
    <xf numFmtId="49" fontId="44" fillId="31" borderId="14" xfId="53" applyNumberFormat="1" applyFont="1" applyFill="1" applyBorder="1" applyAlignment="1" applyProtection="1">
      <alignment horizontal="center" vertical="center" wrapText="1"/>
    </xf>
    <xf numFmtId="49" fontId="44" fillId="31" borderId="29" xfId="53" applyNumberFormat="1" applyFont="1" applyFill="1" applyBorder="1" applyAlignment="1" applyProtection="1">
      <alignment horizontal="center" vertical="center" wrapText="1"/>
    </xf>
    <xf numFmtId="10" fontId="35" fillId="31" borderId="216" xfId="49" applyNumberFormat="1" applyFont="1" applyFill="1" applyBorder="1" applyAlignment="1" applyProtection="1">
      <alignment horizontal="center" vertical="center" wrapText="1"/>
    </xf>
    <xf numFmtId="6" fontId="35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5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3" fontId="25" fillId="0" borderId="240" xfId="0" applyNumberFormat="1" applyFont="1" applyBorder="1" applyAlignment="1" applyProtection="1">
      <alignment horizontal="center" vertical="center"/>
    </xf>
    <xf numFmtId="3" fontId="25" fillId="0" borderId="258" xfId="0" applyNumberFormat="1" applyFont="1" applyBorder="1" applyAlignment="1" applyProtection="1">
      <alignment vertical="center"/>
    </xf>
    <xf numFmtId="165" fontId="25" fillId="0" borderId="240" xfId="0" applyNumberFormat="1" applyFont="1" applyBorder="1" applyAlignment="1" applyProtection="1">
      <alignment vertical="center"/>
    </xf>
    <xf numFmtId="10" fontId="25" fillId="0" borderId="240" xfId="48" applyNumberFormat="1" applyFont="1" applyFill="1" applyBorder="1" applyAlignment="1" applyProtection="1">
      <alignment vertical="center"/>
    </xf>
    <xf numFmtId="6" fontId="25" fillId="0" borderId="240" xfId="32" applyNumberFormat="1" applyFont="1" applyFill="1" applyBorder="1" applyAlignment="1" applyProtection="1">
      <alignment vertical="center"/>
    </xf>
    <xf numFmtId="2" fontId="39" fillId="0" borderId="240" xfId="45" applyNumberFormat="1" applyFont="1" applyFill="1" applyBorder="1" applyAlignment="1" applyProtection="1">
      <alignment horizontal="right" vertical="center" wrapText="1"/>
    </xf>
    <xf numFmtId="165" fontId="39" fillId="0" borderId="240" xfId="45" applyNumberFormat="1" applyFont="1" applyFill="1" applyBorder="1" applyAlignment="1" applyProtection="1">
      <alignment horizontal="right" vertical="center" wrapText="1"/>
    </xf>
    <xf numFmtId="0" fontId="39" fillId="0" borderId="240" xfId="45" applyFont="1" applyFill="1" applyBorder="1" applyAlignment="1" applyProtection="1">
      <alignment horizontal="right" vertical="center" wrapText="1"/>
    </xf>
    <xf numFmtId="1" fontId="39" fillId="0" borderId="240" xfId="45" applyNumberFormat="1" applyFont="1" applyFill="1" applyBorder="1" applyAlignment="1" applyProtection="1">
      <alignment horizontal="right" vertical="center" wrapText="1"/>
    </xf>
    <xf numFmtId="2" fontId="25" fillId="0" borderId="240" xfId="0" applyNumberFormat="1" applyFont="1" applyBorder="1" applyAlignment="1" applyProtection="1">
      <alignment vertical="center"/>
    </xf>
    <xf numFmtId="4" fontId="25" fillId="0" borderId="240" xfId="28" applyNumberFormat="1" applyFont="1" applyBorder="1" applyAlignment="1" applyProtection="1">
      <alignment vertical="center"/>
    </xf>
    <xf numFmtId="4" fontId="25" fillId="0" borderId="258" xfId="28" applyNumberFormat="1" applyFont="1" applyBorder="1" applyAlignment="1" applyProtection="1">
      <alignment vertical="center"/>
    </xf>
    <xf numFmtId="40" fontId="25" fillId="0" borderId="240" xfId="0" applyNumberFormat="1" applyFont="1" applyFill="1" applyBorder="1" applyAlignment="1" applyProtection="1">
      <alignment vertical="center"/>
    </xf>
    <xf numFmtId="165" fontId="25" fillId="0" borderId="240" xfId="0" applyNumberFormat="1" applyFont="1" applyFill="1" applyBorder="1" applyAlignment="1" applyProtection="1">
      <alignment vertical="center"/>
    </xf>
    <xf numFmtId="10" fontId="25" fillId="0" borderId="240" xfId="0" applyNumberFormat="1" applyFont="1" applyFill="1" applyBorder="1" applyAlignment="1" applyProtection="1">
      <alignment vertical="center"/>
    </xf>
    <xf numFmtId="6" fontId="25" fillId="0" borderId="240" xfId="0" applyNumberFormat="1" applyFont="1" applyFill="1" applyBorder="1" applyAlignment="1" applyProtection="1">
      <alignment vertical="center"/>
    </xf>
    <xf numFmtId="167" fontId="25" fillId="0" borderId="240" xfId="48" applyNumberFormat="1" applyFont="1" applyFill="1" applyBorder="1" applyAlignment="1" applyProtection="1">
      <alignment vertical="center"/>
    </xf>
    <xf numFmtId="10" fontId="25" fillId="32" borderId="240" xfId="0" applyNumberFormat="1" applyFont="1" applyFill="1" applyBorder="1" applyAlignment="1" applyProtection="1">
      <alignment vertical="center"/>
    </xf>
    <xf numFmtId="165" fontId="25" fillId="32" borderId="240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7" xfId="0" applyNumberFormat="1" applyFont="1" applyBorder="1" applyAlignment="1" applyProtection="1">
      <alignment vertical="center"/>
    </xf>
    <xf numFmtId="165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39" fillId="0" borderId="13" xfId="45" applyNumberFormat="1" applyFont="1" applyFill="1" applyBorder="1" applyAlignment="1" applyProtection="1">
      <alignment horizontal="right" vertical="center" wrapText="1"/>
    </xf>
    <xf numFmtId="165" fontId="39" fillId="0" borderId="13" xfId="45" applyNumberFormat="1" applyFont="1" applyFill="1" applyBorder="1" applyAlignment="1" applyProtection="1">
      <alignment horizontal="right" vertical="center" wrapText="1"/>
    </xf>
    <xf numFmtId="0" fontId="39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7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5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7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6" xfId="0" applyNumberFormat="1" applyFont="1" applyFill="1" applyBorder="1" applyAlignment="1" applyProtection="1">
      <alignment vertical="center"/>
    </xf>
    <xf numFmtId="165" fontId="25" fillId="0" borderId="11" xfId="0" applyNumberFormat="1" applyFont="1" applyFill="1" applyBorder="1" applyAlignment="1" applyProtection="1">
      <alignment vertical="center"/>
    </xf>
    <xf numFmtId="165" fontId="25" fillId="0" borderId="16" xfId="0" applyNumberFormat="1" applyFont="1" applyFill="1" applyBorder="1" applyAlignment="1" applyProtection="1">
      <alignment vertical="center"/>
    </xf>
    <xf numFmtId="10" fontId="25" fillId="0" borderId="16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5" fontId="25" fillId="30" borderId="11" xfId="0" applyNumberFormat="1" applyFont="1" applyFill="1" applyBorder="1" applyAlignment="1" applyProtection="1">
      <alignment vertical="center"/>
    </xf>
    <xf numFmtId="4" fontId="25" fillId="30" borderId="11" xfId="28" applyNumberFormat="1" applyFont="1" applyFill="1" applyBorder="1" applyAlignment="1" applyProtection="1">
      <alignment vertical="center"/>
    </xf>
    <xf numFmtId="4" fontId="25" fillId="30" borderId="16" xfId="28" applyNumberFormat="1" applyFont="1" applyFill="1" applyBorder="1" applyAlignment="1" applyProtection="1">
      <alignment vertical="center"/>
    </xf>
    <xf numFmtId="40" fontId="25" fillId="30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7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76" fillId="0" borderId="0" xfId="47822" applyFont="1" applyProtection="1"/>
    <xf numFmtId="0" fontId="26" fillId="28" borderId="265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77" fillId="25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69" fillId="26" borderId="266" xfId="53" applyNumberFormat="1" applyFont="1" applyFill="1" applyBorder="1" applyAlignment="1" applyProtection="1">
      <alignment horizontal="center"/>
    </xf>
    <xf numFmtId="1" fontId="23" fillId="26" borderId="198" xfId="53" applyNumberFormat="1" applyFont="1" applyFill="1" applyBorder="1" applyAlignment="1" applyProtection="1">
      <alignment horizontal="center"/>
    </xf>
    <xf numFmtId="1" fontId="26" fillId="26" borderId="198" xfId="53" applyNumberFormat="1" applyFont="1" applyFill="1" applyBorder="1" applyAlignment="1" applyProtection="1">
      <alignment horizontal="center"/>
    </xf>
    <xf numFmtId="1" fontId="30" fillId="26" borderId="198" xfId="53" quotePrefix="1" applyNumberFormat="1" applyFont="1" applyFill="1" applyBorder="1" applyAlignment="1" applyProtection="1">
      <alignment horizontal="center"/>
    </xf>
    <xf numFmtId="1" fontId="38" fillId="26" borderId="266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5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30" fillId="26" borderId="198" xfId="53" quotePrefix="1" applyNumberFormat="1" applyFont="1" applyFill="1" applyBorder="1" applyAlignment="1" applyProtection="1">
      <alignment horizontal="center" vertical="center"/>
    </xf>
    <xf numFmtId="6" fontId="23" fillId="46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6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5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6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5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6" fillId="32" borderId="281" xfId="54" applyNumberFormat="1" applyFont="1" applyFill="1" applyBorder="1" applyAlignment="1" applyProtection="1">
      <alignment horizontal="right" vertical="center"/>
    </xf>
    <xf numFmtId="6" fontId="26" fillId="0" borderId="233" xfId="54" applyNumberFormat="1" applyFont="1" applyFill="1" applyBorder="1" applyAlignment="1" applyProtection="1">
      <alignment horizontal="right" vertical="center"/>
    </xf>
    <xf numFmtId="6" fontId="26" fillId="32" borderId="233" xfId="54" applyNumberFormat="1" applyFont="1" applyFill="1" applyBorder="1" applyAlignment="1" applyProtection="1">
      <alignment horizontal="right" vertical="center"/>
    </xf>
    <xf numFmtId="6" fontId="26" fillId="35" borderId="233" xfId="54" applyNumberFormat="1" applyFont="1" applyFill="1" applyBorder="1" applyAlignment="1" applyProtection="1">
      <alignment horizontal="right" vertical="center"/>
    </xf>
    <xf numFmtId="6" fontId="26" fillId="34" borderId="233" xfId="54" applyNumberFormat="1" applyFont="1" applyFill="1" applyBorder="1" applyAlignment="1" applyProtection="1">
      <alignment horizontal="right" vertical="center"/>
    </xf>
    <xf numFmtId="6" fontId="26" fillId="46" borderId="233" xfId="54" applyNumberFormat="1" applyFont="1" applyFill="1" applyBorder="1" applyAlignment="1" applyProtection="1">
      <alignment horizontal="right" vertical="center"/>
    </xf>
    <xf numFmtId="6" fontId="26" fillId="35" borderId="277" xfId="54" applyNumberFormat="1" applyFont="1" applyFill="1" applyBorder="1" applyAlignment="1" applyProtection="1">
      <alignment horizontal="right" vertical="center"/>
    </xf>
    <xf numFmtId="6" fontId="26" fillId="0" borderId="279" xfId="53" applyNumberFormat="1" applyFont="1" applyFill="1" applyBorder="1" applyAlignment="1" applyProtection="1">
      <alignment horizontal="right" vertical="center"/>
    </xf>
    <xf numFmtId="6" fontId="26" fillId="45" borderId="281" xfId="54" applyNumberFormat="1" applyFont="1" applyFill="1" applyBorder="1" applyAlignment="1" applyProtection="1">
      <alignment horizontal="right" vertical="center"/>
    </xf>
    <xf numFmtId="6" fontId="26" fillId="0" borderId="281" xfId="54" applyNumberFormat="1" applyFont="1" applyFill="1" applyBorder="1" applyAlignment="1" applyProtection="1">
      <alignment horizontal="right" vertical="center"/>
    </xf>
    <xf numFmtId="6" fontId="26" fillId="34" borderId="281" xfId="54" applyNumberFormat="1" applyFont="1" applyFill="1" applyBorder="1" applyAlignment="1" applyProtection="1">
      <alignment horizontal="right" vertical="center"/>
    </xf>
    <xf numFmtId="6" fontId="26" fillId="32" borderId="281" xfId="54" applyNumberFormat="1" applyFont="1" applyFill="1" applyBorder="1" applyAlignment="1" applyProtection="1">
      <alignment horizontal="right" vertical="center"/>
    </xf>
    <xf numFmtId="0" fontId="77" fillId="40" borderId="267" xfId="0" quotePrefix="1" applyFont="1" applyFill="1" applyBorder="1" applyAlignment="1" applyProtection="1">
      <alignment horizontal="center" vertical="center" wrapText="1"/>
    </xf>
    <xf numFmtId="0" fontId="35" fillId="35" borderId="10" xfId="0" applyFont="1" applyFill="1" applyBorder="1" applyAlignment="1" applyProtection="1">
      <alignment horizontal="center" vertical="center" wrapText="1"/>
    </xf>
    <xf numFmtId="0" fontId="35" fillId="35" borderId="272" xfId="0" applyFont="1" applyFill="1" applyBorder="1" applyAlignment="1" applyProtection="1">
      <alignment horizontal="center" vertical="center" wrapText="1"/>
    </xf>
    <xf numFmtId="0" fontId="37" fillId="31" borderId="14" xfId="0" applyFont="1" applyFill="1" applyBorder="1" applyAlignment="1" applyProtection="1">
      <alignment horizontal="center" vertical="center" wrapText="1"/>
    </xf>
    <xf numFmtId="0" fontId="37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30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14" xfId="0" applyNumberFormat="1" applyFont="1" applyFill="1" applyBorder="1" applyAlignment="1" applyProtection="1">
      <alignment vertical="center"/>
    </xf>
    <xf numFmtId="0" fontId="35" fillId="0" borderId="0" xfId="0" applyFont="1" applyBorder="1" applyAlignment="1" applyProtection="1">
      <alignment vertical="center"/>
    </xf>
    <xf numFmtId="37" fontId="35" fillId="0" borderId="0" xfId="28" applyNumberFormat="1" applyFont="1" applyBorder="1" applyAlignment="1" applyProtection="1">
      <alignment vertical="center"/>
    </xf>
    <xf numFmtId="8" fontId="35" fillId="0" borderId="0" xfId="0" applyNumberFormat="1" applyFont="1" applyBorder="1" applyAlignment="1" applyProtection="1">
      <alignment vertical="center"/>
    </xf>
    <xf numFmtId="6" fontId="35" fillId="0" borderId="0" xfId="0" applyNumberFormat="1" applyFont="1" applyBorder="1" applyAlignment="1" applyProtection="1">
      <alignment vertical="center"/>
    </xf>
    <xf numFmtId="1" fontId="30" fillId="26" borderId="266" xfId="53" quotePrefix="1" applyNumberFormat="1" applyFont="1" applyFill="1" applyBorder="1" applyAlignment="1" applyProtection="1">
      <alignment horizontal="center"/>
    </xf>
    <xf numFmtId="1" fontId="23" fillId="26" borderId="266" xfId="53" applyNumberFormat="1" applyFont="1" applyFill="1" applyBorder="1" applyAlignment="1" applyProtection="1">
      <alignment horizontal="center"/>
    </xf>
    <xf numFmtId="1" fontId="26" fillId="26" borderId="266" xfId="53" applyNumberFormat="1" applyFont="1" applyFill="1" applyBorder="1" applyAlignment="1" applyProtection="1">
      <alignment horizontal="center"/>
    </xf>
    <xf numFmtId="0" fontId="35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5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15" fontId="35" fillId="35" borderId="266" xfId="0" applyNumberFormat="1" applyFont="1" applyFill="1" applyBorder="1" applyAlignment="1" applyProtection="1">
      <alignment horizontal="center" vertical="center" wrapText="1"/>
    </xf>
    <xf numFmtId="0" fontId="35" fillId="45" borderId="266" xfId="252" applyFont="1" applyFill="1" applyBorder="1" applyAlignment="1" applyProtection="1">
      <alignment horizontal="center" vertical="center" wrapText="1"/>
    </xf>
    <xf numFmtId="0" fontId="0" fillId="26" borderId="266" xfId="0" applyFill="1" applyBorder="1" applyAlignment="1" applyProtection="1">
      <alignment horizontal="center"/>
    </xf>
    <xf numFmtId="0" fontId="0" fillId="26" borderId="266" xfId="0" applyFill="1" applyBorder="1" applyProtection="1"/>
    <xf numFmtId="1" fontId="30" fillId="26" borderId="266" xfId="0" quotePrefix="1" applyNumberFormat="1" applyFont="1" applyFill="1" applyBorder="1" applyAlignment="1" applyProtection="1">
      <alignment horizontal="center"/>
    </xf>
    <xf numFmtId="0" fontId="35" fillId="45" borderId="269" xfId="0" applyFont="1" applyFill="1" applyBorder="1" applyAlignment="1" applyProtection="1">
      <alignment horizontal="center" vertical="center" wrapText="1"/>
    </xf>
    <xf numFmtId="0" fontId="77" fillId="45" borderId="266" xfId="0" applyFont="1" applyFill="1" applyBorder="1" applyAlignment="1" applyProtection="1">
      <alignment horizontal="center" vertical="center" wrapText="1"/>
    </xf>
    <xf numFmtId="0" fontId="23" fillId="0" borderId="285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3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9" fillId="0" borderId="240" xfId="45" applyFont="1" applyBorder="1" applyAlignment="1" applyProtection="1">
      <alignment horizontal="left" vertical="center"/>
    </xf>
    <xf numFmtId="38" fontId="39" fillId="0" borderId="240" xfId="45" applyNumberFormat="1" applyFont="1" applyBorder="1" applyAlignment="1" applyProtection="1">
      <alignment vertical="center"/>
    </xf>
    <xf numFmtId="0" fontId="39" fillId="0" borderId="198" xfId="45" applyFont="1" applyBorder="1" applyAlignment="1" applyProtection="1">
      <alignment horizontal="left" vertical="center"/>
    </xf>
    <xf numFmtId="38" fontId="39" fillId="0" borderId="198" xfId="45" applyNumberFormat="1" applyFont="1" applyBorder="1" applyAlignment="1" applyProtection="1">
      <alignment vertical="center"/>
    </xf>
    <xf numFmtId="0" fontId="39" fillId="0" borderId="239" xfId="45" applyFont="1" applyBorder="1" applyAlignment="1" applyProtection="1">
      <alignment horizontal="left" vertical="center"/>
    </xf>
    <xf numFmtId="38" fontId="39" fillId="0" borderId="239" xfId="45" applyNumberFormat="1" applyFont="1" applyBorder="1" applyAlignment="1" applyProtection="1">
      <alignment vertical="center"/>
    </xf>
    <xf numFmtId="3" fontId="84" fillId="0" borderId="12" xfId="47822" applyNumberFormat="1" applyFont="1" applyBorder="1" applyAlignment="1" applyProtection="1">
      <alignment vertical="center"/>
    </xf>
    <xf numFmtId="38" fontId="84" fillId="0" borderId="12" xfId="47822" applyNumberFormat="1" applyFont="1" applyBorder="1" applyAlignment="1" applyProtection="1">
      <alignment vertical="center"/>
    </xf>
    <xf numFmtId="38" fontId="87" fillId="0" borderId="240" xfId="45" applyNumberFormat="1" applyFont="1" applyBorder="1" applyAlignment="1" applyProtection="1">
      <alignment vertical="center"/>
    </xf>
    <xf numFmtId="38" fontId="87" fillId="0" borderId="198" xfId="45" applyNumberFormat="1" applyFont="1" applyBorder="1" applyAlignment="1" applyProtection="1">
      <alignment vertical="center"/>
    </xf>
    <xf numFmtId="0" fontId="76" fillId="0" borderId="0" xfId="0" applyFont="1" applyAlignment="1">
      <alignment vertical="center"/>
    </xf>
    <xf numFmtId="0" fontId="76" fillId="0" borderId="0" xfId="0" applyFont="1" applyFill="1" applyAlignment="1">
      <alignment vertical="center"/>
    </xf>
    <xf numFmtId="0" fontId="76" fillId="0" borderId="0" xfId="0" applyFont="1" applyAlignment="1">
      <alignment horizontal="center" vertical="center" wrapText="1"/>
    </xf>
    <xf numFmtId="0" fontId="39" fillId="0" borderId="239" xfId="45" applyNumberFormat="1" applyFont="1" applyBorder="1" applyAlignment="1" applyProtection="1">
      <alignment horizontal="center" vertical="center"/>
    </xf>
    <xf numFmtId="38" fontId="39" fillId="42" borderId="239" xfId="45" applyNumberFormat="1" applyFont="1" applyFill="1" applyBorder="1" applyAlignment="1" applyProtection="1">
      <alignment vertical="center"/>
    </xf>
    <xf numFmtId="0" fontId="39" fillId="0" borderId="240" xfId="45" applyNumberFormat="1" applyFont="1" applyBorder="1" applyAlignment="1" applyProtection="1">
      <alignment horizontal="center" vertical="center"/>
    </xf>
    <xf numFmtId="38" fontId="39" fillId="42" borderId="240" xfId="45" applyNumberFormat="1" applyFont="1" applyFill="1" applyBorder="1" applyAlignment="1" applyProtection="1">
      <alignment vertical="center"/>
    </xf>
    <xf numFmtId="0" fontId="39" fillId="0" borderId="198" xfId="45" applyNumberFormat="1" applyFont="1" applyBorder="1" applyAlignment="1" applyProtection="1">
      <alignment horizontal="center" vertical="center"/>
    </xf>
    <xf numFmtId="38" fontId="39" fillId="42" borderId="198" xfId="45" applyNumberFormat="1" applyFont="1" applyFill="1" applyBorder="1" applyAlignment="1" applyProtection="1">
      <alignment vertical="center"/>
    </xf>
    <xf numFmtId="0" fontId="84" fillId="0" borderId="12" xfId="47822" applyNumberFormat="1" applyFont="1" applyBorder="1" applyAlignment="1" applyProtection="1">
      <alignment horizontal="center" vertical="center"/>
    </xf>
    <xf numFmtId="0" fontId="88" fillId="0" borderId="0" xfId="0" applyFont="1" applyAlignment="1">
      <alignment vertical="center"/>
    </xf>
    <xf numFmtId="38" fontId="84" fillId="42" borderId="12" xfId="47822" applyNumberFormat="1" applyFont="1" applyFill="1" applyBorder="1" applyAlignment="1" applyProtection="1">
      <alignment vertical="center"/>
    </xf>
    <xf numFmtId="0" fontId="39" fillId="0" borderId="240" xfId="45" applyFont="1" applyBorder="1" applyAlignment="1" applyProtection="1">
      <alignment horizontal="center" vertical="center"/>
    </xf>
    <xf numFmtId="0" fontId="39" fillId="0" borderId="198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77" fillId="40" borderId="216" xfId="0" applyNumberFormat="1" applyFont="1" applyFill="1" applyBorder="1" applyAlignment="1" applyProtection="1">
      <alignment horizontal="center" vertical="center" wrapText="1"/>
    </xf>
    <xf numFmtId="10" fontId="77" fillId="33" borderId="216" xfId="0" applyNumberFormat="1" applyFont="1" applyFill="1" applyBorder="1" applyAlignment="1" applyProtection="1">
      <alignment horizontal="center" vertical="center" wrapText="1"/>
    </xf>
    <xf numFmtId="164" fontId="25" fillId="26" borderId="15" xfId="28" applyNumberFormat="1" applyFont="1" applyFill="1" applyBorder="1" applyAlignment="1" applyProtection="1">
      <alignment horizontal="center" vertical="center"/>
    </xf>
    <xf numFmtId="1" fontId="30" fillId="26" borderId="15" xfId="28" quotePrefix="1" applyNumberFormat="1" applyFont="1" applyFill="1" applyBorder="1" applyAlignment="1" applyProtection="1">
      <alignment horizontal="center" vertical="center"/>
    </xf>
    <xf numFmtId="1" fontId="30" fillId="26" borderId="15" xfId="28" applyNumberFormat="1" applyFont="1" applyFill="1" applyBorder="1" applyAlignment="1" applyProtection="1">
      <alignment horizontal="center" vertical="center"/>
    </xf>
    <xf numFmtId="1" fontId="30" fillId="26" borderId="18" xfId="28" applyNumberFormat="1" applyFont="1" applyFill="1" applyBorder="1" applyAlignment="1" applyProtection="1">
      <alignment horizontal="center" vertical="center"/>
    </xf>
    <xf numFmtId="3" fontId="25" fillId="0" borderId="240" xfId="0" applyNumberFormat="1" applyFont="1" applyBorder="1" applyAlignment="1" applyProtection="1">
      <alignment vertical="center"/>
    </xf>
    <xf numFmtId="165" fontId="25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9" fillId="0" borderId="286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3" fillId="0" borderId="240" xfId="0" applyNumberFormat="1" applyFont="1" applyFill="1" applyBorder="1" applyAlignment="1" applyProtection="1">
      <alignment vertical="center"/>
    </xf>
    <xf numFmtId="168" fontId="23" fillId="0" borderId="240" xfId="48" applyNumberFormat="1" applyFont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4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9" fillId="0" borderId="0" xfId="0" applyFont="1" applyAlignment="1" applyProtection="1">
      <alignment vertical="center"/>
    </xf>
    <xf numFmtId="1" fontId="23" fillId="26" borderId="266" xfId="0" applyNumberFormat="1" applyFont="1" applyFill="1" applyBorder="1" applyAlignment="1" applyProtection="1">
      <alignment horizontal="center" vertical="center"/>
    </xf>
    <xf numFmtId="1" fontId="26" fillId="26" borderId="266" xfId="0" applyNumberFormat="1" applyFont="1" applyFill="1" applyBorder="1" applyAlignment="1" applyProtection="1">
      <alignment horizontal="center" vertical="center"/>
    </xf>
    <xf numFmtId="1" fontId="30" fillId="26" borderId="266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7" fillId="34" borderId="266" xfId="0" applyFont="1" applyFill="1" applyBorder="1" applyAlignment="1" applyProtection="1">
      <alignment horizontal="center" vertical="center" wrapText="1"/>
    </xf>
    <xf numFmtId="0" fontId="77" fillId="50" borderId="266" xfId="0" applyFont="1" applyFill="1" applyBorder="1" applyAlignment="1" applyProtection="1">
      <alignment horizontal="center" vertical="center" wrapText="1"/>
    </xf>
    <xf numFmtId="0" fontId="25" fillId="0" borderId="245" xfId="0" applyFont="1" applyFill="1" applyBorder="1" applyAlignment="1" applyProtection="1">
      <alignment vertical="center"/>
    </xf>
    <xf numFmtId="0" fontId="25" fillId="0" borderId="255" xfId="0" applyFont="1" applyFill="1" applyBorder="1" applyAlignment="1" applyProtection="1">
      <alignment vertical="center"/>
    </xf>
    <xf numFmtId="6" fontId="25" fillId="0" borderId="239" xfId="0" applyNumberFormat="1" applyFont="1" applyFill="1" applyBorder="1" applyAlignment="1" applyProtection="1">
      <alignment vertical="center"/>
    </xf>
    <xf numFmtId="6" fontId="25" fillId="0" borderId="286" xfId="0" applyNumberFormat="1" applyFont="1" applyFill="1" applyBorder="1" applyAlignment="1" applyProtection="1">
      <alignment vertical="center"/>
    </xf>
    <xf numFmtId="6" fontId="25" fillId="45" borderId="239" xfId="0" applyNumberFormat="1" applyFont="1" applyFill="1" applyBorder="1" applyAlignment="1" applyProtection="1">
      <alignment vertical="center"/>
    </xf>
    <xf numFmtId="6" fontId="25" fillId="34" borderId="239" xfId="0" applyNumberFormat="1" applyFont="1" applyFill="1" applyBorder="1" applyAlignment="1" applyProtection="1">
      <alignment vertical="center"/>
    </xf>
    <xf numFmtId="0" fontId="25" fillId="0" borderId="249" xfId="0" applyFont="1" applyFill="1" applyBorder="1" applyAlignment="1" applyProtection="1">
      <alignment vertical="center"/>
    </xf>
    <xf numFmtId="0" fontId="25" fillId="0" borderId="250" xfId="0" applyFont="1" applyFill="1" applyBorder="1" applyAlignment="1" applyProtection="1">
      <alignment vertical="center"/>
    </xf>
    <xf numFmtId="6" fontId="25" fillId="0" borderId="251" xfId="0" applyNumberFormat="1" applyFont="1" applyFill="1" applyBorder="1" applyAlignment="1" applyProtection="1">
      <alignment vertical="center"/>
    </xf>
    <xf numFmtId="6" fontId="25" fillId="45" borderId="251" xfId="0" applyNumberFormat="1" applyFont="1" applyFill="1" applyBorder="1" applyAlignment="1" applyProtection="1">
      <alignment vertical="center"/>
    </xf>
    <xf numFmtId="6" fontId="25" fillId="34" borderId="251" xfId="0" applyNumberFormat="1" applyFont="1" applyFill="1" applyBorder="1" applyAlignment="1" applyProtection="1">
      <alignment vertical="center"/>
    </xf>
    <xf numFmtId="0" fontId="25" fillId="0" borderId="20" xfId="0" applyFont="1" applyFill="1" applyBorder="1" applyAlignment="1" applyProtection="1">
      <alignment vertical="center"/>
    </xf>
    <xf numFmtId="0" fontId="25" fillId="0" borderId="27" xfId="0" applyFont="1" applyFill="1" applyBorder="1" applyAlignment="1" applyProtection="1">
      <alignment vertical="center"/>
    </xf>
    <xf numFmtId="6" fontId="25" fillId="0" borderId="28" xfId="0" applyNumberFormat="1" applyFont="1" applyFill="1" applyBorder="1" applyAlignment="1" applyProtection="1">
      <alignment vertical="center"/>
    </xf>
    <xf numFmtId="6" fontId="25" fillId="45" borderId="28" xfId="0" applyNumberFormat="1" applyFont="1" applyFill="1" applyBorder="1" applyAlignment="1" applyProtection="1">
      <alignment vertical="center"/>
    </xf>
    <xf numFmtId="6" fontId="25" fillId="34" borderId="28" xfId="0" applyNumberFormat="1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0" fontId="25" fillId="0" borderId="253" xfId="0" applyFont="1" applyFill="1" applyBorder="1" applyAlignment="1" applyProtection="1">
      <alignment vertical="center"/>
    </xf>
    <xf numFmtId="6" fontId="25" fillId="0" borderId="254" xfId="0" applyNumberFormat="1" applyFont="1" applyFill="1" applyBorder="1" applyAlignment="1" applyProtection="1">
      <alignment vertical="center"/>
    </xf>
    <xf numFmtId="6" fontId="25" fillId="45" borderId="254" xfId="0" applyNumberFormat="1" applyFont="1" applyFill="1" applyBorder="1" applyAlignment="1" applyProtection="1">
      <alignment vertical="center"/>
    </xf>
    <xf numFmtId="6" fontId="25" fillId="34" borderId="254" xfId="0" applyNumberFormat="1" applyFont="1" applyFill="1" applyBorder="1" applyAlignment="1" applyProtection="1">
      <alignment vertical="center"/>
    </xf>
    <xf numFmtId="0" fontId="25" fillId="0" borderId="242" xfId="0" applyFont="1" applyFill="1" applyBorder="1" applyAlignment="1" applyProtection="1">
      <alignment vertical="center"/>
    </xf>
    <xf numFmtId="0" fontId="25" fillId="0" borderId="248" xfId="0" applyFont="1" applyFill="1" applyBorder="1" applyAlignment="1" applyProtection="1">
      <alignment vertical="center"/>
    </xf>
    <xf numFmtId="6" fontId="25" fillId="45" borderId="240" xfId="0" applyNumberFormat="1" applyFont="1" applyFill="1" applyBorder="1" applyAlignment="1" applyProtection="1">
      <alignment vertical="center"/>
    </xf>
    <xf numFmtId="6" fontId="25" fillId="34" borderId="240" xfId="0" applyNumberFormat="1" applyFont="1" applyFill="1" applyBorder="1" applyAlignment="1" applyProtection="1">
      <alignment vertical="center"/>
    </xf>
    <xf numFmtId="0" fontId="25" fillId="0" borderId="19" xfId="0" applyFont="1" applyFill="1" applyBorder="1" applyAlignment="1" applyProtection="1">
      <alignment vertical="center"/>
    </xf>
    <xf numFmtId="0" fontId="25" fillId="0" borderId="26" xfId="0" applyFont="1" applyFill="1" applyBorder="1" applyAlignment="1" applyProtection="1">
      <alignment vertical="center"/>
    </xf>
    <xf numFmtId="6" fontId="25" fillId="0" borderId="41" xfId="0" applyNumberFormat="1" applyFont="1" applyFill="1" applyBorder="1" applyAlignment="1" applyProtection="1">
      <alignment vertical="center"/>
    </xf>
    <xf numFmtId="6" fontId="25" fillId="45" borderId="41" xfId="0" applyNumberFormat="1" applyFont="1" applyFill="1" applyBorder="1" applyAlignment="1" applyProtection="1">
      <alignment vertical="center"/>
    </xf>
    <xf numFmtId="6" fontId="25" fillId="34" borderId="41" xfId="0" applyNumberFormat="1" applyFont="1" applyFill="1" applyBorder="1" applyAlignment="1" applyProtection="1">
      <alignment vertical="center"/>
    </xf>
    <xf numFmtId="1" fontId="25" fillId="26" borderId="266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5" fontId="23" fillId="0" borderId="246" xfId="54" applyNumberFormat="1" applyFont="1" applyFill="1" applyBorder="1" applyAlignment="1" applyProtection="1">
      <alignment horizontal="right" vertical="center"/>
    </xf>
    <xf numFmtId="165" fontId="23" fillId="32" borderId="246" xfId="54" applyNumberFormat="1" applyFont="1" applyFill="1" applyBorder="1" applyAlignment="1" applyProtection="1">
      <alignment horizontal="right" vertical="center"/>
    </xf>
    <xf numFmtId="165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5" fontId="23" fillId="0" borderId="243" xfId="54" applyNumberFormat="1" applyFont="1" applyFill="1" applyBorder="1" applyAlignment="1" applyProtection="1">
      <alignment horizontal="right" vertical="center"/>
    </xf>
    <xf numFmtId="165" fontId="23" fillId="32" borderId="243" xfId="54" applyNumberFormat="1" applyFont="1" applyFill="1" applyBorder="1" applyAlignment="1" applyProtection="1">
      <alignment horizontal="right" vertical="center"/>
    </xf>
    <xf numFmtId="165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5" fontId="23" fillId="0" borderId="199" xfId="54" applyNumberFormat="1" applyFont="1" applyFill="1" applyBorder="1" applyAlignment="1" applyProtection="1">
      <alignment horizontal="right" vertical="center"/>
    </xf>
    <xf numFmtId="165" fontId="23" fillId="32" borderId="199" xfId="54" applyNumberFormat="1" applyFont="1" applyFill="1" applyBorder="1" applyAlignment="1" applyProtection="1">
      <alignment horizontal="right" vertical="center"/>
    </xf>
    <xf numFmtId="165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5" fontId="23" fillId="0" borderId="243" xfId="53" applyNumberFormat="1" applyFont="1" applyFill="1" applyBorder="1" applyAlignment="1" applyProtection="1">
      <alignment horizontal="right" vertical="center"/>
    </xf>
    <xf numFmtId="165" fontId="23" fillId="32" borderId="243" xfId="53" applyNumberFormat="1" applyFont="1" applyFill="1" applyBorder="1" applyAlignment="1" applyProtection="1">
      <alignment horizontal="right" vertical="center"/>
    </xf>
    <xf numFmtId="165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5" fontId="23" fillId="0" borderId="200" xfId="53" applyNumberFormat="1" applyFont="1" applyFill="1" applyBorder="1" applyAlignment="1" applyProtection="1">
      <alignment horizontal="right" vertical="center"/>
    </xf>
    <xf numFmtId="165" fontId="23" fillId="32" borderId="200" xfId="53" applyNumberFormat="1" applyFont="1" applyFill="1" applyBorder="1" applyAlignment="1" applyProtection="1">
      <alignment horizontal="right" vertical="center"/>
    </xf>
    <xf numFmtId="165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6" fillId="32" borderId="30" xfId="54" applyNumberFormat="1" applyFont="1" applyFill="1" applyBorder="1" applyAlignment="1" applyProtection="1">
      <alignment horizontal="right" vertical="center"/>
    </xf>
    <xf numFmtId="165" fontId="26" fillId="0" borderId="31" xfId="54" applyNumberFormat="1" applyFont="1" applyFill="1" applyBorder="1" applyAlignment="1" applyProtection="1">
      <alignment horizontal="right" vertical="center"/>
    </xf>
    <xf numFmtId="165" fontId="26" fillId="32" borderId="31" xfId="54" applyNumberFormat="1" applyFont="1" applyFill="1" applyBorder="1" applyAlignment="1" applyProtection="1">
      <alignment horizontal="right" vertical="center"/>
    </xf>
    <xf numFmtId="165" fontId="26" fillId="35" borderId="31" xfId="54" applyNumberFormat="1" applyFont="1" applyFill="1" applyBorder="1" applyAlignment="1" applyProtection="1">
      <alignment horizontal="right" vertical="center"/>
    </xf>
    <xf numFmtId="6" fontId="26" fillId="0" borderId="48" xfId="54" applyNumberFormat="1" applyFont="1" applyFill="1" applyBorder="1" applyAlignment="1" applyProtection="1">
      <alignment horizontal="right" vertical="center"/>
    </xf>
    <xf numFmtId="6" fontId="26" fillId="34" borderId="48" xfId="54" applyNumberFormat="1" applyFont="1" applyFill="1" applyBorder="1" applyAlignment="1" applyProtection="1">
      <alignment horizontal="right" vertical="center"/>
    </xf>
    <xf numFmtId="165" fontId="26" fillId="35" borderId="48" xfId="54" applyNumberFormat="1" applyFont="1" applyFill="1" applyBorder="1" applyAlignment="1" applyProtection="1">
      <alignment horizontal="right" vertical="center"/>
    </xf>
    <xf numFmtId="6" fontId="26" fillId="32" borderId="31" xfId="54" applyNumberFormat="1" applyFont="1" applyFill="1" applyBorder="1" applyAlignment="1" applyProtection="1">
      <alignment horizontal="right" vertical="center"/>
    </xf>
    <xf numFmtId="6" fontId="26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5" fontId="23" fillId="0" borderId="33" xfId="53" applyNumberFormat="1" applyFont="1" applyFill="1" applyBorder="1" applyAlignment="1" applyProtection="1">
      <alignment horizontal="right" vertical="center"/>
    </xf>
    <xf numFmtId="165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5" fontId="23" fillId="0" borderId="35" xfId="53" applyNumberFormat="1" applyFont="1" applyFill="1" applyBorder="1" applyAlignment="1" applyProtection="1">
      <alignment horizontal="right" vertical="center"/>
    </xf>
    <xf numFmtId="165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5" fontId="23" fillId="0" borderId="37" xfId="53" applyNumberFormat="1" applyFont="1" applyFill="1" applyBorder="1" applyAlignment="1" applyProtection="1">
      <alignment horizontal="right" vertical="center"/>
    </xf>
    <xf numFmtId="165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6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6" fillId="26" borderId="216" xfId="53" applyNumberFormat="1" applyFont="1" applyFill="1" applyBorder="1" applyAlignment="1" applyProtection="1">
      <alignment horizontal="center" vertical="center"/>
    </xf>
    <xf numFmtId="1" fontId="30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83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6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6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9" fillId="27" borderId="0" xfId="47838" applyNumberFormat="1" applyFont="1" applyFill="1" applyBorder="1" applyAlignment="1">
      <alignment horizontal="center" vertical="center" wrapText="1"/>
    </xf>
    <xf numFmtId="1" fontId="29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6" borderId="266" xfId="47838" quotePrefix="1" applyNumberFormat="1" applyFont="1" applyFill="1" applyBorder="1" applyAlignment="1">
      <alignment horizontal="center" vertical="center"/>
    </xf>
    <xf numFmtId="1" fontId="23" fillId="26" borderId="266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288" xfId="58" applyFont="1" applyFill="1" applyBorder="1" applyAlignment="1" applyProtection="1">
      <alignment vertical="center"/>
    </xf>
    <xf numFmtId="0" fontId="23" fillId="0" borderId="289" xfId="58" applyFont="1" applyFill="1" applyBorder="1" applyAlignment="1" applyProtection="1">
      <alignment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1" fontId="30" fillId="26" borderId="266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0" fontId="35" fillId="25" borderId="10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26" fillId="50" borderId="267" xfId="0" applyFont="1" applyFill="1" applyBorder="1" applyAlignment="1">
      <alignment horizontal="center" vertical="center" wrapText="1"/>
    </xf>
    <xf numFmtId="0" fontId="26" fillId="42" borderId="267" xfId="0" applyFont="1" applyFill="1" applyBorder="1" applyAlignment="1">
      <alignment horizontal="center" vertical="center" wrapText="1"/>
    </xf>
    <xf numFmtId="0" fontId="26" fillId="46" borderId="267" xfId="0" applyFont="1" applyFill="1" applyBorder="1" applyAlignment="1">
      <alignment horizontal="center" vertical="center" wrapText="1"/>
    </xf>
    <xf numFmtId="0" fontId="26" fillId="35" borderId="267" xfId="0" applyFont="1" applyFill="1" applyBorder="1" applyAlignment="1">
      <alignment horizontal="center" vertical="center" wrapText="1"/>
    </xf>
    <xf numFmtId="0" fontId="26" fillId="45" borderId="267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vertical="center"/>
    </xf>
    <xf numFmtId="164" fontId="25" fillId="26" borderId="266" xfId="28" applyNumberFormat="1" applyFont="1" applyFill="1" applyBorder="1" applyAlignment="1" applyProtection="1">
      <alignment horizontal="center" vertical="center"/>
    </xf>
    <xf numFmtId="0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9" fillId="0" borderId="0" xfId="0" applyFont="1" applyAlignment="1" applyProtection="1">
      <alignment vertical="center"/>
    </xf>
    <xf numFmtId="165" fontId="25" fillId="0" borderId="198" xfId="0" applyNumberFormat="1" applyFont="1" applyFill="1" applyBorder="1" applyAlignment="1" applyProtection="1">
      <alignment vertical="center"/>
    </xf>
    <xf numFmtId="10" fontId="25" fillId="0" borderId="198" xfId="48" applyNumberFormat="1" applyFont="1" applyFill="1" applyBorder="1" applyAlignment="1" applyProtection="1">
      <alignment vertical="center"/>
    </xf>
    <xf numFmtId="10" fontId="25" fillId="0" borderId="198" xfId="0" applyNumberFormat="1" applyFont="1" applyFill="1" applyBorder="1" applyAlignment="1" applyProtection="1">
      <alignment vertical="center"/>
    </xf>
    <xf numFmtId="3" fontId="25" fillId="0" borderId="286" xfId="0" applyNumberFormat="1" applyFont="1" applyBorder="1" applyAlignment="1" applyProtection="1">
      <alignment horizontal="center" vertical="center"/>
    </xf>
    <xf numFmtId="3" fontId="25" fillId="0" borderId="198" xfId="0" applyNumberFormat="1" applyFont="1" applyBorder="1" applyAlignment="1" applyProtection="1">
      <alignment horizontal="center" vertical="center"/>
    </xf>
    <xf numFmtId="3" fontId="25" fillId="0" borderId="286" xfId="0" applyNumberFormat="1" applyFont="1" applyBorder="1" applyAlignment="1" applyProtection="1">
      <alignment vertical="center"/>
    </xf>
    <xf numFmtId="3" fontId="25" fillId="0" borderId="198" xfId="0" applyNumberFormat="1" applyFont="1" applyBorder="1" applyAlignment="1" applyProtection="1">
      <alignment vertical="center"/>
    </xf>
    <xf numFmtId="165" fontId="25" fillId="0" borderId="286" xfId="0" applyNumberFormat="1" applyFont="1" applyBorder="1" applyAlignment="1" applyProtection="1">
      <alignment vertical="center"/>
    </xf>
    <xf numFmtId="165" fontId="25" fillId="0" borderId="198" xfId="0" applyNumberFormat="1" applyFont="1" applyBorder="1" applyAlignment="1" applyProtection="1">
      <alignment vertical="center"/>
    </xf>
    <xf numFmtId="165" fontId="25" fillId="39" borderId="286" xfId="0" applyNumberFormat="1" applyFont="1" applyFill="1" applyBorder="1" applyAlignment="1" applyProtection="1">
      <alignment vertical="center"/>
    </xf>
    <xf numFmtId="165" fontId="25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9" borderId="12" xfId="0" applyNumberFormat="1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5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6" fontId="0" fillId="0" borderId="0" xfId="0" applyNumberFormat="1" applyBorder="1" applyProtection="1"/>
    <xf numFmtId="9" fontId="0" fillId="0" borderId="0" xfId="0" applyNumberFormat="1" applyBorder="1" applyProtection="1"/>
    <xf numFmtId="171" fontId="0" fillId="0" borderId="0" xfId="0" applyNumberFormat="1" applyProtection="1"/>
    <xf numFmtId="3" fontId="84" fillId="0" borderId="0" xfId="47822" applyNumberFormat="1" applyFont="1" applyBorder="1" applyAlignment="1" applyProtection="1">
      <alignment horizontal="center" vertical="center"/>
    </xf>
    <xf numFmtId="3" fontId="84" fillId="0" borderId="0" xfId="47822" applyNumberFormat="1" applyFont="1" applyBorder="1" applyAlignment="1" applyProtection="1">
      <alignment vertical="center"/>
    </xf>
    <xf numFmtId="38" fontId="84" fillId="0" borderId="0" xfId="47822" applyNumberFormat="1" applyFont="1" applyBorder="1" applyAlignment="1" applyProtection="1">
      <alignment vertical="center"/>
    </xf>
    <xf numFmtId="0" fontId="77" fillId="39" borderId="266" xfId="0" applyFont="1" applyFill="1" applyBorder="1" applyAlignment="1" applyProtection="1">
      <alignment horizontal="center" vertical="center" wrapText="1"/>
    </xf>
    <xf numFmtId="0" fontId="77" fillId="40" borderId="266" xfId="0" quotePrefix="1" applyFont="1" applyFill="1" applyBorder="1" applyAlignment="1" applyProtection="1">
      <alignment horizontal="center" vertical="center" wrapText="1"/>
    </xf>
    <xf numFmtId="0" fontId="35" fillId="25" borderId="266" xfId="0" applyFont="1" applyFill="1" applyBorder="1" applyAlignment="1" applyProtection="1">
      <alignment horizontal="center" vertical="center" wrapText="1"/>
    </xf>
    <xf numFmtId="0" fontId="77" fillId="35" borderId="266" xfId="0" applyFont="1" applyFill="1" applyBorder="1" applyAlignment="1" applyProtection="1">
      <alignment horizontal="center" vertical="center" wrapText="1"/>
    </xf>
    <xf numFmtId="0" fontId="35" fillId="34" borderId="266" xfId="0" applyFont="1" applyFill="1" applyBorder="1" applyAlignment="1" applyProtection="1">
      <alignment horizontal="center" vertical="center" wrapText="1"/>
    </xf>
    <xf numFmtId="0" fontId="35" fillId="34" borderId="266" xfId="0" applyFont="1" applyFill="1" applyBorder="1" applyAlignment="1" applyProtection="1">
      <alignment horizontal="center" vertical="center" wrapText="1"/>
      <protection locked="0"/>
    </xf>
    <xf numFmtId="0" fontId="35" fillId="45" borderId="266" xfId="0" applyFont="1" applyFill="1" applyBorder="1" applyAlignment="1" applyProtection="1">
      <alignment horizontal="center" vertical="center" wrapText="1"/>
      <protection locked="0"/>
    </xf>
    <xf numFmtId="0" fontId="35" fillId="35" borderId="266" xfId="0" applyFont="1" applyFill="1" applyBorder="1" applyAlignment="1" applyProtection="1">
      <alignment horizontal="center" vertical="center" wrapText="1"/>
    </xf>
    <xf numFmtId="0" fontId="77" fillId="45" borderId="266" xfId="0" applyFont="1" applyFill="1" applyBorder="1" applyAlignment="1" applyProtection="1">
      <alignment horizontal="center" vertical="center" wrapText="1"/>
      <protection locked="0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7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0" fontId="35" fillId="45" borderId="266" xfId="0" applyFont="1" applyFill="1" applyBorder="1" applyAlignment="1" applyProtection="1">
      <alignment horizontal="center" vertical="center" wrapText="1"/>
    </xf>
    <xf numFmtId="0" fontId="35" fillId="35" borderId="266" xfId="252" applyFont="1" applyFill="1" applyBorder="1" applyAlignment="1" applyProtection="1">
      <alignment horizontal="center" vertical="center" wrapText="1"/>
    </xf>
    <xf numFmtId="0" fontId="26" fillId="28" borderId="266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0" fontId="26" fillId="25" borderId="266" xfId="0" applyFont="1" applyFill="1" applyBorder="1" applyAlignment="1">
      <alignment horizontal="center" vertical="center" wrapText="1"/>
    </xf>
    <xf numFmtId="1" fontId="30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268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172" fontId="23" fillId="0" borderId="269" xfId="0" applyNumberFormat="1" applyFont="1" applyBorder="1" applyAlignment="1" applyProtection="1">
      <alignment horizontal="left" vertical="center" indent="1"/>
    </xf>
    <xf numFmtId="0" fontId="23" fillId="0" borderId="270" xfId="0" applyFont="1" applyBorder="1" applyAlignment="1" applyProtection="1">
      <alignment vertical="center"/>
    </xf>
    <xf numFmtId="10" fontId="23" fillId="0" borderId="269" xfId="0" applyNumberFormat="1" applyFont="1" applyBorder="1" applyAlignment="1" applyProtection="1">
      <alignment horizontal="left" vertical="center"/>
    </xf>
    <xf numFmtId="1" fontId="30" fillId="26" borderId="266" xfId="28" quotePrefix="1" applyNumberFormat="1" applyFont="1" applyFill="1" applyBorder="1" applyAlignment="1" applyProtection="1">
      <alignment horizontal="center" vertical="center" wrapText="1"/>
    </xf>
    <xf numFmtId="0" fontId="30" fillId="26" borderId="267" xfId="28" quotePrefix="1" applyNumberFormat="1" applyFont="1" applyFill="1" applyBorder="1" applyAlignment="1" applyProtection="1">
      <alignment horizontal="center" vertical="center"/>
    </xf>
    <xf numFmtId="1" fontId="23" fillId="26" borderId="266" xfId="47838" quotePrefix="1" applyNumberFormat="1" applyFont="1" applyFill="1" applyBorder="1" applyAlignment="1">
      <alignment horizontal="center" vertical="center" wrapText="1"/>
    </xf>
    <xf numFmtId="0" fontId="23" fillId="26" borderId="22" xfId="58" applyFont="1" applyFill="1" applyBorder="1" applyAlignment="1">
      <alignment vertical="center"/>
    </xf>
    <xf numFmtId="1" fontId="23" fillId="26" borderId="266" xfId="53" applyNumberFormat="1" applyFont="1" applyFill="1" applyBorder="1" applyAlignment="1" applyProtection="1">
      <alignment horizontal="center" vertical="center"/>
    </xf>
    <xf numFmtId="1" fontId="26" fillId="26" borderId="266" xfId="53" applyNumberFormat="1" applyFont="1" applyFill="1" applyBorder="1" applyAlignment="1" applyProtection="1">
      <alignment horizontal="center" vertical="center"/>
    </xf>
    <xf numFmtId="0" fontId="84" fillId="0" borderId="0" xfId="47822" applyNumberFormat="1" applyFont="1" applyBorder="1" applyAlignment="1" applyProtection="1">
      <alignment horizontal="center" vertical="center"/>
    </xf>
    <xf numFmtId="165" fontId="77" fillId="47" borderId="298" xfId="252" applyNumberFormat="1" applyFont="1" applyFill="1" applyBorder="1" applyAlignment="1" applyProtection="1">
      <alignment horizontal="center" vertical="center" wrapText="1"/>
    </xf>
    <xf numFmtId="165" fontId="77" fillId="33" borderId="298" xfId="64" applyNumberFormat="1" applyFont="1" applyFill="1" applyBorder="1" applyAlignment="1" applyProtection="1">
      <alignment horizontal="center" vertical="center" wrapText="1"/>
    </xf>
    <xf numFmtId="6" fontId="35" fillId="31" borderId="298" xfId="64" applyNumberFormat="1" applyFont="1" applyFill="1" applyBorder="1" applyAlignment="1" applyProtection="1">
      <alignment horizontal="center" vertical="center" wrapText="1"/>
    </xf>
    <xf numFmtId="165" fontId="77" fillId="52" borderId="298" xfId="64" applyNumberFormat="1" applyFont="1" applyFill="1" applyBorder="1" applyAlignment="1" applyProtection="1">
      <alignment horizontal="center" vertical="center" wrapText="1"/>
    </xf>
    <xf numFmtId="1" fontId="30" fillId="26" borderId="298" xfId="64" quotePrefix="1" applyNumberFormat="1" applyFont="1" applyFill="1" applyBorder="1" applyAlignment="1" applyProtection="1">
      <alignment horizontal="center"/>
    </xf>
    <xf numFmtId="0" fontId="23" fillId="0" borderId="304" xfId="64" applyFont="1" applyFill="1" applyBorder="1" applyAlignment="1" applyProtection="1">
      <alignment horizontal="center" vertical="center"/>
    </xf>
    <xf numFmtId="0" fontId="23" fillId="0" borderId="305" xfId="64" applyFont="1" applyFill="1" applyBorder="1" applyAlignment="1" applyProtection="1">
      <alignment horizontal="center" vertical="center"/>
    </xf>
    <xf numFmtId="0" fontId="23" fillId="0" borderId="306" xfId="64" applyFont="1" applyFill="1" applyBorder="1" applyAlignment="1" applyProtection="1">
      <alignment vertical="center"/>
    </xf>
    <xf numFmtId="38" fontId="23" fillId="0" borderId="307" xfId="252" applyNumberFormat="1" applyFont="1" applyBorder="1" applyAlignment="1" applyProtection="1">
      <alignment vertical="center"/>
    </xf>
    <xf numFmtId="0" fontId="23" fillId="0" borderId="308" xfId="64" applyFont="1" applyFill="1" applyBorder="1" applyAlignment="1" applyProtection="1">
      <alignment vertical="center"/>
    </xf>
    <xf numFmtId="38" fontId="23" fillId="0" borderId="309" xfId="252" applyNumberFormat="1" applyFont="1" applyBorder="1" applyAlignment="1" applyProtection="1">
      <alignment vertical="center"/>
    </xf>
    <xf numFmtId="0" fontId="23" fillId="0" borderId="310" xfId="64" applyFont="1" applyFill="1" applyBorder="1" applyAlignment="1" applyProtection="1">
      <alignment horizontal="center" vertical="center"/>
    </xf>
    <xf numFmtId="0" fontId="23" fillId="0" borderId="311" xfId="64" applyFont="1" applyFill="1" applyBorder="1" applyAlignment="1" applyProtection="1">
      <alignment horizontal="center" vertical="center"/>
    </xf>
    <xf numFmtId="0" fontId="23" fillId="0" borderId="300" xfId="64" applyFont="1" applyFill="1" applyBorder="1" applyAlignment="1" applyProtection="1">
      <alignment horizontal="center" vertical="center"/>
    </xf>
    <xf numFmtId="0" fontId="23" fillId="0" borderId="312" xfId="64" applyFont="1" applyFill="1" applyBorder="1" applyAlignment="1" applyProtection="1">
      <alignment vertical="center"/>
    </xf>
    <xf numFmtId="38" fontId="23" fillId="0" borderId="302" xfId="252" applyNumberFormat="1" applyFont="1" applyBorder="1" applyAlignment="1" applyProtection="1">
      <alignment vertical="center"/>
    </xf>
    <xf numFmtId="38" fontId="23" fillId="0" borderId="309" xfId="252" applyNumberFormat="1" applyFont="1" applyFill="1" applyBorder="1" applyAlignment="1" applyProtection="1">
      <alignment vertical="center"/>
    </xf>
    <xf numFmtId="38" fontId="23" fillId="0" borderId="302" xfId="252" applyNumberFormat="1" applyFont="1" applyFill="1" applyBorder="1" applyAlignment="1" applyProtection="1">
      <alignment vertical="center"/>
    </xf>
    <xf numFmtId="38" fontId="23" fillId="0" borderId="307" xfId="252" applyNumberFormat="1" applyFont="1" applyFill="1" applyBorder="1" applyAlignment="1" applyProtection="1">
      <alignment vertical="center"/>
    </xf>
    <xf numFmtId="6" fontId="23" fillId="34" borderId="307" xfId="252" applyNumberFormat="1" applyFont="1" applyFill="1" applyBorder="1" applyAlignment="1" applyProtection="1">
      <alignment vertical="center"/>
    </xf>
    <xf numFmtId="0" fontId="23" fillId="0" borderId="309" xfId="64" applyNumberFormat="1" applyFont="1" applyFill="1" applyBorder="1" applyAlignment="1" applyProtection="1">
      <alignment horizontal="center" vertical="center"/>
    </xf>
    <xf numFmtId="6" fontId="23" fillId="34" borderId="309" xfId="252" applyNumberFormat="1" applyFont="1" applyFill="1" applyBorder="1" applyAlignment="1" applyProtection="1">
      <alignment vertical="center"/>
    </xf>
    <xf numFmtId="0" fontId="23" fillId="0" borderId="302" xfId="64" applyNumberFormat="1" applyFont="1" applyFill="1" applyBorder="1" applyAlignment="1" applyProtection="1">
      <alignment horizontal="center" vertical="center"/>
    </xf>
    <xf numFmtId="0" fontId="23" fillId="0" borderId="301" xfId="64" applyNumberFormat="1" applyFont="1" applyFill="1" applyBorder="1" applyAlignment="1" applyProtection="1">
      <alignment horizontal="center" vertical="center"/>
    </xf>
    <xf numFmtId="6" fontId="23" fillId="34" borderId="302" xfId="252" applyNumberFormat="1" applyFont="1" applyFill="1" applyBorder="1" applyAlignment="1" applyProtection="1">
      <alignment vertical="center"/>
    </xf>
    <xf numFmtId="0" fontId="26" fillId="0" borderId="313" xfId="64" applyFont="1" applyFill="1" applyBorder="1" applyAlignment="1" applyProtection="1">
      <alignment horizontal="center" vertical="center"/>
    </xf>
    <xf numFmtId="0" fontId="26" fillId="0" borderId="314" xfId="64" applyFont="1" applyFill="1" applyBorder="1" applyAlignment="1" applyProtection="1">
      <alignment horizontal="center" vertical="center"/>
    </xf>
    <xf numFmtId="38" fontId="26" fillId="0" borderId="316" xfId="28" applyNumberFormat="1" applyFont="1" applyFill="1" applyBorder="1" applyAlignment="1" applyProtection="1">
      <alignment vertical="center"/>
    </xf>
    <xf numFmtId="0" fontId="23" fillId="28" borderId="300" xfId="64" applyFont="1" applyFill="1" applyBorder="1" applyAlignment="1" applyProtection="1">
      <alignment horizontal="center" vertical="center"/>
    </xf>
    <xf numFmtId="38" fontId="26" fillId="28" borderId="302" xfId="64" applyNumberFormat="1" applyFont="1" applyFill="1" applyBorder="1" applyAlignment="1" applyProtection="1">
      <alignment horizontal="left" vertical="center"/>
    </xf>
    <xf numFmtId="38" fontId="26" fillId="28" borderId="301" xfId="64" applyNumberFormat="1" applyFont="1" applyFill="1" applyBorder="1" applyAlignment="1" applyProtection="1">
      <alignment horizontal="left" vertical="center"/>
    </xf>
    <xf numFmtId="6" fontId="26" fillId="28" borderId="301" xfId="64" applyNumberFormat="1" applyFont="1" applyFill="1" applyBorder="1" applyAlignment="1" applyProtection="1">
      <alignment horizontal="left" vertical="center"/>
    </xf>
    <xf numFmtId="0" fontId="23" fillId="28" borderId="294" xfId="64" applyFont="1" applyFill="1" applyBorder="1" applyAlignment="1" applyProtection="1">
      <alignment horizontal="center" vertical="center"/>
    </xf>
    <xf numFmtId="6" fontId="26" fillId="28" borderId="302" xfId="64" applyNumberFormat="1" applyFont="1" applyFill="1" applyBorder="1" applyAlignment="1" applyProtection="1">
      <alignment horizontal="left" vertical="center"/>
    </xf>
    <xf numFmtId="6" fontId="23" fillId="28" borderId="301" xfId="64" applyNumberFormat="1" applyFont="1" applyFill="1" applyBorder="1" applyAlignment="1" applyProtection="1">
      <alignment horizontal="left" vertical="center"/>
    </xf>
    <xf numFmtId="6" fontId="23" fillId="0" borderId="299" xfId="0" applyNumberFormat="1" applyFont="1" applyFill="1" applyBorder="1" applyAlignment="1" applyProtection="1">
      <alignment vertical="center"/>
    </xf>
    <xf numFmtId="6" fontId="26" fillId="0" borderId="316" xfId="28" applyNumberFormat="1" applyFont="1" applyFill="1" applyBorder="1" applyAlignment="1" applyProtection="1">
      <alignment vertical="center"/>
    </xf>
    <xf numFmtId="0" fontId="77" fillId="50" borderId="298" xfId="0" applyFont="1" applyFill="1" applyBorder="1" applyAlignment="1" applyProtection="1">
      <alignment horizontal="center" vertical="center" wrapText="1"/>
    </xf>
    <xf numFmtId="0" fontId="35" fillId="45" borderId="298" xfId="0" applyFont="1" applyFill="1" applyBorder="1" applyAlignment="1" applyProtection="1">
      <alignment horizontal="center" vertical="center" wrapText="1"/>
    </xf>
    <xf numFmtId="0" fontId="77" fillId="45" borderId="298" xfId="0" applyFont="1" applyFill="1" applyBorder="1" applyAlignment="1" applyProtection="1">
      <alignment horizontal="center" vertical="center" wrapText="1"/>
    </xf>
    <xf numFmtId="1" fontId="29" fillId="26" borderId="266" xfId="0" applyNumberFormat="1" applyFont="1" applyFill="1" applyBorder="1" applyAlignment="1" applyProtection="1">
      <alignment horizontal="center" vertical="center"/>
    </xf>
    <xf numFmtId="1" fontId="90" fillId="26" borderId="266" xfId="0" applyNumberFormat="1" applyFont="1" applyFill="1" applyBorder="1" applyAlignment="1" applyProtection="1">
      <alignment horizontal="center" vertical="center" wrapText="1"/>
    </xf>
    <xf numFmtId="1" fontId="90" fillId="26" borderId="298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1" fontId="90" fillId="26" borderId="198" xfId="0" quotePrefix="1" applyNumberFormat="1" applyFont="1" applyFill="1" applyBorder="1" applyAlignment="1" applyProtection="1">
      <alignment horizontal="center" vertical="center" wrapText="1"/>
    </xf>
    <xf numFmtId="0" fontId="35" fillId="25" borderId="293" xfId="0" applyFont="1" applyFill="1" applyBorder="1" applyAlignment="1" applyProtection="1">
      <alignment horizontal="center" vertical="center" wrapText="1"/>
    </xf>
    <xf numFmtId="1" fontId="30" fillId="26" borderId="298" xfId="28" quotePrefix="1" applyNumberFormat="1" applyFont="1" applyFill="1" applyBorder="1" applyAlignment="1" applyProtection="1">
      <alignment horizontal="center" vertical="center" wrapText="1"/>
    </xf>
    <xf numFmtId="10" fontId="23" fillId="0" borderId="301" xfId="0" applyNumberFormat="1" applyFont="1" applyBorder="1" applyAlignment="1" applyProtection="1">
      <alignment vertical="center"/>
    </xf>
    <xf numFmtId="6" fontId="23" fillId="0" borderId="301" xfId="32" applyNumberFormat="1" applyFont="1" applyBorder="1" applyAlignment="1" applyProtection="1">
      <alignment vertical="center"/>
    </xf>
    <xf numFmtId="6" fontId="23" fillId="0" borderId="318" xfId="0" applyNumberFormat="1" applyFont="1" applyFill="1" applyBorder="1" applyAlignment="1" applyProtection="1">
      <alignment vertical="center"/>
    </xf>
    <xf numFmtId="0" fontId="30" fillId="26" borderId="298" xfId="28" quotePrefix="1" applyNumberFormat="1" applyFont="1" applyFill="1" applyBorder="1" applyAlignment="1" applyProtection="1">
      <alignment horizontal="center" vertical="center"/>
    </xf>
    <xf numFmtId="38" fontId="39" fillId="0" borderId="319" xfId="45" applyNumberFormat="1" applyFont="1" applyBorder="1" applyAlignment="1" applyProtection="1">
      <alignment vertical="center"/>
    </xf>
    <xf numFmtId="38" fontId="39" fillId="0" borderId="320" xfId="45" applyNumberFormat="1" applyFont="1" applyBorder="1" applyAlignment="1" applyProtection="1">
      <alignment vertical="center"/>
    </xf>
    <xf numFmtId="0" fontId="30" fillId="26" borderId="299" xfId="28" quotePrefix="1" applyNumberFormat="1" applyFont="1" applyFill="1" applyBorder="1" applyAlignment="1" applyProtection="1">
      <alignment horizontal="center" vertical="center"/>
    </xf>
    <xf numFmtId="38" fontId="39" fillId="36" borderId="240" xfId="45" applyNumberFormat="1" applyFont="1" applyFill="1" applyBorder="1" applyAlignment="1" applyProtection="1">
      <alignment vertical="center"/>
    </xf>
    <xf numFmtId="38" fontId="39" fillId="36" borderId="198" xfId="45" applyNumberFormat="1" applyFont="1" applyFill="1" applyBorder="1" applyAlignment="1" applyProtection="1">
      <alignment vertical="center"/>
    </xf>
    <xf numFmtId="6" fontId="23" fillId="34" borderId="307" xfId="64" applyNumberFormat="1" applyFont="1" applyFill="1" applyBorder="1" applyAlignment="1" applyProtection="1">
      <alignment vertical="center"/>
    </xf>
    <xf numFmtId="6" fontId="23" fillId="34" borderId="309" xfId="64" applyNumberFormat="1" applyFont="1" applyFill="1" applyBorder="1" applyAlignment="1" applyProtection="1">
      <alignment vertical="center"/>
    </xf>
    <xf numFmtId="6" fontId="23" fillId="34" borderId="302" xfId="64" applyNumberFormat="1" applyFont="1" applyFill="1" applyBorder="1" applyAlignment="1" applyProtection="1">
      <alignment vertical="center"/>
    </xf>
    <xf numFmtId="6" fontId="26" fillId="34" borderId="316" xfId="252" applyNumberFormat="1" applyFont="1" applyFill="1" applyBorder="1" applyAlignment="1" applyProtection="1">
      <alignment vertical="center"/>
    </xf>
    <xf numFmtId="6" fontId="23" fillId="0" borderId="307" xfId="64" applyNumberFormat="1" applyFont="1" applyFill="1" applyBorder="1" applyAlignment="1" applyProtection="1">
      <alignment vertical="center"/>
    </xf>
    <xf numFmtId="6" fontId="23" fillId="0" borderId="309" xfId="64" applyNumberFormat="1" applyFont="1" applyFill="1" applyBorder="1" applyAlignment="1" applyProtection="1">
      <alignment vertical="center"/>
    </xf>
    <xf numFmtId="6" fontId="23" fillId="0" borderId="302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6" fillId="0" borderId="316" xfId="64" applyNumberFormat="1" applyFont="1" applyFill="1" applyBorder="1" applyAlignment="1" applyProtection="1">
      <alignment vertical="center"/>
    </xf>
    <xf numFmtId="6" fontId="23" fillId="35" borderId="309" xfId="64" applyNumberFormat="1" applyFont="1" applyFill="1" applyBorder="1" applyAlignment="1" applyProtection="1">
      <alignment vertical="center"/>
    </xf>
    <xf numFmtId="6" fontId="23" fillId="38" borderId="309" xfId="64" applyNumberFormat="1" applyFont="1" applyFill="1" applyBorder="1" applyAlignment="1" applyProtection="1">
      <alignment vertical="center"/>
    </xf>
    <xf numFmtId="6" fontId="23" fillId="35" borderId="302" xfId="64" applyNumberFormat="1" applyFont="1" applyFill="1" applyBorder="1" applyAlignment="1" applyProtection="1">
      <alignment vertical="center"/>
    </xf>
    <xf numFmtId="6" fontId="23" fillId="38" borderId="302" xfId="64" applyNumberFormat="1" applyFont="1" applyFill="1" applyBorder="1" applyAlignment="1" applyProtection="1">
      <alignment vertical="center"/>
    </xf>
    <xf numFmtId="6" fontId="23" fillId="35" borderId="307" xfId="64" applyNumberFormat="1" applyFont="1" applyFill="1" applyBorder="1" applyAlignment="1" applyProtection="1">
      <alignment vertical="center"/>
    </xf>
    <xf numFmtId="6" fontId="23" fillId="38" borderId="307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6" fillId="35" borderId="316" xfId="64" applyNumberFormat="1" applyFont="1" applyFill="1" applyBorder="1" applyAlignment="1" applyProtection="1">
      <alignment vertical="center"/>
    </xf>
    <xf numFmtId="6" fontId="26" fillId="38" borderId="316" xfId="64" applyNumberFormat="1" applyFont="1" applyFill="1" applyBorder="1" applyAlignment="1" applyProtection="1">
      <alignment vertical="center"/>
    </xf>
    <xf numFmtId="6" fontId="23" fillId="42" borderId="307" xfId="64" applyNumberFormat="1" applyFont="1" applyFill="1" applyBorder="1" applyAlignment="1" applyProtection="1">
      <alignment vertical="center"/>
    </xf>
    <xf numFmtId="6" fontId="26" fillId="40" borderId="307" xfId="64" applyNumberFormat="1" applyFont="1" applyFill="1" applyBorder="1" applyAlignment="1" applyProtection="1">
      <alignment vertical="center"/>
    </xf>
    <xf numFmtId="6" fontId="23" fillId="42" borderId="309" xfId="64" applyNumberFormat="1" applyFont="1" applyFill="1" applyBorder="1" applyAlignment="1" applyProtection="1">
      <alignment vertical="center"/>
    </xf>
    <xf numFmtId="6" fontId="26" fillId="40" borderId="309" xfId="64" applyNumberFormat="1" applyFont="1" applyFill="1" applyBorder="1" applyAlignment="1" applyProtection="1">
      <alignment vertical="center"/>
    </xf>
    <xf numFmtId="6" fontId="23" fillId="42" borderId="302" xfId="64" applyNumberFormat="1" applyFont="1" applyFill="1" applyBorder="1" applyAlignment="1" applyProtection="1">
      <alignment vertical="center"/>
    </xf>
    <xf numFmtId="6" fontId="26" fillId="40" borderId="302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26" fillId="40" borderId="251" xfId="64" applyNumberFormat="1" applyFont="1" applyFill="1" applyBorder="1" applyAlignment="1" applyProtection="1">
      <alignment vertical="center"/>
    </xf>
    <xf numFmtId="6" fontId="26" fillId="42" borderId="316" xfId="64" applyNumberFormat="1" applyFont="1" applyFill="1" applyBorder="1" applyAlignment="1" applyProtection="1">
      <alignment vertical="center"/>
    </xf>
    <xf numFmtId="6" fontId="26" fillId="40" borderId="316" xfId="64" applyNumberFormat="1" applyFont="1" applyFill="1" applyBorder="1" applyAlignment="1" applyProtection="1">
      <alignment vertical="center"/>
    </xf>
    <xf numFmtId="6" fontId="84" fillId="28" borderId="301" xfId="64" applyNumberFormat="1" applyFont="1" applyFill="1" applyBorder="1" applyAlignment="1" applyProtection="1">
      <alignment horizontal="lef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25" fillId="0" borderId="319" xfId="0" applyNumberFormat="1" applyFont="1" applyFill="1" applyBorder="1" applyAlignment="1" applyProtection="1">
      <alignment vertical="center"/>
    </xf>
    <xf numFmtId="6" fontId="25" fillId="0" borderId="318" xfId="0" applyNumberFormat="1" applyFont="1" applyFill="1" applyBorder="1" applyAlignment="1" applyProtection="1">
      <alignment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35" fillId="45" borderId="298" xfId="64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6" fontId="35" fillId="51" borderId="298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3" fillId="0" borderId="288" xfId="58" applyNumberFormat="1" applyFont="1" applyFill="1" applyBorder="1" applyAlignment="1" applyProtection="1">
      <alignment vertical="center"/>
    </xf>
    <xf numFmtId="0" fontId="23" fillId="0" borderId="289" xfId="58" applyNumberFormat="1" applyFont="1" applyFill="1" applyBorder="1" applyAlignment="1" applyProtection="1">
      <alignment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Border="1" applyAlignment="1" applyProtection="1">
      <alignment vertical="center"/>
    </xf>
    <xf numFmtId="1" fontId="29" fillId="26" borderId="266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1" fontId="29" fillId="26" borderId="298" xfId="28" applyNumberFormat="1" applyFont="1" applyFill="1" applyBorder="1" applyAlignment="1" applyProtection="1">
      <alignment horizontal="center" vertical="center"/>
    </xf>
    <xf numFmtId="1" fontId="90" fillId="26" borderId="298" xfId="28" applyNumberFormat="1" applyFont="1" applyFill="1" applyBorder="1" applyAlignment="1" applyProtection="1">
      <alignment horizontal="center" vertical="center" wrapText="1"/>
    </xf>
    <xf numFmtId="1" fontId="90" fillId="26" borderId="298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vertical="center"/>
    </xf>
    <xf numFmtId="168" fontId="23" fillId="0" borderId="320" xfId="48" applyNumberFormat="1" applyFont="1" applyBorder="1" applyAlignment="1" applyProtection="1">
      <alignment vertical="center"/>
    </xf>
    <xf numFmtId="10" fontId="23" fillId="0" borderId="320" xfId="0" applyNumberFormat="1" applyFont="1" applyBorder="1" applyAlignment="1" applyProtection="1">
      <alignment vertical="center"/>
    </xf>
    <xf numFmtId="6" fontId="23" fillId="0" borderId="320" xfId="0" applyNumberFormat="1" applyFont="1" applyBorder="1" applyAlignment="1" applyProtection="1">
      <alignment vertical="center"/>
    </xf>
    <xf numFmtId="10" fontId="23" fillId="0" borderId="320" xfId="48" applyNumberFormat="1" applyFont="1" applyBorder="1" applyAlignment="1" applyProtection="1">
      <alignment vertical="center"/>
    </xf>
    <xf numFmtId="164" fontId="23" fillId="0" borderId="320" xfId="28" applyNumberFormat="1" applyFont="1" applyBorder="1" applyAlignment="1" applyProtection="1">
      <alignment vertical="center"/>
    </xf>
    <xf numFmtId="6" fontId="23" fillId="0" borderId="320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7" borderId="12" xfId="0" applyNumberFormat="1" applyFont="1" applyFill="1" applyBorder="1" applyAlignment="1" applyProtection="1">
      <alignment vertical="center"/>
    </xf>
    <xf numFmtId="10" fontId="26" fillId="27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5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6" borderId="320" xfId="28" applyNumberFormat="1" applyFont="1" applyFill="1" applyBorder="1" applyAlignment="1" applyProtection="1">
      <alignment horizontal="center" vertical="center"/>
    </xf>
    <xf numFmtId="165" fontId="30" fillId="27" borderId="298" xfId="28" applyNumberFormat="1" applyFont="1" applyFill="1" applyBorder="1" applyAlignment="1" applyProtection="1">
      <alignment horizontal="center" vertical="center"/>
    </xf>
    <xf numFmtId="164" fontId="30" fillId="27" borderId="298" xfId="28" applyNumberFormat="1" applyFont="1" applyFill="1" applyBorder="1" applyAlignment="1" applyProtection="1">
      <alignment horizontal="center" vertical="center"/>
    </xf>
    <xf numFmtId="1" fontId="29" fillId="26" borderId="266" xfId="0" applyNumberFormat="1" applyFont="1" applyFill="1" applyBorder="1" applyAlignment="1" applyProtection="1">
      <alignment vertical="center"/>
    </xf>
    <xf numFmtId="1" fontId="90" fillId="26" borderId="266" xfId="0" quotePrefix="1" applyNumberFormat="1" applyFont="1" applyFill="1" applyBorder="1" applyAlignment="1" applyProtection="1">
      <alignment horizontal="center" vertical="center" wrapText="1"/>
    </xf>
    <xf numFmtId="1" fontId="90" fillId="26" borderId="266" xfId="0" quotePrefix="1" applyNumberFormat="1" applyFont="1" applyFill="1" applyBorder="1" applyAlignment="1" applyProtection="1">
      <alignment horizontal="center" vertical="center"/>
    </xf>
    <xf numFmtId="0" fontId="23" fillId="28" borderId="322" xfId="64" applyFont="1" applyFill="1" applyBorder="1" applyAlignment="1" applyProtection="1">
      <alignment horizontal="center" vertical="center"/>
    </xf>
    <xf numFmtId="0" fontId="23" fillId="28" borderId="323" xfId="64" applyFont="1" applyFill="1" applyBorder="1" applyAlignment="1" applyProtection="1">
      <alignment horizontal="center" vertical="center"/>
    </xf>
    <xf numFmtId="0" fontId="26" fillId="28" borderId="324" xfId="64" applyFont="1" applyFill="1" applyBorder="1" applyAlignment="1" applyProtection="1">
      <alignment horizontal="left" vertical="center"/>
    </xf>
    <xf numFmtId="38" fontId="26" fillId="28" borderId="321" xfId="64" applyNumberFormat="1" applyFont="1" applyFill="1" applyBorder="1" applyAlignment="1" applyProtection="1">
      <alignment horizontal="left" vertical="center"/>
    </xf>
    <xf numFmtId="6" fontId="23" fillId="28" borderId="324" xfId="64" applyNumberFormat="1" applyFont="1" applyFill="1" applyBorder="1" applyAlignment="1" applyProtection="1">
      <alignment horizontal="left" vertical="center"/>
    </xf>
    <xf numFmtId="38" fontId="23" fillId="28" borderId="321" xfId="64" applyNumberFormat="1" applyFont="1" applyFill="1" applyBorder="1" applyAlignment="1" applyProtection="1">
      <alignment horizontal="left" vertical="center"/>
    </xf>
    <xf numFmtId="38" fontId="23" fillId="28" borderId="324" xfId="64" applyNumberFormat="1" applyFont="1" applyFill="1" applyBorder="1" applyAlignment="1" applyProtection="1">
      <alignment horizontal="left" vertical="center"/>
    </xf>
    <xf numFmtId="6" fontId="26" fillId="28" borderId="324" xfId="64" applyNumberFormat="1" applyFont="1" applyFill="1" applyBorder="1" applyAlignment="1" applyProtection="1">
      <alignment horizontal="left" vertical="center"/>
    </xf>
    <xf numFmtId="6" fontId="84" fillId="28" borderId="324" xfId="64" applyNumberFormat="1" applyFont="1" applyFill="1" applyBorder="1" applyAlignment="1" applyProtection="1">
      <alignment horizontal="left" vertical="center"/>
    </xf>
    <xf numFmtId="0" fontId="23" fillId="36" borderId="322" xfId="64" applyFont="1" applyFill="1" applyBorder="1" applyAlignment="1" applyProtection="1">
      <alignment horizontal="center" vertical="center"/>
    </xf>
    <xf numFmtId="0" fontId="23" fillId="36" borderId="323" xfId="64" applyFont="1" applyFill="1" applyBorder="1" applyAlignment="1" applyProtection="1">
      <alignment horizontal="center" vertical="center"/>
    </xf>
    <xf numFmtId="0" fontId="26" fillId="36" borderId="324" xfId="64" applyFont="1" applyFill="1" applyBorder="1" applyAlignment="1" applyProtection="1">
      <alignment horizontal="left" vertical="center"/>
    </xf>
    <xf numFmtId="0" fontId="26" fillId="28" borderId="324" xfId="64" applyFont="1" applyFill="1" applyBorder="1" applyAlignment="1" applyProtection="1">
      <alignment vertical="center"/>
    </xf>
    <xf numFmtId="38" fontId="26" fillId="28" borderId="324" xfId="64" applyNumberFormat="1" applyFont="1" applyFill="1" applyBorder="1" applyAlignment="1" applyProtection="1">
      <alignment horizontal="left" vertical="center"/>
    </xf>
    <xf numFmtId="1" fontId="29" fillId="26" borderId="303" xfId="64" applyNumberFormat="1" applyFont="1" applyFill="1" applyBorder="1" applyAlignment="1" applyProtection="1">
      <alignment horizontal="center"/>
    </xf>
    <xf numFmtId="1" fontId="29" fillId="26" borderId="292" xfId="64" applyNumberFormat="1" applyFont="1" applyFill="1" applyBorder="1" applyAlignment="1" applyProtection="1">
      <alignment horizontal="center"/>
    </xf>
    <xf numFmtId="0" fontId="29" fillId="0" borderId="0" xfId="64" applyFont="1" applyProtection="1"/>
    <xf numFmtId="1" fontId="90" fillId="26" borderId="298" xfId="0" quotePrefix="1" applyNumberFormat="1" applyFont="1" applyFill="1" applyBorder="1" applyAlignment="1" applyProtection="1">
      <alignment horizontal="center" vertical="center" wrapText="1"/>
    </xf>
    <xf numFmtId="1" fontId="29" fillId="26" borderId="293" xfId="64" applyNumberFormat="1" applyFont="1" applyFill="1" applyBorder="1" applyProtection="1"/>
    <xf numFmtId="1" fontId="90" fillId="26" borderId="297" xfId="64" quotePrefix="1" applyNumberFormat="1" applyFont="1" applyFill="1" applyBorder="1" applyAlignment="1" applyProtection="1">
      <alignment horizontal="center" vertical="center" wrapText="1"/>
    </xf>
    <xf numFmtId="1" fontId="90" fillId="26" borderId="297" xfId="64" quotePrefix="1" applyNumberFormat="1" applyFont="1" applyFill="1" applyBorder="1" applyAlignment="1" applyProtection="1">
      <alignment horizontal="center"/>
    </xf>
    <xf numFmtId="0" fontId="29" fillId="26" borderId="198" xfId="0" applyFont="1" applyFill="1" applyBorder="1" applyAlignment="1" applyProtection="1">
      <alignment vertical="center"/>
    </xf>
    <xf numFmtId="1" fontId="29" fillId="26" borderId="198" xfId="53" applyNumberFormat="1" applyFont="1" applyFill="1" applyBorder="1" applyAlignment="1" applyProtection="1">
      <alignment horizontal="center"/>
    </xf>
    <xf numFmtId="1" fontId="92" fillId="26" borderId="198" xfId="53" applyNumberFormat="1" applyFont="1" applyFill="1" applyBorder="1" applyAlignment="1" applyProtection="1">
      <alignment horizontal="center"/>
    </xf>
    <xf numFmtId="1" fontId="90" fillId="26" borderId="198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6" borderId="266" xfId="53" applyNumberFormat="1" applyFont="1" applyFill="1" applyBorder="1" applyAlignment="1" applyProtection="1">
      <alignment horizontal="center"/>
    </xf>
    <xf numFmtId="1" fontId="92" fillId="26" borderId="266" xfId="53" applyNumberFormat="1" applyFont="1" applyFill="1" applyBorder="1" applyAlignment="1" applyProtection="1">
      <alignment horizontal="center"/>
    </xf>
    <xf numFmtId="1" fontId="29" fillId="26" borderId="266" xfId="53" applyNumberFormat="1" applyFont="1" applyFill="1" applyBorder="1" applyAlignment="1" applyProtection="1">
      <alignment horizontal="center" vertical="center"/>
    </xf>
    <xf numFmtId="1" fontId="29" fillId="26" borderId="15" xfId="53" applyNumberFormat="1" applyFont="1" applyFill="1" applyBorder="1" applyAlignment="1" applyProtection="1">
      <alignment horizontal="center" vertical="center"/>
    </xf>
    <xf numFmtId="0" fontId="29" fillId="26" borderId="197" xfId="0" applyFont="1" applyFill="1" applyBorder="1" applyAlignment="1" applyProtection="1">
      <alignment horizontal="center"/>
    </xf>
    <xf numFmtId="0" fontId="29" fillId="26" borderId="197" xfId="0" applyFont="1" applyFill="1" applyBorder="1" applyProtection="1"/>
    <xf numFmtId="0" fontId="0" fillId="31" borderId="317" xfId="0" applyFill="1" applyBorder="1" applyProtection="1"/>
    <xf numFmtId="0" fontId="0" fillId="31" borderId="301" xfId="0" applyFill="1" applyBorder="1" applyProtection="1"/>
    <xf numFmtId="0" fontId="0" fillId="31" borderId="300" xfId="0" applyFill="1" applyBorder="1" applyProtection="1"/>
    <xf numFmtId="0" fontId="37" fillId="31" borderId="317" xfId="0" applyFont="1" applyFill="1" applyBorder="1" applyAlignment="1" applyProtection="1">
      <alignment horizontal="center" wrapText="1"/>
    </xf>
    <xf numFmtId="165" fontId="31" fillId="31" borderId="300" xfId="28" applyNumberFormat="1" applyFont="1" applyFill="1" applyBorder="1" applyAlignment="1" applyProtection="1">
      <alignment horizontal="center"/>
    </xf>
    <xf numFmtId="0" fontId="0" fillId="31" borderId="300" xfId="0" applyFill="1" applyBorder="1" applyAlignment="1" applyProtection="1">
      <alignment horizontal="center"/>
    </xf>
    <xf numFmtId="0" fontId="44" fillId="31" borderId="300" xfId="0" applyFont="1" applyFill="1" applyBorder="1" applyAlignment="1" applyProtection="1">
      <alignment vertical="center" wrapText="1"/>
    </xf>
    <xf numFmtId="0" fontId="44" fillId="31" borderId="300" xfId="0" quotePrefix="1" applyFont="1" applyFill="1" applyBorder="1" applyAlignment="1" applyProtection="1">
      <alignment vertical="center" wrapText="1"/>
    </xf>
    <xf numFmtId="0" fontId="41" fillId="31" borderId="300" xfId="0" applyFont="1" applyFill="1" applyBorder="1" applyAlignment="1" applyProtection="1">
      <alignment vertical="center"/>
    </xf>
    <xf numFmtId="0" fontId="41" fillId="31" borderId="301" xfId="0" applyFont="1" applyFill="1" applyBorder="1" applyAlignment="1" applyProtection="1">
      <alignment horizontal="center" vertical="center"/>
    </xf>
    <xf numFmtId="0" fontId="0" fillId="33" borderId="300" xfId="0" applyFill="1" applyBorder="1" applyProtection="1"/>
    <xf numFmtId="0" fontId="0" fillId="33" borderId="317" xfId="0" applyFill="1" applyBorder="1" applyProtection="1"/>
    <xf numFmtId="0" fontId="41" fillId="33" borderId="300" xfId="0" applyFont="1" applyFill="1" applyBorder="1" applyAlignment="1" applyProtection="1">
      <alignment vertical="center"/>
    </xf>
    <xf numFmtId="0" fontId="41" fillId="33" borderId="301" xfId="0" applyFont="1" applyFill="1" applyBorder="1" applyAlignment="1" applyProtection="1">
      <alignment vertical="center"/>
    </xf>
    <xf numFmtId="0" fontId="0" fillId="33" borderId="301" xfId="0" applyFill="1" applyBorder="1" applyProtection="1"/>
    <xf numFmtId="49" fontId="35" fillId="35" borderId="298" xfId="53" applyNumberFormat="1" applyFont="1" applyFill="1" applyBorder="1" applyAlignment="1" applyProtection="1">
      <alignment horizontal="center" vertical="center" wrapText="1"/>
    </xf>
    <xf numFmtId="1" fontId="30" fillId="26" borderId="298" xfId="53" quotePrefix="1" applyNumberFormat="1" applyFont="1" applyFill="1" applyBorder="1" applyAlignment="1" applyProtection="1">
      <alignment horizontal="center" vertical="center"/>
    </xf>
    <xf numFmtId="1" fontId="90" fillId="26" borderId="298" xfId="53" quotePrefix="1" applyNumberFormat="1" applyFont="1" applyFill="1" applyBorder="1" applyAlignment="1" applyProtection="1">
      <alignment horizontal="center" vertical="center" wrapText="1"/>
    </xf>
    <xf numFmtId="1" fontId="29" fillId="26" borderId="320" xfId="53" applyNumberFormat="1" applyFont="1" applyFill="1" applyBorder="1" applyAlignment="1" applyProtection="1">
      <alignment horizontal="center" vertical="center"/>
    </xf>
    <xf numFmtId="1" fontId="26" fillId="26" borderId="293" xfId="53" applyNumberFormat="1" applyFont="1" applyFill="1" applyBorder="1" applyAlignment="1" applyProtection="1">
      <alignment horizontal="center" vertical="center"/>
    </xf>
    <xf numFmtId="1" fontId="92" fillId="26" borderId="320" xfId="53" applyNumberFormat="1" applyFont="1" applyFill="1" applyBorder="1" applyAlignment="1" applyProtection="1">
      <alignment horizontal="center" vertical="center"/>
    </xf>
    <xf numFmtId="1" fontId="23" fillId="26" borderId="303" xfId="53" applyNumberFormat="1" applyFont="1" applyFill="1" applyBorder="1" applyAlignment="1" applyProtection="1">
      <alignment horizontal="center" vertical="center"/>
    </xf>
    <xf numFmtId="1" fontId="23" fillId="26" borderId="292" xfId="53" applyNumberFormat="1" applyFont="1" applyFill="1" applyBorder="1" applyAlignment="1" applyProtection="1">
      <alignment horizontal="center" vertical="center"/>
    </xf>
    <xf numFmtId="1" fontId="29" fillId="26" borderId="317" xfId="53" applyNumberFormat="1" applyFont="1" applyFill="1" applyBorder="1" applyAlignment="1" applyProtection="1">
      <alignment horizontal="center" vertical="center"/>
    </xf>
    <xf numFmtId="1" fontId="29" fillId="26" borderId="300" xfId="53" applyNumberFormat="1" applyFont="1" applyFill="1" applyBorder="1" applyAlignment="1" applyProtection="1">
      <alignment horizontal="center" vertical="center"/>
    </xf>
    <xf numFmtId="38" fontId="23" fillId="32" borderId="325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6" xfId="54" applyNumberFormat="1" applyFont="1" applyFill="1" applyBorder="1" applyAlignment="1" applyProtection="1">
      <alignment horizontal="right" vertical="center"/>
    </xf>
    <xf numFmtId="0" fontId="23" fillId="0" borderId="327" xfId="53" applyFont="1" applyFill="1" applyBorder="1" applyAlignment="1" applyProtection="1">
      <alignment horizontal="center" vertical="center"/>
    </xf>
    <xf numFmtId="0" fontId="23" fillId="0" borderId="325" xfId="53" applyFont="1" applyFill="1" applyBorder="1" applyAlignment="1" applyProtection="1">
      <alignment horizontal="center" vertical="center"/>
    </xf>
    <xf numFmtId="0" fontId="23" fillId="0" borderId="306" xfId="53" applyFont="1" applyFill="1" applyBorder="1" applyAlignment="1" applyProtection="1">
      <alignment vertical="center"/>
    </xf>
    <xf numFmtId="0" fontId="23" fillId="0" borderId="308" xfId="53" applyFont="1" applyFill="1" applyBorder="1" applyAlignment="1" applyProtection="1">
      <alignment vertical="center"/>
    </xf>
    <xf numFmtId="0" fontId="23" fillId="0" borderId="311" xfId="53" applyFont="1" applyFill="1" applyBorder="1" applyAlignment="1" applyProtection="1">
      <alignment horizontal="center" vertical="center"/>
    </xf>
    <xf numFmtId="0" fontId="23" fillId="0" borderId="326" xfId="53" applyFont="1" applyFill="1" applyBorder="1" applyAlignment="1" applyProtection="1">
      <alignment horizontal="center" vertical="center"/>
    </xf>
    <xf numFmtId="0" fontId="23" fillId="0" borderId="312" xfId="53" applyFont="1" applyFill="1" applyBorder="1" applyAlignment="1" applyProtection="1">
      <alignment vertical="center"/>
    </xf>
    <xf numFmtId="1" fontId="29" fillId="26" borderId="301" xfId="53" applyNumberFormat="1" applyFont="1" applyFill="1" applyBorder="1" applyAlignment="1" applyProtection="1">
      <alignment horizontal="center" vertical="center"/>
    </xf>
    <xf numFmtId="6" fontId="23" fillId="39" borderId="245" xfId="53" applyNumberFormat="1" applyFont="1" applyFill="1" applyBorder="1" applyAlignment="1" applyProtection="1">
      <alignment horizontal="right" vertical="center"/>
    </xf>
    <xf numFmtId="6" fontId="23" fillId="39" borderId="246" xfId="53" applyNumberFormat="1" applyFont="1" applyFill="1" applyBorder="1" applyAlignment="1" applyProtection="1">
      <alignment horizontal="right" vertical="center"/>
    </xf>
    <xf numFmtId="6" fontId="23" fillId="39" borderId="242" xfId="53" applyNumberFormat="1" applyFont="1" applyFill="1" applyBorder="1" applyAlignment="1" applyProtection="1">
      <alignment horizontal="right" vertical="center"/>
    </xf>
    <xf numFmtId="6" fontId="23" fillId="39" borderId="243" xfId="53" applyNumberFormat="1" applyFont="1" applyFill="1" applyBorder="1" applyAlignment="1" applyProtection="1">
      <alignment horizontal="right" vertical="center"/>
    </xf>
    <xf numFmtId="6" fontId="23" fillId="39" borderId="224" xfId="53" applyNumberFormat="1" applyFont="1" applyFill="1" applyBorder="1" applyAlignment="1" applyProtection="1">
      <alignment horizontal="right" vertical="center"/>
    </xf>
    <xf numFmtId="6" fontId="23" fillId="39" borderId="199" xfId="53" applyNumberFormat="1" applyFont="1" applyFill="1" applyBorder="1" applyAlignment="1" applyProtection="1">
      <alignment horizontal="right" vertical="center"/>
    </xf>
    <xf numFmtId="6" fontId="23" fillId="32" borderId="243" xfId="53" applyNumberFormat="1" applyFont="1" applyFill="1" applyBorder="1" applyAlignment="1" applyProtection="1">
      <alignment horizontal="right" vertical="center"/>
    </xf>
    <xf numFmtId="6" fontId="26" fillId="39" borderId="281" xfId="54" applyNumberFormat="1" applyFont="1" applyFill="1" applyBorder="1" applyAlignment="1" applyProtection="1">
      <alignment horizontal="right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9" borderId="240" xfId="53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6" fontId="23" fillId="39" borderId="28" xfId="53" applyNumberFormat="1" applyFont="1" applyFill="1" applyBorder="1" applyAlignment="1" applyProtection="1">
      <alignment horizontal="right" vertical="center"/>
    </xf>
    <xf numFmtId="8" fontId="77" fillId="25" borderId="201" xfId="0" applyNumberFormat="1" applyFont="1" applyFill="1" applyBorder="1" applyAlignment="1" applyProtection="1">
      <alignment horizontal="center" vertical="center" wrapText="1"/>
    </xf>
    <xf numFmtId="6" fontId="77" fillId="25" borderId="201" xfId="0" applyNumberFormat="1" applyFont="1" applyFill="1" applyBorder="1" applyAlignment="1" applyProtection="1">
      <alignment horizontal="center" vertical="center" wrapText="1"/>
    </xf>
    <xf numFmtId="1" fontId="25" fillId="26" borderId="201" xfId="0" applyNumberFormat="1" applyFont="1" applyFill="1" applyBorder="1" applyAlignment="1" applyProtection="1">
      <alignment vertical="center"/>
    </xf>
    <xf numFmtId="1" fontId="26" fillId="26" borderId="201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6" fillId="0" borderId="212" xfId="0" applyFont="1" applyFill="1" applyBorder="1" applyAlignment="1" applyProtection="1">
      <alignment vertical="center"/>
    </xf>
    <xf numFmtId="0" fontId="26" fillId="0" borderId="213" xfId="0" applyFont="1" applyFill="1" applyBorder="1" applyAlignment="1" applyProtection="1">
      <alignment horizontal="center" vertical="center"/>
    </xf>
    <xf numFmtId="38" fontId="26" fillId="0" borderId="12" xfId="28" applyNumberFormat="1" applyFont="1" applyFill="1" applyBorder="1" applyAlignment="1" applyProtection="1">
      <alignment vertical="center"/>
    </xf>
    <xf numFmtId="0" fontId="77" fillId="45" borderId="298" xfId="0" applyFont="1" applyFill="1" applyBorder="1" applyAlignment="1" applyProtection="1">
      <alignment horizontal="center" vertical="center" wrapText="1"/>
      <protection locked="0"/>
    </xf>
    <xf numFmtId="0" fontId="35" fillId="45" borderId="298" xfId="0" applyFont="1" applyFill="1" applyBorder="1" applyAlignment="1" applyProtection="1">
      <alignment horizontal="center" vertical="center" wrapText="1"/>
      <protection locked="0"/>
    </xf>
    <xf numFmtId="0" fontId="33" fillId="25" borderId="328" xfId="0" applyFont="1" applyFill="1" applyBorder="1" applyAlignment="1" applyProtection="1">
      <alignment horizontal="center" vertical="center" wrapText="1"/>
    </xf>
    <xf numFmtId="1" fontId="23" fillId="26" borderId="294" xfId="64" applyNumberFormat="1" applyFont="1" applyFill="1" applyBorder="1" applyAlignment="1" applyProtection="1">
      <alignment horizontal="center"/>
    </xf>
    <xf numFmtId="1" fontId="26" fillId="26" borderId="295" xfId="64" applyNumberFormat="1" applyFont="1" applyFill="1" applyBorder="1" applyProtection="1"/>
    <xf numFmtId="1" fontId="23" fillId="26" borderId="296" xfId="64" applyNumberFormat="1" applyFont="1" applyFill="1" applyBorder="1" applyAlignment="1" applyProtection="1">
      <alignment horizontal="center"/>
    </xf>
    <xf numFmtId="164" fontId="29" fillId="26" borderId="266" xfId="28" applyNumberFormat="1" applyFont="1" applyFill="1" applyBorder="1" applyAlignment="1" applyProtection="1">
      <alignment horizontal="center" vertical="center"/>
    </xf>
    <xf numFmtId="1" fontId="90" fillId="26" borderId="266" xfId="28" quotePrefix="1" applyNumberFormat="1" applyFont="1" applyFill="1" applyBorder="1" applyAlignment="1" applyProtection="1">
      <alignment horizontal="center" vertical="center"/>
    </xf>
    <xf numFmtId="1" fontId="90" fillId="26" borderId="266" xfId="28" applyNumberFormat="1" applyFont="1" applyFill="1" applyBorder="1" applyAlignment="1" applyProtection="1">
      <alignment horizontal="center" vertical="center"/>
    </xf>
    <xf numFmtId="164" fontId="29" fillId="26" borderId="266" xfId="28" applyNumberFormat="1" applyFont="1" applyFill="1" applyBorder="1" applyAlignment="1" applyProtection="1">
      <alignment horizontal="center" vertical="center" wrapText="1"/>
    </xf>
    <xf numFmtId="0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applyNumberFormat="1" applyFont="1" applyFill="1" applyBorder="1" applyAlignment="1" applyProtection="1">
      <alignment horizontal="center" vertical="center" wrapText="1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77" fillId="43" borderId="298" xfId="70" applyFont="1" applyFill="1" applyBorder="1" applyAlignment="1" applyProtection="1">
      <alignment horizontal="center" vertical="center" wrapText="1"/>
    </xf>
    <xf numFmtId="0" fontId="77" fillId="48" borderId="298" xfId="70" applyFont="1" applyFill="1" applyBorder="1" applyAlignment="1" applyProtection="1">
      <alignment horizontal="center" vertical="center" wrapText="1"/>
    </xf>
    <xf numFmtId="0" fontId="77" fillId="49" borderId="298" xfId="70" applyFont="1" applyFill="1" applyBorder="1" applyAlignment="1" applyProtection="1">
      <alignment horizontal="center" vertical="center" wrapText="1"/>
    </xf>
    <xf numFmtId="0" fontId="77" fillId="34" borderId="298" xfId="70" applyFont="1" applyFill="1" applyBorder="1" applyAlignment="1" applyProtection="1">
      <alignment horizontal="center" vertical="center" wrapText="1"/>
    </xf>
    <xf numFmtId="0" fontId="77" fillId="55" borderId="298" xfId="70" applyFont="1" applyFill="1" applyBorder="1" applyAlignment="1" applyProtection="1">
      <alignment horizontal="center" vertical="center" wrapText="1"/>
    </xf>
    <xf numFmtId="0" fontId="77" fillId="56" borderId="298" xfId="70" applyFont="1" applyFill="1" applyBorder="1" applyAlignment="1" applyProtection="1">
      <alignment horizontal="center" vertical="center" wrapText="1"/>
    </xf>
    <xf numFmtId="0" fontId="77" fillId="57" borderId="298" xfId="70" applyFont="1" applyFill="1" applyBorder="1" applyAlignment="1" applyProtection="1">
      <alignment horizontal="center" vertical="center" wrapText="1"/>
    </xf>
    <xf numFmtId="0" fontId="77" fillId="50" borderId="298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35" fillId="35" borderId="298" xfId="64" applyFont="1" applyFill="1" applyBorder="1" applyAlignment="1" applyProtection="1">
      <alignment horizontal="center" vertical="center" wrapText="1"/>
    </xf>
    <xf numFmtId="0" fontId="23" fillId="0" borderId="329" xfId="64" applyFont="1" applyFill="1" applyBorder="1" applyAlignment="1" applyProtection="1">
      <alignment horizontal="center" vertical="center"/>
    </xf>
    <xf numFmtId="8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90" fillId="26" borderId="330" xfId="53" quotePrefix="1" applyNumberFormat="1" applyFont="1" applyFill="1" applyBorder="1" applyAlignment="1" applyProtection="1">
      <alignment horizontal="center" vertical="center" wrapText="1"/>
    </xf>
    <xf numFmtId="6" fontId="23" fillId="35" borderId="308" xfId="54" applyNumberFormat="1" applyFont="1" applyFill="1" applyBorder="1" applyAlignment="1" applyProtection="1">
      <alignment horizontal="right" vertical="center"/>
    </xf>
    <xf numFmtId="1" fontId="30" fillId="26" borderId="330" xfId="53" quotePrefix="1" applyNumberFormat="1" applyFont="1" applyFill="1" applyBorder="1" applyAlignment="1" applyProtection="1">
      <alignment horizontal="center"/>
    </xf>
    <xf numFmtId="1" fontId="90" fillId="26" borderId="330" xfId="0" quotePrefix="1" applyNumberFormat="1" applyFont="1" applyFill="1" applyBorder="1" applyAlignment="1" applyProtection="1">
      <alignment horizontal="center" vertical="center" wrapText="1"/>
    </xf>
    <xf numFmtId="6" fontId="23" fillId="45" borderId="332" xfId="53" applyNumberFormat="1" applyFont="1" applyFill="1" applyBorder="1" applyAlignment="1" applyProtection="1">
      <alignment horizontal="right" vertical="center"/>
    </xf>
    <xf numFmtId="1" fontId="29" fillId="26" borderId="330" xfId="53" applyNumberFormat="1" applyFont="1" applyFill="1" applyBorder="1" applyAlignment="1" applyProtection="1">
      <alignment horizontal="center" vertical="center"/>
    </xf>
    <xf numFmtId="0" fontId="23" fillId="0" borderId="341" xfId="53" applyFont="1" applyFill="1" applyBorder="1" applyAlignment="1" applyProtection="1">
      <alignment horizontal="center" vertical="center"/>
    </xf>
    <xf numFmtId="0" fontId="23" fillId="0" borderId="285" xfId="53" applyFont="1" applyFill="1" applyBorder="1" applyAlignment="1" applyProtection="1">
      <alignment horizontal="center" vertical="center"/>
    </xf>
    <xf numFmtId="0" fontId="23" fillId="0" borderId="300" xfId="53" applyFont="1" applyFill="1" applyBorder="1" applyAlignment="1" applyProtection="1">
      <alignment horizontal="center" vertical="center"/>
    </xf>
    <xf numFmtId="0" fontId="77" fillId="35" borderId="336" xfId="0" applyFont="1" applyFill="1" applyBorder="1" applyAlignment="1" applyProtection="1">
      <alignment horizontal="center" vertical="center" wrapText="1"/>
    </xf>
    <xf numFmtId="6" fontId="23" fillId="0" borderId="337" xfId="0" applyNumberFormat="1" applyFont="1" applyFill="1" applyBorder="1" applyAlignment="1" applyProtection="1">
      <alignment vertical="center"/>
    </xf>
    <xf numFmtId="6" fontId="23" fillId="0" borderId="342" xfId="0" applyNumberFormat="1" applyFont="1" applyFill="1" applyBorder="1" applyAlignment="1" applyProtection="1">
      <alignment vertical="center"/>
    </xf>
    <xf numFmtId="38" fontId="39" fillId="0" borderId="240" xfId="45" applyNumberFormat="1" applyFont="1" applyFill="1" applyBorder="1" applyAlignment="1" applyProtection="1">
      <alignment vertical="center"/>
    </xf>
    <xf numFmtId="173" fontId="0" fillId="0" borderId="0" xfId="0" applyNumberFormat="1" applyAlignment="1" applyProtection="1">
      <alignment vertical="center"/>
    </xf>
    <xf numFmtId="174" fontId="0" fillId="0" borderId="0" xfId="0" applyNumberFormat="1" applyAlignment="1" applyProtection="1">
      <alignment vertical="center"/>
    </xf>
    <xf numFmtId="0" fontId="26" fillId="35" borderId="291" xfId="0" applyFont="1" applyFill="1" applyBorder="1" applyAlignment="1">
      <alignment horizontal="center" vertical="center" wrapText="1"/>
    </xf>
    <xf numFmtId="6" fontId="25" fillId="0" borderId="337" xfId="0" applyNumberFormat="1" applyFont="1" applyFill="1" applyBorder="1" applyAlignment="1" applyProtection="1">
      <alignment vertical="center"/>
    </xf>
    <xf numFmtId="6" fontId="23" fillId="0" borderId="307" xfId="252" applyNumberFormat="1" applyFont="1" applyBorder="1" applyAlignment="1" applyProtection="1">
      <alignment vertical="center"/>
    </xf>
    <xf numFmtId="6" fontId="23" fillId="0" borderId="309" xfId="252" applyNumberFormat="1" applyFont="1" applyBorder="1" applyAlignment="1" applyProtection="1">
      <alignment vertical="center"/>
    </xf>
    <xf numFmtId="6" fontId="23" fillId="0" borderId="302" xfId="252" applyNumberFormat="1" applyFont="1" applyBorder="1" applyAlignment="1" applyProtection="1">
      <alignment vertical="center"/>
    </xf>
    <xf numFmtId="3" fontId="25" fillId="0" borderId="258" xfId="0" applyNumberFormat="1" applyFont="1" applyFill="1" applyBorder="1" applyAlignment="1" applyProtection="1">
      <alignment vertical="center"/>
    </xf>
    <xf numFmtId="3" fontId="25" fillId="0" borderId="17" xfId="0" applyNumberFormat="1" applyFont="1" applyFill="1" applyBorder="1" applyAlignment="1" applyProtection="1">
      <alignment vertical="center"/>
    </xf>
    <xf numFmtId="0" fontId="23" fillId="39" borderId="348" xfId="0" applyFont="1" applyFill="1" applyBorder="1" applyAlignment="1" applyProtection="1">
      <alignment horizontal="center" vertical="center"/>
    </xf>
    <xf numFmtId="0" fontId="23" fillId="53" borderId="348" xfId="0" applyFont="1" applyFill="1" applyBorder="1" applyAlignment="1" applyProtection="1">
      <alignment vertical="center"/>
    </xf>
    <xf numFmtId="9" fontId="30" fillId="53" borderId="298" xfId="28" applyNumberFormat="1" applyFont="1" applyFill="1" applyBorder="1" applyAlignment="1" applyProtection="1">
      <alignment horizontal="center" vertical="center"/>
    </xf>
    <xf numFmtId="9" fontId="26" fillId="31" borderId="348" xfId="0" applyNumberFormat="1" applyFont="1" applyFill="1" applyBorder="1" applyAlignment="1" applyProtection="1">
      <alignment horizontal="center" vertical="center"/>
    </xf>
    <xf numFmtId="9" fontId="30" fillId="39" borderId="298" xfId="0" applyNumberFormat="1" applyFont="1" applyFill="1" applyBorder="1" applyAlignment="1" applyProtection="1">
      <alignment horizontal="center" vertical="center"/>
    </xf>
    <xf numFmtId="39" fontId="30" fillId="39" borderId="298" xfId="28" applyNumberFormat="1" applyFont="1" applyFill="1" applyBorder="1" applyAlignment="1" applyProtection="1">
      <alignment horizontal="center" vertical="center"/>
    </xf>
    <xf numFmtId="0" fontId="76" fillId="0" borderId="0" xfId="47846" applyFont="1" applyAlignment="1">
      <alignment horizontal="center" vertical="center"/>
    </xf>
    <xf numFmtId="1" fontId="30" fillId="26" borderId="338" xfId="64" quotePrefix="1" applyNumberFormat="1" applyFont="1" applyFill="1" applyBorder="1" applyAlignment="1" applyProtection="1">
      <alignment vertical="center"/>
    </xf>
    <xf numFmtId="1" fontId="30" fillId="26" borderId="335" xfId="64" quotePrefix="1" applyNumberFormat="1" applyFont="1" applyFill="1" applyBorder="1" applyAlignment="1" applyProtection="1">
      <alignment vertical="center"/>
    </xf>
    <xf numFmtId="1" fontId="30" fillId="26" borderId="343" xfId="64" quotePrefix="1" applyNumberFormat="1" applyFont="1" applyFill="1" applyBorder="1" applyAlignment="1" applyProtection="1">
      <alignment vertical="center"/>
    </xf>
    <xf numFmtId="1" fontId="30" fillId="26" borderId="349" xfId="64" quotePrefix="1" applyNumberFormat="1" applyFont="1" applyFill="1" applyBorder="1" applyAlignment="1" applyProtection="1">
      <alignment horizontal="center" vertical="center"/>
    </xf>
    <xf numFmtId="0" fontId="76" fillId="0" borderId="0" xfId="47846" applyFont="1" applyAlignment="1">
      <alignment vertical="center"/>
    </xf>
    <xf numFmtId="0" fontId="84" fillId="0" borderId="0" xfId="47846" applyFont="1" applyAlignment="1">
      <alignment vertical="center"/>
    </xf>
    <xf numFmtId="0" fontId="23" fillId="0" borderId="341" xfId="64" applyFont="1" applyFill="1" applyBorder="1" applyAlignment="1" applyProtection="1">
      <alignment horizontal="center" vertical="center"/>
    </xf>
    <xf numFmtId="0" fontId="23" fillId="0" borderId="350" xfId="64" applyFont="1" applyFill="1" applyBorder="1" applyAlignment="1" applyProtection="1">
      <alignment vertical="center"/>
    </xf>
    <xf numFmtId="40" fontId="23" fillId="0" borderId="307" xfId="252" applyNumberFormat="1" applyFont="1" applyBorder="1" applyAlignment="1" applyProtection="1">
      <alignment vertical="center"/>
    </xf>
    <xf numFmtId="6" fontId="23" fillId="45" borderId="307" xfId="252" applyNumberFormat="1" applyFont="1" applyFill="1" applyBorder="1" applyAlignment="1" applyProtection="1">
      <alignment vertical="center"/>
    </xf>
    <xf numFmtId="6" fontId="23" fillId="46" borderId="307" xfId="252" applyNumberFormat="1" applyFont="1" applyFill="1" applyBorder="1" applyAlignment="1" applyProtection="1">
      <alignment vertical="center"/>
    </xf>
    <xf numFmtId="6" fontId="23" fillId="42" borderId="307" xfId="252" applyNumberFormat="1" applyFont="1" applyFill="1" applyBorder="1" applyAlignment="1" applyProtection="1">
      <alignment vertical="center"/>
    </xf>
    <xf numFmtId="40" fontId="23" fillId="0" borderId="309" xfId="252" applyNumberFormat="1" applyFont="1" applyBorder="1" applyAlignment="1" applyProtection="1">
      <alignment vertical="center"/>
    </xf>
    <xf numFmtId="6" fontId="23" fillId="45" borderId="309" xfId="252" applyNumberFormat="1" applyFont="1" applyFill="1" applyBorder="1" applyAlignment="1" applyProtection="1">
      <alignment vertical="center"/>
    </xf>
    <xf numFmtId="6" fontId="23" fillId="46" borderId="309" xfId="252" applyNumberFormat="1" applyFont="1" applyFill="1" applyBorder="1" applyAlignment="1" applyProtection="1">
      <alignment vertical="center"/>
    </xf>
    <xf numFmtId="6" fontId="23" fillId="42" borderId="309" xfId="252" applyNumberFormat="1" applyFont="1" applyFill="1" applyBorder="1" applyAlignment="1" applyProtection="1">
      <alignment vertical="center"/>
    </xf>
    <xf numFmtId="0" fontId="23" fillId="0" borderId="351" xfId="64" applyFont="1" applyFill="1" applyBorder="1" applyAlignment="1" applyProtection="1">
      <alignment horizontal="center" vertical="center"/>
    </xf>
    <xf numFmtId="0" fontId="23" fillId="0" borderId="333" xfId="64" applyFont="1" applyFill="1" applyBorder="1" applyAlignment="1" applyProtection="1">
      <alignment vertical="center"/>
    </xf>
    <xf numFmtId="40" fontId="23" fillId="0" borderId="352" xfId="252" applyNumberFormat="1" applyFont="1" applyBorder="1" applyAlignment="1" applyProtection="1">
      <alignment vertical="center"/>
    </xf>
    <xf numFmtId="6" fontId="23" fillId="0" borderId="352" xfId="252" applyNumberFormat="1" applyFont="1" applyBorder="1" applyAlignment="1" applyProtection="1">
      <alignment vertical="center"/>
    </xf>
    <xf numFmtId="6" fontId="23" fillId="45" borderId="352" xfId="252" applyNumberFormat="1" applyFont="1" applyFill="1" applyBorder="1" applyAlignment="1" applyProtection="1">
      <alignment vertical="center"/>
    </xf>
    <xf numFmtId="6" fontId="23" fillId="46" borderId="352" xfId="252" applyNumberFormat="1" applyFont="1" applyFill="1" applyBorder="1" applyAlignment="1" applyProtection="1">
      <alignment vertical="center"/>
    </xf>
    <xf numFmtId="6" fontId="23" fillId="42" borderId="352" xfId="252" applyNumberFormat="1" applyFont="1" applyFill="1" applyBorder="1" applyAlignment="1" applyProtection="1">
      <alignment vertical="center"/>
    </xf>
    <xf numFmtId="40" fontId="23" fillId="0" borderId="309" xfId="252" applyNumberFormat="1" applyFont="1" applyFill="1" applyBorder="1" applyAlignment="1" applyProtection="1">
      <alignment vertical="center"/>
    </xf>
    <xf numFmtId="6" fontId="23" fillId="0" borderId="309" xfId="252" applyNumberFormat="1" applyFont="1" applyFill="1" applyBorder="1" applyAlignment="1" applyProtection="1">
      <alignment vertical="center"/>
    </xf>
    <xf numFmtId="40" fontId="23" fillId="0" borderId="352" xfId="252" applyNumberFormat="1" applyFont="1" applyFill="1" applyBorder="1" applyAlignment="1" applyProtection="1">
      <alignment vertical="center"/>
    </xf>
    <xf numFmtId="6" fontId="23" fillId="0" borderId="352" xfId="252" applyNumberFormat="1" applyFont="1" applyFill="1" applyBorder="1" applyAlignment="1" applyProtection="1">
      <alignment vertical="center"/>
    </xf>
    <xf numFmtId="40" fontId="23" fillId="0" borderId="307" xfId="252" applyNumberFormat="1" applyFont="1" applyFill="1" applyBorder="1" applyAlignment="1" applyProtection="1">
      <alignment vertical="center"/>
    </xf>
    <xf numFmtId="6" fontId="23" fillId="0" borderId="307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6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52" xfId="64" applyNumberFormat="1" applyFont="1" applyFill="1" applyBorder="1" applyAlignment="1" applyProtection="1">
      <alignment horizontal="center" vertical="center"/>
    </xf>
    <xf numFmtId="40" fontId="26" fillId="0" borderId="214" xfId="54" applyNumberFormat="1" applyFont="1" applyFill="1" applyBorder="1" applyAlignment="1" applyProtection="1">
      <alignment vertical="center"/>
    </xf>
    <xf numFmtId="6" fontId="26" fillId="0" borderId="214" xfId="54" applyNumberFormat="1" applyFont="1" applyFill="1" applyBorder="1" applyAlignment="1" applyProtection="1">
      <alignment vertical="center"/>
    </xf>
    <xf numFmtId="6" fontId="26" fillId="45" borderId="214" xfId="54" applyNumberFormat="1" applyFont="1" applyFill="1" applyBorder="1" applyAlignment="1" applyProtection="1">
      <alignment vertical="center"/>
    </xf>
    <xf numFmtId="6" fontId="26" fillId="46" borderId="214" xfId="54" applyNumberFormat="1" applyFont="1" applyFill="1" applyBorder="1" applyAlignment="1" applyProtection="1">
      <alignment vertical="center"/>
    </xf>
    <xf numFmtId="6" fontId="26" fillId="42" borderId="214" xfId="54" applyNumberFormat="1" applyFont="1" applyFill="1" applyBorder="1" applyAlignment="1" applyProtection="1">
      <alignment vertical="center"/>
    </xf>
    <xf numFmtId="40" fontId="26" fillId="28" borderId="321" xfId="64" applyNumberFormat="1" applyFont="1" applyFill="1" applyBorder="1" applyAlignment="1" applyProtection="1">
      <alignment horizontal="left" vertical="center"/>
    </xf>
    <xf numFmtId="0" fontId="23" fillId="0" borderId="327" xfId="64" applyFont="1" applyFill="1" applyBorder="1" applyAlignment="1" applyProtection="1">
      <alignment horizontal="center" vertical="center"/>
    </xf>
    <xf numFmtId="40" fontId="23" fillId="28" borderId="321" xfId="64" applyNumberFormat="1" applyFont="1" applyFill="1" applyBorder="1" applyAlignment="1" applyProtection="1">
      <alignment horizontal="left" vertical="center"/>
    </xf>
    <xf numFmtId="0" fontId="44" fillId="31" borderId="356" xfId="0" applyFont="1" applyFill="1" applyBorder="1" applyAlignment="1" applyProtection="1">
      <alignment vertical="center" wrapText="1"/>
    </xf>
    <xf numFmtId="0" fontId="35" fillId="35" borderId="348" xfId="0" applyFont="1" applyFill="1" applyBorder="1" applyAlignment="1" applyProtection="1">
      <alignment horizontal="center" vertical="center" wrapText="1"/>
    </xf>
    <xf numFmtId="6" fontId="0" fillId="0" borderId="330" xfId="0" applyNumberFormat="1" applyBorder="1" applyAlignment="1" applyProtection="1">
      <alignment vertical="center"/>
    </xf>
    <xf numFmtId="6" fontId="23" fillId="35" borderId="350" xfId="54" applyNumberFormat="1" applyFont="1" applyFill="1" applyBorder="1" applyAlignment="1" applyProtection="1">
      <alignment horizontal="right" vertical="center"/>
    </xf>
    <xf numFmtId="6" fontId="23" fillId="35" borderId="333" xfId="54" applyNumberFormat="1" applyFont="1" applyFill="1" applyBorder="1" applyAlignment="1" applyProtection="1">
      <alignment horizontal="right" vertical="center"/>
    </xf>
    <xf numFmtId="6" fontId="26" fillId="35" borderId="357" xfId="54" applyNumberFormat="1" applyFont="1" applyFill="1" applyBorder="1" applyAlignment="1" applyProtection="1">
      <alignment horizontal="right" vertical="center"/>
    </xf>
    <xf numFmtId="1" fontId="90" fillId="26" borderId="349" xfId="28" quotePrefix="1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1" fontId="90" fillId="26" borderId="201" xfId="28" quotePrefix="1" applyNumberFormat="1" applyFont="1" applyFill="1" applyBorder="1" applyAlignment="1" applyProtection="1">
      <alignment horizontal="center" vertical="center" wrapText="1"/>
    </xf>
    <xf numFmtId="0" fontId="66" fillId="27" borderId="358" xfId="0" applyFont="1" applyFill="1" applyBorder="1" applyAlignment="1" applyProtection="1">
      <alignment horizontal="center" vertical="center" wrapText="1"/>
    </xf>
    <xf numFmtId="0" fontId="66" fillId="39" borderId="358" xfId="0" applyFont="1" applyFill="1" applyBorder="1" applyAlignment="1" applyProtection="1">
      <alignment horizontal="center" vertical="center" wrapText="1"/>
    </xf>
    <xf numFmtId="0" fontId="44" fillId="31" borderId="360" xfId="0" quotePrefix="1" applyFont="1" applyFill="1" applyBorder="1" applyAlignment="1" applyProtection="1">
      <alignment vertical="center" wrapText="1"/>
    </xf>
    <xf numFmtId="1" fontId="90" fillId="26" borderId="349" xfId="0" quotePrefix="1" applyNumberFormat="1" applyFont="1" applyFill="1" applyBorder="1" applyAlignment="1" applyProtection="1">
      <alignment horizontal="center" vertical="center" wrapText="1"/>
    </xf>
    <xf numFmtId="6" fontId="23" fillId="0" borderId="330" xfId="0" applyNumberFormat="1" applyFont="1" applyBorder="1" applyAlignment="1" applyProtection="1">
      <alignment horizontal="right" vertical="center"/>
    </xf>
    <xf numFmtId="6" fontId="23" fillId="32" borderId="331" xfId="54" applyNumberFormat="1" applyFont="1" applyFill="1" applyBorder="1" applyAlignment="1" applyProtection="1">
      <alignment horizontal="right" vertical="center"/>
    </xf>
    <xf numFmtId="6" fontId="23" fillId="32" borderId="308" xfId="54" applyNumberFormat="1" applyFont="1" applyFill="1" applyBorder="1" applyAlignment="1" applyProtection="1">
      <alignment horizontal="right" vertical="center"/>
    </xf>
    <xf numFmtId="6" fontId="23" fillId="32" borderId="333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69" xfId="53" applyNumberFormat="1" applyFont="1" applyFill="1" applyBorder="1" applyAlignment="1" applyProtection="1">
      <alignment horizontal="right" vertical="center"/>
    </xf>
    <xf numFmtId="165" fontId="23" fillId="0" borderId="370" xfId="53" applyNumberFormat="1" applyFont="1" applyFill="1" applyBorder="1" applyAlignment="1" applyProtection="1">
      <alignment horizontal="right" vertical="center"/>
    </xf>
    <xf numFmtId="165" fontId="23" fillId="35" borderId="370" xfId="53" applyNumberFormat="1" applyFont="1" applyFill="1" applyBorder="1" applyAlignment="1" applyProtection="1">
      <alignment horizontal="right" vertical="center"/>
    </xf>
    <xf numFmtId="6" fontId="23" fillId="0" borderId="370" xfId="53" applyNumberFormat="1" applyFont="1" applyFill="1" applyBorder="1" applyAlignment="1" applyProtection="1">
      <alignment horizontal="right" vertical="center"/>
    </xf>
    <xf numFmtId="6" fontId="23" fillId="35" borderId="370" xfId="53" applyNumberFormat="1" applyFont="1" applyFill="1" applyBorder="1" applyAlignment="1" applyProtection="1">
      <alignment horizontal="right" vertical="center"/>
    </xf>
    <xf numFmtId="6" fontId="23" fillId="0" borderId="370" xfId="54" applyNumberFormat="1" applyFont="1" applyFill="1" applyBorder="1" applyAlignment="1" applyProtection="1">
      <alignment horizontal="right" vertical="center"/>
    </xf>
    <xf numFmtId="6" fontId="23" fillId="35" borderId="370" xfId="54" applyNumberFormat="1" applyFont="1" applyFill="1" applyBorder="1" applyAlignment="1" applyProtection="1">
      <alignment horizontal="right" vertical="center"/>
    </xf>
    <xf numFmtId="1" fontId="30" fillId="26" borderId="216" xfId="0" quotePrefix="1" applyNumberFormat="1" applyFont="1" applyFill="1" applyBorder="1" applyAlignment="1" applyProtection="1">
      <alignment horizontal="center" vertical="center"/>
    </xf>
    <xf numFmtId="1" fontId="29" fillId="26" borderId="41" xfId="0" applyNumberFormat="1" applyFont="1" applyFill="1" applyBorder="1" applyAlignment="1" applyProtection="1">
      <alignment horizontal="center" vertical="center"/>
    </xf>
    <xf numFmtId="0" fontId="25" fillId="0" borderId="231" xfId="0" applyFont="1" applyFill="1" applyBorder="1" applyAlignment="1" applyProtection="1">
      <alignment vertical="center"/>
    </xf>
    <xf numFmtId="0" fontId="25" fillId="0" borderId="226" xfId="0" applyFont="1" applyFill="1" applyBorder="1" applyAlignment="1" applyProtection="1">
      <alignment vertical="center"/>
    </xf>
    <xf numFmtId="165" fontId="25" fillId="0" borderId="227" xfId="30" applyNumberFormat="1" applyFont="1" applyFill="1" applyBorder="1" applyAlignment="1" applyProtection="1">
      <alignment horizontal="right" vertical="center"/>
    </xf>
    <xf numFmtId="165" fontId="23" fillId="35" borderId="227" xfId="30" applyNumberFormat="1" applyFont="1" applyFill="1" applyBorder="1" applyAlignment="1" applyProtection="1">
      <alignment horizontal="right" vertical="center"/>
    </xf>
    <xf numFmtId="165" fontId="23" fillId="0" borderId="227" xfId="30" applyNumberFormat="1" applyFont="1" applyFill="1" applyBorder="1" applyAlignment="1" applyProtection="1">
      <alignment horizontal="right" vertical="center"/>
    </xf>
    <xf numFmtId="165" fontId="25" fillId="35" borderId="227" xfId="30" applyNumberFormat="1" applyFont="1" applyFill="1" applyBorder="1" applyAlignment="1" applyProtection="1">
      <alignment horizontal="right" vertical="center"/>
    </xf>
    <xf numFmtId="165" fontId="25" fillId="0" borderId="225" xfId="0" applyNumberFormat="1" applyFont="1" applyFill="1" applyBorder="1" applyAlignment="1" applyProtection="1">
      <alignment horizontal="right" vertical="center"/>
    </xf>
    <xf numFmtId="165" fontId="25" fillId="0" borderId="226" xfId="0" applyNumberFormat="1" applyFont="1" applyFill="1" applyBorder="1" applyAlignment="1" applyProtection="1">
      <alignment horizontal="right" vertical="center"/>
    </xf>
    <xf numFmtId="165" fontId="25" fillId="45" borderId="226" xfId="0" applyNumberFormat="1" applyFont="1" applyFill="1" applyBorder="1" applyAlignment="1" applyProtection="1">
      <alignment horizontal="right" vertical="center"/>
    </xf>
    <xf numFmtId="0" fontId="25" fillId="0" borderId="232" xfId="0" applyFont="1" applyFill="1" applyBorder="1" applyAlignment="1" applyProtection="1">
      <alignment vertical="center"/>
    </xf>
    <xf numFmtId="0" fontId="25" fillId="0" borderId="229" xfId="0" applyFont="1" applyFill="1" applyBorder="1" applyAlignment="1" applyProtection="1">
      <alignment vertical="center"/>
    </xf>
    <xf numFmtId="165" fontId="25" fillId="0" borderId="230" xfId="30" applyNumberFormat="1" applyFont="1" applyFill="1" applyBorder="1" applyAlignment="1" applyProtection="1">
      <alignment horizontal="right" vertical="center"/>
    </xf>
    <xf numFmtId="165" fontId="25" fillId="35" borderId="230" xfId="30" applyNumberFormat="1" applyFont="1" applyFill="1" applyBorder="1" applyAlignment="1" applyProtection="1">
      <alignment horizontal="right" vertical="center"/>
    </xf>
    <xf numFmtId="165" fontId="25" fillId="0" borderId="228" xfId="0" applyNumberFormat="1" applyFont="1" applyFill="1" applyBorder="1" applyAlignment="1" applyProtection="1">
      <alignment horizontal="right" vertical="center"/>
    </xf>
    <xf numFmtId="165" fontId="25" fillId="0" borderId="229" xfId="0" applyNumberFormat="1" applyFont="1" applyFill="1" applyBorder="1" applyAlignment="1" applyProtection="1">
      <alignment horizontal="right" vertical="center"/>
    </xf>
    <xf numFmtId="165" fontId="25" fillId="45" borderId="229" xfId="0" applyNumberFormat="1" applyFont="1" applyFill="1" applyBorder="1" applyAlignment="1" applyProtection="1">
      <alignment horizontal="right" vertical="center"/>
    </xf>
    <xf numFmtId="0" fontId="25" fillId="0" borderId="24" xfId="0" applyFont="1" applyFill="1" applyBorder="1" applyAlignment="1" applyProtection="1">
      <alignment vertical="center"/>
    </xf>
    <xf numFmtId="0" fontId="25" fillId="0" borderId="224" xfId="0" applyFont="1" applyFill="1" applyBorder="1" applyAlignment="1" applyProtection="1">
      <alignment vertical="center"/>
    </xf>
    <xf numFmtId="165" fontId="25" fillId="0" borderId="199" xfId="30" applyNumberFormat="1" applyFont="1" applyFill="1" applyBorder="1" applyAlignment="1" applyProtection="1">
      <alignment horizontal="right" vertical="center"/>
    </xf>
    <xf numFmtId="165" fontId="25" fillId="35" borderId="199" xfId="30" applyNumberFormat="1" applyFont="1" applyFill="1" applyBorder="1" applyAlignment="1" applyProtection="1">
      <alignment horizontal="right" vertical="center"/>
    </xf>
    <xf numFmtId="165" fontId="25" fillId="0" borderId="210" xfId="0" applyNumberFormat="1" applyFont="1" applyFill="1" applyBorder="1" applyAlignment="1" applyProtection="1">
      <alignment horizontal="right" vertical="center"/>
    </xf>
    <xf numFmtId="165" fontId="25" fillId="0" borderId="224" xfId="0" applyNumberFormat="1" applyFont="1" applyFill="1" applyBorder="1" applyAlignment="1" applyProtection="1">
      <alignment horizontal="right" vertical="center"/>
    </xf>
    <xf numFmtId="165" fontId="25" fillId="45" borderId="224" xfId="0" applyNumberFormat="1" applyFont="1" applyFill="1" applyBorder="1" applyAlignment="1" applyProtection="1">
      <alignment horizontal="right" vertical="center"/>
    </xf>
    <xf numFmtId="0" fontId="25" fillId="0" borderId="238" xfId="0" applyFont="1" applyFill="1" applyBorder="1" applyAlignment="1" applyProtection="1">
      <alignment vertical="center"/>
    </xf>
    <xf numFmtId="165" fontId="26" fillId="35" borderId="111" xfId="54" applyNumberFormat="1" applyFont="1" applyFill="1" applyBorder="1" applyAlignment="1" applyProtection="1">
      <alignment horizontal="right" vertical="center"/>
    </xf>
    <xf numFmtId="6" fontId="26" fillId="45" borderId="30" xfId="54" applyNumberFormat="1" applyFont="1" applyFill="1" applyBorder="1" applyAlignment="1" applyProtection="1">
      <alignment horizontal="right" vertical="center"/>
    </xf>
    <xf numFmtId="6" fontId="26" fillId="0" borderId="261" xfId="53" applyNumberFormat="1" applyFont="1" applyFill="1" applyBorder="1" applyAlignment="1" applyProtection="1">
      <alignment horizontal="right" vertical="center"/>
    </xf>
    <xf numFmtId="165" fontId="25" fillId="0" borderId="370" xfId="30" applyNumberFormat="1" applyFont="1" applyFill="1" applyBorder="1" applyAlignment="1" applyProtection="1">
      <alignment horizontal="right" vertical="center"/>
    </xf>
    <xf numFmtId="165" fontId="25" fillId="35" borderId="370" xfId="30" applyNumberFormat="1" applyFont="1" applyFill="1" applyBorder="1" applyAlignment="1" applyProtection="1">
      <alignment horizontal="right" vertical="center"/>
    </xf>
    <xf numFmtId="165" fontId="25" fillId="0" borderId="373" xfId="0" applyNumberFormat="1" applyFont="1" applyFill="1" applyBorder="1" applyAlignment="1" applyProtection="1">
      <alignment horizontal="right" vertical="center"/>
    </xf>
    <xf numFmtId="165" fontId="25" fillId="0" borderId="369" xfId="0" applyNumberFormat="1" applyFont="1" applyFill="1" applyBorder="1" applyAlignment="1" applyProtection="1">
      <alignment horizontal="right" vertical="center"/>
    </xf>
    <xf numFmtId="3" fontId="23" fillId="0" borderId="375" xfId="53" applyNumberFormat="1" applyFont="1" applyFill="1" applyBorder="1" applyAlignment="1" applyProtection="1">
      <alignment horizontal="right" vertical="center"/>
    </xf>
    <xf numFmtId="165" fontId="23" fillId="0" borderId="376" xfId="53" applyNumberFormat="1" applyFont="1" applyFill="1" applyBorder="1" applyAlignment="1" applyProtection="1">
      <alignment horizontal="right" vertical="center"/>
    </xf>
    <xf numFmtId="6" fontId="23" fillId="0" borderId="377" xfId="53" applyNumberFormat="1" applyFont="1" applyFill="1" applyBorder="1" applyAlignment="1" applyProtection="1">
      <alignment horizontal="right" vertical="center"/>
    </xf>
    <xf numFmtId="3" fontId="23" fillId="0" borderId="378" xfId="53" applyNumberFormat="1" applyFont="1" applyFill="1" applyBorder="1" applyAlignment="1" applyProtection="1">
      <alignment horizontal="right" vertical="center"/>
    </xf>
    <xf numFmtId="6" fontId="23" fillId="0" borderId="376" xfId="54" applyNumberFormat="1" applyFont="1" applyFill="1" applyBorder="1" applyAlignment="1" applyProtection="1">
      <alignment horizontal="right" vertical="center"/>
    </xf>
    <xf numFmtId="6" fontId="23" fillId="0" borderId="376" xfId="53" applyNumberFormat="1" applyFont="1" applyFill="1" applyBorder="1" applyAlignment="1" applyProtection="1">
      <alignment horizontal="right" vertical="center"/>
    </xf>
    <xf numFmtId="3" fontId="23" fillId="0" borderId="282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38" fontId="23" fillId="32" borderId="369" xfId="54" applyNumberFormat="1" applyFont="1" applyFill="1" applyBorder="1" applyAlignment="1" applyProtection="1">
      <alignment horizontal="right" vertical="center"/>
    </xf>
    <xf numFmtId="6" fontId="23" fillId="32" borderId="370" xfId="54" applyNumberFormat="1" applyFont="1" applyFill="1" applyBorder="1" applyAlignment="1" applyProtection="1">
      <alignment horizontal="right" vertical="center"/>
    </xf>
    <xf numFmtId="38" fontId="23" fillId="0" borderId="369" xfId="54" applyNumberFormat="1" applyFont="1" applyFill="1" applyBorder="1" applyAlignment="1" applyProtection="1">
      <alignment horizontal="right" vertical="center"/>
    </xf>
    <xf numFmtId="6" fontId="23" fillId="35" borderId="374" xfId="54" applyNumberFormat="1" applyFont="1" applyFill="1" applyBorder="1" applyAlignment="1" applyProtection="1">
      <alignment horizontal="right" vertical="center"/>
    </xf>
    <xf numFmtId="38" fontId="26" fillId="32" borderId="365" xfId="54" applyNumberFormat="1" applyFont="1" applyFill="1" applyBorder="1" applyAlignment="1" applyProtection="1">
      <alignment horizontal="right" vertical="center"/>
    </xf>
    <xf numFmtId="6" fontId="26" fillId="0" borderId="366" xfId="54" applyNumberFormat="1" applyFont="1" applyFill="1" applyBorder="1" applyAlignment="1" applyProtection="1">
      <alignment horizontal="right" vertical="center"/>
    </xf>
    <xf numFmtId="6" fontId="26" fillId="32" borderId="366" xfId="54" applyNumberFormat="1" applyFont="1" applyFill="1" applyBorder="1" applyAlignment="1" applyProtection="1">
      <alignment horizontal="right" vertical="center"/>
    </xf>
    <xf numFmtId="38" fontId="26" fillId="32" borderId="367" xfId="54" applyNumberFormat="1" applyFont="1" applyFill="1" applyBorder="1" applyAlignment="1" applyProtection="1">
      <alignment horizontal="right" vertical="center"/>
    </xf>
    <xf numFmtId="6" fontId="26" fillId="0" borderId="361" xfId="54" applyNumberFormat="1" applyFont="1" applyFill="1" applyBorder="1" applyAlignment="1" applyProtection="1">
      <alignment horizontal="right" vertical="center"/>
    </xf>
    <xf numFmtId="6" fontId="26" fillId="32" borderId="361" xfId="54" applyNumberFormat="1" applyFont="1" applyFill="1" applyBorder="1" applyAlignment="1" applyProtection="1">
      <alignment horizontal="right" vertical="center"/>
    </xf>
    <xf numFmtId="6" fontId="26" fillId="35" borderId="361" xfId="54" applyNumberFormat="1" applyFont="1" applyFill="1" applyBorder="1" applyAlignment="1" applyProtection="1">
      <alignment horizontal="right" vertical="center"/>
    </xf>
    <xf numFmtId="6" fontId="26" fillId="34" borderId="361" xfId="54" applyNumberFormat="1" applyFont="1" applyFill="1" applyBorder="1" applyAlignment="1" applyProtection="1">
      <alignment horizontal="right" vertical="center"/>
    </xf>
    <xf numFmtId="6" fontId="26" fillId="35" borderId="368" xfId="54" applyNumberFormat="1" applyFont="1" applyFill="1" applyBorder="1" applyAlignment="1" applyProtection="1">
      <alignment horizontal="right" vertical="center"/>
    </xf>
    <xf numFmtId="6" fontId="26" fillId="45" borderId="361" xfId="54" applyNumberFormat="1" applyFont="1" applyFill="1" applyBorder="1" applyAlignment="1" applyProtection="1">
      <alignment horizontal="right" vertical="center"/>
    </xf>
    <xf numFmtId="6" fontId="23" fillId="0" borderId="333" xfId="54" applyNumberFormat="1" applyFont="1" applyFill="1" applyBorder="1" applyAlignment="1" applyProtection="1">
      <alignment horizontal="right" vertical="center"/>
    </xf>
    <xf numFmtId="6" fontId="26" fillId="0" borderId="372" xfId="54" applyNumberFormat="1" applyFont="1" applyFill="1" applyBorder="1" applyAlignment="1" applyProtection="1">
      <alignment horizontal="right" vertical="center"/>
    </xf>
    <xf numFmtId="3" fontId="23" fillId="0" borderId="240" xfId="0" applyNumberFormat="1" applyFont="1" applyFill="1" applyBorder="1" applyAlignment="1">
      <alignment vertical="center"/>
    </xf>
    <xf numFmtId="165" fontId="23" fillId="0" borderId="247" xfId="0" applyNumberFormat="1" applyFont="1" applyFill="1" applyBorder="1" applyAlignment="1">
      <alignment vertical="center"/>
    </xf>
    <xf numFmtId="164" fontId="23" fillId="0" borderId="247" xfId="47838" applyNumberFormat="1" applyFont="1" applyFill="1" applyBorder="1" applyAlignment="1">
      <alignment vertical="center"/>
    </xf>
    <xf numFmtId="10" fontId="23" fillId="0" borderId="247" xfId="0" applyNumberFormat="1" applyFont="1" applyFill="1" applyBorder="1" applyAlignment="1">
      <alignment vertical="center"/>
    </xf>
    <xf numFmtId="165" fontId="23" fillId="27" borderId="24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5" fontId="23" fillId="28" borderId="267" xfId="0" applyNumberFormat="1" applyFont="1" applyFill="1" applyBorder="1" applyAlignment="1">
      <alignment vertical="center"/>
    </xf>
    <xf numFmtId="165" fontId="23" fillId="28" borderId="22" xfId="0" applyNumberFormat="1" applyFont="1" applyFill="1" applyBorder="1" applyAlignment="1">
      <alignment vertical="center"/>
    </xf>
    <xf numFmtId="165" fontId="23" fillId="28" borderId="41" xfId="0" applyNumberFormat="1" applyFont="1" applyFill="1" applyBorder="1" applyAlignment="1">
      <alignment vertical="center"/>
    </xf>
    <xf numFmtId="3" fontId="23" fillId="0" borderId="198" xfId="0" applyNumberFormat="1" applyFont="1" applyFill="1" applyBorder="1" applyAlignment="1">
      <alignment vertical="center"/>
    </xf>
    <xf numFmtId="165" fontId="23" fillId="0" borderId="198" xfId="0" applyNumberFormat="1" applyFont="1" applyFill="1" applyBorder="1" applyAlignment="1">
      <alignment vertical="center"/>
    </xf>
    <xf numFmtId="164" fontId="23" fillId="0" borderId="198" xfId="47838" applyNumberFormat="1" applyFont="1" applyFill="1" applyBorder="1" applyAlignment="1">
      <alignment vertical="center"/>
    </xf>
    <xf numFmtId="164" fontId="23" fillId="0" borderId="29" xfId="47838" applyNumberFormat="1" applyFont="1" applyFill="1" applyBorder="1" applyAlignment="1">
      <alignment vertical="center"/>
    </xf>
    <xf numFmtId="10" fontId="23" fillId="0" borderId="29" xfId="0" applyNumberFormat="1" applyFont="1" applyFill="1" applyBorder="1" applyAlignment="1">
      <alignment vertical="center"/>
    </xf>
    <xf numFmtId="165" fontId="23" fillId="27" borderId="29" xfId="0" applyNumberFormat="1" applyFont="1" applyFill="1" applyBorder="1" applyAlignment="1">
      <alignment vertical="center"/>
    </xf>
    <xf numFmtId="165" fontId="23" fillId="28" borderId="198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4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8" borderId="12" xfId="0" applyNumberFormat="1" applyFont="1" applyFill="1" applyBorder="1" applyAlignment="1">
      <alignment vertical="center"/>
    </xf>
    <xf numFmtId="6" fontId="26" fillId="28" borderId="278" xfId="0" applyNumberFormat="1" applyFont="1" applyFill="1" applyBorder="1" applyAlignment="1">
      <alignment vertical="center"/>
    </xf>
    <xf numFmtId="9" fontId="26" fillId="53" borderId="297" xfId="0" applyNumberFormat="1" applyFont="1" applyFill="1" applyBorder="1" applyAlignment="1" applyProtection="1">
      <alignment vertical="center"/>
    </xf>
    <xf numFmtId="9" fontId="26" fillId="39" borderId="297" xfId="0" applyNumberFormat="1" applyFont="1" applyFill="1" applyBorder="1" applyAlignment="1" applyProtection="1">
      <alignment vertical="center"/>
    </xf>
    <xf numFmtId="0" fontId="77" fillId="35" borderId="362" xfId="0" applyFont="1" applyFill="1" applyBorder="1" applyAlignment="1" applyProtection="1">
      <alignment horizontal="center" vertical="center" wrapText="1"/>
    </xf>
    <xf numFmtId="1" fontId="30" fillId="26" borderId="362" xfId="0" applyNumberFormat="1" applyFont="1" applyFill="1" applyBorder="1" applyAlignment="1" applyProtection="1">
      <alignment horizontal="center" vertical="center"/>
    </xf>
    <xf numFmtId="1" fontId="90" fillId="26" borderId="362" xfId="0" applyNumberFormat="1" applyFont="1" applyFill="1" applyBorder="1" applyAlignment="1" applyProtection="1">
      <alignment horizontal="center" vertical="center" wrapText="1"/>
    </xf>
    <xf numFmtId="6" fontId="23" fillId="35" borderId="379" xfId="0" applyNumberFormat="1" applyFont="1" applyFill="1" applyBorder="1" applyAlignment="1" applyProtection="1">
      <alignment vertical="center"/>
    </xf>
    <xf numFmtId="6" fontId="23" fillId="35" borderId="342" xfId="0" applyNumberFormat="1" applyFont="1" applyFill="1" applyBorder="1" applyAlignment="1" applyProtection="1">
      <alignment vertical="center"/>
    </xf>
    <xf numFmtId="6" fontId="26" fillId="35" borderId="214" xfId="28" applyNumberFormat="1" applyFont="1" applyFill="1" applyBorder="1" applyAlignment="1" applyProtection="1">
      <alignment vertical="center"/>
    </xf>
    <xf numFmtId="1" fontId="90" fillId="26" borderId="362" xfId="53" quotePrefix="1" applyNumberFormat="1" applyFont="1" applyFill="1" applyBorder="1" applyAlignment="1" applyProtection="1">
      <alignment horizontal="center" vertical="center" wrapText="1"/>
    </xf>
    <xf numFmtId="1" fontId="90" fillId="26" borderId="362" xfId="0" applyNumberFormat="1" applyFont="1" applyFill="1" applyBorder="1" applyAlignment="1" applyProtection="1">
      <alignment horizontal="center" vertical="center"/>
    </xf>
    <xf numFmtId="1" fontId="90" fillId="26" borderId="342" xfId="0" applyNumberFormat="1" applyFont="1" applyFill="1" applyBorder="1" applyAlignment="1" applyProtection="1">
      <alignment horizontal="center" vertical="center"/>
    </xf>
    <xf numFmtId="1" fontId="30" fillId="26" borderId="330" xfId="28" applyNumberFormat="1" applyFont="1" applyFill="1" applyBorder="1" applyAlignment="1" applyProtection="1">
      <alignment horizontal="center" vertical="center"/>
    </xf>
    <xf numFmtId="1" fontId="30" fillId="26" borderId="330" xfId="28" quotePrefix="1" applyNumberFormat="1" applyFont="1" applyFill="1" applyBorder="1" applyAlignment="1" applyProtection="1">
      <alignment horizontal="center" vertical="center"/>
    </xf>
    <xf numFmtId="1" fontId="30" fillId="26" borderId="362" xfId="28" quotePrefix="1" applyNumberFormat="1" applyFont="1" applyFill="1" applyBorder="1" applyAlignment="1" applyProtection="1">
      <alignment horizontal="center" vertical="center"/>
    </xf>
    <xf numFmtId="1" fontId="90" fillId="26" borderId="362" xfId="28" applyNumberFormat="1" applyFont="1" applyFill="1" applyBorder="1" applyAlignment="1" applyProtection="1">
      <alignment horizontal="center" vertical="center" wrapText="1"/>
    </xf>
    <xf numFmtId="1" fontId="90" fillId="26" borderId="362" xfId="28" quotePrefix="1" applyNumberFormat="1" applyFont="1" applyFill="1" applyBorder="1" applyAlignment="1" applyProtection="1">
      <alignment horizontal="center" vertical="center" wrapText="1"/>
    </xf>
    <xf numFmtId="1" fontId="30" fillId="26" borderId="380" xfId="0" quotePrefix="1" applyNumberFormat="1" applyFont="1" applyFill="1" applyBorder="1" applyAlignment="1" applyProtection="1">
      <alignment horizontal="center" vertical="center"/>
    </xf>
    <xf numFmtId="1" fontId="90" fillId="26" borderId="362" xfId="0" quotePrefix="1" applyNumberFormat="1" applyFont="1" applyFill="1" applyBorder="1" applyAlignment="1" applyProtection="1">
      <alignment horizontal="center" vertical="center"/>
    </xf>
    <xf numFmtId="1" fontId="90" fillId="26" borderId="362" xfId="0" quotePrefix="1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6" fontId="39" fillId="0" borderId="239" xfId="45" applyNumberFormat="1" applyFont="1" applyBorder="1" applyAlignment="1" applyProtection="1">
      <alignment vertical="center"/>
    </xf>
    <xf numFmtId="6" fontId="39" fillId="0" borderId="286" xfId="45" applyNumberFormat="1" applyFont="1" applyBorder="1" applyAlignment="1" applyProtection="1">
      <alignment vertical="center"/>
    </xf>
    <xf numFmtId="6" fontId="39" fillId="42" borderId="239" xfId="45" applyNumberFormat="1" applyFont="1" applyFill="1" applyBorder="1" applyAlignment="1" applyProtection="1">
      <alignment vertical="center"/>
    </xf>
    <xf numFmtId="6" fontId="39" fillId="0" borderId="319" xfId="45" applyNumberFormat="1" applyFont="1" applyBorder="1" applyAlignment="1" applyProtection="1">
      <alignment vertical="center"/>
    </xf>
    <xf numFmtId="6" fontId="39" fillId="0" borderId="240" xfId="45" applyNumberFormat="1" applyFont="1" applyBorder="1" applyAlignment="1" applyProtection="1">
      <alignment vertical="center"/>
    </xf>
    <xf numFmtId="6" fontId="39" fillId="42" borderId="240" xfId="45" applyNumberFormat="1" applyFont="1" applyFill="1" applyBorder="1" applyAlignment="1" applyProtection="1">
      <alignment vertical="center"/>
    </xf>
    <xf numFmtId="6" fontId="39" fillId="0" borderId="198" xfId="45" applyNumberFormat="1" applyFont="1" applyBorder="1" applyAlignment="1" applyProtection="1">
      <alignment vertical="center"/>
    </xf>
    <xf numFmtId="6" fontId="39" fillId="42" borderId="198" xfId="45" applyNumberFormat="1" applyFont="1" applyFill="1" applyBorder="1" applyAlignment="1" applyProtection="1">
      <alignment vertical="center"/>
    </xf>
    <xf numFmtId="6" fontId="39" fillId="0" borderId="320" xfId="45" applyNumberFormat="1" applyFont="1" applyBorder="1" applyAlignment="1" applyProtection="1">
      <alignment vertical="center"/>
    </xf>
    <xf numFmtId="6" fontId="84" fillId="0" borderId="12" xfId="47822" applyNumberFormat="1" applyFont="1" applyBorder="1" applyAlignment="1" applyProtection="1">
      <alignment vertical="center"/>
    </xf>
    <xf numFmtId="6" fontId="84" fillId="42" borderId="12" xfId="47822" applyNumberFormat="1" applyFont="1" applyFill="1" applyBorder="1" applyAlignment="1" applyProtection="1">
      <alignment vertical="center"/>
    </xf>
    <xf numFmtId="6" fontId="77" fillId="42" borderId="362" xfId="47833" applyNumberFormat="1" applyFont="1" applyFill="1" applyBorder="1" applyAlignment="1" applyProtection="1">
      <alignment horizontal="center" vertical="center" wrapText="1"/>
    </xf>
    <xf numFmtId="6" fontId="77" fillId="56" borderId="362" xfId="70" applyNumberFormat="1" applyFont="1" applyFill="1" applyBorder="1" applyAlignment="1" applyProtection="1">
      <alignment horizontal="center" vertical="center" wrapText="1"/>
    </xf>
    <xf numFmtId="6" fontId="77" fillId="57" borderId="362" xfId="70" applyNumberFormat="1" applyFont="1" applyFill="1" applyBorder="1" applyAlignment="1" applyProtection="1">
      <alignment horizontal="center" vertical="center" wrapText="1"/>
    </xf>
    <xf numFmtId="6" fontId="77" fillId="50" borderId="362" xfId="70" applyNumberFormat="1" applyFont="1" applyFill="1" applyBorder="1" applyAlignment="1" applyProtection="1">
      <alignment horizontal="center" vertical="center" wrapText="1"/>
    </xf>
    <xf numFmtId="6" fontId="23" fillId="0" borderId="350" xfId="54" applyNumberFormat="1" applyFont="1" applyFill="1" applyBorder="1" applyAlignment="1" applyProtection="1">
      <alignment horizontal="right" vertical="center"/>
    </xf>
    <xf numFmtId="6" fontId="23" fillId="0" borderId="308" xfId="54" applyNumberFormat="1" applyFont="1" applyFill="1" applyBorder="1" applyAlignment="1" applyProtection="1">
      <alignment horizontal="right" vertical="center"/>
    </xf>
    <xf numFmtId="6" fontId="26" fillId="0" borderId="357" xfId="54" applyNumberFormat="1" applyFont="1" applyFill="1" applyBorder="1" applyAlignment="1" applyProtection="1">
      <alignment horizontal="right" vertical="center"/>
    </xf>
    <xf numFmtId="38" fontId="23" fillId="32" borderId="381" xfId="54" applyNumberFormat="1" applyFont="1" applyFill="1" applyBorder="1" applyAlignment="1" applyProtection="1">
      <alignment horizontal="right" vertical="center"/>
    </xf>
    <xf numFmtId="6" fontId="23" fillId="0" borderId="381" xfId="54" applyNumberFormat="1" applyFont="1" applyFill="1" applyBorder="1" applyAlignment="1" applyProtection="1">
      <alignment horizontal="right" vertical="center"/>
    </xf>
    <xf numFmtId="38" fontId="23" fillId="32" borderId="330" xfId="54" applyNumberFormat="1" applyFont="1" applyFill="1" applyBorder="1" applyAlignment="1" applyProtection="1">
      <alignment horizontal="right" vertical="center"/>
    </xf>
    <xf numFmtId="6" fontId="23" fillId="0" borderId="330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39" fillId="0" borderId="12" xfId="45" applyFont="1" applyBorder="1" applyAlignment="1" applyProtection="1">
      <alignment horizontal="center" vertical="center"/>
    </xf>
    <xf numFmtId="0" fontId="39" fillId="0" borderId="12" xfId="45" applyFont="1" applyBorder="1" applyAlignment="1" applyProtection="1">
      <alignment horizontal="left" vertical="center"/>
    </xf>
    <xf numFmtId="38" fontId="87" fillId="0" borderId="12" xfId="45" applyNumberFormat="1" applyFont="1" applyBorder="1" applyAlignment="1" applyProtection="1">
      <alignment vertical="center"/>
    </xf>
    <xf numFmtId="0" fontId="100" fillId="0" borderId="0" xfId="47830" applyFont="1" applyAlignment="1">
      <alignment horizontal="center" vertical="center"/>
    </xf>
    <xf numFmtId="0" fontId="100" fillId="0" borderId="0" xfId="47830" applyFont="1"/>
    <xf numFmtId="0" fontId="100" fillId="0" borderId="0" xfId="47830" applyFont="1" applyAlignment="1">
      <alignment horizontal="center"/>
    </xf>
    <xf numFmtId="0" fontId="101" fillId="0" borderId="0" xfId="47830" applyFont="1"/>
    <xf numFmtId="0" fontId="77" fillId="53" borderId="266" xfId="47830" applyFont="1" applyFill="1" applyBorder="1" applyAlignment="1">
      <alignment horizontal="center" vertical="center"/>
    </xf>
    <xf numFmtId="0" fontId="77" fillId="53" borderId="266" xfId="45" applyFont="1" applyFill="1" applyBorder="1" applyAlignment="1">
      <alignment horizontal="center" vertical="center" wrapText="1"/>
    </xf>
    <xf numFmtId="0" fontId="35" fillId="45" borderId="384" xfId="0" applyFont="1" applyFill="1" applyBorder="1" applyAlignment="1" applyProtection="1">
      <alignment horizontal="center" vertical="center" wrapText="1"/>
    </xf>
    <xf numFmtId="1" fontId="90" fillId="26" borderId="384" xfId="0" applyNumberFormat="1" applyFont="1" applyFill="1" applyBorder="1" applyAlignment="1" applyProtection="1">
      <alignment horizontal="center" vertical="center"/>
    </xf>
    <xf numFmtId="1" fontId="90" fillId="26" borderId="384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1" fontId="29" fillId="26" borderId="198" xfId="53" applyNumberFormat="1" applyFont="1" applyFill="1" applyBorder="1" applyAlignment="1" applyProtection="1">
      <alignment horizontal="center" vertical="center"/>
    </xf>
    <xf numFmtId="6" fontId="23" fillId="0" borderId="346" xfId="53" applyNumberFormat="1" applyFont="1" applyFill="1" applyBorder="1" applyAlignment="1" applyProtection="1">
      <alignment horizontal="right" vertical="center"/>
    </xf>
    <xf numFmtId="38" fontId="23" fillId="32" borderId="345" xfId="54" applyNumberFormat="1" applyFont="1" applyFill="1" applyBorder="1" applyAlignment="1" applyProtection="1">
      <alignment horizontal="right" vertical="center"/>
    </xf>
    <xf numFmtId="0" fontId="77" fillId="43" borderId="384" xfId="70" applyFont="1" applyFill="1" applyBorder="1" applyAlignment="1" applyProtection="1">
      <alignment horizontal="center" vertical="center" wrapText="1"/>
    </xf>
    <xf numFmtId="0" fontId="77" fillId="55" borderId="384" xfId="70" applyFont="1" applyFill="1" applyBorder="1" applyAlignment="1" applyProtection="1">
      <alignment horizontal="center" vertical="center" wrapText="1"/>
    </xf>
    <xf numFmtId="6" fontId="35" fillId="53" borderId="384" xfId="53" applyNumberFormat="1" applyFont="1" applyFill="1" applyBorder="1" applyAlignment="1" applyProtection="1">
      <alignment horizontal="center" vertical="center" wrapText="1"/>
    </xf>
    <xf numFmtId="6" fontId="77" fillId="55" borderId="384" xfId="70" applyNumberFormat="1" applyFont="1" applyFill="1" applyBorder="1" applyAlignment="1" applyProtection="1">
      <alignment horizontal="center" vertical="center" wrapText="1"/>
    </xf>
    <xf numFmtId="6" fontId="35" fillId="25" borderId="388" xfId="53" applyNumberFormat="1" applyFont="1" applyFill="1" applyBorder="1" applyAlignment="1" applyProtection="1">
      <alignment horizontal="center" vertical="center" wrapText="1"/>
    </xf>
    <xf numFmtId="0" fontId="30" fillId="26" borderId="330" xfId="28" quotePrefix="1" applyNumberFormat="1" applyFont="1" applyFill="1" applyBorder="1" applyAlignment="1" applyProtection="1">
      <alignment horizontal="center" vertical="center"/>
    </xf>
    <xf numFmtId="0" fontId="44" fillId="25" borderId="340" xfId="53" applyFont="1" applyFill="1" applyBorder="1" applyAlignment="1" applyProtection="1">
      <alignment horizontal="center" vertical="center" wrapText="1"/>
    </xf>
    <xf numFmtId="0" fontId="44" fillId="25" borderId="389" xfId="53" applyFont="1" applyFill="1" applyBorder="1" applyAlignment="1" applyProtection="1">
      <alignment horizontal="center" vertical="center" wrapText="1"/>
    </xf>
    <xf numFmtId="6" fontId="23" fillId="0" borderId="332" xfId="53" applyNumberFormat="1" applyFont="1" applyFill="1" applyBorder="1" applyAlignment="1" applyProtection="1">
      <alignment horizontal="right" vertical="center"/>
    </xf>
    <xf numFmtId="0" fontId="77" fillId="58" borderId="349" xfId="70" applyFont="1" applyFill="1" applyBorder="1" applyAlignment="1" applyProtection="1">
      <alignment horizontal="center" vertical="center" wrapText="1"/>
    </xf>
    <xf numFmtId="0" fontId="77" fillId="55" borderId="349" xfId="70" applyFont="1" applyFill="1" applyBorder="1" applyAlignment="1" applyProtection="1">
      <alignment horizontal="center" vertical="center" wrapText="1"/>
    </xf>
    <xf numFmtId="0" fontId="35" fillId="35" borderId="349" xfId="0" applyFont="1" applyFill="1" applyBorder="1" applyAlignment="1" applyProtection="1">
      <alignment horizontal="center" vertical="center" wrapText="1"/>
    </xf>
    <xf numFmtId="49" fontId="35" fillId="35" borderId="349" xfId="53" applyNumberFormat="1" applyFont="1" applyFill="1" applyBorder="1" applyAlignment="1" applyProtection="1">
      <alignment horizontal="center" vertical="center" wrapText="1"/>
    </xf>
    <xf numFmtId="0" fontId="35" fillId="34" borderId="349" xfId="0" applyFont="1" applyFill="1" applyBorder="1" applyAlignment="1" applyProtection="1">
      <alignment horizontal="center" vertical="center" wrapText="1"/>
    </xf>
    <xf numFmtId="49" fontId="35" fillId="34" borderId="349" xfId="53" applyNumberFormat="1" applyFont="1" applyFill="1" applyBorder="1" applyAlignment="1" applyProtection="1">
      <alignment horizontal="center" vertical="center" wrapText="1"/>
    </xf>
    <xf numFmtId="0" fontId="35" fillId="40" borderId="349" xfId="0" applyFont="1" applyFill="1" applyBorder="1" applyAlignment="1" applyProtection="1">
      <alignment horizontal="center" vertical="center" wrapText="1"/>
    </xf>
    <xf numFmtId="0" fontId="77" fillId="40" borderId="349" xfId="0" quotePrefix="1" applyFont="1" applyFill="1" applyBorder="1" applyAlignment="1" applyProtection="1">
      <alignment horizontal="center" vertical="center" wrapText="1"/>
    </xf>
    <xf numFmtId="0" fontId="23" fillId="0" borderId="313" xfId="64" applyFont="1" applyFill="1" applyBorder="1" applyAlignment="1" applyProtection="1">
      <alignment horizontal="center" vertical="center"/>
    </xf>
    <xf numFmtId="0" fontId="23" fillId="0" borderId="314" xfId="64" applyFont="1" applyFill="1" applyBorder="1" applyAlignment="1" applyProtection="1">
      <alignment horizontal="center" vertical="center"/>
    </xf>
    <xf numFmtId="38" fontId="23" fillId="0" borderId="316" xfId="28" applyNumberFormat="1" applyFont="1" applyFill="1" applyBorder="1" applyAlignment="1" applyProtection="1">
      <alignment vertical="center"/>
    </xf>
    <xf numFmtId="6" fontId="23" fillId="34" borderId="316" xfId="252" applyNumberFormat="1" applyFont="1" applyFill="1" applyBorder="1" applyAlignment="1" applyProtection="1">
      <alignment vertical="center"/>
    </xf>
    <xf numFmtId="6" fontId="23" fillId="0" borderId="316" xfId="64" applyNumberFormat="1" applyFont="1" applyFill="1" applyBorder="1" applyAlignment="1" applyProtection="1">
      <alignment vertical="center"/>
    </xf>
    <xf numFmtId="6" fontId="23" fillId="38" borderId="316" xfId="64" applyNumberFormat="1" applyFont="1" applyFill="1" applyBorder="1" applyAlignment="1" applyProtection="1">
      <alignment vertical="center"/>
    </xf>
    <xf numFmtId="6" fontId="23" fillId="42" borderId="316" xfId="64" applyNumberFormat="1" applyFont="1" applyFill="1" applyBorder="1" applyAlignment="1" applyProtection="1">
      <alignment vertical="center"/>
    </xf>
    <xf numFmtId="6" fontId="23" fillId="40" borderId="316" xfId="64" applyNumberFormat="1" applyFont="1" applyFill="1" applyBorder="1" applyAlignment="1" applyProtection="1">
      <alignment vertical="center"/>
    </xf>
    <xf numFmtId="0" fontId="23" fillId="0" borderId="390" xfId="53" applyFont="1" applyFill="1" applyBorder="1" applyAlignment="1" applyProtection="1">
      <alignment vertical="center"/>
    </xf>
    <xf numFmtId="0" fontId="23" fillId="0" borderId="381" xfId="53" applyFont="1" applyFill="1" applyBorder="1" applyAlignment="1" applyProtection="1">
      <alignment vertical="center"/>
    </xf>
    <xf numFmtId="38" fontId="23" fillId="32" borderId="319" xfId="54" applyNumberFormat="1" applyFont="1" applyFill="1" applyBorder="1" applyAlignment="1" applyProtection="1">
      <alignment horizontal="right" vertical="center"/>
    </xf>
    <xf numFmtId="6" fontId="23" fillId="0" borderId="327" xfId="53" applyNumberFormat="1" applyFont="1" applyFill="1" applyBorder="1" applyAlignment="1" applyProtection="1">
      <alignment horizontal="right" vertical="center"/>
    </xf>
    <xf numFmtId="38" fontId="23" fillId="32" borderId="332" xfId="54" applyNumberFormat="1" applyFont="1" applyFill="1" applyBorder="1" applyAlignment="1" applyProtection="1">
      <alignment horizontal="right" vertical="center"/>
    </xf>
    <xf numFmtId="6" fontId="23" fillId="0" borderId="325" xfId="53" applyNumberFormat="1" applyFont="1" applyFill="1" applyBorder="1" applyAlignment="1" applyProtection="1">
      <alignment horizontal="right" vertical="center"/>
    </xf>
    <xf numFmtId="6" fontId="23" fillId="34" borderId="331" xfId="53" applyNumberFormat="1" applyFont="1" applyFill="1" applyBorder="1" applyAlignment="1" applyProtection="1">
      <alignment horizontal="right" vertical="center"/>
    </xf>
    <xf numFmtId="0" fontId="23" fillId="0" borderId="340" xfId="53" applyFont="1" applyFill="1" applyBorder="1" applyAlignment="1" applyProtection="1">
      <alignment vertical="center"/>
    </xf>
    <xf numFmtId="0" fontId="23" fillId="0" borderId="330" xfId="53" applyFont="1" applyFill="1" applyBorder="1" applyAlignment="1" applyProtection="1">
      <alignment vertical="center"/>
    </xf>
    <xf numFmtId="6" fontId="23" fillId="0" borderId="344" xfId="53" applyNumberFormat="1" applyFont="1" applyFill="1" applyBorder="1" applyAlignment="1" applyProtection="1">
      <alignment horizontal="right" vertical="center"/>
    </xf>
    <xf numFmtId="6" fontId="23" fillId="45" borderId="345" xfId="53" applyNumberFormat="1" applyFont="1" applyFill="1" applyBorder="1" applyAlignment="1" applyProtection="1">
      <alignment horizontal="right" vertical="center"/>
    </xf>
    <xf numFmtId="6" fontId="23" fillId="0" borderId="345" xfId="53" applyNumberFormat="1" applyFont="1" applyFill="1" applyBorder="1" applyAlignment="1" applyProtection="1">
      <alignment horizontal="right" vertical="center"/>
    </xf>
    <xf numFmtId="6" fontId="23" fillId="34" borderId="347" xfId="53" applyNumberFormat="1" applyFont="1" applyFill="1" applyBorder="1" applyAlignment="1" applyProtection="1">
      <alignment horizontal="right" vertical="center"/>
    </xf>
    <xf numFmtId="38" fontId="0" fillId="0" borderId="0" xfId="0" applyNumberFormat="1" applyAlignment="1" applyProtection="1">
      <alignment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2" borderId="12" xfId="48" applyNumberFormat="1" applyFont="1" applyFill="1" applyBorder="1" applyAlignment="1" applyProtection="1">
      <alignment horizontal="right" vertical="center"/>
    </xf>
    <xf numFmtId="6" fontId="26" fillId="32" borderId="12" xfId="32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6" fontId="23" fillId="36" borderId="0" xfId="54" applyNumberFormat="1" applyFont="1" applyFill="1" applyBorder="1" applyAlignment="1" applyProtection="1">
      <alignment horizontal="right" vertical="center"/>
    </xf>
    <xf numFmtId="0" fontId="102" fillId="0" borderId="0" xfId="0" applyFont="1" applyProtection="1"/>
    <xf numFmtId="6" fontId="23" fillId="44" borderId="259" xfId="53" applyNumberFormat="1" applyFont="1" applyFill="1" applyBorder="1" applyAlignment="1" applyProtection="1">
      <alignment horizontal="right" vertical="center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175" fontId="26" fillId="0" borderId="316" xfId="28" applyNumberFormat="1" applyFont="1" applyFill="1" applyBorder="1" applyAlignment="1" applyProtection="1">
      <alignment vertical="center"/>
    </xf>
    <xf numFmtId="175" fontId="26" fillId="28" borderId="321" xfId="64" applyNumberFormat="1" applyFont="1" applyFill="1" applyBorder="1" applyAlignment="1" applyProtection="1">
      <alignment horizontal="left" vertical="center"/>
    </xf>
    <xf numFmtId="175" fontId="23" fillId="28" borderId="321" xfId="64" applyNumberFormat="1" applyFont="1" applyFill="1" applyBorder="1" applyAlignment="1" applyProtection="1">
      <alignment horizontal="left" vertical="center"/>
    </xf>
    <xf numFmtId="175" fontId="23" fillId="0" borderId="309" xfId="252" applyNumberFormat="1" applyFont="1" applyFill="1" applyBorder="1" applyAlignment="1" applyProtection="1">
      <alignment vertical="center"/>
    </xf>
    <xf numFmtId="175" fontId="26" fillId="28" borderId="302" xfId="64" applyNumberFormat="1" applyFont="1" applyFill="1" applyBorder="1" applyAlignment="1" applyProtection="1">
      <alignment horizontal="left" vertical="center"/>
    </xf>
    <xf numFmtId="175" fontId="23" fillId="0" borderId="316" xfId="28" applyNumberFormat="1" applyFont="1" applyFill="1" applyBorder="1" applyAlignment="1" applyProtection="1">
      <alignment vertical="center"/>
    </xf>
    <xf numFmtId="0" fontId="77" fillId="33" borderId="384" xfId="47846" applyFont="1" applyFill="1" applyBorder="1" applyAlignment="1">
      <alignment horizontal="center" vertical="center" wrapText="1"/>
    </xf>
    <xf numFmtId="6" fontId="77" fillId="33" borderId="384" xfId="47846" applyNumberFormat="1" applyFont="1" applyFill="1" applyBorder="1" applyAlignment="1">
      <alignment horizontal="center" vertical="center" wrapText="1"/>
    </xf>
    <xf numFmtId="171" fontId="77" fillId="33" borderId="384" xfId="47846" applyNumberFormat="1" applyFont="1" applyFill="1" applyBorder="1" applyAlignment="1">
      <alignment horizontal="center" vertical="center" wrapText="1"/>
    </xf>
    <xf numFmtId="6" fontId="77" fillId="40" borderId="384" xfId="47846" applyNumberFormat="1" applyFont="1" applyFill="1" applyBorder="1" applyAlignment="1">
      <alignment horizontal="center" vertical="center" wrapText="1"/>
    </xf>
    <xf numFmtId="171" fontId="77" fillId="40" borderId="384" xfId="47846" applyNumberFormat="1" applyFont="1" applyFill="1" applyBorder="1" applyAlignment="1">
      <alignment horizontal="center" vertical="center" wrapText="1"/>
    </xf>
    <xf numFmtId="0" fontId="77" fillId="51" borderId="384" xfId="47846" applyFont="1" applyFill="1" applyBorder="1" applyAlignment="1">
      <alignment horizontal="center" vertical="center" wrapText="1"/>
    </xf>
    <xf numFmtId="0" fontId="79" fillId="40" borderId="384" xfId="47846" applyFont="1" applyFill="1" applyBorder="1" applyAlignment="1">
      <alignment horizontal="center" vertical="center" wrapText="1"/>
    </xf>
    <xf numFmtId="0" fontId="77" fillId="40" borderId="384" xfId="47846" applyFont="1" applyFill="1" applyBorder="1" applyAlignment="1">
      <alignment horizontal="center" vertical="center" wrapText="1"/>
    </xf>
    <xf numFmtId="0" fontId="73" fillId="43" borderId="298" xfId="70" applyFont="1" applyFill="1" applyBorder="1" applyAlignment="1" applyProtection="1">
      <alignment horizontal="center" vertical="center" wrapText="1"/>
    </xf>
    <xf numFmtId="6" fontId="23" fillId="0" borderId="379" xfId="0" applyNumberFormat="1" applyFont="1" applyFill="1" applyBorder="1" applyAlignment="1" applyProtection="1">
      <alignment vertical="center"/>
    </xf>
    <xf numFmtId="6" fontId="26" fillId="0" borderId="392" xfId="28" applyNumberFormat="1" applyFont="1" applyFill="1" applyBorder="1" applyAlignment="1" applyProtection="1">
      <alignment vertical="center"/>
    </xf>
    <xf numFmtId="0" fontId="77" fillId="35" borderId="201" xfId="0" applyFont="1" applyFill="1" applyBorder="1" applyAlignment="1" applyProtection="1">
      <alignment horizontal="center" vertical="center" wrapText="1"/>
    </xf>
    <xf numFmtId="1" fontId="90" fillId="26" borderId="201" xfId="0" applyNumberFormat="1" applyFont="1" applyFill="1" applyBorder="1" applyAlignment="1" applyProtection="1">
      <alignment horizontal="center" vertical="center" wrapText="1"/>
    </xf>
    <xf numFmtId="0" fontId="77" fillId="42" borderId="393" xfId="64" applyFont="1" applyFill="1" applyBorder="1" applyAlignment="1">
      <alignment horizontal="center" vertical="center" wrapText="1"/>
    </xf>
    <xf numFmtId="0" fontId="77" fillId="40" borderId="393" xfId="64" applyFont="1" applyFill="1" applyBorder="1" applyAlignment="1">
      <alignment horizontal="center" vertical="center" wrapText="1"/>
    </xf>
    <xf numFmtId="0" fontId="99" fillId="40" borderId="393" xfId="64" quotePrefix="1" applyFont="1" applyFill="1" applyBorder="1" applyAlignment="1">
      <alignment horizontal="center" vertical="center" wrapText="1"/>
    </xf>
    <xf numFmtId="0" fontId="99" fillId="40" borderId="393" xfId="64" applyFont="1" applyFill="1" applyBorder="1" applyAlignment="1">
      <alignment horizontal="center" vertical="center" wrapText="1"/>
    </xf>
    <xf numFmtId="0" fontId="26" fillId="26" borderId="393" xfId="58" applyFont="1" applyFill="1" applyBorder="1" applyAlignment="1">
      <alignment vertical="center"/>
    </xf>
    <xf numFmtId="1" fontId="98" fillId="26" borderId="393" xfId="68" quotePrefix="1" applyNumberFormat="1" applyFont="1" applyFill="1" applyBorder="1" applyAlignment="1" applyProtection="1">
      <alignment horizontal="center" vertical="center"/>
    </xf>
    <xf numFmtId="0" fontId="98" fillId="26" borderId="393" xfId="58" applyFont="1" applyFill="1" applyBorder="1" applyAlignment="1">
      <alignment horizontal="center" vertical="center"/>
    </xf>
    <xf numFmtId="0" fontId="23" fillId="26" borderId="385" xfId="58" applyFont="1" applyFill="1" applyBorder="1" applyAlignment="1">
      <alignment vertical="center"/>
    </xf>
    <xf numFmtId="1" fontId="30" fillId="26" borderId="393" xfId="64" applyNumberFormat="1" applyFont="1" applyFill="1" applyBorder="1" applyAlignment="1" applyProtection="1">
      <alignment horizontal="center" vertical="center" wrapText="1"/>
    </xf>
    <xf numFmtId="1" fontId="30" fillId="26" borderId="330" xfId="64" quotePrefix="1" applyNumberFormat="1" applyFont="1" applyFill="1" applyBorder="1" applyAlignment="1" applyProtection="1">
      <alignment horizontal="center" vertical="center" wrapText="1"/>
    </xf>
    <xf numFmtId="0" fontId="23" fillId="0" borderId="395" xfId="58" applyNumberFormat="1" applyFont="1" applyFill="1" applyBorder="1" applyAlignment="1" applyProtection="1">
      <alignment vertical="center"/>
    </xf>
    <xf numFmtId="0" fontId="23" fillId="0" borderId="395" xfId="58" applyFont="1" applyFill="1" applyBorder="1" applyAlignment="1" applyProtection="1">
      <alignment vertical="center"/>
    </xf>
    <xf numFmtId="6" fontId="23" fillId="0" borderId="395" xfId="67" applyNumberFormat="1" applyFont="1" applyFill="1" applyBorder="1" applyAlignment="1">
      <alignment horizontal="right" vertical="center"/>
    </xf>
    <xf numFmtId="6" fontId="23" fillId="46" borderId="395" xfId="67" applyNumberFormat="1" applyFont="1" applyFill="1" applyBorder="1" applyAlignment="1">
      <alignment horizontal="right" vertical="center"/>
    </xf>
    <xf numFmtId="6" fontId="23" fillId="0" borderId="288" xfId="67" applyNumberFormat="1" applyFont="1" applyFill="1" applyBorder="1" applyAlignment="1">
      <alignment horizontal="right" vertical="center"/>
    </xf>
    <xf numFmtId="6" fontId="23" fillId="46" borderId="288" xfId="67" applyNumberFormat="1" applyFont="1" applyFill="1" applyBorder="1" applyAlignment="1">
      <alignment horizontal="right" vertical="center"/>
    </xf>
    <xf numFmtId="6" fontId="23" fillId="0" borderId="289" xfId="67" applyNumberFormat="1" applyFont="1" applyFill="1" applyBorder="1" applyAlignment="1">
      <alignment horizontal="right" vertical="center"/>
    </xf>
    <xf numFmtId="6" fontId="23" fillId="46" borderId="289" xfId="67" applyNumberFormat="1" applyFont="1" applyFill="1" applyBorder="1" applyAlignment="1">
      <alignment horizontal="right" vertical="center"/>
    </xf>
    <xf numFmtId="6" fontId="23" fillId="0" borderId="290" xfId="67" applyNumberFormat="1" applyFont="1" applyFill="1" applyBorder="1" applyAlignment="1">
      <alignment horizontal="right" vertical="center"/>
    </xf>
    <xf numFmtId="6" fontId="23" fillId="46" borderId="290" xfId="67" applyNumberFormat="1" applyFont="1" applyFill="1" applyBorder="1" applyAlignment="1">
      <alignment horizontal="right" vertical="center"/>
    </xf>
    <xf numFmtId="6" fontId="26" fillId="0" borderId="12" xfId="67" applyNumberFormat="1" applyFont="1" applyFill="1" applyBorder="1" applyAlignment="1">
      <alignment horizontal="right" vertical="center"/>
    </xf>
    <xf numFmtId="6" fontId="26" fillId="46" borderId="12" xfId="67" applyNumberFormat="1" applyFont="1" applyFill="1" applyBorder="1" applyAlignment="1">
      <alignment horizontal="right" vertical="center"/>
    </xf>
    <xf numFmtId="175" fontId="23" fillId="0" borderId="245" xfId="54" applyNumberFormat="1" applyFont="1" applyFill="1" applyBorder="1" applyAlignment="1" applyProtection="1">
      <alignment horizontal="right" vertical="center"/>
    </xf>
    <xf numFmtId="175" fontId="23" fillId="0" borderId="242" xfId="54" applyNumberFormat="1" applyFont="1" applyFill="1" applyBorder="1" applyAlignment="1" applyProtection="1">
      <alignment horizontal="right" vertical="center"/>
    </xf>
    <xf numFmtId="175" fontId="23" fillId="0" borderId="224" xfId="54" applyNumberFormat="1" applyFont="1" applyFill="1" applyBorder="1" applyAlignment="1" applyProtection="1">
      <alignment horizontal="right" vertical="center"/>
    </xf>
    <xf numFmtId="175" fontId="26" fillId="32" borderId="367" xfId="54" applyNumberFormat="1" applyFont="1" applyFill="1" applyBorder="1" applyAlignment="1" applyProtection="1">
      <alignment horizontal="right" vertical="center"/>
    </xf>
    <xf numFmtId="175" fontId="23" fillId="0" borderId="369" xfId="54" applyNumberFormat="1" applyFont="1" applyFill="1" applyBorder="1" applyAlignment="1" applyProtection="1">
      <alignment horizontal="right" vertical="center"/>
    </xf>
    <xf numFmtId="175" fontId="23" fillId="0" borderId="240" xfId="53" applyNumberFormat="1" applyFont="1" applyFill="1" applyBorder="1" applyAlignment="1" applyProtection="1">
      <alignment horizontal="right" vertical="center"/>
    </xf>
    <xf numFmtId="175" fontId="23" fillId="0" borderId="28" xfId="53" applyNumberFormat="1" applyFont="1" applyFill="1" applyBorder="1" applyAlignment="1" applyProtection="1">
      <alignment horizontal="right" vertical="center"/>
    </xf>
    <xf numFmtId="175" fontId="26" fillId="32" borderId="281" xfId="54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23" fillId="0" borderId="0" xfId="0" applyFont="1" applyFill="1" applyProtection="1"/>
    <xf numFmtId="49" fontId="35" fillId="34" borderId="298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77" fillId="35" borderId="298" xfId="0" applyFont="1" applyFill="1" applyBorder="1" applyAlignment="1" applyProtection="1">
      <alignment horizontal="center" vertical="center" wrapText="1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1" fontId="96" fillId="26" borderId="362" xfId="0" applyNumberFormat="1" applyFont="1" applyFill="1" applyBorder="1" applyAlignment="1" applyProtection="1">
      <alignment horizontal="center" vertical="center" wrapText="1"/>
    </xf>
    <xf numFmtId="1" fontId="96" fillId="26" borderId="201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wrapText="1"/>
    </xf>
    <xf numFmtId="0" fontId="35" fillId="0" borderId="0" xfId="0" applyFont="1" applyBorder="1" applyAlignment="1" applyProtection="1">
      <alignment horizontal="left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3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left" vertical="center"/>
    </xf>
    <xf numFmtId="6" fontId="26" fillId="0" borderId="0" xfId="0" applyNumberFormat="1" applyFont="1" applyFill="1" applyBorder="1" applyAlignment="1" applyProtection="1">
      <alignment horizontal="right" vertical="center"/>
    </xf>
    <xf numFmtId="169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Protection="1"/>
    <xf numFmtId="6" fontId="23" fillId="0" borderId="0" xfId="0" applyNumberFormat="1" applyFont="1" applyFill="1" applyBorder="1" applyAlignment="1" applyProtection="1">
      <alignment horizontal="right" vertical="center"/>
    </xf>
    <xf numFmtId="6" fontId="23" fillId="0" borderId="0" xfId="0" applyNumberFormat="1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25" borderId="297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6" fontId="23" fillId="35" borderId="316" xfId="64" applyNumberFormat="1" applyFont="1" applyFill="1" applyBorder="1" applyAlignment="1" applyProtection="1">
      <alignment vertical="center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vertical="center" wrapText="1"/>
    </xf>
    <xf numFmtId="0" fontId="85" fillId="27" borderId="401" xfId="0" applyFont="1" applyFill="1" applyBorder="1" applyAlignment="1" applyProtection="1">
      <alignment horizontal="center" vertical="center"/>
    </xf>
    <xf numFmtId="1" fontId="90" fillId="26" borderId="397" xfId="28" quotePrefix="1" applyNumberFormat="1" applyFont="1" applyFill="1" applyBorder="1" applyAlignment="1" applyProtection="1">
      <alignment horizontal="center" vertical="center" wrapText="1"/>
    </xf>
    <xf numFmtId="6" fontId="25" fillId="0" borderId="330" xfId="0" applyNumberFormat="1" applyFont="1" applyFill="1" applyBorder="1" applyAlignment="1" applyProtection="1">
      <alignment vertical="center"/>
    </xf>
    <xf numFmtId="6" fontId="25" fillId="0" borderId="342" xfId="0" applyNumberFormat="1" applyFont="1" applyFill="1" applyBorder="1" applyAlignment="1" applyProtection="1">
      <alignment vertical="center"/>
    </xf>
    <xf numFmtId="6" fontId="26" fillId="0" borderId="392" xfId="32" applyNumberFormat="1" applyFont="1" applyBorder="1" applyAlignment="1" applyProtection="1">
      <alignment horizontal="righ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170" fontId="25" fillId="0" borderId="226" xfId="30" applyNumberFormat="1" applyFont="1" applyFill="1" applyBorder="1" applyAlignment="1" applyProtection="1">
      <alignment horizontal="right" vertical="center"/>
    </xf>
    <xf numFmtId="170" fontId="25" fillId="0" borderId="229" xfId="30" applyNumberFormat="1" applyFont="1" applyFill="1" applyBorder="1" applyAlignment="1" applyProtection="1">
      <alignment horizontal="right" vertical="center"/>
    </xf>
    <xf numFmtId="170" fontId="25" fillId="0" borderId="224" xfId="30" applyNumberFormat="1" applyFont="1" applyFill="1" applyBorder="1" applyAlignment="1" applyProtection="1">
      <alignment horizontal="right" vertical="center"/>
    </xf>
    <xf numFmtId="170" fontId="26" fillId="0" borderId="30" xfId="54" applyNumberFormat="1" applyFont="1" applyFill="1" applyBorder="1" applyAlignment="1" applyProtection="1">
      <alignment horizontal="right" vertical="center"/>
    </xf>
    <xf numFmtId="170" fontId="25" fillId="0" borderId="369" xfId="30" applyNumberFormat="1" applyFont="1" applyFill="1" applyBorder="1" applyAlignment="1" applyProtection="1">
      <alignment horizontal="right" vertical="center"/>
    </xf>
    <xf numFmtId="3" fontId="23" fillId="0" borderId="283" xfId="53" applyNumberFormat="1" applyFont="1" applyFill="1" applyBorder="1" applyAlignment="1" applyProtection="1">
      <alignment horizontal="right" vertical="center"/>
    </xf>
    <xf numFmtId="3" fontId="23" fillId="0" borderId="284" xfId="53" applyNumberFormat="1" applyFont="1" applyFill="1" applyBorder="1" applyAlignment="1" applyProtection="1">
      <alignment horizontal="right" vertical="center"/>
    </xf>
    <xf numFmtId="3" fontId="25" fillId="0" borderId="226" xfId="30" applyNumberFormat="1" applyFont="1" applyFill="1" applyBorder="1" applyAlignment="1" applyProtection="1">
      <alignment horizontal="right" vertical="center"/>
    </xf>
    <xf numFmtId="3" fontId="25" fillId="0" borderId="229" xfId="30" applyNumberFormat="1" applyFont="1" applyFill="1" applyBorder="1" applyAlignment="1" applyProtection="1">
      <alignment horizontal="right" vertical="center"/>
    </xf>
    <xf numFmtId="3" fontId="25" fillId="0" borderId="224" xfId="30" applyNumberFormat="1" applyFont="1" applyFill="1" applyBorder="1" applyAlignment="1" applyProtection="1">
      <alignment horizontal="right" vertical="center"/>
    </xf>
    <xf numFmtId="6" fontId="26" fillId="0" borderId="205" xfId="54" applyNumberFormat="1" applyFont="1" applyFill="1" applyBorder="1" applyAlignment="1" applyProtection="1">
      <alignment horizontal="right" vertical="center"/>
    </xf>
    <xf numFmtId="3" fontId="26" fillId="0" borderId="30" xfId="54" applyNumberFormat="1" applyFont="1" applyFill="1" applyBorder="1" applyAlignment="1" applyProtection="1">
      <alignment horizontal="right" vertical="center"/>
    </xf>
    <xf numFmtId="3" fontId="25" fillId="0" borderId="369" xfId="30" applyNumberFormat="1" applyFont="1" applyFill="1" applyBorder="1" applyAlignment="1" applyProtection="1">
      <alignment horizontal="right" vertical="center"/>
    </xf>
    <xf numFmtId="3" fontId="23" fillId="0" borderId="236" xfId="53" applyNumberFormat="1" applyFont="1" applyFill="1" applyBorder="1" applyAlignment="1" applyProtection="1">
      <alignment horizontal="right" vertical="center"/>
    </xf>
    <xf numFmtId="3" fontId="23" fillId="0" borderId="34" xfId="53" applyNumberFormat="1" applyFont="1" applyFill="1" applyBorder="1" applyAlignment="1" applyProtection="1">
      <alignment horizontal="right" vertical="center"/>
    </xf>
    <xf numFmtId="3" fontId="23" fillId="0" borderId="36" xfId="53" applyNumberFormat="1" applyFont="1" applyFill="1" applyBorder="1" applyAlignment="1" applyProtection="1">
      <alignment horizontal="right" vertical="center"/>
    </xf>
    <xf numFmtId="6" fontId="23" fillId="39" borderId="339" xfId="53" applyNumberFormat="1" applyFont="1" applyFill="1" applyBorder="1" applyAlignment="1" applyProtection="1">
      <alignment horizontal="right" vertical="center"/>
    </xf>
    <xf numFmtId="6" fontId="23" fillId="39" borderId="394" xfId="53" applyNumberFormat="1" applyFont="1" applyFill="1" applyBorder="1" applyAlignment="1" applyProtection="1">
      <alignment horizontal="right" vertical="center"/>
    </xf>
    <xf numFmtId="6" fontId="23" fillId="32" borderId="394" xfId="53" applyNumberFormat="1" applyFont="1" applyFill="1" applyBorder="1" applyAlignment="1" applyProtection="1">
      <alignment horizontal="right" vertical="center"/>
    </xf>
    <xf numFmtId="6" fontId="26" fillId="39" borderId="330" xfId="54" applyNumberFormat="1" applyFont="1" applyFill="1" applyBorder="1" applyAlignment="1" applyProtection="1">
      <alignment horizontal="right" vertical="center"/>
    </xf>
    <xf numFmtId="6" fontId="26" fillId="39" borderId="402" xfId="54" applyNumberFormat="1" applyFont="1" applyFill="1" applyBorder="1" applyAlignment="1" applyProtection="1">
      <alignment horizontal="right" vertical="center"/>
    </xf>
    <xf numFmtId="6" fontId="26" fillId="39" borderId="212" xfId="54" applyNumberFormat="1" applyFont="1" applyFill="1" applyBorder="1" applyAlignment="1" applyProtection="1">
      <alignment horizontal="right" vertical="center"/>
    </xf>
    <xf numFmtId="0" fontId="26" fillId="36" borderId="330" xfId="0" applyFont="1" applyFill="1" applyBorder="1" applyAlignment="1" applyProtection="1">
      <alignment horizontal="center" vertical="center" wrapText="1"/>
    </xf>
    <xf numFmtId="0" fontId="26" fillId="36" borderId="330" xfId="0" applyFont="1" applyFill="1" applyBorder="1" applyAlignment="1" applyProtection="1">
      <alignment vertical="center" wrapText="1"/>
    </xf>
    <xf numFmtId="3" fontId="23" fillId="36" borderId="330" xfId="0" applyNumberFormat="1" applyFont="1" applyFill="1" applyBorder="1" applyAlignment="1" applyProtection="1">
      <alignment horizontal="right" vertical="center"/>
    </xf>
    <xf numFmtId="6" fontId="23" fillId="36" borderId="330" xfId="0" applyNumberFormat="1" applyFont="1" applyFill="1" applyBorder="1" applyAlignment="1" applyProtection="1">
      <alignment horizontal="right" vertical="center"/>
    </xf>
    <xf numFmtId="38" fontId="23" fillId="36" borderId="330" xfId="0" applyNumberFormat="1" applyFont="1" applyFill="1" applyBorder="1" applyAlignment="1" applyProtection="1">
      <alignment horizontal="right" vertical="center"/>
    </xf>
    <xf numFmtId="0" fontId="26" fillId="0" borderId="403" xfId="0" applyFont="1" applyBorder="1" applyProtection="1"/>
    <xf numFmtId="0" fontId="26" fillId="0" borderId="404" xfId="0" applyFont="1" applyBorder="1" applyAlignment="1" applyProtection="1">
      <alignment horizontal="center" vertical="center" wrapText="1"/>
    </xf>
    <xf numFmtId="0" fontId="26" fillId="0" borderId="404" xfId="0" applyFont="1" applyBorder="1" applyAlignment="1" applyProtection="1">
      <alignment vertical="center" wrapText="1"/>
    </xf>
    <xf numFmtId="3" fontId="26" fillId="0" borderId="404" xfId="0" applyNumberFormat="1" applyFont="1" applyFill="1" applyBorder="1" applyAlignment="1" applyProtection="1">
      <alignment horizontal="right" vertical="center"/>
    </xf>
    <xf numFmtId="6" fontId="26" fillId="0" borderId="404" xfId="0" applyNumberFormat="1" applyFont="1" applyBorder="1" applyAlignment="1" applyProtection="1">
      <alignment horizontal="right" vertical="center"/>
    </xf>
    <xf numFmtId="6" fontId="26" fillId="0" borderId="403" xfId="0" applyNumberFormat="1" applyFont="1" applyBorder="1" applyAlignment="1" applyProtection="1">
      <alignment horizontal="right" vertical="center"/>
    </xf>
    <xf numFmtId="6" fontId="26" fillId="32" borderId="403" xfId="0" applyNumberFormat="1" applyFont="1" applyFill="1" applyBorder="1" applyAlignment="1" applyProtection="1">
      <alignment horizontal="right" vertical="center"/>
    </xf>
    <xf numFmtId="6" fontId="26" fillId="35" borderId="403" xfId="0" applyNumberFormat="1" applyFont="1" applyFill="1" applyBorder="1" applyAlignment="1" applyProtection="1">
      <alignment horizontal="right" vertical="center"/>
    </xf>
    <xf numFmtId="6" fontId="26" fillId="34" borderId="403" xfId="0" applyNumberFormat="1" applyFont="1" applyFill="1" applyBorder="1" applyAlignment="1" applyProtection="1">
      <alignment horizontal="right" vertical="center"/>
    </xf>
    <xf numFmtId="6" fontId="26" fillId="0" borderId="403" xfId="0" applyNumberFormat="1" applyFont="1" applyFill="1" applyBorder="1" applyAlignment="1" applyProtection="1">
      <alignment horizontal="right" vertical="center"/>
    </xf>
    <xf numFmtId="6" fontId="26" fillId="45" borderId="403" xfId="0" applyNumberFormat="1" applyFont="1" applyFill="1" applyBorder="1" applyAlignment="1" applyProtection="1">
      <alignment horizontal="right" vertical="center"/>
    </xf>
    <xf numFmtId="38" fontId="26" fillId="0" borderId="403" xfId="0" applyNumberFormat="1" applyFont="1" applyBorder="1" applyAlignment="1" applyProtection="1">
      <alignment horizontal="right" vertical="center"/>
    </xf>
    <xf numFmtId="169" fontId="26" fillId="0" borderId="403" xfId="0" applyNumberFormat="1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5" borderId="12" xfId="0" applyNumberFormat="1" applyFont="1" applyFill="1" applyBorder="1" applyAlignment="1" applyProtection="1">
      <alignment horizontal="right" vertical="center"/>
    </xf>
    <xf numFmtId="6" fontId="26" fillId="32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5" borderId="12" xfId="0" applyNumberFormat="1" applyFont="1" applyFill="1" applyBorder="1" applyAlignment="1" applyProtection="1">
      <alignment horizontal="right" vertical="center"/>
    </xf>
    <xf numFmtId="169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6" fontId="26" fillId="0" borderId="12" xfId="31" applyNumberFormat="1" applyFont="1" applyFill="1" applyBorder="1" applyAlignment="1" applyProtection="1">
      <alignment vertical="center"/>
    </xf>
    <xf numFmtId="6" fontId="26" fillId="45" borderId="12" xfId="31" applyNumberFormat="1" applyFont="1" applyFill="1" applyBorder="1" applyAlignment="1" applyProtection="1">
      <alignment vertical="center"/>
    </xf>
    <xf numFmtId="6" fontId="26" fillId="34" borderId="12" xfId="31" applyNumberFormat="1" applyFont="1" applyFill="1" applyBorder="1" applyAlignment="1" applyProtection="1">
      <alignment vertical="center"/>
    </xf>
    <xf numFmtId="1" fontId="30" fillId="26" borderId="397" xfId="53" quotePrefix="1" applyNumberFormat="1" applyFont="1" applyFill="1" applyBorder="1" applyAlignment="1" applyProtection="1">
      <alignment horizontal="center"/>
    </xf>
    <xf numFmtId="1" fontId="30" fillId="26" borderId="397" xfId="53" quotePrefix="1" applyNumberFormat="1" applyFont="1" applyFill="1" applyBorder="1" applyAlignment="1" applyProtection="1">
      <alignment horizontal="center" vertical="center"/>
    </xf>
    <xf numFmtId="0" fontId="27" fillId="0" borderId="405" xfId="0" applyFont="1" applyFill="1" applyBorder="1" applyAlignment="1" applyProtection="1">
      <alignment horizontal="left" vertical="center"/>
    </xf>
    <xf numFmtId="0" fontId="27" fillId="0" borderId="406" xfId="0" applyFont="1" applyFill="1" applyBorder="1" applyAlignment="1" applyProtection="1">
      <alignment horizontal="left" vertical="center"/>
    </xf>
    <xf numFmtId="0" fontId="28" fillId="0" borderId="406" xfId="0" quotePrefix="1" applyFont="1" applyFill="1" applyBorder="1" applyAlignment="1" applyProtection="1">
      <alignment horizontal="left" vertical="center" wrapText="1"/>
    </xf>
    <xf numFmtId="0" fontId="28" fillId="0" borderId="406" xfId="0" applyFont="1" applyFill="1" applyBorder="1" applyAlignment="1" applyProtection="1">
      <alignment horizontal="left" vertical="center"/>
    </xf>
    <xf numFmtId="0" fontId="27" fillId="0" borderId="263" xfId="0" quotePrefix="1" applyFont="1" applyFill="1" applyBorder="1" applyAlignment="1" applyProtection="1">
      <alignment horizontal="left" vertical="center" wrapText="1"/>
    </xf>
    <xf numFmtId="6" fontId="28" fillId="0" borderId="407" xfId="0" applyNumberFormat="1" applyFont="1" applyFill="1" applyBorder="1" applyAlignment="1" applyProtection="1">
      <alignment vertical="center"/>
    </xf>
    <xf numFmtId="6" fontId="28" fillId="0" borderId="408" xfId="0" applyNumberFormat="1" applyFont="1" applyFill="1" applyBorder="1" applyAlignment="1" applyProtection="1">
      <alignment vertical="center"/>
    </xf>
    <xf numFmtId="6" fontId="27" fillId="0" borderId="262" xfId="0" applyNumberFormat="1" applyFont="1" applyFill="1" applyBorder="1" applyAlignment="1" applyProtection="1">
      <alignment vertical="center"/>
    </xf>
    <xf numFmtId="0" fontId="32" fillId="39" borderId="409" xfId="0" applyFont="1" applyFill="1" applyBorder="1" applyAlignment="1" applyProtection="1">
      <alignment horizontal="center" vertical="center"/>
    </xf>
    <xf numFmtId="0" fontId="32" fillId="39" borderId="410" xfId="0" quotePrefix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Protection="1"/>
    <xf numFmtId="6" fontId="0" fillId="0" borderId="0" xfId="0" applyNumberFormat="1" applyAlignment="1">
      <alignment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38" fontId="23" fillId="0" borderId="251" xfId="252" applyNumberFormat="1" applyFont="1" applyFill="1" applyBorder="1" applyAlignment="1" applyProtection="1">
      <alignment vertical="center"/>
    </xf>
    <xf numFmtId="0" fontId="26" fillId="0" borderId="315" xfId="64" applyFont="1" applyFill="1" applyBorder="1" applyAlignment="1" applyProtection="1">
      <alignment horizontal="left" vertical="center"/>
    </xf>
    <xf numFmtId="175" fontId="23" fillId="0" borderId="307" xfId="252" applyNumberFormat="1" applyFont="1" applyFill="1" applyBorder="1" applyAlignment="1" applyProtection="1">
      <alignment vertical="center"/>
    </xf>
    <xf numFmtId="175" fontId="23" fillId="0" borderId="302" xfId="252" applyNumberFormat="1" applyFont="1" applyFill="1" applyBorder="1" applyAlignment="1" applyProtection="1">
      <alignment vertical="center"/>
    </xf>
    <xf numFmtId="175" fontId="23" fillId="0" borderId="251" xfId="252" applyNumberFormat="1" applyFont="1" applyFill="1" applyBorder="1" applyAlignment="1" applyProtection="1">
      <alignment vertical="center"/>
    </xf>
    <xf numFmtId="6" fontId="76" fillId="0" borderId="307" xfId="64" applyNumberFormat="1" applyFont="1" applyFill="1" applyBorder="1" applyAlignment="1" applyProtection="1">
      <alignment vertical="center"/>
    </xf>
    <xf numFmtId="6" fontId="76" fillId="0" borderId="309" xfId="64" applyNumberFormat="1" applyFont="1" applyFill="1" applyBorder="1" applyAlignment="1" applyProtection="1">
      <alignment vertical="center"/>
    </xf>
    <xf numFmtId="6" fontId="76" fillId="0" borderId="302" xfId="64" applyNumberFormat="1" applyFont="1" applyFill="1" applyBorder="1" applyAlignment="1" applyProtection="1">
      <alignment vertical="center"/>
    </xf>
    <xf numFmtId="6" fontId="76" fillId="0" borderId="251" xfId="64" applyNumberFormat="1" applyFont="1" applyFill="1" applyBorder="1" applyAlignment="1" applyProtection="1">
      <alignment vertical="center"/>
    </xf>
    <xf numFmtId="6" fontId="84" fillId="0" borderId="316" xfId="64" applyNumberFormat="1" applyFont="1" applyFill="1" applyBorder="1" applyAlignment="1" applyProtection="1">
      <alignment vertical="center"/>
    </xf>
    <xf numFmtId="6" fontId="76" fillId="0" borderId="316" xfId="64" applyNumberFormat="1" applyFont="1" applyFill="1" applyBorder="1" applyAlignment="1" applyProtection="1">
      <alignment vertical="center"/>
    </xf>
    <xf numFmtId="0" fontId="23" fillId="0" borderId="315" xfId="64" applyFont="1" applyFill="1" applyBorder="1" applyAlignment="1" applyProtection="1">
      <alignment horizontal="left" vertical="center"/>
    </xf>
    <xf numFmtId="38" fontId="23" fillId="0" borderId="240" xfId="0" applyNumberFormat="1" applyFont="1" applyBorder="1" applyAlignment="1" applyProtection="1">
      <alignment vertical="center"/>
    </xf>
    <xf numFmtId="38" fontId="23" fillId="0" borderId="240" xfId="28" applyNumberFormat="1" applyFont="1" applyBorder="1" applyAlignment="1" applyProtection="1">
      <alignment vertical="center"/>
    </xf>
    <xf numFmtId="38" fontId="23" fillId="0" borderId="240" xfId="0" applyNumberFormat="1" applyFont="1" applyFill="1" applyBorder="1" applyAlignment="1" applyProtection="1">
      <alignment vertical="center"/>
    </xf>
    <xf numFmtId="38" fontId="23" fillId="0" borderId="320" xfId="0" applyNumberFormat="1" applyFont="1" applyFill="1" applyBorder="1" applyAlignment="1" applyProtection="1">
      <alignment vertical="center"/>
    </xf>
    <xf numFmtId="38" fontId="23" fillId="0" borderId="320" xfId="0" applyNumberFormat="1" applyFont="1" applyBorder="1" applyAlignment="1" applyProtection="1">
      <alignment vertical="center"/>
    </xf>
    <xf numFmtId="38" fontId="26" fillId="0" borderId="12" xfId="0" applyNumberFormat="1" applyFont="1" applyFill="1" applyBorder="1" applyAlignment="1" applyProtection="1">
      <alignment vertical="center"/>
    </xf>
    <xf numFmtId="38" fontId="23" fillId="0" borderId="257" xfId="0" applyNumberFormat="1" applyFont="1" applyBorder="1" applyAlignment="1" applyProtection="1">
      <alignment vertical="center"/>
    </xf>
    <xf numFmtId="6" fontId="23" fillId="0" borderId="247" xfId="0" applyNumberFormat="1" applyFont="1" applyBorder="1" applyAlignment="1" applyProtection="1">
      <alignment vertical="center"/>
    </xf>
    <xf numFmtId="6" fontId="23" fillId="27" borderId="247" xfId="0" applyNumberFormat="1" applyFont="1" applyFill="1" applyBorder="1" applyAlignment="1" applyProtection="1">
      <alignment vertical="center"/>
    </xf>
    <xf numFmtId="6" fontId="23" fillId="0" borderId="301" xfId="0" applyNumberFormat="1" applyFont="1" applyBorder="1" applyAlignment="1" applyProtection="1">
      <alignment vertical="center"/>
    </xf>
    <xf numFmtId="6" fontId="23" fillId="27" borderId="301" xfId="0" applyNumberFormat="1" applyFont="1" applyFill="1" applyBorder="1" applyAlignment="1" applyProtection="1">
      <alignment vertical="center"/>
    </xf>
    <xf numFmtId="6" fontId="23" fillId="0" borderId="247" xfId="0" applyNumberFormat="1" applyFont="1" applyFill="1" applyBorder="1" applyAlignment="1" applyProtection="1">
      <alignment vertical="center"/>
    </xf>
    <xf numFmtId="6" fontId="23" fillId="31" borderId="247" xfId="0" applyNumberFormat="1" applyFont="1" applyFill="1" applyBorder="1" applyAlignment="1" applyProtection="1">
      <alignment vertical="center"/>
    </xf>
    <xf numFmtId="6" fontId="23" fillId="27" borderId="240" xfId="0" applyNumberFormat="1" applyFont="1" applyFill="1" applyBorder="1" applyAlignment="1" applyProtection="1">
      <alignment vertical="center"/>
    </xf>
    <xf numFmtId="6" fontId="23" fillId="27" borderId="320" xfId="0" applyNumberFormat="1" applyFont="1" applyFill="1" applyBorder="1" applyAlignment="1" applyProtection="1">
      <alignment vertical="center"/>
    </xf>
    <xf numFmtId="6" fontId="23" fillId="27" borderId="240" xfId="28" applyNumberFormat="1" applyFont="1" applyFill="1" applyBorder="1" applyAlignment="1" applyProtection="1">
      <alignment vertical="center"/>
    </xf>
    <xf numFmtId="6" fontId="23" fillId="31" borderId="240" xfId="0" applyNumberFormat="1" applyFont="1" applyFill="1" applyBorder="1" applyAlignment="1" applyProtection="1">
      <alignment vertical="center"/>
    </xf>
    <xf numFmtId="6" fontId="23" fillId="27" borderId="320" xfId="28" applyNumberFormat="1" applyFont="1" applyFill="1" applyBorder="1" applyAlignment="1" applyProtection="1">
      <alignment vertical="center"/>
    </xf>
    <xf numFmtId="6" fontId="23" fillId="0" borderId="328" xfId="0" applyNumberFormat="1" applyFont="1" applyBorder="1" applyAlignment="1" applyProtection="1">
      <alignment vertical="center"/>
    </xf>
    <xf numFmtId="6" fontId="23" fillId="31" borderId="328" xfId="0" applyNumberFormat="1" applyFont="1" applyFill="1" applyBorder="1" applyAlignment="1" applyProtection="1">
      <alignment vertical="center"/>
    </xf>
    <xf numFmtId="6" fontId="23" fillId="0" borderId="352" xfId="0" applyNumberFormat="1" applyFont="1" applyBorder="1" applyAlignment="1" applyProtection="1">
      <alignment vertical="center"/>
    </xf>
    <xf numFmtId="6" fontId="26" fillId="31" borderId="12" xfId="0" applyNumberFormat="1" applyFont="1" applyFill="1" applyBorder="1" applyAlignment="1" applyProtection="1">
      <alignment vertical="center"/>
    </xf>
    <xf numFmtId="6" fontId="23" fillId="31" borderId="28" xfId="0" applyNumberFormat="1" applyFont="1" applyFill="1" applyBorder="1" applyAlignment="1" applyProtection="1">
      <alignment vertical="center"/>
    </xf>
    <xf numFmtId="6" fontId="23" fillId="31" borderId="41" xfId="0" applyNumberFormat="1" applyFont="1" applyFill="1" applyBorder="1" applyAlignment="1" applyProtection="1">
      <alignment vertical="center"/>
    </xf>
    <xf numFmtId="6" fontId="69" fillId="0" borderId="12" xfId="0" applyNumberFormat="1" applyFont="1" applyFill="1" applyBorder="1" applyAlignment="1" applyProtection="1">
      <alignment vertical="center"/>
    </xf>
    <xf numFmtId="6" fontId="23" fillId="0" borderId="240" xfId="28" applyNumberFormat="1" applyFont="1" applyFill="1" applyBorder="1" applyAlignment="1" applyProtection="1">
      <alignment vertical="center"/>
    </xf>
    <xf numFmtId="6" fontId="23" fillId="0" borderId="28" xfId="28" applyNumberFormat="1" applyFont="1" applyFill="1" applyBorder="1" applyAlignment="1" applyProtection="1">
      <alignment vertical="center"/>
    </xf>
    <xf numFmtId="6" fontId="23" fillId="0" borderId="41" xfId="28" applyNumberFormat="1" applyFont="1" applyFill="1" applyBorder="1" applyAlignment="1" applyProtection="1">
      <alignment vertical="center"/>
    </xf>
    <xf numFmtId="38" fontId="69" fillId="0" borderId="12" xfId="28" applyNumberFormat="1" applyFont="1" applyFill="1" applyBorder="1" applyAlignment="1" applyProtection="1">
      <alignment vertical="center"/>
    </xf>
    <xf numFmtId="0" fontId="97" fillId="0" borderId="0" xfId="0" applyFont="1" applyFill="1" applyBorder="1" applyAlignment="1" applyProtection="1">
      <alignment horizontal="center" vertical="center" wrapText="1"/>
    </xf>
    <xf numFmtId="0" fontId="34" fillId="0" borderId="264" xfId="0" applyFont="1" applyBorder="1" applyAlignment="1" applyProtection="1">
      <alignment horizontal="center" vertical="center"/>
    </xf>
    <xf numFmtId="0" fontId="77" fillId="35" borderId="298" xfId="0" applyFont="1" applyFill="1" applyBorder="1" applyAlignment="1" applyProtection="1">
      <alignment horizontal="center" vertical="center" wrapText="1"/>
    </xf>
    <xf numFmtId="0" fontId="77" fillId="34" borderId="298" xfId="0" applyFont="1" applyFill="1" applyBorder="1" applyAlignment="1" applyProtection="1">
      <alignment horizontal="center" vertical="center" wrapText="1"/>
    </xf>
    <xf numFmtId="0" fontId="77" fillId="40" borderId="294" xfId="0" applyFont="1" applyFill="1" applyBorder="1" applyAlignment="1" applyProtection="1">
      <alignment horizontal="center" vertical="center" wrapText="1"/>
    </xf>
    <xf numFmtId="0" fontId="77" fillId="40" borderId="295" xfId="0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77" fillId="40" borderId="296" xfId="0" applyFont="1" applyFill="1" applyBorder="1" applyAlignment="1" applyProtection="1">
      <alignment horizontal="center" vertical="center" wrapText="1"/>
    </xf>
    <xf numFmtId="0" fontId="77" fillId="31" borderId="399" xfId="0" applyFont="1" applyFill="1" applyBorder="1" applyAlignment="1" applyProtection="1">
      <alignment horizontal="center" vertical="center" wrapText="1"/>
    </xf>
    <xf numFmtId="0" fontId="77" fillId="31" borderId="396" xfId="0" applyFont="1" applyFill="1" applyBorder="1" applyAlignment="1" applyProtection="1">
      <alignment horizontal="center" vertical="center" wrapText="1"/>
    </xf>
    <xf numFmtId="0" fontId="77" fillId="31" borderId="398" xfId="0" applyFont="1" applyFill="1" applyBorder="1" applyAlignment="1" applyProtection="1">
      <alignment horizontal="center" vertical="center" wrapText="1"/>
    </xf>
    <xf numFmtId="0" fontId="77" fillId="31" borderId="399" xfId="0" applyFont="1" applyFill="1" applyBorder="1" applyAlignment="1" applyProtection="1">
      <alignment horizontal="center" vertical="center"/>
    </xf>
    <xf numFmtId="0" fontId="77" fillId="31" borderId="396" xfId="0" applyFont="1" applyFill="1" applyBorder="1" applyAlignment="1" applyProtection="1">
      <alignment horizontal="center" vertical="center"/>
    </xf>
    <xf numFmtId="0" fontId="77" fillId="31" borderId="398" xfId="0" applyFont="1" applyFill="1" applyBorder="1" applyAlignment="1" applyProtection="1">
      <alignment horizontal="center" vertical="center"/>
    </xf>
    <xf numFmtId="0" fontId="80" fillId="39" borderId="298" xfId="0" applyFont="1" applyFill="1" applyBorder="1" applyAlignment="1" applyProtection="1">
      <alignment horizontal="center" vertical="center" wrapText="1"/>
    </xf>
    <xf numFmtId="0" fontId="35" fillId="34" borderId="298" xfId="0" applyFont="1" applyFill="1" applyBorder="1" applyAlignment="1" applyProtection="1">
      <alignment horizontal="center" vertical="center" wrapText="1"/>
    </xf>
    <xf numFmtId="0" fontId="44" fillId="25" borderId="298" xfId="0" applyFont="1" applyFill="1" applyBorder="1" applyAlignment="1" applyProtection="1">
      <alignment horizontal="center" vertical="center" wrapText="1"/>
    </xf>
    <xf numFmtId="49" fontId="35" fillId="33" borderId="349" xfId="53" applyNumberFormat="1" applyFont="1" applyFill="1" applyBorder="1" applyAlignment="1" applyProtection="1">
      <alignment horizontal="center" vertical="center"/>
    </xf>
    <xf numFmtId="0" fontId="77" fillId="45" borderId="298" xfId="0" applyFont="1" applyFill="1" applyBorder="1" applyAlignment="1" applyProtection="1">
      <alignment horizontal="center" vertical="center" wrapText="1"/>
      <protection locked="0"/>
    </xf>
    <xf numFmtId="49" fontId="35" fillId="33" borderId="335" xfId="53" applyNumberFormat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49" fontId="73" fillId="33" borderId="349" xfId="53" applyNumberFormat="1" applyFont="1" applyFill="1" applyBorder="1" applyAlignment="1" applyProtection="1">
      <alignment horizontal="center" vertical="center"/>
      <protection locked="0"/>
    </xf>
    <xf numFmtId="0" fontId="35" fillId="45" borderId="384" xfId="0" applyFont="1" applyFill="1" applyBorder="1" applyAlignment="1" applyProtection="1">
      <alignment horizontal="center" vertical="center" wrapText="1"/>
      <protection locked="0"/>
    </xf>
    <xf numFmtId="0" fontId="35" fillId="34" borderId="298" xfId="0" applyFont="1" applyFill="1" applyBorder="1" applyAlignment="1" applyProtection="1">
      <alignment horizontal="center" vertical="center" wrapText="1"/>
      <protection locked="0"/>
    </xf>
    <xf numFmtId="0" fontId="35" fillId="35" borderId="298" xfId="0" applyFont="1" applyFill="1" applyBorder="1" applyAlignment="1" applyProtection="1">
      <alignment horizontal="center" vertical="center" wrapText="1"/>
    </xf>
    <xf numFmtId="49" fontId="73" fillId="33" borderId="387" xfId="53" applyNumberFormat="1" applyFont="1" applyFill="1" applyBorder="1" applyAlignment="1" applyProtection="1">
      <alignment horizontal="center" vertical="center"/>
      <protection locked="0"/>
    </xf>
    <xf numFmtId="49" fontId="73" fillId="33" borderId="386" xfId="53" applyNumberFormat="1" applyFont="1" applyFill="1" applyBorder="1" applyAlignment="1" applyProtection="1">
      <alignment horizontal="center" vertical="center"/>
      <protection locked="0"/>
    </xf>
    <xf numFmtId="49" fontId="73" fillId="33" borderId="388" xfId="53" applyNumberFormat="1" applyFont="1" applyFill="1" applyBorder="1" applyAlignment="1" applyProtection="1">
      <alignment horizontal="center" vertical="center"/>
      <protection locked="0"/>
    </xf>
    <xf numFmtId="0" fontId="35" fillId="29" borderId="330" xfId="0" applyFont="1" applyFill="1" applyBorder="1" applyAlignment="1" applyProtection="1">
      <alignment horizontal="center" vertical="center" wrapText="1"/>
    </xf>
    <xf numFmtId="0" fontId="35" fillId="29" borderId="201" xfId="0" applyFont="1" applyFill="1" applyBorder="1" applyAlignment="1" applyProtection="1">
      <alignment horizontal="center" vertical="center" wrapText="1"/>
    </xf>
    <xf numFmtId="0" fontId="35" fillId="25" borderId="400" xfId="0" applyFont="1" applyFill="1" applyBorder="1" applyAlignment="1" applyProtection="1">
      <alignment horizontal="center" vertical="center" wrapText="1"/>
    </xf>
    <xf numFmtId="0" fontId="35" fillId="25" borderId="342" xfId="0" applyFont="1" applyFill="1" applyBorder="1" applyAlignment="1" applyProtection="1">
      <alignment horizontal="center" vertical="center" wrapText="1"/>
    </xf>
    <xf numFmtId="0" fontId="35" fillId="25" borderId="330" xfId="0" applyFont="1" applyFill="1" applyBorder="1" applyAlignment="1" applyProtection="1">
      <alignment horizontal="center" vertical="center" wrapText="1"/>
    </xf>
    <xf numFmtId="0" fontId="35" fillId="25" borderId="298" xfId="0" applyFont="1" applyFill="1" applyBorder="1" applyAlignment="1" applyProtection="1">
      <alignment horizontal="center" vertical="center" wrapText="1"/>
    </xf>
    <xf numFmtId="9" fontId="30" fillId="27" borderId="399" xfId="48" applyFont="1" applyFill="1" applyBorder="1" applyAlignment="1" applyProtection="1">
      <alignment horizontal="center" vertical="center"/>
    </xf>
    <xf numFmtId="9" fontId="30" fillId="27" borderId="398" xfId="48" applyFont="1" applyFill="1" applyBorder="1" applyAlignment="1" applyProtection="1">
      <alignment horizontal="center" vertical="center"/>
    </xf>
    <xf numFmtId="9" fontId="30" fillId="27" borderId="399" xfId="0" applyNumberFormat="1" applyFont="1" applyFill="1" applyBorder="1" applyAlignment="1" applyProtection="1">
      <alignment horizontal="center" vertical="center"/>
    </xf>
    <xf numFmtId="9" fontId="30" fillId="27" borderId="398" xfId="0" applyNumberFormat="1" applyFont="1" applyFill="1" applyBorder="1" applyAlignment="1" applyProtection="1">
      <alignment horizontal="center" vertical="center"/>
    </xf>
    <xf numFmtId="0" fontId="35" fillId="31" borderId="299" xfId="0" applyFont="1" applyFill="1" applyBorder="1" applyAlignment="1" applyProtection="1">
      <alignment horizontal="center" vertical="center" wrapText="1"/>
    </xf>
    <xf numFmtId="0" fontId="35" fillId="31" borderId="352" xfId="0" applyFont="1" applyFill="1" applyBorder="1" applyAlignment="1" applyProtection="1">
      <alignment horizontal="center" vertical="center" wrapText="1"/>
    </xf>
    <xf numFmtId="0" fontId="35" fillId="39" borderId="352" xfId="0" applyFont="1" applyFill="1" applyBorder="1" applyAlignment="1" applyProtection="1">
      <alignment horizontal="center" vertical="center" wrapText="1"/>
    </xf>
    <xf numFmtId="0" fontId="35" fillId="39" borderId="298" xfId="0" applyFont="1" applyFill="1" applyBorder="1" applyAlignment="1" applyProtection="1">
      <alignment horizontal="center" vertical="center" wrapText="1"/>
    </xf>
    <xf numFmtId="0" fontId="26" fillId="40" borderId="298" xfId="0" applyFont="1" applyFill="1" applyBorder="1" applyAlignment="1" applyProtection="1">
      <alignment horizontal="center" vertical="center"/>
    </xf>
    <xf numFmtId="0" fontId="26" fillId="34" borderId="298" xfId="0" applyFont="1" applyFill="1" applyBorder="1" applyAlignment="1" applyProtection="1">
      <alignment horizontal="center" vertical="center"/>
    </xf>
    <xf numFmtId="0" fontId="35" fillId="25" borderId="349" xfId="0" applyFont="1" applyFill="1" applyBorder="1" applyAlignment="1" applyProtection="1">
      <alignment horizontal="center" vertical="center" wrapText="1"/>
    </xf>
    <xf numFmtId="0" fontId="35" fillId="53" borderId="298" xfId="0" applyFont="1" applyFill="1" applyBorder="1" applyAlignment="1" applyProtection="1">
      <alignment horizontal="center" vertical="center" wrapText="1"/>
    </xf>
    <xf numFmtId="0" fontId="77" fillId="27" borderId="330" xfId="0" applyFont="1" applyFill="1" applyBorder="1" applyAlignment="1" applyProtection="1">
      <alignment horizontal="center" vertical="center" wrapText="1"/>
    </xf>
    <xf numFmtId="0" fontId="77" fillId="27" borderId="349" xfId="0" applyFont="1" applyFill="1" applyBorder="1" applyAlignment="1" applyProtection="1">
      <alignment horizontal="center" vertical="center" wrapText="1"/>
    </xf>
    <xf numFmtId="0" fontId="35" fillId="29" borderId="349" xfId="0" applyFont="1" applyFill="1" applyBorder="1" applyAlignment="1" applyProtection="1">
      <alignment horizontal="center" vertical="center" wrapText="1"/>
    </xf>
    <xf numFmtId="0" fontId="77" fillId="27" borderId="352" xfId="0" applyFont="1" applyFill="1" applyBorder="1" applyAlignment="1" applyProtection="1">
      <alignment horizontal="center" vertical="center" wrapText="1"/>
    </xf>
    <xf numFmtId="0" fontId="77" fillId="27" borderId="201" xfId="0" applyFont="1" applyFill="1" applyBorder="1" applyAlignment="1" applyProtection="1">
      <alignment horizontal="center" vertical="center" wrapText="1"/>
    </xf>
    <xf numFmtId="0" fontId="77" fillId="27" borderId="298" xfId="0" applyFont="1" applyFill="1" applyBorder="1" applyAlignment="1" applyProtection="1">
      <alignment horizontal="center" vertical="center" wrapText="1"/>
    </xf>
    <xf numFmtId="0" fontId="35" fillId="25" borderId="201" xfId="0" applyFont="1" applyFill="1" applyBorder="1" applyAlignment="1" applyProtection="1">
      <alignment horizontal="center" vertical="center" wrapText="1"/>
    </xf>
    <xf numFmtId="0" fontId="44" fillId="25" borderId="303" xfId="0" applyFont="1" applyFill="1" applyBorder="1" applyAlignment="1" applyProtection="1">
      <alignment horizontal="center" vertical="center" wrapText="1"/>
    </xf>
    <xf numFmtId="0" fontId="44" fillId="25" borderId="293" xfId="0" applyFont="1" applyFill="1" applyBorder="1" applyAlignment="1" applyProtection="1">
      <alignment horizontal="center" vertical="center" wrapText="1"/>
    </xf>
    <xf numFmtId="0" fontId="44" fillId="25" borderId="40" xfId="0" applyFont="1" applyFill="1" applyBorder="1" applyAlignment="1" applyProtection="1">
      <alignment horizontal="center" vertical="center" wrapText="1"/>
    </xf>
    <xf numFmtId="0" fontId="44" fillId="25" borderId="22" xfId="0" applyFont="1" applyFill="1" applyBorder="1" applyAlignment="1" applyProtection="1">
      <alignment horizontal="center" vertical="center" wrapText="1"/>
    </xf>
    <xf numFmtId="0" fontId="44" fillId="25" borderId="317" xfId="0" applyFont="1" applyFill="1" applyBorder="1" applyAlignment="1" applyProtection="1">
      <alignment horizontal="center" vertical="center" wrapText="1"/>
    </xf>
    <xf numFmtId="0" fontId="44" fillId="25" borderId="301" xfId="0" applyFont="1" applyFill="1" applyBorder="1" applyAlignment="1" applyProtection="1">
      <alignment horizontal="center" vertical="center" wrapText="1"/>
    </xf>
    <xf numFmtId="0" fontId="35" fillId="29" borderId="298" xfId="0" applyFont="1" applyFill="1" applyBorder="1" applyAlignment="1" applyProtection="1">
      <alignment horizontal="center" vertical="center" wrapText="1"/>
    </xf>
    <xf numFmtId="0" fontId="35" fillId="27" borderId="10" xfId="0" applyFont="1" applyFill="1" applyBorder="1" applyAlignment="1" applyProtection="1">
      <alignment horizontal="center" vertical="center" wrapText="1"/>
    </xf>
    <xf numFmtId="0" fontId="35" fillId="27" borderId="11" xfId="0" applyFont="1" applyFill="1" applyBorder="1" applyAlignment="1" applyProtection="1">
      <alignment horizontal="center" vertical="center" wrapText="1"/>
    </xf>
    <xf numFmtId="0" fontId="35" fillId="27" borderId="13" xfId="0" applyFont="1" applyFill="1" applyBorder="1" applyAlignment="1" applyProtection="1">
      <alignment horizontal="center" vertical="center" wrapText="1"/>
    </xf>
    <xf numFmtId="0" fontId="77" fillId="39" borderId="10" xfId="0" applyFont="1" applyFill="1" applyBorder="1" applyAlignment="1" applyProtection="1">
      <alignment horizontal="center" vertical="center" wrapText="1"/>
    </xf>
    <xf numFmtId="0" fontId="77" fillId="39" borderId="13" xfId="0" applyFont="1" applyFill="1" applyBorder="1" applyAlignment="1" applyProtection="1">
      <alignment horizontal="center" vertical="center" wrapText="1"/>
    </xf>
    <xf numFmtId="0" fontId="35" fillId="39" borderId="10" xfId="0" applyFont="1" applyFill="1" applyBorder="1" applyAlignment="1" applyProtection="1">
      <alignment horizontal="center" vertical="center" wrapText="1"/>
    </xf>
    <xf numFmtId="0" fontId="35" fillId="39" borderId="13" xfId="0" applyFont="1" applyFill="1" applyBorder="1" applyAlignment="1" applyProtection="1">
      <alignment horizontal="center" vertical="center" wrapText="1"/>
    </xf>
    <xf numFmtId="0" fontId="66" fillId="27" borderId="18" xfId="0" applyFont="1" applyFill="1" applyBorder="1" applyAlignment="1" applyProtection="1">
      <alignment horizontal="center" vertical="center" wrapText="1"/>
    </xf>
    <xf numFmtId="0" fontId="66" fillId="27" borderId="21" xfId="0" applyFont="1" applyFill="1" applyBorder="1" applyAlignment="1" applyProtection="1">
      <alignment horizontal="center" vertical="center" wrapText="1"/>
    </xf>
    <xf numFmtId="0" fontId="35" fillId="39" borderId="358" xfId="0" applyFont="1" applyFill="1" applyBorder="1" applyAlignment="1" applyProtection="1">
      <alignment horizontal="center" vertical="center" wrapText="1"/>
    </xf>
    <xf numFmtId="0" fontId="35" fillId="39" borderId="299" xfId="0" applyFont="1" applyFill="1" applyBorder="1" applyAlignment="1" applyProtection="1">
      <alignment horizontal="center" vertical="center" wrapText="1"/>
    </xf>
    <xf numFmtId="0" fontId="44" fillId="25" borderId="271" xfId="0" applyFont="1" applyFill="1" applyBorder="1" applyAlignment="1" applyProtection="1">
      <alignment horizontal="center" vertical="center" wrapText="1"/>
    </xf>
    <xf numFmtId="0" fontId="44" fillId="25" borderId="272" xfId="0" applyFont="1" applyFill="1" applyBorder="1" applyAlignment="1" applyProtection="1">
      <alignment horizontal="center" vertical="center" wrapText="1"/>
    </xf>
    <xf numFmtId="0" fontId="44" fillId="25" borderId="197" xfId="0" applyFont="1" applyFill="1" applyBorder="1" applyAlignment="1" applyProtection="1">
      <alignment horizontal="center" vertical="center" wrapText="1"/>
    </xf>
    <xf numFmtId="0" fontId="44" fillId="25" borderId="29" xfId="0" applyFont="1" applyFill="1" applyBorder="1" applyAlignment="1" applyProtection="1">
      <alignment horizontal="center" vertical="center" wrapText="1"/>
    </xf>
    <xf numFmtId="0" fontId="77" fillId="25" borderId="202" xfId="0" applyFont="1" applyFill="1" applyBorder="1" applyAlignment="1" applyProtection="1">
      <alignment horizontal="center" vertical="center" wrapText="1"/>
    </xf>
    <xf numFmtId="0" fontId="77" fillId="25" borderId="198" xfId="0" applyFont="1" applyFill="1" applyBorder="1" applyAlignment="1" applyProtection="1">
      <alignment horizontal="center" vertical="center" wrapText="1"/>
    </xf>
    <xf numFmtId="0" fontId="35" fillId="25" borderId="202" xfId="0" applyFont="1" applyFill="1" applyBorder="1" applyAlignment="1" applyProtection="1">
      <alignment horizontal="center" vertical="center" wrapText="1"/>
    </xf>
    <xf numFmtId="0" fontId="35" fillId="25" borderId="198" xfId="0" applyFont="1" applyFill="1" applyBorder="1" applyAlignment="1" applyProtection="1">
      <alignment horizontal="center" vertical="center" wrapText="1"/>
    </xf>
    <xf numFmtId="0" fontId="66" fillId="41" borderId="203" xfId="0" applyFont="1" applyFill="1" applyBorder="1" applyAlignment="1" applyProtection="1">
      <alignment horizontal="center" vertical="center" wrapText="1"/>
    </xf>
    <xf numFmtId="0" fontId="66" fillId="41" borderId="359" xfId="0" applyFont="1" applyFill="1" applyBorder="1" applyAlignment="1" applyProtection="1">
      <alignment horizontal="center" vertical="center" wrapText="1"/>
    </xf>
    <xf numFmtId="0" fontId="66" fillId="41" borderId="204" xfId="0" applyFont="1" applyFill="1" applyBorder="1" applyAlignment="1" applyProtection="1">
      <alignment horizontal="center" vertical="center" wrapText="1"/>
    </xf>
    <xf numFmtId="0" fontId="80" fillId="31" borderId="203" xfId="0" applyFont="1" applyFill="1" applyBorder="1" applyAlignment="1" applyProtection="1">
      <alignment horizontal="center" vertical="center" wrapText="1"/>
    </xf>
    <xf numFmtId="0" fontId="80" fillId="31" borderId="204" xfId="0" applyFont="1" applyFill="1" applyBorder="1" applyAlignment="1" applyProtection="1">
      <alignment horizontal="center" vertical="center" wrapText="1"/>
    </xf>
    <xf numFmtId="0" fontId="77" fillId="51" borderId="349" xfId="47846" applyFont="1" applyFill="1" applyBorder="1" applyAlignment="1">
      <alignment horizontal="center" vertical="center" wrapText="1"/>
    </xf>
    <xf numFmtId="0" fontId="26" fillId="24" borderId="353" xfId="64" applyFont="1" applyFill="1" applyBorder="1" applyAlignment="1" applyProtection="1">
      <alignment horizontal="right" vertical="center" wrapText="1" indent="2"/>
    </xf>
    <xf numFmtId="0" fontId="26" fillId="24" borderId="276" xfId="64" applyFont="1" applyFill="1" applyBorder="1" applyAlignment="1" applyProtection="1">
      <alignment horizontal="right" vertical="center" wrapText="1" indent="2"/>
    </xf>
    <xf numFmtId="0" fontId="26" fillId="24" borderId="354" xfId="64" applyFont="1" applyFill="1" applyBorder="1" applyAlignment="1" applyProtection="1">
      <alignment horizontal="right" vertical="center" wrapText="1" indent="2"/>
    </xf>
    <xf numFmtId="0" fontId="26" fillId="24" borderId="353" xfId="64" applyFont="1" applyFill="1" applyBorder="1" applyAlignment="1" applyProtection="1">
      <alignment horizontal="right" vertical="center" indent="2"/>
    </xf>
    <xf numFmtId="0" fontId="26" fillId="24" borderId="276" xfId="64" applyFont="1" applyFill="1" applyBorder="1" applyAlignment="1" applyProtection="1">
      <alignment horizontal="right" vertical="center" indent="2"/>
    </xf>
    <xf numFmtId="0" fontId="26" fillId="24" borderId="354" xfId="64" applyFont="1" applyFill="1" applyBorder="1" applyAlignment="1" applyProtection="1">
      <alignment horizontal="right" vertical="center" indent="2"/>
    </xf>
    <xf numFmtId="0" fontId="81" fillId="39" borderId="349" xfId="47846" applyFont="1" applyFill="1" applyBorder="1" applyAlignment="1">
      <alignment horizontal="center" vertical="center" wrapText="1"/>
    </xf>
    <xf numFmtId="0" fontId="81" fillId="39" borderId="349" xfId="47846" applyFont="1" applyFill="1" applyBorder="1" applyAlignment="1">
      <alignment horizontal="center" vertical="center"/>
    </xf>
    <xf numFmtId="0" fontId="77" fillId="33" borderId="384" xfId="47846" applyFont="1" applyFill="1" applyBorder="1" applyAlignment="1">
      <alignment horizontal="center" vertical="center" wrapText="1"/>
    </xf>
    <xf numFmtId="6" fontId="77" fillId="40" borderId="384" xfId="47846" applyNumberFormat="1" applyFont="1" applyFill="1" applyBorder="1" applyAlignment="1">
      <alignment horizontal="center" vertical="center" wrapText="1"/>
    </xf>
    <xf numFmtId="0" fontId="44" fillId="25" borderId="298" xfId="64" applyFont="1" applyFill="1" applyBorder="1" applyAlignment="1" applyProtection="1">
      <alignment horizontal="center" vertical="center" wrapText="1"/>
    </xf>
    <xf numFmtId="0" fontId="35" fillId="40" borderId="298" xfId="64" quotePrefix="1" applyFont="1" applyFill="1" applyBorder="1" applyAlignment="1" applyProtection="1">
      <alignment horizontal="center" vertical="center" wrapText="1"/>
    </xf>
    <xf numFmtId="0" fontId="35" fillId="45" borderId="298" xfId="64" quotePrefix="1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0" fontId="66" fillId="51" borderId="298" xfId="64" applyFont="1" applyFill="1" applyBorder="1" applyAlignment="1" applyProtection="1">
      <alignment horizontal="center" vertical="center" wrapText="1"/>
    </xf>
    <xf numFmtId="0" fontId="66" fillId="47" borderId="298" xfId="252" quotePrefix="1" applyFont="1" applyFill="1" applyBorder="1" applyAlignment="1" applyProtection="1">
      <alignment horizontal="center" vertical="center" wrapText="1"/>
    </xf>
    <xf numFmtId="0" fontId="80" fillId="33" borderId="298" xfId="64" applyFont="1" applyFill="1" applyBorder="1" applyAlignment="1" applyProtection="1">
      <alignment horizontal="center" vertical="center" wrapText="1"/>
    </xf>
    <xf numFmtId="0" fontId="35" fillId="35" borderId="397" xfId="64" applyFont="1" applyFill="1" applyBorder="1" applyAlignment="1" applyProtection="1">
      <alignment horizontal="center" vertical="center" wrapText="1"/>
    </xf>
    <xf numFmtId="0" fontId="66" fillId="31" borderId="298" xfId="64" applyFont="1" applyFill="1" applyBorder="1" applyAlignment="1" applyProtection="1">
      <alignment horizontal="center" vertical="center" wrapText="1"/>
    </xf>
    <xf numFmtId="0" fontId="35" fillId="34" borderId="298" xfId="252" quotePrefix="1" applyFont="1" applyFill="1" applyBorder="1" applyAlignment="1" applyProtection="1">
      <alignment horizontal="center" vertical="center" wrapText="1"/>
    </xf>
    <xf numFmtId="0" fontId="35" fillId="38" borderId="298" xfId="64" applyFont="1" applyFill="1" applyBorder="1" applyAlignment="1" applyProtection="1">
      <alignment horizontal="center" vertical="center" wrapText="1"/>
    </xf>
    <xf numFmtId="0" fontId="35" fillId="35" borderId="297" xfId="64" applyFont="1" applyFill="1" applyBorder="1" applyAlignment="1" applyProtection="1">
      <alignment horizontal="center" vertical="center" wrapText="1"/>
    </xf>
    <xf numFmtId="0" fontId="35" fillId="35" borderId="302" xfId="64" applyFont="1" applyFill="1" applyBorder="1" applyAlignment="1" applyProtection="1">
      <alignment horizontal="center" vertical="center" wrapText="1"/>
    </xf>
    <xf numFmtId="0" fontId="82" fillId="25" borderId="266" xfId="0" applyFont="1" applyFill="1" applyBorder="1" applyAlignment="1" applyProtection="1">
      <alignment horizontal="center" vertical="center" wrapText="1"/>
    </xf>
    <xf numFmtId="0" fontId="35" fillId="40" borderId="217" xfId="0" applyFont="1" applyFill="1" applyBorder="1" applyAlignment="1" applyProtection="1">
      <alignment horizontal="center" vertical="center" wrapText="1"/>
    </xf>
    <xf numFmtId="0" fontId="35" fillId="40" borderId="296" xfId="0" applyFont="1" applyFill="1" applyBorder="1" applyAlignment="1" applyProtection="1">
      <alignment horizontal="center" vertical="center" wrapText="1"/>
    </xf>
    <xf numFmtId="0" fontId="35" fillId="40" borderId="218" xfId="0" applyFont="1" applyFill="1" applyBorder="1" applyAlignment="1" applyProtection="1">
      <alignment horizontal="center" vertical="center" wrapText="1"/>
    </xf>
    <xf numFmtId="0" fontId="35" fillId="34" borderId="217" xfId="0" applyFont="1" applyFill="1" applyBorder="1" applyAlignment="1" applyProtection="1">
      <alignment horizontal="center" vertical="center" wrapText="1"/>
    </xf>
    <xf numFmtId="0" fontId="35" fillId="34" borderId="219" xfId="0" applyFont="1" applyFill="1" applyBorder="1" applyAlignment="1" applyProtection="1">
      <alignment horizontal="center" vertical="center" wrapText="1"/>
    </xf>
    <xf numFmtId="0" fontId="35" fillId="34" borderId="218" xfId="0" applyFont="1" applyFill="1" applyBorder="1" applyAlignment="1" applyProtection="1">
      <alignment horizontal="center" vertical="center" wrapText="1"/>
    </xf>
    <xf numFmtId="49" fontId="44" fillId="31" borderId="221" xfId="53" applyNumberFormat="1" applyFont="1" applyFill="1" applyBorder="1" applyAlignment="1" applyProtection="1">
      <alignment horizontal="center" vertical="center" wrapText="1"/>
    </xf>
    <xf numFmtId="49" fontId="44" fillId="31" borderId="355" xfId="53" applyNumberFormat="1" applyFont="1" applyFill="1" applyBorder="1" applyAlignment="1" applyProtection="1">
      <alignment horizontal="center" vertical="center" wrapText="1"/>
    </xf>
    <xf numFmtId="49" fontId="44" fillId="31" borderId="222" xfId="53" applyNumberFormat="1" applyFont="1" applyFill="1" applyBorder="1" applyAlignment="1" applyProtection="1">
      <alignment horizontal="center" vertical="center" wrapText="1"/>
    </xf>
    <xf numFmtId="49" fontId="44" fillId="31" borderId="220" xfId="53" applyNumberFormat="1" applyFont="1" applyFill="1" applyBorder="1" applyAlignment="1" applyProtection="1">
      <alignment horizontal="center" vertical="center" wrapText="1"/>
    </xf>
    <xf numFmtId="49" fontId="44" fillId="31" borderId="292" xfId="53" applyNumberFormat="1" applyFont="1" applyFill="1" applyBorder="1" applyAlignment="1" applyProtection="1">
      <alignment horizontal="center" vertical="center" wrapText="1"/>
    </xf>
    <xf numFmtId="49" fontId="35" fillId="46" borderId="267" xfId="53" applyNumberFormat="1" applyFont="1" applyFill="1" applyBorder="1" applyAlignment="1" applyProtection="1">
      <alignment horizontal="center" vertical="center" wrapText="1"/>
    </xf>
    <xf numFmtId="49" fontId="35" fillId="46" borderId="198" xfId="53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49" fontId="35" fillId="35" borderId="198" xfId="53" applyNumberFormat="1" applyFont="1" applyFill="1" applyBorder="1" applyAlignment="1" applyProtection="1">
      <alignment horizontal="center" vertical="center" wrapText="1"/>
    </xf>
    <xf numFmtId="49" fontId="35" fillId="31" borderId="268" xfId="53" applyNumberFormat="1" applyFont="1" applyFill="1" applyBorder="1" applyAlignment="1" applyProtection="1">
      <alignment horizontal="center" vertical="center" wrapText="1"/>
    </xf>
    <xf numFmtId="49" fontId="35" fillId="31" borderId="270" xfId="53" applyNumberFormat="1" applyFont="1" applyFill="1" applyBorder="1" applyAlignment="1" applyProtection="1">
      <alignment horizontal="center" vertical="center" wrapText="1"/>
    </xf>
    <xf numFmtId="49" fontId="35" fillId="31" borderId="269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1" borderId="270" xfId="53" applyNumberFormat="1" applyFont="1" applyFill="1" applyBorder="1" applyAlignment="1" applyProtection="1">
      <alignment horizontal="center" vertical="center"/>
    </xf>
    <xf numFmtId="49" fontId="35" fillId="31" borderId="269" xfId="53" applyNumberFormat="1" applyFont="1" applyFill="1" applyBorder="1" applyAlignment="1" applyProtection="1">
      <alignment horizontal="center" vertical="center"/>
    </xf>
    <xf numFmtId="49" fontId="44" fillId="31" borderId="268" xfId="53" applyNumberFormat="1" applyFont="1" applyFill="1" applyBorder="1" applyAlignment="1" applyProtection="1">
      <alignment horizontal="center" vertical="center"/>
    </xf>
    <xf numFmtId="49" fontId="44" fillId="31" borderId="270" xfId="53" applyNumberFormat="1" applyFont="1" applyFill="1" applyBorder="1" applyAlignment="1" applyProtection="1">
      <alignment horizontal="center" vertical="center"/>
    </xf>
    <xf numFmtId="49" fontId="44" fillId="31" borderId="269" xfId="53" applyNumberFormat="1" applyFont="1" applyFill="1" applyBorder="1" applyAlignment="1" applyProtection="1">
      <alignment horizontal="center" vertical="center"/>
    </xf>
    <xf numFmtId="49" fontId="44" fillId="31" borderId="359" xfId="53" applyNumberFormat="1" applyFont="1" applyFill="1" applyBorder="1" applyAlignment="1" applyProtection="1">
      <alignment horizontal="center" vertical="center"/>
    </xf>
    <xf numFmtId="0" fontId="26" fillId="0" borderId="25" xfId="53" applyFont="1" applyFill="1" applyBorder="1" applyAlignment="1" applyProtection="1">
      <alignment horizontal="left" vertical="center"/>
    </xf>
    <xf numFmtId="0" fontId="26" fillId="0" borderId="280" xfId="53" applyFont="1" applyFill="1" applyBorder="1" applyAlignment="1" applyProtection="1">
      <alignment horizontal="left"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82" fillId="39" borderId="271" xfId="0" applyFont="1" applyFill="1" applyBorder="1" applyAlignment="1" applyProtection="1">
      <alignment horizontal="center" vertical="center" wrapText="1"/>
    </xf>
    <xf numFmtId="0" fontId="66" fillId="39" borderId="272" xfId="0" applyFont="1" applyFill="1" applyBorder="1" applyAlignment="1" applyProtection="1">
      <alignment horizontal="center" vertical="center" wrapText="1"/>
    </xf>
    <xf numFmtId="0" fontId="66" fillId="39" borderId="40" xfId="0" applyFont="1" applyFill="1" applyBorder="1" applyAlignment="1" applyProtection="1">
      <alignment horizontal="center" vertical="center" wrapText="1"/>
    </xf>
    <xf numFmtId="0" fontId="66" fillId="39" borderId="22" xfId="0" applyFont="1" applyFill="1" applyBorder="1" applyAlignment="1" applyProtection="1">
      <alignment horizontal="center" vertical="center" wrapText="1"/>
    </xf>
    <xf numFmtId="0" fontId="66" fillId="39" borderId="197" xfId="0" applyFont="1" applyFill="1" applyBorder="1" applyAlignment="1" applyProtection="1">
      <alignment horizontal="center" vertical="center" wrapText="1"/>
    </xf>
    <xf numFmtId="0" fontId="66" fillId="39" borderId="29" xfId="0" applyFont="1" applyFill="1" applyBorder="1" applyAlignment="1" applyProtection="1">
      <alignment horizontal="center" vertical="center" wrapText="1"/>
    </xf>
    <xf numFmtId="49" fontId="35" fillId="35" borderId="268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5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4" xfId="0" applyFont="1" applyBorder="1" applyAlignment="1" applyProtection="1">
      <alignment horizontal="left" vertical="center"/>
    </xf>
    <xf numFmtId="0" fontId="23" fillId="0" borderId="371" xfId="53" applyFont="1" applyFill="1" applyBorder="1" applyAlignment="1" applyProtection="1">
      <alignment horizontal="left" vertical="center"/>
    </xf>
    <xf numFmtId="0" fontId="23" fillId="0" borderId="373" xfId="53" applyFont="1" applyFill="1" applyBorder="1" applyAlignment="1" applyProtection="1">
      <alignment horizontal="left" vertical="center"/>
    </xf>
    <xf numFmtId="0" fontId="23" fillId="0" borderId="237" xfId="0" applyFont="1" applyBorder="1" applyAlignment="1" applyProtection="1">
      <alignment horizontal="left" vertical="center"/>
    </xf>
    <xf numFmtId="0" fontId="23" fillId="0" borderId="273" xfId="0" applyFont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6" fillId="0" borderId="390" xfId="0" applyFont="1" applyFill="1" applyBorder="1" applyAlignment="1" applyProtection="1">
      <alignment horizontal="left" vertical="center"/>
    </xf>
    <xf numFmtId="0" fontId="26" fillId="0" borderId="334" xfId="0" applyFont="1" applyFill="1" applyBorder="1" applyAlignment="1" applyProtection="1">
      <alignment horizontal="left" vertical="center"/>
    </xf>
    <xf numFmtId="0" fontId="66" fillId="39" borderId="271" xfId="0" applyFont="1" applyFill="1" applyBorder="1" applyAlignment="1" applyProtection="1">
      <alignment horizontal="center" vertical="center" wrapText="1"/>
    </xf>
    <xf numFmtId="49" fontId="44" fillId="31" borderId="268" xfId="53" applyNumberFormat="1" applyFont="1" applyFill="1" applyBorder="1" applyAlignment="1" applyProtection="1">
      <alignment horizontal="center" vertical="center" wrapText="1"/>
    </xf>
    <xf numFmtId="49" fontId="44" fillId="31" borderId="270" xfId="53" applyNumberFormat="1" applyFont="1" applyFill="1" applyBorder="1" applyAlignment="1" applyProtection="1">
      <alignment horizontal="center" vertical="center" wrapText="1"/>
    </xf>
    <xf numFmtId="49" fontId="44" fillId="31" borderId="269" xfId="53" applyNumberFormat="1" applyFont="1" applyFill="1" applyBorder="1" applyAlignment="1" applyProtection="1">
      <alignment horizontal="center" vertical="center" wrapText="1"/>
    </xf>
    <xf numFmtId="0" fontId="23" fillId="0" borderId="340" xfId="53" applyFont="1" applyFill="1" applyBorder="1" applyAlignment="1" applyProtection="1">
      <alignment horizontal="right" vertical="center"/>
    </xf>
    <xf numFmtId="0" fontId="23" fillId="0" borderId="301" xfId="53" applyFont="1" applyFill="1" applyBorder="1" applyAlignment="1" applyProtection="1">
      <alignment horizontal="right" vertical="center"/>
    </xf>
    <xf numFmtId="0" fontId="66" fillId="34" borderId="271" xfId="0" applyFont="1" applyFill="1" applyBorder="1" applyAlignment="1" applyProtection="1">
      <alignment horizontal="center" vertical="center" wrapText="1"/>
    </xf>
    <xf numFmtId="0" fontId="66" fillId="34" borderId="272" xfId="0" applyFont="1" applyFill="1" applyBorder="1" applyAlignment="1" applyProtection="1">
      <alignment horizontal="center" vertical="center" wrapText="1"/>
    </xf>
    <xf numFmtId="0" fontId="66" fillId="34" borderId="40" xfId="0" applyFont="1" applyFill="1" applyBorder="1" applyAlignment="1" applyProtection="1">
      <alignment horizontal="center" vertical="center" wrapText="1"/>
    </xf>
    <xf numFmtId="0" fontId="66" fillId="34" borderId="22" xfId="0" applyFont="1" applyFill="1" applyBorder="1" applyAlignment="1" applyProtection="1">
      <alignment horizontal="center" vertical="center" wrapText="1"/>
    </xf>
    <xf numFmtId="0" fontId="66" fillId="34" borderId="197" xfId="0" applyFont="1" applyFill="1" applyBorder="1" applyAlignment="1" applyProtection="1">
      <alignment horizontal="center" vertical="center" wrapText="1"/>
    </xf>
    <xf numFmtId="0" fontId="66" fillId="34" borderId="29" xfId="0" applyFont="1" applyFill="1" applyBorder="1" applyAlignment="1" applyProtection="1">
      <alignment horizontal="center" vertical="center" wrapText="1"/>
    </xf>
    <xf numFmtId="0" fontId="23" fillId="0" borderId="382" xfId="53" applyFont="1" applyFill="1" applyBorder="1" applyAlignment="1" applyProtection="1">
      <alignment horizontal="right" vertical="center"/>
    </xf>
    <xf numFmtId="0" fontId="23" fillId="0" borderId="383" xfId="53" applyFont="1" applyFill="1" applyBorder="1" applyAlignment="1" applyProtection="1">
      <alignment horizontal="right" vertical="center"/>
    </xf>
    <xf numFmtId="49" fontId="35" fillId="45" borderId="216" xfId="0" applyNumberFormat="1" applyFont="1" applyFill="1" applyBorder="1" applyAlignment="1" applyProtection="1">
      <alignment horizontal="center" vertical="center" wrapText="1"/>
    </xf>
    <xf numFmtId="49" fontId="44" fillId="33" borderId="266" xfId="0" applyNumberFormat="1" applyFont="1" applyFill="1" applyBorder="1" applyAlignment="1" applyProtection="1">
      <alignment horizontal="center" vertical="center" wrapText="1"/>
    </xf>
    <xf numFmtId="0" fontId="23" fillId="0" borderId="235" xfId="0" applyFont="1" applyFill="1" applyBorder="1" applyAlignment="1" applyProtection="1">
      <alignment horizontal="left" vertical="center"/>
    </xf>
    <xf numFmtId="0" fontId="23" fillId="0" borderId="275" xfId="0" applyFont="1" applyFill="1" applyBorder="1" applyAlignment="1" applyProtection="1">
      <alignment horizontal="left" vertical="center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0" fontId="23" fillId="0" borderId="234" xfId="0" applyFont="1" applyFill="1" applyBorder="1" applyAlignment="1" applyProtection="1">
      <alignment horizontal="left" vertical="center"/>
    </xf>
    <xf numFmtId="0" fontId="23" fillId="0" borderId="274" xfId="0" applyFont="1" applyFill="1" applyBorder="1" applyAlignment="1" applyProtection="1">
      <alignment horizontal="left" vertical="center"/>
    </xf>
    <xf numFmtId="0" fontId="23" fillId="0" borderId="237" xfId="0" applyFont="1" applyFill="1" applyBorder="1" applyAlignment="1" applyProtection="1">
      <alignment horizontal="left" vertical="center"/>
    </xf>
    <xf numFmtId="0" fontId="23" fillId="0" borderId="273" xfId="0" applyFont="1" applyFill="1" applyBorder="1" applyAlignment="1" applyProtection="1">
      <alignment horizontal="left" vertical="center"/>
    </xf>
    <xf numFmtId="49" fontId="44" fillId="27" borderId="266" xfId="0" applyNumberFormat="1" applyFont="1" applyFill="1" applyBorder="1" applyAlignment="1" applyProtection="1">
      <alignment horizontal="center" vertical="center" wrapText="1"/>
    </xf>
    <xf numFmtId="0" fontId="23" fillId="0" borderId="4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371" xfId="0" applyFont="1" applyFill="1" applyBorder="1" applyAlignment="1" applyProtection="1">
      <alignment horizontal="left" vertical="center"/>
    </xf>
    <xf numFmtId="0" fontId="23" fillId="0" borderId="323" xfId="0" applyFont="1" applyFill="1" applyBorder="1" applyAlignment="1" applyProtection="1">
      <alignment horizontal="left" vertical="center"/>
    </xf>
    <xf numFmtId="0" fontId="81" fillId="31" borderId="220" xfId="0" applyFont="1" applyFill="1" applyBorder="1" applyAlignment="1" applyProtection="1">
      <alignment horizontal="center" vertical="center"/>
    </xf>
    <xf numFmtId="0" fontId="81" fillId="31" borderId="221" xfId="0" applyFont="1" applyFill="1" applyBorder="1" applyAlignment="1" applyProtection="1">
      <alignment horizontal="center" vertical="center"/>
    </xf>
    <xf numFmtId="0" fontId="81" fillId="31" borderId="222" xfId="0" applyFont="1" applyFill="1" applyBorder="1" applyAlignment="1" applyProtection="1">
      <alignment horizontal="center" vertical="center"/>
    </xf>
    <xf numFmtId="0" fontId="26" fillId="0" borderId="276" xfId="53" applyFont="1" applyFill="1" applyBorder="1" applyAlignment="1" applyProtection="1">
      <alignment horizontal="left" vertical="center"/>
    </xf>
    <xf numFmtId="0" fontId="26" fillId="0" borderId="391" xfId="0" applyFont="1" applyFill="1" applyBorder="1" applyAlignment="1" applyProtection="1">
      <alignment horizontal="left" vertical="center"/>
    </xf>
    <xf numFmtId="0" fontId="66" fillId="25" borderId="216" xfId="0" applyFont="1" applyFill="1" applyBorder="1" applyAlignment="1" applyProtection="1">
      <alignment horizontal="center" vertical="center" wrapText="1"/>
    </xf>
    <xf numFmtId="49" fontId="66" fillId="34" borderId="217" xfId="53" applyNumberFormat="1" applyFont="1" applyFill="1" applyBorder="1" applyAlignment="1" applyProtection="1">
      <alignment horizontal="center" vertical="center" wrapText="1"/>
    </xf>
    <xf numFmtId="49" fontId="66" fillId="34" borderId="219" xfId="53" applyNumberFormat="1" applyFont="1" applyFill="1" applyBorder="1" applyAlignment="1" applyProtection="1">
      <alignment horizontal="center" vertical="center" wrapText="1"/>
    </xf>
    <xf numFmtId="49" fontId="66" fillId="34" borderId="218" xfId="53" applyNumberFormat="1" applyFont="1" applyFill="1" applyBorder="1" applyAlignment="1" applyProtection="1">
      <alignment horizontal="center" vertical="center" wrapText="1"/>
    </xf>
    <xf numFmtId="0" fontId="23" fillId="0" borderId="371" xfId="0" applyFont="1" applyBorder="1" applyAlignment="1" applyProtection="1">
      <alignment horizontal="left" vertical="center"/>
    </xf>
    <xf numFmtId="0" fontId="23" fillId="0" borderId="323" xfId="0" applyFont="1" applyBorder="1" applyAlignment="1" applyProtection="1">
      <alignment horizontal="left" vertical="center"/>
    </xf>
    <xf numFmtId="49" fontId="66" fillId="34" borderId="266" xfId="53" applyNumberFormat="1" applyFont="1" applyFill="1" applyBorder="1" applyAlignment="1" applyProtection="1">
      <alignment horizontal="center" vertical="center" wrapText="1"/>
    </xf>
    <xf numFmtId="0" fontId="23" fillId="0" borderId="322" xfId="0" applyFont="1" applyBorder="1" applyAlignment="1" applyProtection="1">
      <alignment horizontal="left" vertical="center"/>
    </xf>
    <xf numFmtId="0" fontId="35" fillId="25" borderId="266" xfId="0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35" fillId="40" borderId="298" xfId="0" applyFont="1" applyFill="1" applyBorder="1" applyAlignment="1" applyProtection="1">
      <alignment horizontal="center" vertical="center" wrapText="1"/>
    </xf>
    <xf numFmtId="49" fontId="44" fillId="31" borderId="303" xfId="53" applyNumberFormat="1" applyFont="1" applyFill="1" applyBorder="1" applyAlignment="1" applyProtection="1">
      <alignment horizontal="center" vertical="center" wrapText="1"/>
    </xf>
    <xf numFmtId="49" fontId="44" fillId="31" borderId="293" xfId="53" applyNumberFormat="1" applyFont="1" applyFill="1" applyBorder="1" applyAlignment="1" applyProtection="1">
      <alignment horizontal="center" vertical="center" wrapText="1"/>
    </xf>
    <xf numFmtId="49" fontId="44" fillId="33" borderId="303" xfId="53" applyNumberFormat="1" applyFont="1" applyFill="1" applyBorder="1" applyAlignment="1" applyProtection="1">
      <alignment horizontal="center" vertical="center" wrapText="1"/>
    </xf>
    <xf numFmtId="49" fontId="44" fillId="33" borderId="292" xfId="53" applyNumberFormat="1" applyFont="1" applyFill="1" applyBorder="1" applyAlignment="1" applyProtection="1">
      <alignment horizontal="center" vertical="center" wrapText="1"/>
    </xf>
    <xf numFmtId="49" fontId="44" fillId="33" borderId="293" xfId="53" applyNumberFormat="1" applyFont="1" applyFill="1" applyBorder="1" applyAlignment="1" applyProtection="1">
      <alignment horizontal="center" vertical="center" wrapText="1"/>
    </xf>
    <xf numFmtId="49" fontId="35" fillId="35" borderId="298" xfId="53" applyNumberFormat="1" applyFont="1" applyFill="1" applyBorder="1" applyAlignment="1" applyProtection="1">
      <alignment horizontal="center" vertical="center" wrapText="1"/>
    </xf>
    <xf numFmtId="0" fontId="82" fillId="39" borderId="298" xfId="0" applyFont="1" applyFill="1" applyBorder="1" applyAlignment="1" applyProtection="1">
      <alignment horizontal="center" vertical="center" wrapText="1"/>
    </xf>
    <xf numFmtId="0" fontId="66" fillId="39" borderId="298" xfId="0" applyFont="1" applyFill="1" applyBorder="1" applyAlignment="1" applyProtection="1">
      <alignment horizontal="center" vertical="center" wrapText="1"/>
    </xf>
    <xf numFmtId="49" fontId="35" fillId="31" borderId="298" xfId="53" applyNumberFormat="1" applyFont="1" applyFill="1" applyBorder="1" applyAlignment="1" applyProtection="1">
      <alignment horizontal="center" vertical="center" wrapText="1"/>
    </xf>
    <xf numFmtId="49" fontId="35" fillId="35" borderId="362" xfId="53" applyNumberFormat="1" applyFont="1" applyFill="1" applyBorder="1" applyAlignment="1" applyProtection="1">
      <alignment horizontal="center" vertical="center" wrapText="1"/>
    </xf>
    <xf numFmtId="49" fontId="35" fillId="45" borderId="298" xfId="53" applyNumberFormat="1" applyFont="1" applyFill="1" applyBorder="1" applyAlignment="1" applyProtection="1">
      <alignment horizontal="center" vertical="center" wrapText="1"/>
    </xf>
    <xf numFmtId="49" fontId="44" fillId="33" borderId="294" xfId="53" applyNumberFormat="1" applyFont="1" applyFill="1" applyBorder="1" applyAlignment="1" applyProtection="1">
      <alignment horizontal="center" vertical="center"/>
    </xf>
    <xf numFmtId="49" fontId="44" fillId="33" borderId="296" xfId="53" applyNumberFormat="1" applyFont="1" applyFill="1" applyBorder="1" applyAlignment="1" applyProtection="1">
      <alignment horizontal="center" vertical="center"/>
    </xf>
    <xf numFmtId="49" fontId="44" fillId="33" borderId="295" xfId="53" applyNumberFormat="1" applyFont="1" applyFill="1" applyBorder="1" applyAlignment="1" applyProtection="1">
      <alignment horizontal="center" vertical="center"/>
    </xf>
    <xf numFmtId="49" fontId="44" fillId="31" borderId="294" xfId="53" applyNumberFormat="1" applyFont="1" applyFill="1" applyBorder="1" applyAlignment="1" applyProtection="1">
      <alignment horizontal="center" vertical="center"/>
    </xf>
    <xf numFmtId="49" fontId="44" fillId="31" borderId="296" xfId="53" applyNumberFormat="1" applyFont="1" applyFill="1" applyBorder="1" applyAlignment="1" applyProtection="1">
      <alignment horizontal="center" vertical="center"/>
    </xf>
    <xf numFmtId="49" fontId="44" fillId="31" borderId="295" xfId="53" applyNumberFormat="1" applyFont="1" applyFill="1" applyBorder="1" applyAlignment="1" applyProtection="1">
      <alignment horizontal="center" vertical="center"/>
    </xf>
    <xf numFmtId="49" fontId="35" fillId="46" borderId="298" xfId="53" applyNumberFormat="1" applyFont="1" applyFill="1" applyBorder="1" applyAlignment="1" applyProtection="1">
      <alignment horizontal="center" vertical="center" wrapText="1"/>
    </xf>
    <xf numFmtId="49" fontId="35" fillId="54" borderId="397" xfId="53" applyNumberFormat="1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0" fontId="35" fillId="34" borderId="266" xfId="252" applyFont="1" applyFill="1" applyBorder="1" applyAlignment="1" applyProtection="1">
      <alignment horizontal="center" vertical="center" wrapText="1"/>
    </xf>
    <xf numFmtId="49" fontId="35" fillId="39" borderId="41" xfId="53" applyNumberFormat="1" applyFont="1" applyFill="1" applyBorder="1" applyAlignment="1" applyProtection="1">
      <alignment horizontal="center" vertical="center" wrapText="1"/>
    </xf>
    <xf numFmtId="49" fontId="35" fillId="39" borderId="385" xfId="53" applyNumberFormat="1" applyFont="1" applyFill="1" applyBorder="1" applyAlignment="1" applyProtection="1">
      <alignment horizontal="center" vertical="center" wrapText="1"/>
    </xf>
    <xf numFmtId="49" fontId="35" fillId="45" borderId="267" xfId="53" applyNumberFormat="1" applyFont="1" applyFill="1" applyBorder="1" applyAlignment="1" applyProtection="1">
      <alignment horizontal="center" vertical="center" wrapText="1"/>
    </xf>
    <xf numFmtId="49" fontId="35" fillId="45" borderId="198" xfId="53" applyNumberFormat="1" applyFont="1" applyFill="1" applyBorder="1" applyAlignment="1" applyProtection="1">
      <alignment horizontal="center" vertical="center" wrapText="1"/>
    </xf>
    <xf numFmtId="10" fontId="44" fillId="33" borderId="266" xfId="48" applyNumberFormat="1" applyFont="1" applyFill="1" applyBorder="1" applyAlignment="1" applyProtection="1">
      <alignment horizontal="center" vertical="center" wrapText="1"/>
    </xf>
    <xf numFmtId="49" fontId="44" fillId="33" borderId="266" xfId="53" applyNumberFormat="1" applyFont="1" applyFill="1" applyBorder="1" applyAlignment="1" applyProtection="1">
      <alignment horizontal="center" vertical="center"/>
    </xf>
    <xf numFmtId="49" fontId="35" fillId="31" borderId="266" xfId="53" applyNumberFormat="1" applyFont="1" applyFill="1" applyBorder="1" applyAlignment="1" applyProtection="1">
      <alignment horizontal="center" vertical="center" wrapText="1"/>
    </xf>
    <xf numFmtId="49" fontId="73" fillId="54" borderId="266" xfId="53" applyNumberFormat="1" applyFont="1" applyFill="1" applyBorder="1" applyAlignment="1" applyProtection="1">
      <alignment horizontal="center" vertical="center" wrapText="1"/>
    </xf>
    <xf numFmtId="0" fontId="26" fillId="0" borderId="364" xfId="53" applyFont="1" applyFill="1" applyBorder="1" applyAlignment="1" applyProtection="1">
      <alignment horizontal="left" vertical="center"/>
    </xf>
    <xf numFmtId="0" fontId="26" fillId="0" borderId="363" xfId="53" applyFont="1" applyFill="1" applyBorder="1" applyAlignment="1" applyProtection="1">
      <alignment horizontal="left" vertical="center"/>
    </xf>
    <xf numFmtId="0" fontId="66" fillId="39" borderId="266" xfId="0" applyFont="1" applyFill="1" applyBorder="1" applyAlignment="1" applyProtection="1">
      <alignment horizontal="center" vertical="center" wrapText="1"/>
    </xf>
    <xf numFmtId="49" fontId="35" fillId="31" borderId="266" xfId="53" applyNumberFormat="1" applyFont="1" applyFill="1" applyBorder="1" applyAlignment="1" applyProtection="1">
      <alignment horizontal="center" vertical="center"/>
    </xf>
    <xf numFmtId="0" fontId="66" fillId="39" borderId="271" xfId="53" applyFont="1" applyFill="1" applyBorder="1" applyAlignment="1" applyProtection="1">
      <alignment horizontal="center" vertical="center" wrapText="1"/>
    </xf>
    <xf numFmtId="0" fontId="66" fillId="39" borderId="272" xfId="53" applyFont="1" applyFill="1" applyBorder="1" applyAlignment="1" applyProtection="1">
      <alignment horizontal="center" vertical="center" wrapText="1"/>
    </xf>
    <xf numFmtId="0" fontId="66" fillId="39" borderId="40" xfId="53" applyFont="1" applyFill="1" applyBorder="1" applyAlignment="1" applyProtection="1">
      <alignment horizontal="center" vertical="center" wrapText="1"/>
    </xf>
    <xf numFmtId="0" fontId="66" fillId="39" borderId="22" xfId="53" applyFont="1" applyFill="1" applyBorder="1" applyAlignment="1" applyProtection="1">
      <alignment horizontal="center" vertical="center" wrapText="1"/>
    </xf>
    <xf numFmtId="0" fontId="66" fillId="39" borderId="197" xfId="53" applyFont="1" applyFill="1" applyBorder="1" applyAlignment="1" applyProtection="1">
      <alignment horizontal="center" vertical="center" wrapText="1"/>
    </xf>
    <xf numFmtId="0" fontId="66" fillId="39" borderId="29" xfId="53" applyFont="1" applyFill="1" applyBorder="1" applyAlignment="1" applyProtection="1">
      <alignment horizontal="center" vertical="center" wrapText="1"/>
    </xf>
    <xf numFmtId="0" fontId="66" fillId="39" borderId="382" xfId="53" applyFont="1" applyFill="1" applyBorder="1" applyAlignment="1" applyProtection="1">
      <alignment horizontal="center" vertical="center" wrapText="1"/>
    </xf>
    <xf numFmtId="0" fontId="66" fillId="39" borderId="383" xfId="53" applyFont="1" applyFill="1" applyBorder="1" applyAlignment="1" applyProtection="1">
      <alignment horizontal="center" vertical="center" wrapText="1"/>
    </xf>
    <xf numFmtId="0" fontId="66" fillId="39" borderId="385" xfId="53" applyFont="1" applyFill="1" applyBorder="1" applyAlignment="1" applyProtection="1">
      <alignment horizontal="center" vertical="center" wrapText="1"/>
    </xf>
    <xf numFmtId="49" fontId="44" fillId="33" borderId="268" xfId="53" applyNumberFormat="1" applyFont="1" applyFill="1" applyBorder="1" applyAlignment="1" applyProtection="1">
      <alignment horizontal="center" vertical="center"/>
    </xf>
    <xf numFmtId="49" fontId="44" fillId="33" borderId="270" xfId="53" applyNumberFormat="1" applyFont="1" applyFill="1" applyBorder="1" applyAlignment="1" applyProtection="1">
      <alignment horizontal="center" vertical="center"/>
    </xf>
    <xf numFmtId="49" fontId="44" fillId="33" borderId="269" xfId="53" applyNumberFormat="1" applyFont="1" applyFill="1" applyBorder="1" applyAlignment="1" applyProtection="1">
      <alignment horizontal="center" vertical="center"/>
    </xf>
    <xf numFmtId="0" fontId="35" fillId="25" borderId="215" xfId="0" applyFont="1" applyFill="1" applyBorder="1" applyAlignment="1" applyProtection="1">
      <alignment horizontal="center" vertical="center" wrapText="1"/>
    </xf>
    <xf numFmtId="0" fontId="35" fillId="25" borderId="41" xfId="0" applyFont="1" applyFill="1" applyBorder="1" applyAlignment="1" applyProtection="1">
      <alignment horizontal="center" vertical="center" wrapText="1"/>
    </xf>
    <xf numFmtId="0" fontId="78" fillId="40" borderId="217" xfId="0" applyFont="1" applyFill="1" applyBorder="1" applyAlignment="1" applyProtection="1">
      <alignment horizontal="center" vertical="center" wrapText="1"/>
    </xf>
    <xf numFmtId="0" fontId="78" fillId="40" borderId="219" xfId="0" applyFont="1" applyFill="1" applyBorder="1" applyAlignment="1" applyProtection="1">
      <alignment horizontal="center" vertical="center" wrapText="1"/>
    </xf>
    <xf numFmtId="0" fontId="78" fillId="40" borderId="218" xfId="0" applyFont="1" applyFill="1" applyBorder="1" applyAlignment="1" applyProtection="1">
      <alignment horizontal="center" vertical="center" wrapText="1"/>
    </xf>
    <xf numFmtId="0" fontId="35" fillId="46" borderId="216" xfId="0" applyFont="1" applyFill="1" applyBorder="1" applyAlignment="1" applyProtection="1">
      <alignment horizontal="center" vertical="center" wrapText="1"/>
    </xf>
    <xf numFmtId="0" fontId="35" fillId="45" borderId="216" xfId="0" applyFont="1" applyFill="1" applyBorder="1" applyAlignment="1" applyProtection="1">
      <alignment horizontal="center" vertical="center" wrapText="1"/>
    </xf>
    <xf numFmtId="0" fontId="78" fillId="33" borderId="217" xfId="0" applyFont="1" applyFill="1" applyBorder="1" applyAlignment="1" applyProtection="1">
      <alignment horizontal="center" vertical="center" wrapText="1"/>
    </xf>
    <xf numFmtId="0" fontId="78" fillId="33" borderId="219" xfId="0" applyFont="1" applyFill="1" applyBorder="1" applyAlignment="1" applyProtection="1">
      <alignment horizontal="center" vertical="center" wrapText="1"/>
    </xf>
    <xf numFmtId="0" fontId="78" fillId="33" borderId="218" xfId="0" applyFont="1" applyFill="1" applyBorder="1" applyAlignment="1" applyProtection="1">
      <alignment horizontal="center" vertical="center" wrapText="1"/>
    </xf>
    <xf numFmtId="0" fontId="35" fillId="34" borderId="215" xfId="0" applyFont="1" applyFill="1" applyBorder="1" applyAlignment="1" applyProtection="1">
      <alignment horizontal="center" vertical="center" wrapText="1"/>
    </xf>
    <xf numFmtId="0" fontId="35" fillId="34" borderId="41" xfId="0" applyFont="1" applyFill="1" applyBorder="1" applyAlignment="1" applyProtection="1">
      <alignment horizontal="center" vertical="center" wrapText="1"/>
    </xf>
    <xf numFmtId="0" fontId="35" fillId="34" borderId="198" xfId="0" applyFont="1" applyFill="1" applyBorder="1" applyAlignment="1" applyProtection="1">
      <alignment horizontal="center" vertical="center" wrapText="1"/>
    </xf>
    <xf numFmtId="0" fontId="85" fillId="27" borderId="18" xfId="0" applyFont="1" applyFill="1" applyBorder="1" applyAlignment="1" applyProtection="1">
      <alignment horizontal="center" vertical="center"/>
    </xf>
    <xf numFmtId="0" fontId="85" fillId="27" borderId="23" xfId="0" applyFont="1" applyFill="1" applyBorder="1" applyAlignment="1" applyProtection="1">
      <alignment horizontal="center" vertical="center"/>
    </xf>
    <xf numFmtId="0" fontId="85" fillId="27" borderId="21" xfId="0" applyFont="1" applyFill="1" applyBorder="1" applyAlignment="1" applyProtection="1">
      <alignment horizontal="center" vertical="center"/>
    </xf>
    <xf numFmtId="0" fontId="35" fillId="25" borderId="15" xfId="0" applyFont="1" applyFill="1" applyBorder="1" applyAlignment="1" applyProtection="1">
      <alignment horizontal="center" vertical="center" wrapText="1"/>
    </xf>
    <xf numFmtId="0" fontId="77" fillId="25" borderId="15" xfId="0" applyFont="1" applyFill="1" applyBorder="1" applyAlignment="1" applyProtection="1">
      <alignment horizontal="center" vertical="center" wrapText="1"/>
    </xf>
    <xf numFmtId="0" fontId="30" fillId="25" borderId="10" xfId="0" applyFont="1" applyFill="1" applyBorder="1" applyAlignment="1" applyProtection="1">
      <alignment horizontal="center" vertical="center" wrapText="1"/>
    </xf>
    <xf numFmtId="0" fontId="30" fillId="25" borderId="11" xfId="0" applyFont="1" applyFill="1" applyBorder="1" applyAlignment="1" applyProtection="1">
      <alignment horizontal="center" vertical="center" wrapText="1"/>
    </xf>
    <xf numFmtId="0" fontId="30" fillId="25" borderId="13" xfId="0" applyFont="1" applyFill="1" applyBorder="1" applyAlignment="1" applyProtection="1">
      <alignment horizontal="center" vertical="center"/>
    </xf>
    <xf numFmtId="0" fontId="85" fillId="27" borderId="18" xfId="0" applyFont="1" applyFill="1" applyBorder="1" applyAlignment="1" applyProtection="1">
      <alignment horizontal="center" vertical="center" wrapText="1"/>
    </xf>
    <xf numFmtId="0" fontId="85" fillId="27" borderId="21" xfId="0" applyFont="1" applyFill="1" applyBorder="1" applyAlignment="1" applyProtection="1">
      <alignment horizontal="center" vertical="center" wrapText="1"/>
    </xf>
    <xf numFmtId="0" fontId="85" fillId="27" borderId="18" xfId="0" quotePrefix="1" applyFont="1" applyFill="1" applyBorder="1" applyAlignment="1" applyProtection="1">
      <alignment horizontal="center" vertical="center"/>
    </xf>
    <xf numFmtId="0" fontId="85" fillId="27" borderId="23" xfId="0" quotePrefix="1" applyFont="1" applyFill="1" applyBorder="1" applyAlignment="1" applyProtection="1">
      <alignment horizontal="center" vertical="center"/>
    </xf>
    <xf numFmtId="0" fontId="46" fillId="0" borderId="23" xfId="0" applyFont="1" applyBorder="1" applyAlignment="1" applyProtection="1">
      <alignment horizontal="center" vertical="center"/>
    </xf>
    <xf numFmtId="0" fontId="46" fillId="0" borderId="21" xfId="0" applyFont="1" applyBorder="1" applyAlignment="1" applyProtection="1">
      <alignment horizontal="center"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0" fontId="35" fillId="25" borderId="13" xfId="0" applyFont="1" applyFill="1" applyBorder="1" applyAlignment="1" applyProtection="1">
      <alignment horizontal="center" vertical="center" wrapText="1"/>
    </xf>
    <xf numFmtId="0" fontId="98" fillId="31" borderId="267" xfId="0" applyFont="1" applyFill="1" applyBorder="1" applyAlignment="1" applyProtection="1">
      <alignment horizontal="center" vertical="center" wrapText="1"/>
    </xf>
    <xf numFmtId="0" fontId="98" fillId="31" borderId="41" xfId="0" applyFont="1" applyFill="1" applyBorder="1" applyAlignment="1" applyProtection="1">
      <alignment vertical="center"/>
    </xf>
    <xf numFmtId="0" fontId="98" fillId="31" borderId="198" xfId="0" applyFont="1" applyFill="1" applyBorder="1" applyAlignment="1" applyProtection="1">
      <alignment vertical="center"/>
    </xf>
    <xf numFmtId="0" fontId="98" fillId="31" borderId="10" xfId="0" applyFont="1" applyFill="1" applyBorder="1" applyAlignment="1" applyProtection="1">
      <alignment horizontal="center" vertical="center" wrapText="1"/>
    </xf>
    <xf numFmtId="0" fontId="98" fillId="31" borderId="11" xfId="0" applyFont="1" applyFill="1" applyBorder="1" applyAlignment="1" applyProtection="1">
      <alignment horizontal="center" vertical="center" wrapText="1"/>
    </xf>
    <xf numFmtId="0" fontId="98" fillId="31" borderId="13" xfId="0" applyFont="1" applyFill="1" applyBorder="1" applyAlignment="1" applyProtection="1">
      <alignment horizontal="center" vertical="center"/>
    </xf>
    <xf numFmtId="0" fontId="30" fillId="25" borderId="215" xfId="0" applyFont="1" applyFill="1" applyBorder="1" applyAlignment="1" applyProtection="1">
      <alignment horizontal="center" vertical="center" wrapText="1"/>
    </xf>
    <xf numFmtId="0" fontId="30" fillId="25" borderId="41" xfId="0" applyFont="1" applyFill="1" applyBorder="1" applyAlignment="1" applyProtection="1">
      <alignment horizontal="center" vertical="center" wrapText="1"/>
    </xf>
    <xf numFmtId="0" fontId="30" fillId="25" borderId="198" xfId="0" applyFont="1" applyFill="1" applyBorder="1" applyAlignment="1" applyProtection="1">
      <alignment horizontal="center" vertical="center" wrapText="1"/>
    </xf>
    <xf numFmtId="0" fontId="44" fillId="25" borderId="298" xfId="53" applyFont="1" applyFill="1" applyBorder="1" applyAlignment="1" applyProtection="1">
      <alignment horizontal="center" vertical="center" wrapText="1"/>
    </xf>
    <xf numFmtId="0" fontId="35" fillId="25" borderId="298" xfId="53" applyFont="1" applyFill="1" applyBorder="1" applyAlignment="1" applyProtection="1">
      <alignment horizontal="center" vertical="center" wrapText="1"/>
    </xf>
    <xf numFmtId="0" fontId="35" fillId="53" borderId="298" xfId="53" applyFont="1" applyFill="1" applyBorder="1" applyAlignment="1" applyProtection="1">
      <alignment horizontal="center" vertical="center" wrapText="1"/>
    </xf>
    <xf numFmtId="0" fontId="81" fillId="55" borderId="387" xfId="70" applyFont="1" applyFill="1" applyBorder="1" applyAlignment="1" applyProtection="1">
      <alignment horizontal="center" vertical="center" wrapText="1"/>
    </xf>
    <xf numFmtId="0" fontId="81" fillId="55" borderId="386" xfId="70" applyFont="1" applyFill="1" applyBorder="1" applyAlignment="1" applyProtection="1">
      <alignment horizontal="center" vertical="center" wrapText="1"/>
    </xf>
    <xf numFmtId="0" fontId="81" fillId="55" borderId="388" xfId="70" applyFont="1" applyFill="1" applyBorder="1" applyAlignment="1" applyProtection="1">
      <alignment horizontal="center" vertical="center" wrapText="1"/>
    </xf>
    <xf numFmtId="0" fontId="77" fillId="42" borderId="298" xfId="47833" applyFont="1" applyFill="1" applyBorder="1" applyAlignment="1" applyProtection="1">
      <alignment horizontal="center" vertical="center" wrapText="1"/>
    </xf>
    <xf numFmtId="0" fontId="81" fillId="56" borderId="298" xfId="70" applyFont="1" applyFill="1" applyBorder="1" applyAlignment="1" applyProtection="1">
      <alignment horizontal="center" vertical="center" wrapText="1"/>
    </xf>
    <xf numFmtId="0" fontId="81" fillId="57" borderId="298" xfId="70" applyFont="1" applyFill="1" applyBorder="1" applyAlignment="1" applyProtection="1">
      <alignment horizontal="center" vertical="center" wrapText="1"/>
    </xf>
    <xf numFmtId="0" fontId="81" fillId="0" borderId="268" xfId="47830" applyFont="1" applyBorder="1" applyAlignment="1">
      <alignment horizontal="center" vertical="center" wrapText="1"/>
    </xf>
    <xf numFmtId="0" fontId="81" fillId="0" borderId="270" xfId="47830" applyFont="1" applyBorder="1" applyAlignment="1">
      <alignment horizontal="center" vertical="center"/>
    </xf>
    <xf numFmtId="0" fontId="81" fillId="0" borderId="269" xfId="47830" applyFont="1" applyBorder="1" applyAlignment="1">
      <alignment horizontal="center" vertical="center"/>
    </xf>
    <xf numFmtId="0" fontId="77" fillId="35" borderId="393" xfId="64" applyFont="1" applyFill="1" applyBorder="1" applyAlignment="1">
      <alignment horizontal="center" vertical="center" wrapText="1"/>
    </xf>
    <xf numFmtId="0" fontId="81" fillId="25" borderId="393" xfId="64" applyFont="1" applyFill="1" applyBorder="1" applyAlignment="1" applyProtection="1">
      <alignment horizontal="center" vertical="center" wrapText="1"/>
    </xf>
    <xf numFmtId="0" fontId="77" fillId="42" borderId="393" xfId="58" applyFont="1" applyFill="1" applyBorder="1" applyAlignment="1">
      <alignment horizontal="center" vertical="center" wrapText="1"/>
    </xf>
    <xf numFmtId="0" fontId="77" fillId="42" borderId="393" xfId="58" applyFont="1" applyFill="1" applyBorder="1" applyAlignment="1">
      <alignment horizontal="center" vertical="center"/>
    </xf>
    <xf numFmtId="0" fontId="77" fillId="33" borderId="393" xfId="58" applyFont="1" applyFill="1" applyBorder="1" applyAlignment="1">
      <alignment horizontal="center" vertical="center" wrapText="1"/>
    </xf>
    <xf numFmtId="0" fontId="77" fillId="45" borderId="393" xfId="64" applyFont="1" applyFill="1" applyBorder="1" applyAlignment="1">
      <alignment horizontal="center" vertical="center" wrapText="1"/>
    </xf>
    <xf numFmtId="0" fontId="26" fillId="25" borderId="298" xfId="64" applyFont="1" applyFill="1" applyBorder="1" applyAlignment="1" applyProtection="1">
      <alignment horizontal="center" vertical="center" wrapText="1"/>
    </xf>
    <xf numFmtId="0" fontId="26" fillId="25" borderId="271" xfId="0" applyFont="1" applyFill="1" applyBorder="1" applyAlignment="1">
      <alignment horizontal="center" vertical="center" wrapText="1"/>
    </xf>
    <xf numFmtId="0" fontId="26" fillId="25" borderId="272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/>
    </xf>
    <xf numFmtId="0" fontId="26" fillId="25" borderId="266" xfId="0" applyFont="1" applyFill="1" applyBorder="1" applyAlignment="1">
      <alignment horizontal="center" vertical="center" wrapText="1"/>
    </xf>
    <xf numFmtId="0" fontId="47" fillId="31" borderId="268" xfId="0" applyFont="1" applyFill="1" applyBorder="1" applyAlignment="1">
      <alignment horizontal="center" vertical="center"/>
    </xf>
    <xf numFmtId="0" fontId="47" fillId="31" borderId="270" xfId="0" applyFont="1" applyFill="1" applyBorder="1" applyAlignment="1">
      <alignment horizontal="center" vertical="center"/>
    </xf>
    <xf numFmtId="0" fontId="47" fillId="31" borderId="269" xfId="0" applyFont="1" applyFill="1" applyBorder="1" applyAlignment="1">
      <alignment horizontal="center" vertical="center"/>
    </xf>
    <xf numFmtId="0" fontId="47" fillId="40" borderId="268" xfId="0" applyFont="1" applyFill="1" applyBorder="1" applyAlignment="1">
      <alignment horizontal="center" vertical="center"/>
    </xf>
    <xf numFmtId="0" fontId="47" fillId="40" borderId="270" xfId="0" applyFont="1" applyFill="1" applyBorder="1" applyAlignment="1">
      <alignment horizontal="center" vertical="center"/>
    </xf>
    <xf numFmtId="0" fontId="47" fillId="40" borderId="269" xfId="0" applyFont="1" applyFill="1" applyBorder="1" applyAlignment="1">
      <alignment horizontal="center" vertical="center"/>
    </xf>
    <xf numFmtId="0" fontId="47" fillId="51" borderId="268" xfId="0" applyFont="1" applyFill="1" applyBorder="1" applyAlignment="1">
      <alignment horizontal="center" vertical="center"/>
    </xf>
    <xf numFmtId="0" fontId="47" fillId="51" borderId="270" xfId="0" applyFont="1" applyFill="1" applyBorder="1" applyAlignment="1">
      <alignment horizontal="center" vertical="center"/>
    </xf>
    <xf numFmtId="0" fontId="47" fillId="51" borderId="269" xfId="0" applyFont="1" applyFill="1" applyBorder="1" applyAlignment="1">
      <alignment horizontal="center" vertical="center"/>
    </xf>
    <xf numFmtId="0" fontId="47" fillId="33" borderId="268" xfId="0" applyFont="1" applyFill="1" applyBorder="1" applyAlignment="1">
      <alignment horizontal="center" vertical="center"/>
    </xf>
    <xf numFmtId="0" fontId="47" fillId="33" borderId="270" xfId="0" applyFont="1" applyFill="1" applyBorder="1" applyAlignment="1">
      <alignment horizontal="center" vertical="center"/>
    </xf>
    <xf numFmtId="0" fontId="47" fillId="33" borderId="269" xfId="0" applyFont="1" applyFill="1" applyBorder="1" applyAlignment="1">
      <alignment horizontal="center" vertical="center"/>
    </xf>
    <xf numFmtId="0" fontId="47" fillId="34" borderId="268" xfId="0" applyFont="1" applyFill="1" applyBorder="1" applyAlignment="1">
      <alignment horizontal="center" vertical="center"/>
    </xf>
    <xf numFmtId="0" fontId="47" fillId="34" borderId="270" xfId="0" applyFont="1" applyFill="1" applyBorder="1" applyAlignment="1">
      <alignment horizontal="center" vertical="center"/>
    </xf>
    <xf numFmtId="0" fontId="47" fillId="34" borderId="269" xfId="0" applyFont="1" applyFill="1" applyBorder="1" applyAlignment="1">
      <alignment horizontal="center" vertical="center"/>
    </xf>
    <xf numFmtId="0" fontId="26" fillId="28" borderId="266" xfId="0" applyFont="1" applyFill="1" applyBorder="1" applyAlignment="1">
      <alignment horizontal="center" vertical="center" wrapText="1"/>
    </xf>
    <xf numFmtId="166" fontId="23" fillId="0" borderId="0" xfId="0" applyNumberFormat="1" applyFont="1" applyFill="1" applyBorder="1" applyAlignment="1">
      <alignment horizontal="right"/>
    </xf>
    <xf numFmtId="6" fontId="23" fillId="0" borderId="287" xfId="0" applyNumberFormat="1" applyFont="1" applyFill="1" applyBorder="1" applyAlignment="1">
      <alignment horizontal="right"/>
    </xf>
    <xf numFmtId="0" fontId="44" fillId="25" borderId="382" xfId="53" applyFont="1" applyFill="1" applyBorder="1" applyAlignment="1" applyProtection="1">
      <alignment horizontal="center" vertical="center" wrapText="1"/>
    </xf>
    <xf numFmtId="0" fontId="44" fillId="25" borderId="383" xfId="53" applyFont="1" applyFill="1" applyBorder="1" applyAlignment="1" applyProtection="1">
      <alignment horizontal="center" vertical="center" wrapText="1"/>
    </xf>
    <xf numFmtId="0" fontId="44" fillId="25" borderId="385" xfId="53" applyFont="1" applyFill="1" applyBorder="1" applyAlignment="1" applyProtection="1">
      <alignment horizontal="center" vertical="center" wrapText="1"/>
    </xf>
    <xf numFmtId="0" fontId="44" fillId="25" borderId="22" xfId="53" applyFont="1" applyFill="1" applyBorder="1" applyAlignment="1" applyProtection="1">
      <alignment horizontal="center" vertical="center" wrapText="1"/>
    </xf>
    <xf numFmtId="0" fontId="35" fillId="25" borderId="388" xfId="53" applyFont="1" applyFill="1" applyBorder="1" applyAlignment="1" applyProtection="1">
      <alignment horizontal="center" vertical="center" wrapText="1"/>
    </xf>
    <xf numFmtId="0" fontId="35" fillId="53" borderId="384" xfId="53" applyFont="1" applyFill="1" applyBorder="1" applyAlignment="1" applyProtection="1">
      <alignment horizontal="center" vertical="center" wrapText="1"/>
    </xf>
    <xf numFmtId="0" fontId="81" fillId="55" borderId="384" xfId="70" applyFont="1" applyFill="1" applyBorder="1" applyAlignment="1" applyProtection="1">
      <alignment horizontal="center" vertical="center" wrapText="1"/>
    </xf>
    <xf numFmtId="49" fontId="44" fillId="37" borderId="268" xfId="53" applyNumberFormat="1" applyFont="1" applyFill="1" applyBorder="1" applyAlignment="1" applyProtection="1">
      <alignment horizontal="center" vertical="center"/>
    </xf>
    <xf numFmtId="49" fontId="44" fillId="37" borderId="270" xfId="53" applyNumberFormat="1" applyFont="1" applyFill="1" applyBorder="1" applyAlignment="1" applyProtection="1">
      <alignment horizontal="center" vertical="center"/>
    </xf>
    <xf numFmtId="49" fontId="44" fillId="37" borderId="269" xfId="53" applyNumberFormat="1" applyFont="1" applyFill="1" applyBorder="1" applyAlignment="1" applyProtection="1">
      <alignment horizontal="center" vertical="center"/>
    </xf>
    <xf numFmtId="49" fontId="44" fillId="37" borderId="268" xfId="53" applyNumberFormat="1" applyFont="1" applyFill="1" applyBorder="1" applyAlignment="1" applyProtection="1">
      <alignment horizontal="center" vertical="center" wrapText="1"/>
    </xf>
    <xf numFmtId="49" fontId="44" fillId="37" borderId="270" xfId="53" applyNumberFormat="1" applyFont="1" applyFill="1" applyBorder="1" applyAlignment="1" applyProtection="1">
      <alignment horizontal="center" vertical="center" wrapText="1"/>
    </xf>
    <xf numFmtId="49" fontId="44" fillId="37" borderId="269" xfId="53" applyNumberFormat="1" applyFont="1" applyFill="1" applyBorder="1" applyAlignment="1" applyProtection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800080"/>
      <color rgb="FFFFFFCC"/>
      <color rgb="FFFFFF99"/>
      <color rgb="FFCCFFFF"/>
      <color rgb="FF0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22"/>
  <sheetViews>
    <sheetView view="pageBreakPreview" zoomScaleNormal="100" zoomScaleSheetLayoutView="10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62.5703125" style="8" customWidth="1"/>
    <col min="2" max="2" width="20" style="8" customWidth="1"/>
    <col min="3" max="16384" width="9.140625" style="6"/>
  </cols>
  <sheetData>
    <row r="1" spans="1:3" ht="34.5" customHeight="1" x14ac:dyDescent="0.2">
      <c r="A1" s="1270" t="s">
        <v>1277</v>
      </c>
      <c r="B1" s="1270"/>
    </row>
    <row r="2" spans="1:3" s="8" customFormat="1" ht="42.75" customHeight="1" thickBot="1" x14ac:dyDescent="0.25">
      <c r="A2" s="1271" t="s">
        <v>297</v>
      </c>
      <c r="B2" s="1271"/>
    </row>
    <row r="3" spans="1:3" s="10" customFormat="1" ht="86.25" customHeight="1" thickTop="1" thickBot="1" x14ac:dyDescent="0.25">
      <c r="A3" s="1221" t="s">
        <v>71</v>
      </c>
      <c r="B3" s="1222" t="s">
        <v>1411</v>
      </c>
    </row>
    <row r="4" spans="1:3" s="11" customFormat="1" ht="34.5" customHeight="1" thickTop="1" x14ac:dyDescent="0.2">
      <c r="A4" s="1213" t="s">
        <v>1398</v>
      </c>
      <c r="B4" s="1218">
        <f>'3_Levels 1&amp;2'!U76</f>
        <v>2546008314</v>
      </c>
    </row>
    <row r="5" spans="1:3" s="11" customFormat="1" ht="34.5" customHeight="1" x14ac:dyDescent="0.2">
      <c r="A5" s="1214" t="s">
        <v>1399</v>
      </c>
      <c r="B5" s="1219">
        <f>'3_Levels 1&amp;2'!AE76</f>
        <v>504732158</v>
      </c>
    </row>
    <row r="6" spans="1:3" s="11" customFormat="1" ht="54.75" customHeight="1" x14ac:dyDescent="0.2">
      <c r="A6" s="1215" t="s">
        <v>1404</v>
      </c>
      <c r="B6" s="1219">
        <f>'3A_Level 3'!M76</f>
        <v>724915986.00000012</v>
      </c>
    </row>
    <row r="7" spans="1:3" s="11" customFormat="1" ht="54.75" customHeight="1" x14ac:dyDescent="0.2">
      <c r="A7" s="1215" t="s">
        <v>1403</v>
      </c>
      <c r="B7" s="1219">
        <f>'4_Level 4'!$R$140</f>
        <v>57242358</v>
      </c>
      <c r="C7" s="11">
        <v>698000</v>
      </c>
    </row>
    <row r="8" spans="1:3" s="11" customFormat="1" ht="37.5" customHeight="1" x14ac:dyDescent="0.2">
      <c r="A8" s="1215" t="s">
        <v>1400</v>
      </c>
      <c r="B8" s="1219">
        <f>'5A1_Labs'!I9+'5A2_Legacy Type 2'!U14+'5A3_OJJ'!G76+'5A3_OJJ'!G77+'5A5_LSMSA'!H84+'5A4_NOCCA'!H84+'5A6_Thrive'!H84-'5C2_LAVCA'!S76-'5C3_UnvView'!S76</f>
        <v>63344722</v>
      </c>
    </row>
    <row r="9" spans="1:3" s="11" customFormat="1" ht="34.5" customHeight="1" x14ac:dyDescent="0.2">
      <c r="A9" s="1216" t="s">
        <v>1402</v>
      </c>
      <c r="B9" s="1219">
        <f>'2_State Distrib and Adjs'!AP76+'5A1_Labs'!N9+'5A2_Legacy Type 2'!AB14+'5A4_NOCCA'!M84+'5A5_LSMSA'!M84+'5A6_Thrive'!M84+'5B2_RSD LA'!S20+'5C1_New Type 2'!AB41</f>
        <v>-1807208</v>
      </c>
    </row>
    <row r="10" spans="1:3" s="11" customFormat="1" ht="34.5" customHeight="1" x14ac:dyDescent="0.2">
      <c r="A10" s="1216" t="s">
        <v>1444</v>
      </c>
      <c r="B10" s="1219">
        <f>'2_State Distrib and Adjs'!AU76+'5A1_Labs'!L9+'5A2_Legacy Type 2'!X14+'5A4_NOCCA'!K84+'5A5_LSMSA'!K84+'5A6_Thrive'!K84+'5B2_RSD LA'!M20+'5C1_New Type 2'!X41</f>
        <v>-75180630</v>
      </c>
    </row>
    <row r="11" spans="1:3" s="11" customFormat="1" ht="34.5" customHeight="1" thickBot="1" x14ac:dyDescent="0.25">
      <c r="A11" s="1217" t="s">
        <v>1401</v>
      </c>
      <c r="B11" s="1220">
        <f>SUM(B4:B10)</f>
        <v>3819255700</v>
      </c>
    </row>
    <row r="12" spans="1:3" s="1062" customFormat="1" ht="17.25" thickTop="1" x14ac:dyDescent="0.3">
      <c r="A12" s="8"/>
      <c r="B12" s="8"/>
    </row>
    <row r="13" spans="1:3" s="1062" customFormat="1" ht="16.5" x14ac:dyDescent="0.3">
      <c r="A13" s="8"/>
      <c r="B13" s="8"/>
    </row>
    <row r="14" spans="1:3" s="1062" customFormat="1" ht="16.5" x14ac:dyDescent="0.3">
      <c r="A14" s="8"/>
      <c r="B14" s="8"/>
    </row>
    <row r="15" spans="1:3" s="1062" customFormat="1" ht="16.5" x14ac:dyDescent="0.3">
      <c r="A15" s="8"/>
      <c r="B15" s="8"/>
    </row>
    <row r="16" spans="1:3" s="1062" customFormat="1" ht="16.5" x14ac:dyDescent="0.3">
      <c r="A16" s="8"/>
      <c r="B16" s="8"/>
    </row>
    <row r="17" spans="1:2" s="1062" customFormat="1" ht="16.5" x14ac:dyDescent="0.3">
      <c r="A17" s="8"/>
      <c r="B17" s="8"/>
    </row>
    <row r="18" spans="1:2" s="1062" customFormat="1" ht="16.5" x14ac:dyDescent="0.3">
      <c r="A18" s="8"/>
      <c r="B18" s="8"/>
    </row>
    <row r="19" spans="1:2" s="1062" customFormat="1" ht="16.5" x14ac:dyDescent="0.3">
      <c r="A19" s="8"/>
      <c r="B19" s="8"/>
    </row>
    <row r="20" spans="1:2" s="1062" customFormat="1" ht="16.5" x14ac:dyDescent="0.3">
      <c r="A20" s="8"/>
      <c r="B20" s="8"/>
    </row>
    <row r="21" spans="1:2" s="1062" customFormat="1" ht="16.5" x14ac:dyDescent="0.3">
      <c r="A21" s="8"/>
      <c r="B21" s="8"/>
    </row>
    <row r="22" spans="1:2" s="1062" customFormat="1" ht="16.5" x14ac:dyDescent="0.3">
      <c r="A22" s="8"/>
      <c r="B22" s="8"/>
    </row>
  </sheetData>
  <sheetProtection formatCells="0" formatColumns="0" formatRows="0" sort="0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5" bottom="0.16" header="0.38" footer="0.16"/>
  <pageSetup paperSize="5" scale="90" fitToWidth="0" fitToHeight="0" orientation="portrait" r:id="rId2"/>
  <headerFooter alignWithMargins="0">
    <oddFooter>&amp;R&amp;12&amp;P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6" bestFit="1" customWidth="1"/>
    <col min="2" max="2" width="23.28515625" style="6" customWidth="1"/>
    <col min="3" max="3" width="12.140625" style="6" bestFit="1" customWidth="1"/>
    <col min="4" max="4" width="6.42578125" style="6" customWidth="1"/>
    <col min="5" max="5" width="14" style="6" customWidth="1"/>
    <col min="6" max="6" width="7.28515625" style="6" customWidth="1"/>
    <col min="7" max="7" width="14" style="6" customWidth="1"/>
    <col min="8" max="8" width="10.28515625" style="6" customWidth="1"/>
    <col min="9" max="9" width="6.42578125" style="6" customWidth="1"/>
    <col min="10" max="10" width="11.28515625" style="6" customWidth="1"/>
    <col min="11" max="11" width="10.28515625" style="6" customWidth="1"/>
    <col min="12" max="12" width="6.42578125" style="6" customWidth="1"/>
    <col min="13" max="13" width="11.28515625" style="6" customWidth="1"/>
    <col min="14" max="14" width="10.28515625" style="6" customWidth="1"/>
    <col min="15" max="15" width="6.42578125" style="6" customWidth="1"/>
    <col min="16" max="16" width="11.28515625" style="6" customWidth="1"/>
    <col min="17" max="17" width="10.28515625" style="6" customWidth="1"/>
    <col min="18" max="18" width="6.42578125" style="6" customWidth="1"/>
    <col min="19" max="20" width="11.28515625" style="6" customWidth="1"/>
    <col min="21" max="21" width="12.5703125" style="6" bestFit="1" customWidth="1"/>
    <col min="22" max="23" width="14" style="6" customWidth="1"/>
    <col min="24" max="24" width="13.28515625" style="6" customWidth="1"/>
    <col min="25" max="25" width="13.5703125" style="6" customWidth="1"/>
    <col min="26" max="26" width="10.85546875" style="6" bestFit="1" customWidth="1"/>
    <col min="27" max="27" width="13.5703125" style="6" customWidth="1"/>
    <col min="28" max="28" width="14.28515625" style="6" customWidth="1"/>
    <col min="29" max="29" width="12.140625" style="6" customWidth="1"/>
    <col min="30" max="30" width="15.28515625" style="6" customWidth="1"/>
    <col min="31" max="31" width="13" style="6" customWidth="1"/>
    <col min="32" max="32" width="12.85546875" style="6" customWidth="1"/>
    <col min="33" max="33" width="13" style="6" customWidth="1"/>
    <col min="34" max="34" width="12" style="6" customWidth="1"/>
    <col min="35" max="35" width="16.28515625" style="6" customWidth="1"/>
    <col min="36" max="16384" width="8.85546875" style="6"/>
  </cols>
  <sheetData>
    <row r="1" spans="1:35" ht="19.899999999999999" customHeight="1" x14ac:dyDescent="0.2">
      <c r="A1" s="1407" t="s">
        <v>381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1"/>
      <c r="L1" s="1401"/>
      <c r="M1" s="1401"/>
      <c r="N1" s="1401"/>
      <c r="O1" s="1401"/>
      <c r="P1" s="1401"/>
      <c r="Q1" s="1401"/>
      <c r="R1" s="1401"/>
      <c r="S1" s="1401"/>
      <c r="T1" s="1403"/>
      <c r="U1" s="1402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1"/>
      <c r="AE1" s="1401"/>
      <c r="AF1" s="1401"/>
      <c r="AG1" s="1401"/>
      <c r="AH1" s="1401"/>
      <c r="AI1" s="1402"/>
    </row>
    <row r="2" spans="1:35" ht="42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1107</v>
      </c>
      <c r="U2" s="1397" t="s">
        <v>394</v>
      </c>
      <c r="V2" s="1276" t="s">
        <v>223</v>
      </c>
      <c r="W2" s="1276"/>
      <c r="X2" s="1276"/>
      <c r="Y2" s="1397" t="s">
        <v>395</v>
      </c>
      <c r="Z2" s="1392" t="s">
        <v>1356</v>
      </c>
      <c r="AA2" s="1392" t="s">
        <v>396</v>
      </c>
      <c r="AB2" s="1406" t="s">
        <v>1352</v>
      </c>
      <c r="AC2" s="1390" t="s">
        <v>1211</v>
      </c>
      <c r="AD2" s="1392" t="s">
        <v>861</v>
      </c>
      <c r="AE2" s="1392" t="s">
        <v>1354</v>
      </c>
      <c r="AF2" s="1392" t="s">
        <v>258</v>
      </c>
      <c r="AG2" s="1392" t="s">
        <v>337</v>
      </c>
      <c r="AH2" s="1390" t="s">
        <v>1212</v>
      </c>
      <c r="AI2" s="1392" t="s">
        <v>397</v>
      </c>
    </row>
    <row r="3" spans="1:35" ht="113.45" customHeight="1" x14ac:dyDescent="0.2">
      <c r="A3" s="1411"/>
      <c r="B3" s="1412"/>
      <c r="C3" s="1413"/>
      <c r="D3" s="583" t="s">
        <v>360</v>
      </c>
      <c r="E3" s="583" t="s">
        <v>501</v>
      </c>
      <c r="F3" s="583" t="s">
        <v>360</v>
      </c>
      <c r="G3" s="583" t="s">
        <v>500</v>
      </c>
      <c r="H3" s="583" t="s">
        <v>1287</v>
      </c>
      <c r="I3" s="583" t="s">
        <v>360</v>
      </c>
      <c r="J3" s="583" t="s">
        <v>300</v>
      </c>
      <c r="K3" s="583" t="s">
        <v>1442</v>
      </c>
      <c r="L3" s="583" t="s">
        <v>360</v>
      </c>
      <c r="M3" s="583" t="s">
        <v>300</v>
      </c>
      <c r="N3" s="583" t="s">
        <v>1289</v>
      </c>
      <c r="O3" s="583" t="s">
        <v>360</v>
      </c>
      <c r="P3" s="583" t="s">
        <v>300</v>
      </c>
      <c r="Q3" s="583" t="s">
        <v>1289</v>
      </c>
      <c r="R3" s="583" t="s">
        <v>360</v>
      </c>
      <c r="S3" s="583" t="s">
        <v>300</v>
      </c>
      <c r="T3" s="1397"/>
      <c r="U3" s="1397"/>
      <c r="V3" s="476" t="s">
        <v>1290</v>
      </c>
      <c r="W3" s="476" t="s">
        <v>1291</v>
      </c>
      <c r="X3" s="476" t="s">
        <v>224</v>
      </c>
      <c r="Y3" s="1397"/>
      <c r="Z3" s="1393"/>
      <c r="AA3" s="1393"/>
      <c r="AB3" s="1406"/>
      <c r="AC3" s="1391"/>
      <c r="AD3" s="1393"/>
      <c r="AE3" s="1393"/>
      <c r="AF3" s="1393"/>
      <c r="AG3" s="1393"/>
      <c r="AH3" s="1391"/>
      <c r="AI3" s="1393"/>
    </row>
    <row r="4" spans="1:35" ht="14.25" customHeight="1" x14ac:dyDescent="0.2">
      <c r="A4" s="111"/>
      <c r="B4" s="112"/>
      <c r="C4" s="113">
        <v>1</v>
      </c>
      <c r="D4" s="113">
        <f t="shared" ref="D4:AB4" si="0">C4+1</f>
        <v>2</v>
      </c>
      <c r="E4" s="113">
        <f t="shared" si="0"/>
        <v>3</v>
      </c>
      <c r="F4" s="113">
        <f>E4+1</f>
        <v>4</v>
      </c>
      <c r="G4" s="113">
        <f>F4+1</f>
        <v>5</v>
      </c>
      <c r="H4" s="113">
        <f>G4+1</f>
        <v>6</v>
      </c>
      <c r="I4" s="113">
        <f>H4+1</f>
        <v>7</v>
      </c>
      <c r="J4" s="113">
        <f t="shared" si="0"/>
        <v>8</v>
      </c>
      <c r="K4" s="113">
        <f t="shared" si="0"/>
        <v>9</v>
      </c>
      <c r="L4" s="113">
        <f t="shared" si="0"/>
        <v>10</v>
      </c>
      <c r="M4" s="113">
        <f t="shared" si="0"/>
        <v>11</v>
      </c>
      <c r="N4" s="113">
        <f t="shared" si="0"/>
        <v>12</v>
      </c>
      <c r="O4" s="113">
        <f t="shared" si="0"/>
        <v>13</v>
      </c>
      <c r="P4" s="113">
        <f t="shared" si="0"/>
        <v>14</v>
      </c>
      <c r="Q4" s="113">
        <f t="shared" si="0"/>
        <v>15</v>
      </c>
      <c r="R4" s="113">
        <f t="shared" si="0"/>
        <v>16</v>
      </c>
      <c r="S4" s="113">
        <f t="shared" si="0"/>
        <v>17</v>
      </c>
      <c r="T4" s="767" t="s">
        <v>1131</v>
      </c>
      <c r="U4" s="113">
        <f>S4+1</f>
        <v>18</v>
      </c>
      <c r="V4" s="113">
        <f>U4+1</f>
        <v>19</v>
      </c>
      <c r="W4" s="113">
        <f>V4+1</f>
        <v>20</v>
      </c>
      <c r="X4" s="113">
        <f t="shared" si="0"/>
        <v>21</v>
      </c>
      <c r="Y4" s="113">
        <f t="shared" si="0"/>
        <v>22</v>
      </c>
      <c r="Z4" s="113">
        <f t="shared" si="0"/>
        <v>23</v>
      </c>
      <c r="AA4" s="113">
        <f t="shared" si="0"/>
        <v>24</v>
      </c>
      <c r="AB4" s="113">
        <f t="shared" si="0"/>
        <v>25</v>
      </c>
      <c r="AC4" s="113" t="s">
        <v>767</v>
      </c>
      <c r="AD4" s="113">
        <v>26</v>
      </c>
      <c r="AE4" s="113">
        <f>AD4+1</f>
        <v>27</v>
      </c>
      <c r="AF4" s="113">
        <f>AE4+1</f>
        <v>28</v>
      </c>
      <c r="AG4" s="113">
        <f>AF4+1</f>
        <v>29</v>
      </c>
      <c r="AH4" s="113" t="s">
        <v>768</v>
      </c>
      <c r="AI4" s="113">
        <v>30</v>
      </c>
    </row>
    <row r="5" spans="1:35" s="652" customFormat="1" ht="49.5" customHeight="1" x14ac:dyDescent="0.2">
      <c r="A5" s="649"/>
      <c r="B5" s="650"/>
      <c r="C5" s="651" t="s">
        <v>760</v>
      </c>
      <c r="D5" s="651" t="s">
        <v>1427</v>
      </c>
      <c r="E5" s="651" t="s">
        <v>761</v>
      </c>
      <c r="F5" s="651" t="s">
        <v>681</v>
      </c>
      <c r="G5" s="651" t="s">
        <v>656</v>
      </c>
      <c r="H5" s="651" t="s">
        <v>903</v>
      </c>
      <c r="I5" s="651" t="s">
        <v>1428</v>
      </c>
      <c r="J5" s="651" t="s">
        <v>770</v>
      </c>
      <c r="K5" s="651" t="s">
        <v>904</v>
      </c>
      <c r="L5" s="651" t="s">
        <v>1429</v>
      </c>
      <c r="M5" s="651" t="s">
        <v>772</v>
      </c>
      <c r="N5" s="651" t="s">
        <v>905</v>
      </c>
      <c r="O5" s="651" t="s">
        <v>1430</v>
      </c>
      <c r="P5" s="651" t="s">
        <v>774</v>
      </c>
      <c r="Q5" s="651" t="s">
        <v>906</v>
      </c>
      <c r="R5" s="651" t="s">
        <v>1431</v>
      </c>
      <c r="S5" s="651" t="s">
        <v>776</v>
      </c>
      <c r="T5" s="765" t="s">
        <v>1108</v>
      </c>
      <c r="U5" s="651" t="s">
        <v>1132</v>
      </c>
      <c r="V5" s="651" t="s">
        <v>889</v>
      </c>
      <c r="W5" s="651" t="s">
        <v>890</v>
      </c>
      <c r="X5" s="651" t="s">
        <v>777</v>
      </c>
      <c r="Y5" s="651" t="s">
        <v>778</v>
      </c>
      <c r="Z5" s="651" t="s">
        <v>779</v>
      </c>
      <c r="AA5" s="651" t="s">
        <v>780</v>
      </c>
      <c r="AB5" s="651" t="s">
        <v>765</v>
      </c>
      <c r="AC5" s="651" t="s">
        <v>1043</v>
      </c>
      <c r="AD5" s="651" t="s">
        <v>933</v>
      </c>
      <c r="AE5" s="651" t="s">
        <v>894</v>
      </c>
      <c r="AF5" s="651" t="s">
        <v>781</v>
      </c>
      <c r="AG5" s="651" t="s">
        <v>907</v>
      </c>
      <c r="AH5" s="651" t="s">
        <v>1044</v>
      </c>
      <c r="AI5" s="651" t="s">
        <v>934</v>
      </c>
    </row>
    <row r="6" spans="1:35" s="652" customFormat="1" ht="11.25" hidden="1" x14ac:dyDescent="0.2">
      <c r="A6" s="653"/>
      <c r="B6" s="654"/>
      <c r="C6" s="651" t="s">
        <v>554</v>
      </c>
      <c r="D6" s="651"/>
      <c r="E6" s="651" t="s">
        <v>554</v>
      </c>
      <c r="F6" s="651"/>
      <c r="G6" s="651" t="s">
        <v>554</v>
      </c>
      <c r="H6" s="651" t="s">
        <v>554</v>
      </c>
      <c r="I6" s="651"/>
      <c r="J6" s="651" t="s">
        <v>554</v>
      </c>
      <c r="K6" s="651" t="s">
        <v>554</v>
      </c>
      <c r="L6" s="651"/>
      <c r="M6" s="651" t="s">
        <v>554</v>
      </c>
      <c r="N6" s="651" t="s">
        <v>554</v>
      </c>
      <c r="O6" s="651"/>
      <c r="P6" s="651" t="s">
        <v>554</v>
      </c>
      <c r="Q6" s="651" t="s">
        <v>554</v>
      </c>
      <c r="R6" s="651"/>
      <c r="S6" s="651" t="s">
        <v>554</v>
      </c>
      <c r="T6" s="765"/>
      <c r="U6" s="765"/>
      <c r="V6" s="651" t="s">
        <v>554</v>
      </c>
      <c r="W6" s="651" t="s">
        <v>554</v>
      </c>
      <c r="X6" s="651" t="s">
        <v>554</v>
      </c>
      <c r="Y6" s="651" t="s">
        <v>554</v>
      </c>
      <c r="Z6" s="651" t="s">
        <v>554</v>
      </c>
      <c r="AA6" s="651" t="s">
        <v>554</v>
      </c>
      <c r="AB6" s="651" t="s">
        <v>554</v>
      </c>
      <c r="AC6" s="651" t="s">
        <v>554</v>
      </c>
      <c r="AD6" s="651" t="s">
        <v>554</v>
      </c>
      <c r="AE6" s="651" t="s">
        <v>554</v>
      </c>
      <c r="AF6" s="651" t="s">
        <v>554</v>
      </c>
      <c r="AG6" s="651" t="s">
        <v>554</v>
      </c>
      <c r="AH6" s="651" t="s">
        <v>554</v>
      </c>
      <c r="AI6" s="651" t="s">
        <v>554</v>
      </c>
    </row>
    <row r="7" spans="1:35" s="8" customFormat="1" ht="26.25" customHeight="1" x14ac:dyDescent="0.2">
      <c r="A7" s="334">
        <v>321001</v>
      </c>
      <c r="B7" s="115" t="s">
        <v>313</v>
      </c>
      <c r="C7" s="116">
        <f>'5A2A_New Vision'!$C$84</f>
        <v>256</v>
      </c>
      <c r="D7" s="117"/>
      <c r="E7" s="118">
        <f>'5A2A_New Vision'!$E$84</f>
        <v>2281809.1130203009</v>
      </c>
      <c r="F7" s="118"/>
      <c r="G7" s="118">
        <f>'5A2A_New Vision'!$G$84</f>
        <v>183372.79999999999</v>
      </c>
      <c r="H7" s="119">
        <f>'5A2A_New Vision'!$H$84</f>
        <v>219</v>
      </c>
      <c r="I7" s="117"/>
      <c r="J7" s="118">
        <f>'5A2A_New Vision'!$J$84</f>
        <v>134735.53292994422</v>
      </c>
      <c r="K7" s="119">
        <f>'5A2A_New Vision'!$K$84</f>
        <v>20</v>
      </c>
      <c r="L7" s="117"/>
      <c r="M7" s="118">
        <f>'5A2A_New Vision'!$M$84</f>
        <v>3357.8147962060184</v>
      </c>
      <c r="N7" s="119">
        <f>'5A2A_New Vision'!$N$84</f>
        <v>28</v>
      </c>
      <c r="O7" s="117"/>
      <c r="P7" s="118">
        <f>'5A2A_New Vision'!$P$84</f>
        <v>117704.88202520524</v>
      </c>
      <c r="Q7" s="119">
        <f>'5A2A_New Vision'!$Q$84</f>
        <v>0</v>
      </c>
      <c r="R7" s="117"/>
      <c r="S7" s="118">
        <f>'5A2A_New Vision'!$S$84</f>
        <v>0</v>
      </c>
      <c r="T7" s="983">
        <f>'5A2A_New Vision'!$T$77</f>
        <v>25924</v>
      </c>
      <c r="U7" s="840">
        <f>'5A2A_New Vision'!$T$84</f>
        <v>2746905</v>
      </c>
      <c r="V7" s="117">
        <f>'5A2A_New Vision'!$U$84</f>
        <v>80428</v>
      </c>
      <c r="W7" s="117">
        <f>'5A2A_New Vision'!$V$84</f>
        <v>-42416</v>
      </c>
      <c r="X7" s="121">
        <f>'5A2A_New Vision'!$W$84</f>
        <v>38012</v>
      </c>
      <c r="Y7" s="120">
        <f>'5A2A_New Vision'!$X$84</f>
        <v>2784917</v>
      </c>
      <c r="Z7" s="118">
        <f>'5A2A_New Vision'!$Y$84</f>
        <v>-6962</v>
      </c>
      <c r="AA7" s="120">
        <f>'5A2A_New Vision'!$Z$84</f>
        <v>2777955</v>
      </c>
      <c r="AB7" s="117">
        <f>'5A2A_New Vision'!$AA$84</f>
        <v>0</v>
      </c>
      <c r="AC7" s="132">
        <f>'5A2A_New Vision'!$AB$79+'5A2A_New Vision'!$AB$83</f>
        <v>0</v>
      </c>
      <c r="AD7" s="120">
        <f>'5A2A_New Vision'!$AB$84</f>
        <v>2777955</v>
      </c>
      <c r="AE7" s="117">
        <f>'5A2A_New Vision'!$AC$84</f>
        <v>1804090</v>
      </c>
      <c r="AF7" s="117">
        <f>'5A2A_New Vision'!$AD$84</f>
        <v>973865</v>
      </c>
      <c r="AG7" s="120">
        <f>'5A2A_New Vision'!$AE$84</f>
        <v>243467</v>
      </c>
      <c r="AH7" s="132">
        <f>'5A2A_New Vision'!$AF$80+'5A2A_New Vision'!$AF$81+'5A2A_New Vision'!$AF$82</f>
        <v>0</v>
      </c>
      <c r="AI7" s="120">
        <f>'5A2A_New Vision'!$AF$84</f>
        <v>2777955</v>
      </c>
    </row>
    <row r="8" spans="1:35" s="8" customFormat="1" ht="26.25" customHeight="1" x14ac:dyDescent="0.2">
      <c r="A8" s="339">
        <v>329001</v>
      </c>
      <c r="B8" s="133" t="s">
        <v>314</v>
      </c>
      <c r="C8" s="134">
        <f>'5A2B_Glencoe'!$C$84</f>
        <v>346</v>
      </c>
      <c r="D8" s="135"/>
      <c r="E8" s="136">
        <f>'5A2B_Glencoe'!$E$84</f>
        <v>2957112.5281292479</v>
      </c>
      <c r="F8" s="136"/>
      <c r="G8" s="136">
        <f>'5A2B_Glencoe'!$G$84</f>
        <v>207046.39999999999</v>
      </c>
      <c r="H8" s="137">
        <f>'5A2B_Glencoe'!$H$84</f>
        <v>268</v>
      </c>
      <c r="I8" s="135"/>
      <c r="J8" s="136">
        <f>'5A2B_Glencoe'!$J$84</f>
        <v>164641.30891901752</v>
      </c>
      <c r="K8" s="137">
        <f>'5A2B_Glencoe'!$K$84</f>
        <v>68</v>
      </c>
      <c r="L8" s="135"/>
      <c r="M8" s="136">
        <f>'5A2B_Glencoe'!$M$84</f>
        <v>11347.722228248331</v>
      </c>
      <c r="N8" s="137">
        <f>'5A2B_Glencoe'!$N$84</f>
        <v>44</v>
      </c>
      <c r="O8" s="135"/>
      <c r="P8" s="136">
        <f>'5A2B_Glencoe'!$P$84</f>
        <v>185129.19747904115</v>
      </c>
      <c r="Q8" s="137">
        <f>'5A2B_Glencoe'!$Q$84</f>
        <v>0</v>
      </c>
      <c r="R8" s="135"/>
      <c r="S8" s="136">
        <f>'5A2B_Glencoe'!$S$84</f>
        <v>0</v>
      </c>
      <c r="T8" s="984">
        <f>'5A2B_Glencoe'!$T$77</f>
        <v>52462</v>
      </c>
      <c r="U8" s="766">
        <f>'5A2B_Glencoe'!$T$84</f>
        <v>3577740</v>
      </c>
      <c r="V8" s="135">
        <f>'5A2B_Glencoe'!$U$84</f>
        <v>415088</v>
      </c>
      <c r="W8" s="135">
        <f>'5A2B_Glencoe'!$V$84</f>
        <v>-27431</v>
      </c>
      <c r="X8" s="139">
        <f>'5A2B_Glencoe'!$W$84</f>
        <v>387657</v>
      </c>
      <c r="Y8" s="138">
        <f>'5A2B_Glencoe'!$X$84</f>
        <v>3965397</v>
      </c>
      <c r="Z8" s="136">
        <f>'5A2B_Glencoe'!$Y$84</f>
        <v>-9913</v>
      </c>
      <c r="AA8" s="138">
        <f>'5A2B_Glencoe'!$Z$84</f>
        <v>3955484</v>
      </c>
      <c r="AB8" s="135">
        <f>'5A2B_Glencoe'!$AA$84</f>
        <v>0</v>
      </c>
      <c r="AC8" s="140">
        <f>'5A2B_Glencoe'!$AB$79+'5A2B_Glencoe'!$AB$83</f>
        <v>4366</v>
      </c>
      <c r="AD8" s="138">
        <f>'5A2B_Glencoe'!$AB$84</f>
        <v>3959850</v>
      </c>
      <c r="AE8" s="135">
        <f>'5A2B_Glencoe'!$AC$84</f>
        <v>2454628</v>
      </c>
      <c r="AF8" s="135">
        <f>'5A2B_Glencoe'!$AD$84</f>
        <v>1505222</v>
      </c>
      <c r="AG8" s="138">
        <f>'5A2B_Glencoe'!$AE$84</f>
        <v>376307</v>
      </c>
      <c r="AH8" s="140">
        <f>'5A2B_Glencoe'!$AF$80+'5A2B_Glencoe'!$AF$81+'5A2B_Glencoe'!$AF$82</f>
        <v>12050</v>
      </c>
      <c r="AI8" s="138">
        <f>'5A2B_Glencoe'!$AF$84</f>
        <v>3971900</v>
      </c>
    </row>
    <row r="9" spans="1:35" s="8" customFormat="1" ht="26.25" customHeight="1" x14ac:dyDescent="0.2">
      <c r="A9" s="339">
        <v>331001</v>
      </c>
      <c r="B9" s="133" t="s">
        <v>315</v>
      </c>
      <c r="C9" s="134">
        <f>'5A2C_ISL'!$C$84</f>
        <v>1376</v>
      </c>
      <c r="D9" s="135"/>
      <c r="E9" s="136">
        <f>'5A2C_ISL'!$E$84</f>
        <v>12329596.029350258</v>
      </c>
      <c r="F9" s="136"/>
      <c r="G9" s="136">
        <f>'5A2C_ISL'!$G$84</f>
        <v>983578.55999999994</v>
      </c>
      <c r="H9" s="137">
        <f>'5A2C_ISL'!$H$84</f>
        <v>863</v>
      </c>
      <c r="I9" s="135"/>
      <c r="J9" s="136">
        <f>'5A2C_ISL'!$J$84</f>
        <v>407660.56648681941</v>
      </c>
      <c r="K9" s="137">
        <f>'5A2C_ISL'!$K$84</f>
        <v>0</v>
      </c>
      <c r="L9" s="135"/>
      <c r="M9" s="136">
        <f>'5A2C_ISL'!$M$84</f>
        <v>0</v>
      </c>
      <c r="N9" s="137">
        <f>'5A2C_ISL'!$N$84</f>
        <v>88</v>
      </c>
      <c r="O9" s="135"/>
      <c r="P9" s="136">
        <f>'5A2C_ISL'!$P$84</f>
        <v>283874.05080389074</v>
      </c>
      <c r="Q9" s="137">
        <f>'5A2C_ISL'!$Q$84</f>
        <v>1</v>
      </c>
      <c r="R9" s="135"/>
      <c r="S9" s="136">
        <f>'5A2C_ISL'!$S$84</f>
        <v>1251.0424041845763</v>
      </c>
      <c r="T9" s="984">
        <f>'5A2C_ISL'!$T$77</f>
        <v>216045</v>
      </c>
      <c r="U9" s="766">
        <f>'5A2C_ISL'!$T$84</f>
        <v>14222005</v>
      </c>
      <c r="V9" s="135">
        <f>'5A2C_ISL'!$U$84</f>
        <v>-583482</v>
      </c>
      <c r="W9" s="135">
        <f>'5A2C_ISL'!$V$84</f>
        <v>-125133</v>
      </c>
      <c r="X9" s="139">
        <f>'5A2C_ISL'!$W$84</f>
        <v>-708615</v>
      </c>
      <c r="Y9" s="138">
        <f>'5A2C_ISL'!$X$84</f>
        <v>13513390</v>
      </c>
      <c r="Z9" s="136">
        <f>'5A2C_ISL'!$Y$84</f>
        <v>-33784</v>
      </c>
      <c r="AA9" s="138">
        <f>'5A2C_ISL'!$Z$84</f>
        <v>13479606</v>
      </c>
      <c r="AB9" s="135">
        <f>'5A2C_ISL'!$AA$84</f>
        <v>-3197</v>
      </c>
      <c r="AC9" s="140">
        <f>'5A2C_ISL'!$AB$79+'5A2C_ISL'!$AB$83</f>
        <v>473800</v>
      </c>
      <c r="AD9" s="138">
        <f>'5A2C_ISL'!$AB$84</f>
        <v>13950209</v>
      </c>
      <c r="AE9" s="135">
        <f>'5A2C_ISL'!$AC$84</f>
        <v>9343132</v>
      </c>
      <c r="AF9" s="135">
        <f>'5A2C_ISL'!$AD$84</f>
        <v>4607077</v>
      </c>
      <c r="AG9" s="138">
        <f>'5A2C_ISL'!$AE$84</f>
        <v>1151771</v>
      </c>
      <c r="AH9" s="140">
        <f>'5A2C_ISL'!$AF$80+'5A2C_ISL'!$AF$81+'5A2C_ISL'!$AF$82</f>
        <v>18000</v>
      </c>
      <c r="AI9" s="138">
        <f>'5A2C_ISL'!$AF$84</f>
        <v>13968209</v>
      </c>
    </row>
    <row r="10" spans="1:35" s="8" customFormat="1" ht="26.25" customHeight="1" x14ac:dyDescent="0.2">
      <c r="A10" s="339">
        <v>333001</v>
      </c>
      <c r="B10" s="133" t="s">
        <v>368</v>
      </c>
      <c r="C10" s="134">
        <f>'5A2D_Avoyelles'!$C$84</f>
        <v>722</v>
      </c>
      <c r="D10" s="135"/>
      <c r="E10" s="136">
        <f>'5A2D_Avoyelles'!$E$84</f>
        <v>4684238.3697352074</v>
      </c>
      <c r="F10" s="136"/>
      <c r="G10" s="136">
        <f>'5A2D_Avoyelles'!$G$84</f>
        <v>387078.63999999996</v>
      </c>
      <c r="H10" s="137">
        <f>'5A2D_Avoyelles'!$H$84</f>
        <v>437</v>
      </c>
      <c r="I10" s="135"/>
      <c r="J10" s="136">
        <f>'5A2D_Avoyelles'!$J$84</f>
        <v>310630.73243010929</v>
      </c>
      <c r="K10" s="137">
        <f>'5A2D_Avoyelles'!$K$84</f>
        <v>101.5</v>
      </c>
      <c r="L10" s="135"/>
      <c r="M10" s="136">
        <f>'5A2D_Avoyelles'!$M$84</f>
        <v>19703.011357697542</v>
      </c>
      <c r="N10" s="137">
        <f>'5A2D_Avoyelles'!$N$84</f>
        <v>38</v>
      </c>
      <c r="O10" s="135"/>
      <c r="P10" s="136">
        <f>'5A2D_Avoyelles'!$P$84</f>
        <v>184412.42157450903</v>
      </c>
      <c r="Q10" s="137">
        <f>'5A2D_Avoyelles'!$Q$84</f>
        <v>0</v>
      </c>
      <c r="R10" s="135"/>
      <c r="S10" s="136">
        <f>'5A2D_Avoyelles'!$S$84</f>
        <v>0</v>
      </c>
      <c r="T10" s="984">
        <f>'5A2D_Avoyelles'!$T$77</f>
        <v>66577</v>
      </c>
      <c r="U10" s="766">
        <f>'5A2D_Avoyelles'!$T$84</f>
        <v>5652641</v>
      </c>
      <c r="V10" s="135">
        <f>'5A2D_Avoyelles'!$U$84</f>
        <v>-407324</v>
      </c>
      <c r="W10" s="135">
        <f>'5A2D_Avoyelles'!$V$84</f>
        <v>-13283</v>
      </c>
      <c r="X10" s="139">
        <f>'5A2D_Avoyelles'!$W$84</f>
        <v>-420607</v>
      </c>
      <c r="Y10" s="138">
        <f>'5A2D_Avoyelles'!$X$84</f>
        <v>5232034</v>
      </c>
      <c r="Z10" s="136">
        <f>'5A2D_Avoyelles'!$Y$84</f>
        <v>-13079</v>
      </c>
      <c r="AA10" s="138">
        <f>'5A2D_Avoyelles'!$Z$84</f>
        <v>5218955</v>
      </c>
      <c r="AB10" s="135">
        <f>'5A2D_Avoyelles'!$AA$84</f>
        <v>0</v>
      </c>
      <c r="AC10" s="140">
        <f>'5A2D_Avoyelles'!$AB$79+'5A2D_Avoyelles'!$AB$83</f>
        <v>18880</v>
      </c>
      <c r="AD10" s="138">
        <f>'5A2D_Avoyelles'!$AB$84</f>
        <v>5237835</v>
      </c>
      <c r="AE10" s="135">
        <f>'5A2D_Avoyelles'!$AC$84</f>
        <v>3549336</v>
      </c>
      <c r="AF10" s="135">
        <f>'5A2D_Avoyelles'!$AD$84</f>
        <v>1688499</v>
      </c>
      <c r="AG10" s="138">
        <f>'5A2D_Avoyelles'!$AE$84</f>
        <v>422124</v>
      </c>
      <c r="AH10" s="140">
        <f>'5A2D_Avoyelles'!$AF$80+'5A2D_Avoyelles'!$AF$81+'5A2D_Avoyelles'!$AF$82</f>
        <v>10000</v>
      </c>
      <c r="AI10" s="138">
        <f>'5A2D_Avoyelles'!$AF$84</f>
        <v>5247835</v>
      </c>
    </row>
    <row r="11" spans="1:35" s="8" customFormat="1" ht="26.25" customHeight="1" x14ac:dyDescent="0.2">
      <c r="A11" s="344">
        <v>336001</v>
      </c>
      <c r="B11" s="147" t="s">
        <v>309</v>
      </c>
      <c r="C11" s="148">
        <f>'5A2E_Delhi'!$C$84</f>
        <v>821</v>
      </c>
      <c r="D11" s="149"/>
      <c r="E11" s="150">
        <f>'5A2E_Delhi'!$E$84</f>
        <v>7002416.1182615319</v>
      </c>
      <c r="F11" s="150"/>
      <c r="G11" s="150">
        <f>'5A2E_Delhi'!$G$84</f>
        <v>432683.42</v>
      </c>
      <c r="H11" s="151">
        <f>'5A2E_Delhi'!$H$84</f>
        <v>646</v>
      </c>
      <c r="I11" s="149"/>
      <c r="J11" s="150">
        <f>'5A2E_Delhi'!$J$84</f>
        <v>401274.14564088278</v>
      </c>
      <c r="K11" s="151">
        <f>'5A2E_Delhi'!$K$84</f>
        <v>386</v>
      </c>
      <c r="L11" s="149"/>
      <c r="M11" s="150">
        <f>'5A2E_Delhi'!$M$84</f>
        <v>65854.574582571586</v>
      </c>
      <c r="N11" s="151">
        <f>'5A2E_Delhi'!$N$84</f>
        <v>70</v>
      </c>
      <c r="O11" s="149"/>
      <c r="P11" s="150">
        <f>'5A2E_Delhi'!$P$84</f>
        <v>300356.3729337753</v>
      </c>
      <c r="Q11" s="151">
        <f>'5A2E_Delhi'!$Q$84</f>
        <v>11</v>
      </c>
      <c r="R11" s="149"/>
      <c r="S11" s="150">
        <f>'5A2E_Delhi'!$S$84</f>
        <v>18992.432098139339</v>
      </c>
      <c r="T11" s="923">
        <f>'5A2E_Delhi'!$T$77</f>
        <v>103012</v>
      </c>
      <c r="U11" s="841">
        <f>'5A2E_Delhi'!$T$84</f>
        <v>8324590</v>
      </c>
      <c r="V11" s="149">
        <f>'5A2E_Delhi'!$U$84</f>
        <v>-324932</v>
      </c>
      <c r="W11" s="149">
        <f>'5A2E_Delhi'!$V$84</f>
        <v>-111060</v>
      </c>
      <c r="X11" s="153">
        <f>'5A2E_Delhi'!$W$84</f>
        <v>-435992</v>
      </c>
      <c r="Y11" s="152">
        <f>'5A2E_Delhi'!$X$84</f>
        <v>7888598</v>
      </c>
      <c r="Z11" s="150">
        <f>'5A2E_Delhi'!$Y$84</f>
        <v>-19722</v>
      </c>
      <c r="AA11" s="152">
        <f>'5A2E_Delhi'!$Z$84</f>
        <v>7868876</v>
      </c>
      <c r="AB11" s="149">
        <f>'5A2E_Delhi'!$AA$84</f>
        <v>0</v>
      </c>
      <c r="AC11" s="154">
        <f>'5A2E_Delhi'!$AB$79+'5A2E_Delhi'!$AB$83</f>
        <v>22833</v>
      </c>
      <c r="AD11" s="152">
        <f>'5A2E_Delhi'!$AB$84</f>
        <v>7891709</v>
      </c>
      <c r="AE11" s="149">
        <f>'5A2E_Delhi'!$AC$84</f>
        <v>5354496</v>
      </c>
      <c r="AF11" s="155">
        <f>'5A2E_Delhi'!$AD$84</f>
        <v>2537213</v>
      </c>
      <c r="AG11" s="152">
        <f>'5A2E_Delhi'!$AE$84</f>
        <v>634305</v>
      </c>
      <c r="AH11" s="154">
        <f>'5A2E_Delhi'!$AF$80+'5A2E_Delhi'!$AF$81+'5A2E_Delhi'!$AF$82</f>
        <v>54948</v>
      </c>
      <c r="AI11" s="156">
        <f>'5A2E_Delhi'!$AF$84</f>
        <v>7946657</v>
      </c>
    </row>
    <row r="12" spans="1:35" s="8" customFormat="1" ht="26.25" customHeight="1" x14ac:dyDescent="0.2">
      <c r="A12" s="334">
        <v>337001</v>
      </c>
      <c r="B12" s="115" t="s">
        <v>316</v>
      </c>
      <c r="C12" s="116">
        <f>'5A2F_Belle Chasse'!$C$84</f>
        <v>931</v>
      </c>
      <c r="D12" s="117"/>
      <c r="E12" s="118">
        <f>'5A2F_Belle Chasse'!$E$84</f>
        <v>10101503.285950672</v>
      </c>
      <c r="F12" s="118"/>
      <c r="G12" s="118">
        <f>'5A2F_Belle Chasse'!$G$84</f>
        <v>734465.90000000014</v>
      </c>
      <c r="H12" s="119">
        <f>'5A2F_Belle Chasse'!$H$84</f>
        <v>409</v>
      </c>
      <c r="I12" s="117"/>
      <c r="J12" s="118">
        <f>'5A2F_Belle Chasse'!$J$84</f>
        <v>143673.05720625847</v>
      </c>
      <c r="K12" s="119">
        <f>'5A2F_Belle Chasse'!$K$84</f>
        <v>0.5</v>
      </c>
      <c r="L12" s="117"/>
      <c r="M12" s="118">
        <f>'5A2F_Belle Chasse'!$M$84</f>
        <v>66.506288448253301</v>
      </c>
      <c r="N12" s="119">
        <f>'5A2F_Belle Chasse'!$N$84</f>
        <v>107</v>
      </c>
      <c r="O12" s="117"/>
      <c r="P12" s="118">
        <f>'5A2F_Belle Chasse'!$P$84</f>
        <v>259378.00756346906</v>
      </c>
      <c r="Q12" s="119">
        <f>'5A2F_Belle Chasse'!$Q$84</f>
        <v>42</v>
      </c>
      <c r="R12" s="117"/>
      <c r="S12" s="118">
        <f>'5A2F_Belle Chasse'!$S$84</f>
        <v>39472.722919143358</v>
      </c>
      <c r="T12" s="983">
        <f>'5A2F_Belle Chasse'!$T$77</f>
        <v>167220</v>
      </c>
      <c r="U12" s="840">
        <f>'5A2F_Belle Chasse'!$T$84</f>
        <v>11445780</v>
      </c>
      <c r="V12" s="117">
        <f>'5A2F_Belle Chasse'!$U$84</f>
        <v>-632878</v>
      </c>
      <c r="W12" s="117">
        <f>'5A2F_Belle Chasse'!$V$84</f>
        <v>-18506</v>
      </c>
      <c r="X12" s="121">
        <f>'5A2F_Belle Chasse'!$W$84</f>
        <v>-651384</v>
      </c>
      <c r="Y12" s="120">
        <f>'5A2F_Belle Chasse'!$X$84</f>
        <v>10794396</v>
      </c>
      <c r="Z12" s="118">
        <f>'5A2F_Belle Chasse'!$Y$84</f>
        <v>-26987</v>
      </c>
      <c r="AA12" s="120">
        <f>'5A2F_Belle Chasse'!$Z$84</f>
        <v>10767409</v>
      </c>
      <c r="AB12" s="117">
        <f>'5A2F_Belle Chasse'!$AA$84</f>
        <v>0</v>
      </c>
      <c r="AC12" s="132">
        <f>'5A2F_Belle Chasse'!$AB$79+'5A2F_Belle Chasse'!$AB$83</f>
        <v>11741</v>
      </c>
      <c r="AD12" s="120">
        <f>'5A2F_Belle Chasse'!$AB$84</f>
        <v>10779150</v>
      </c>
      <c r="AE12" s="117">
        <f>'5A2F_Belle Chasse'!$AC$84</f>
        <v>7080946</v>
      </c>
      <c r="AF12" s="117">
        <f>'5A2F_Belle Chasse'!$AD$84</f>
        <v>3698204</v>
      </c>
      <c r="AG12" s="120">
        <f>'5A2F_Belle Chasse'!$AE$84</f>
        <v>924553</v>
      </c>
      <c r="AH12" s="132">
        <f>'5A2F_Belle Chasse'!$AF$80+'5A2F_Belle Chasse'!$AF$81+'5A2F_Belle Chasse'!$AF$82</f>
        <v>0</v>
      </c>
      <c r="AI12" s="120">
        <f>'5A2F_Belle Chasse'!$AF$84</f>
        <v>10779150</v>
      </c>
    </row>
    <row r="13" spans="1:35" s="8" customFormat="1" ht="26.25" customHeight="1" x14ac:dyDescent="0.2">
      <c r="A13" s="339">
        <v>340001</v>
      </c>
      <c r="B13" s="133" t="s">
        <v>369</v>
      </c>
      <c r="C13" s="134">
        <f>'5A2H_MAX'!$C$84</f>
        <v>119</v>
      </c>
      <c r="D13" s="135"/>
      <c r="E13" s="136">
        <f>'5A2H_MAX'!$E$84</f>
        <v>1028339.2477583396</v>
      </c>
      <c r="F13" s="136"/>
      <c r="G13" s="136">
        <f>'5A2H_MAX'!$G$84</f>
        <v>78445.990000000005</v>
      </c>
      <c r="H13" s="137">
        <f>'5A2H_MAX'!$H$84</f>
        <v>45</v>
      </c>
      <c r="I13" s="135"/>
      <c r="J13" s="136">
        <f>'5A2H_MAX'!$J$84</f>
        <v>26417.797369237931</v>
      </c>
      <c r="K13" s="137">
        <f>'5A2H_MAX'!$K$84</f>
        <v>16</v>
      </c>
      <c r="L13" s="135"/>
      <c r="M13" s="136">
        <f>'5A2H_MAX'!$M$84</f>
        <v>2545.6830517511999</v>
      </c>
      <c r="N13" s="137">
        <f>'5A2H_MAX'!$N$84</f>
        <v>23</v>
      </c>
      <c r="O13" s="135"/>
      <c r="P13" s="136">
        <f>'5A2H_MAX'!$P$84</f>
        <v>93910.060714577659</v>
      </c>
      <c r="Q13" s="137">
        <f>'5A2H_MAX'!$Q$84</f>
        <v>0</v>
      </c>
      <c r="R13" s="135"/>
      <c r="S13" s="136">
        <f>'5A2H_MAX'!$S$84</f>
        <v>0</v>
      </c>
      <c r="T13" s="984">
        <f>'5A2H_MAX'!$T$77</f>
        <v>23254</v>
      </c>
      <c r="U13" s="766">
        <f>'5A2H_MAX'!$T$84</f>
        <v>1252913</v>
      </c>
      <c r="V13" s="135">
        <f>'5A2H_MAX'!$U$84</f>
        <v>41740</v>
      </c>
      <c r="W13" s="135">
        <f>'5A2H_MAX'!$V$84</f>
        <v>-3959</v>
      </c>
      <c r="X13" s="139">
        <f>'5A2H_MAX'!$W$84</f>
        <v>37781</v>
      </c>
      <c r="Y13" s="138">
        <f>'5A2H_MAX'!$X$84</f>
        <v>1290694</v>
      </c>
      <c r="Z13" s="136">
        <f>'5A2H_MAX'!$Y$84</f>
        <v>-3227</v>
      </c>
      <c r="AA13" s="138">
        <f>'5A2H_MAX'!$Z$84</f>
        <v>1287467</v>
      </c>
      <c r="AB13" s="135">
        <f>'5A2H_MAX'!$AA$84</f>
        <v>0</v>
      </c>
      <c r="AC13" s="140">
        <f>'5A2H_MAX'!$AB$79+'5A2H_MAX'!$AB$83</f>
        <v>1652</v>
      </c>
      <c r="AD13" s="138">
        <f>'5A2H_MAX'!$AB$84</f>
        <v>1289119</v>
      </c>
      <c r="AE13" s="135">
        <f>'5A2H_MAX'!$AC$84</f>
        <v>825452</v>
      </c>
      <c r="AF13" s="135">
        <f>'5A2H_MAX'!$AD$84</f>
        <v>463667</v>
      </c>
      <c r="AG13" s="138">
        <f>'5A2H_MAX'!$AE$84</f>
        <v>115916</v>
      </c>
      <c r="AH13" s="140">
        <f>'5A2H_MAX'!$AF$80+'5A2H_MAX'!$AF$81+'5A2H_MAX'!$AF$82</f>
        <v>2892</v>
      </c>
      <c r="AI13" s="138">
        <f>'5A2H_MAX'!$AF$84</f>
        <v>1292011</v>
      </c>
    </row>
    <row r="14" spans="1:35" s="33" customFormat="1" ht="26.25" customHeight="1" thickBot="1" x14ac:dyDescent="0.25">
      <c r="A14" s="1404" t="s">
        <v>346</v>
      </c>
      <c r="B14" s="1405"/>
      <c r="C14" s="162">
        <f>SUM(C7:C13)</f>
        <v>4571</v>
      </c>
      <c r="D14" s="163"/>
      <c r="E14" s="164">
        <f>SUM(E7:E13)</f>
        <v>40385014.692205556</v>
      </c>
      <c r="F14" s="164"/>
      <c r="G14" s="164">
        <f>SUM(G7:G13)</f>
        <v>3006671.71</v>
      </c>
      <c r="H14" s="162">
        <f>SUM(H7:H13)</f>
        <v>2887</v>
      </c>
      <c r="I14" s="163"/>
      <c r="J14" s="164">
        <f>SUM(J7:J13)</f>
        <v>1589033.1409822695</v>
      </c>
      <c r="K14" s="162">
        <f>SUM(K7:K13)</f>
        <v>592</v>
      </c>
      <c r="L14" s="163"/>
      <c r="M14" s="164">
        <f>SUM(M7:M13)</f>
        <v>102875.31230492292</v>
      </c>
      <c r="N14" s="162">
        <f>SUM(N7:N13)</f>
        <v>398</v>
      </c>
      <c r="O14" s="163"/>
      <c r="P14" s="164">
        <f>SUM(P7:P13)</f>
        <v>1424764.9930944678</v>
      </c>
      <c r="Q14" s="162">
        <f>SUM(Q7:Q13)</f>
        <v>54</v>
      </c>
      <c r="R14" s="163"/>
      <c r="S14" s="164">
        <f t="shared" ref="S14:AI14" si="1">SUM(S7:S13)</f>
        <v>59716.197421467274</v>
      </c>
      <c r="T14" s="985">
        <f>SUM(T7:T13)</f>
        <v>654494</v>
      </c>
      <c r="U14" s="842">
        <f>SUM(U7:U13)</f>
        <v>47222574</v>
      </c>
      <c r="V14" s="163">
        <f t="shared" si="1"/>
        <v>-1411360</v>
      </c>
      <c r="W14" s="163">
        <f t="shared" si="1"/>
        <v>-341788</v>
      </c>
      <c r="X14" s="166">
        <f t="shared" si="1"/>
        <v>-1753148</v>
      </c>
      <c r="Y14" s="165">
        <f t="shared" si="1"/>
        <v>45469426</v>
      </c>
      <c r="Z14" s="164">
        <f t="shared" si="1"/>
        <v>-113674</v>
      </c>
      <c r="AA14" s="165">
        <f t="shared" si="1"/>
        <v>45355752</v>
      </c>
      <c r="AB14" s="164">
        <f t="shared" si="1"/>
        <v>-3197</v>
      </c>
      <c r="AC14" s="167">
        <f t="shared" si="1"/>
        <v>533272</v>
      </c>
      <c r="AD14" s="165">
        <f t="shared" si="1"/>
        <v>45885827</v>
      </c>
      <c r="AE14" s="164">
        <f t="shared" si="1"/>
        <v>30412080</v>
      </c>
      <c r="AF14" s="164">
        <f t="shared" si="1"/>
        <v>15473747</v>
      </c>
      <c r="AG14" s="165">
        <f t="shared" si="1"/>
        <v>3868443</v>
      </c>
      <c r="AH14" s="167">
        <f t="shared" si="1"/>
        <v>97890</v>
      </c>
      <c r="AI14" s="165">
        <f t="shared" si="1"/>
        <v>45983717</v>
      </c>
    </row>
    <row r="15" spans="1:35" ht="13.5" thickTop="1" x14ac:dyDescent="0.2"/>
  </sheetData>
  <sheetProtection password="D893" sheet="1"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D2:G2"/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  <mergeCell ref="AC2:AC3"/>
    <mergeCell ref="AF2:AF3"/>
    <mergeCell ref="AG2:AG3"/>
    <mergeCell ref="AI2:AI3"/>
    <mergeCell ref="H2:J2"/>
    <mergeCell ref="K2:M2"/>
    <mergeCell ref="N2:P2"/>
    <mergeCell ref="T2:T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&amp;L&amp;"Arial,Bold"&amp;20&amp;K000000FY2020-21 Budget Letter
March 2021</oddHeader>
    <oddFooter>&amp;R&amp;P</oddFooter>
  </headerFooter>
  <colBreaks count="1" manualBreakCount="1">
    <brk id="2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382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425" t="s">
        <v>360</v>
      </c>
      <c r="E3" s="425" t="s">
        <v>501</v>
      </c>
      <c r="F3" s="425" t="s">
        <v>360</v>
      </c>
      <c r="G3" s="425" t="s">
        <v>500</v>
      </c>
      <c r="H3" s="583" t="s">
        <v>1287</v>
      </c>
      <c r="I3" s="425" t="s">
        <v>360</v>
      </c>
      <c r="J3" s="425" t="s">
        <v>300</v>
      </c>
      <c r="K3" s="583" t="s">
        <v>1442</v>
      </c>
      <c r="L3" s="425" t="s">
        <v>360</v>
      </c>
      <c r="M3" s="425" t="s">
        <v>300</v>
      </c>
      <c r="N3" s="583" t="s">
        <v>1289</v>
      </c>
      <c r="O3" s="425" t="s">
        <v>360</v>
      </c>
      <c r="P3" s="425" t="s">
        <v>300</v>
      </c>
      <c r="Q3" s="583" t="s">
        <v>1289</v>
      </c>
      <c r="R3" s="425" t="s">
        <v>360</v>
      </c>
      <c r="S3" s="425" t="s">
        <v>300</v>
      </c>
      <c r="T3" s="1397"/>
      <c r="U3" s="426" t="s">
        <v>1290</v>
      </c>
      <c r="V3" s="426" t="s">
        <v>1291</v>
      </c>
      <c r="W3" s="426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256</v>
      </c>
      <c r="D76" s="163">
        <v>9250.4553302959666</v>
      </c>
      <c r="E76" s="164">
        <v>2281809.1130203009</v>
      </c>
      <c r="F76" s="164">
        <v>716.3</v>
      </c>
      <c r="G76" s="164">
        <v>183372.79999999999</v>
      </c>
      <c r="H76" s="162">
        <v>219</v>
      </c>
      <c r="I76" s="163">
        <v>570.35224473434255</v>
      </c>
      <c r="J76" s="164">
        <v>134735.53292994422</v>
      </c>
      <c r="K76" s="162">
        <v>20</v>
      </c>
      <c r="L76" s="163">
        <v>158.37628411149953</v>
      </c>
      <c r="M76" s="164">
        <v>3357.8147962060184</v>
      </c>
      <c r="N76" s="162">
        <v>28</v>
      </c>
      <c r="O76" s="163">
        <v>3936.5780458287281</v>
      </c>
      <c r="P76" s="164">
        <v>117704.88202520524</v>
      </c>
      <c r="Q76" s="162">
        <v>0</v>
      </c>
      <c r="R76" s="163">
        <v>1527.9418817790604</v>
      </c>
      <c r="S76" s="164">
        <v>0</v>
      </c>
      <c r="T76" s="165">
        <v>2720981</v>
      </c>
      <c r="U76" s="163">
        <v>80428</v>
      </c>
      <c r="V76" s="163">
        <v>-42416</v>
      </c>
      <c r="W76" s="166">
        <v>38012</v>
      </c>
      <c r="X76" s="165">
        <v>2758993</v>
      </c>
      <c r="Y76" s="164">
        <v>-6897</v>
      </c>
      <c r="Z76" s="165">
        <v>2752096</v>
      </c>
      <c r="AA76" s="164">
        <v>0</v>
      </c>
      <c r="AB76" s="165">
        <v>2752096</v>
      </c>
      <c r="AC76" s="163">
        <v>1786510</v>
      </c>
      <c r="AD76" s="163">
        <v>965586</v>
      </c>
      <c r="AE76" s="165">
        <v>241397</v>
      </c>
      <c r="AF76" s="168">
        <v>2752096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25924</v>
      </c>
      <c r="U77" s="860"/>
      <c r="V77" s="860"/>
      <c r="W77" s="860"/>
      <c r="X77" s="861">
        <v>25924</v>
      </c>
      <c r="Y77" s="910">
        <v>-65</v>
      </c>
      <c r="Z77" s="861">
        <v>25859</v>
      </c>
      <c r="AA77" s="860"/>
      <c r="AB77" s="861">
        <v>25859</v>
      </c>
      <c r="AC77" s="860">
        <v>17580</v>
      </c>
      <c r="AD77" s="860">
        <v>8279</v>
      </c>
      <c r="AE77" s="861">
        <v>2070</v>
      </c>
      <c r="AF77" s="912">
        <v>25859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0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0</v>
      </c>
      <c r="AC83" s="155">
        <v>0</v>
      </c>
      <c r="AD83" s="709">
        <v>0</v>
      </c>
      <c r="AE83" s="156">
        <v>0</v>
      </c>
      <c r="AF83" s="156">
        <v>0</v>
      </c>
    </row>
    <row r="84" spans="1:32" s="19" customFormat="1" ht="15" customHeight="1" thickBot="1" x14ac:dyDescent="0.25">
      <c r="A84" s="1404" t="s">
        <v>366</v>
      </c>
      <c r="B84" s="1405"/>
      <c r="C84" s="162">
        <v>256</v>
      </c>
      <c r="D84" s="163">
        <v>9250.4553302959666</v>
      </c>
      <c r="E84" s="164">
        <v>2281809.1130203009</v>
      </c>
      <c r="F84" s="164">
        <v>716.3</v>
      </c>
      <c r="G84" s="164">
        <v>183372.79999999999</v>
      </c>
      <c r="H84" s="162">
        <v>219</v>
      </c>
      <c r="I84" s="163">
        <v>570.35224473434255</v>
      </c>
      <c r="J84" s="164">
        <v>134735.53292994422</v>
      </c>
      <c r="K84" s="162">
        <v>20</v>
      </c>
      <c r="L84" s="163">
        <v>158.37628411149953</v>
      </c>
      <c r="M84" s="164">
        <v>3357.8147962060184</v>
      </c>
      <c r="N84" s="162">
        <v>28</v>
      </c>
      <c r="O84" s="163">
        <v>3936.5780458287281</v>
      </c>
      <c r="P84" s="164">
        <v>117704.88202520524</v>
      </c>
      <c r="Q84" s="162">
        <v>0</v>
      </c>
      <c r="R84" s="163">
        <v>1527.9418817790604</v>
      </c>
      <c r="S84" s="164">
        <v>0</v>
      </c>
      <c r="T84" s="165">
        <v>2746905</v>
      </c>
      <c r="U84" s="163">
        <v>80428</v>
      </c>
      <c r="V84" s="163">
        <v>-42416</v>
      </c>
      <c r="W84" s="166">
        <v>38012</v>
      </c>
      <c r="X84" s="165">
        <v>2784917</v>
      </c>
      <c r="Y84" s="164">
        <v>-6962</v>
      </c>
      <c r="Z84" s="165">
        <v>2777955</v>
      </c>
      <c r="AA84" s="164">
        <v>0</v>
      </c>
      <c r="AB84" s="165">
        <v>2777955</v>
      </c>
      <c r="AC84" s="163">
        <v>1804090</v>
      </c>
      <c r="AD84" s="163">
        <v>973865</v>
      </c>
      <c r="AE84" s="165">
        <v>243467</v>
      </c>
      <c r="AF84" s="168">
        <v>2777955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759"/>
      <c r="D88" s="759"/>
      <c r="E88" s="759"/>
      <c r="F88" s="1155"/>
      <c r="G88" s="1155"/>
      <c r="H88" s="759"/>
      <c r="I88" s="759"/>
      <c r="J88" s="759"/>
      <c r="K88" s="759"/>
      <c r="L88" s="759"/>
      <c r="M88" s="759"/>
      <c r="N88" s="759"/>
      <c r="O88" s="759"/>
      <c r="P88" s="759"/>
      <c r="Q88" s="759"/>
      <c r="R88" s="759"/>
      <c r="S88" s="759"/>
      <c r="T88" s="759"/>
      <c r="U88" s="759"/>
      <c r="V88" s="759"/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</row>
    <row r="89" spans="1:32" x14ac:dyDescent="0.2">
      <c r="A89" s="10"/>
      <c r="B89" s="10"/>
      <c r="C89" s="764"/>
      <c r="D89" s="764"/>
      <c r="E89" s="764"/>
      <c r="F89" s="1155"/>
      <c r="G89" s="1155"/>
      <c r="H89" s="759"/>
      <c r="I89" s="759"/>
      <c r="J89" s="759"/>
      <c r="K89" s="759"/>
      <c r="L89" s="759"/>
      <c r="M89" s="759"/>
      <c r="N89" s="759"/>
      <c r="O89" s="759"/>
      <c r="P89" s="759"/>
      <c r="Q89" s="759"/>
      <c r="R89" s="759"/>
      <c r="S89" s="759"/>
      <c r="T89" s="759"/>
      <c r="U89" s="759"/>
      <c r="V89" s="759"/>
      <c r="W89" s="759"/>
      <c r="X89" s="759"/>
      <c r="Y89" s="759"/>
      <c r="Z89" s="759"/>
      <c r="AA89" s="759"/>
      <c r="AB89" s="759"/>
      <c r="AC89" s="759"/>
      <c r="AD89" s="759"/>
      <c r="AE89" s="759"/>
      <c r="AF89" s="759"/>
    </row>
    <row r="90" spans="1:32" x14ac:dyDescent="0.2">
      <c r="A90" s="10"/>
      <c r="B90" s="10"/>
      <c r="C90" s="759"/>
      <c r="D90" s="759"/>
      <c r="E90" s="759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759"/>
      <c r="U90" s="759"/>
      <c r="V90" s="759"/>
      <c r="W90" s="759"/>
      <c r="X90" s="759"/>
      <c r="Y90" s="759"/>
      <c r="Z90" s="759"/>
      <c r="AA90" s="759"/>
      <c r="AB90" s="759"/>
      <c r="AC90" s="759"/>
      <c r="AD90" s="759"/>
      <c r="AE90" s="759"/>
      <c r="AF90" s="759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E2:AE3"/>
    <mergeCell ref="AF2:AF3"/>
    <mergeCell ref="X2:X3"/>
    <mergeCell ref="Y2:Y3"/>
    <mergeCell ref="Z2:Z3"/>
    <mergeCell ref="AA2:AA3"/>
    <mergeCell ref="AB2:AB3"/>
    <mergeCell ref="AC2:AC3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83:B83"/>
    <mergeCell ref="K2:M2"/>
    <mergeCell ref="Q2:S2"/>
    <mergeCell ref="A81:B81"/>
    <mergeCell ref="A82:B8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400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346</v>
      </c>
      <c r="D76" s="163">
        <v>9250.4553302959666</v>
      </c>
      <c r="E76" s="164">
        <v>2957112.5281292479</v>
      </c>
      <c r="F76" s="164">
        <v>598.4</v>
      </c>
      <c r="G76" s="164">
        <v>207046.39999999999</v>
      </c>
      <c r="H76" s="162">
        <v>268</v>
      </c>
      <c r="I76" s="163">
        <v>570.35224473434255</v>
      </c>
      <c r="J76" s="164">
        <v>164641.30891901752</v>
      </c>
      <c r="K76" s="162">
        <v>68</v>
      </c>
      <c r="L76" s="163">
        <v>158.37628411149953</v>
      </c>
      <c r="M76" s="164">
        <v>11347.722228248331</v>
      </c>
      <c r="N76" s="162">
        <v>44</v>
      </c>
      <c r="O76" s="163">
        <v>3936.5780458287281</v>
      </c>
      <c r="P76" s="164">
        <v>185129.19747904115</v>
      </c>
      <c r="Q76" s="162">
        <v>0</v>
      </c>
      <c r="R76" s="163">
        <v>1527.9418817790604</v>
      </c>
      <c r="S76" s="164">
        <v>0</v>
      </c>
      <c r="T76" s="165">
        <v>3525278</v>
      </c>
      <c r="U76" s="163">
        <v>415088</v>
      </c>
      <c r="V76" s="163">
        <v>-27431</v>
      </c>
      <c r="W76" s="166">
        <v>387657</v>
      </c>
      <c r="X76" s="165">
        <v>3912935</v>
      </c>
      <c r="Y76" s="164">
        <v>-9782</v>
      </c>
      <c r="Z76" s="165">
        <v>3903153</v>
      </c>
      <c r="AA76" s="164">
        <v>0</v>
      </c>
      <c r="AB76" s="165">
        <v>3903153</v>
      </c>
      <c r="AC76" s="163">
        <v>2417476</v>
      </c>
      <c r="AD76" s="163">
        <v>1485677</v>
      </c>
      <c r="AE76" s="165">
        <v>371420</v>
      </c>
      <c r="AF76" s="168">
        <v>3903153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52462</v>
      </c>
      <c r="U77" s="860"/>
      <c r="V77" s="860"/>
      <c r="W77" s="860"/>
      <c r="X77" s="861">
        <v>52462</v>
      </c>
      <c r="Y77" s="910">
        <v>-131</v>
      </c>
      <c r="Z77" s="861">
        <v>52331</v>
      </c>
      <c r="AA77" s="860"/>
      <c r="AB77" s="861">
        <v>52331</v>
      </c>
      <c r="AC77" s="860">
        <v>34240</v>
      </c>
      <c r="AD77" s="860">
        <v>18091</v>
      </c>
      <c r="AE77" s="861">
        <v>4523</v>
      </c>
      <c r="AF77" s="912">
        <v>52331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12050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4366</v>
      </c>
      <c r="AC83" s="155">
        <v>2912</v>
      </c>
      <c r="AD83" s="709">
        <v>1454</v>
      </c>
      <c r="AE83" s="156">
        <v>364</v>
      </c>
      <c r="AF83" s="156">
        <v>4366</v>
      </c>
    </row>
    <row r="84" spans="1:32" s="19" customFormat="1" ht="15" customHeight="1" thickBot="1" x14ac:dyDescent="0.25">
      <c r="A84" s="1404" t="s">
        <v>366</v>
      </c>
      <c r="B84" s="1405"/>
      <c r="C84" s="162">
        <v>346</v>
      </c>
      <c r="D84" s="163">
        <v>9250.4553302959666</v>
      </c>
      <c r="E84" s="164">
        <v>2957112.5281292479</v>
      </c>
      <c r="F84" s="164">
        <v>598.4</v>
      </c>
      <c r="G84" s="164">
        <v>207046.39999999999</v>
      </c>
      <c r="H84" s="162">
        <v>268</v>
      </c>
      <c r="I84" s="163">
        <v>570.35224473434255</v>
      </c>
      <c r="J84" s="164">
        <v>164641.30891901752</v>
      </c>
      <c r="K84" s="162">
        <v>68</v>
      </c>
      <c r="L84" s="163">
        <v>158.37628411149953</v>
      </c>
      <c r="M84" s="164">
        <v>11347.722228248331</v>
      </c>
      <c r="N84" s="162">
        <v>44</v>
      </c>
      <c r="O84" s="163">
        <v>3936.5780458287281</v>
      </c>
      <c r="P84" s="164">
        <v>185129.19747904115</v>
      </c>
      <c r="Q84" s="162">
        <v>0</v>
      </c>
      <c r="R84" s="163">
        <v>1527.9418817790604</v>
      </c>
      <c r="S84" s="164">
        <v>0</v>
      </c>
      <c r="T84" s="165">
        <v>3577740</v>
      </c>
      <c r="U84" s="163">
        <v>415088</v>
      </c>
      <c r="V84" s="163">
        <v>-27431</v>
      </c>
      <c r="W84" s="166">
        <v>387657</v>
      </c>
      <c r="X84" s="165">
        <v>3965397</v>
      </c>
      <c r="Y84" s="164">
        <v>-9913</v>
      </c>
      <c r="Z84" s="165">
        <v>3955484</v>
      </c>
      <c r="AA84" s="164">
        <v>0</v>
      </c>
      <c r="AB84" s="165">
        <v>3959850</v>
      </c>
      <c r="AC84" s="163">
        <v>2454628</v>
      </c>
      <c r="AD84" s="163">
        <v>1505222</v>
      </c>
      <c r="AE84" s="165">
        <v>376307</v>
      </c>
      <c r="AF84" s="168">
        <v>3971900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46"/>
      <c r="G88" s="1146"/>
      <c r="H88" s="10"/>
      <c r="I88" s="10"/>
      <c r="J88" s="10"/>
      <c r="K88" s="10"/>
      <c r="L88" s="759"/>
      <c r="M88" s="759"/>
      <c r="N88" s="759"/>
      <c r="O88" s="759"/>
      <c r="P88" s="759"/>
      <c r="Q88" s="759"/>
      <c r="R88" s="759"/>
      <c r="S88" s="759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46"/>
      <c r="G89" s="1146"/>
      <c r="H89" s="10"/>
      <c r="I89" s="10"/>
      <c r="J89" s="10"/>
      <c r="K89" s="10"/>
      <c r="L89" s="759"/>
      <c r="M89" s="759"/>
      <c r="N89" s="759"/>
      <c r="O89" s="759"/>
      <c r="P89" s="759"/>
      <c r="Q89" s="759"/>
      <c r="R89" s="759"/>
      <c r="S89" s="759"/>
      <c r="T89" s="10"/>
      <c r="U89" s="10"/>
      <c r="V89" s="10"/>
      <c r="W89" s="10"/>
      <c r="X89" s="10"/>
      <c r="Y89" s="459"/>
      <c r="Z89" s="760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59"/>
      <c r="Z90" s="76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2" t="s">
        <v>1095</v>
      </c>
      <c r="B1" s="1433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34"/>
      <c r="B2" s="1435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36"/>
      <c r="B3" s="1437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1.5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7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1376</v>
      </c>
      <c r="D76" s="163">
        <v>9250.4553302959666</v>
      </c>
      <c r="E76" s="164">
        <v>12329596.029350258</v>
      </c>
      <c r="F76" s="164">
        <v>714.81</v>
      </c>
      <c r="G76" s="164">
        <v>983578.55999999994</v>
      </c>
      <c r="H76" s="162">
        <v>863</v>
      </c>
      <c r="I76" s="163">
        <v>570.35224473434255</v>
      </c>
      <c r="J76" s="164">
        <v>407660.56648681941</v>
      </c>
      <c r="K76" s="162">
        <v>0</v>
      </c>
      <c r="L76" s="163">
        <v>158.37628411149953</v>
      </c>
      <c r="M76" s="164">
        <v>0</v>
      </c>
      <c r="N76" s="162">
        <v>88</v>
      </c>
      <c r="O76" s="163">
        <v>3936.5780458287281</v>
      </c>
      <c r="P76" s="164">
        <v>283874.05080389074</v>
      </c>
      <c r="Q76" s="162">
        <v>1</v>
      </c>
      <c r="R76" s="163">
        <v>1527.9418817790604</v>
      </c>
      <c r="S76" s="164">
        <v>1251.0424041845763</v>
      </c>
      <c r="T76" s="165">
        <v>14005960</v>
      </c>
      <c r="U76" s="163">
        <v>-583482</v>
      </c>
      <c r="V76" s="163">
        <v>-125133</v>
      </c>
      <c r="W76" s="166">
        <v>-708615</v>
      </c>
      <c r="X76" s="165">
        <v>13297345</v>
      </c>
      <c r="Y76" s="164">
        <v>-33244</v>
      </c>
      <c r="Z76" s="165">
        <v>13264101</v>
      </c>
      <c r="AA76" s="164">
        <v>-3197</v>
      </c>
      <c r="AB76" s="165">
        <v>13260904</v>
      </c>
      <c r="AC76" s="163">
        <v>8884350</v>
      </c>
      <c r="AD76" s="163">
        <v>4376554</v>
      </c>
      <c r="AE76" s="165">
        <v>1094140</v>
      </c>
      <c r="AF76" s="168">
        <v>13260904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216045</v>
      </c>
      <c r="U77" s="860"/>
      <c r="V77" s="860"/>
      <c r="W77" s="860"/>
      <c r="X77" s="861">
        <v>216045</v>
      </c>
      <c r="Y77" s="910">
        <v>-540</v>
      </c>
      <c r="Z77" s="861">
        <v>215505</v>
      </c>
      <c r="AA77" s="860"/>
      <c r="AB77" s="861">
        <v>215505</v>
      </c>
      <c r="AC77" s="860">
        <v>142916</v>
      </c>
      <c r="AD77" s="860">
        <v>72589</v>
      </c>
      <c r="AE77" s="861">
        <v>18147</v>
      </c>
      <c r="AF77" s="912">
        <v>215505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462000</v>
      </c>
      <c r="AC79" s="705">
        <v>308000</v>
      </c>
      <c r="AD79" s="704">
        <v>154000</v>
      </c>
      <c r="AE79" s="141">
        <v>38500</v>
      </c>
      <c r="AF79" s="141">
        <v>462000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18000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0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11800</v>
      </c>
      <c r="AC83" s="155">
        <v>7866</v>
      </c>
      <c r="AD83" s="709">
        <v>3934</v>
      </c>
      <c r="AE83" s="156">
        <v>984</v>
      </c>
      <c r="AF83" s="156">
        <v>11800</v>
      </c>
    </row>
    <row r="84" spans="1:32" s="19" customFormat="1" ht="15" customHeight="1" thickBot="1" x14ac:dyDescent="0.25">
      <c r="A84" s="1404" t="s">
        <v>366</v>
      </c>
      <c r="B84" s="1405"/>
      <c r="C84" s="162">
        <v>1376</v>
      </c>
      <c r="D84" s="163">
        <v>9250.4553302959666</v>
      </c>
      <c r="E84" s="164">
        <v>12329596.029350258</v>
      </c>
      <c r="F84" s="164">
        <v>714.81</v>
      </c>
      <c r="G84" s="164">
        <v>983578.55999999994</v>
      </c>
      <c r="H84" s="162">
        <v>863</v>
      </c>
      <c r="I84" s="163">
        <v>570.35224473434255</v>
      </c>
      <c r="J84" s="164">
        <v>407660.56648681941</v>
      </c>
      <c r="K84" s="162">
        <v>0</v>
      </c>
      <c r="L84" s="163">
        <v>158.37628411149953</v>
      </c>
      <c r="M84" s="164">
        <v>0</v>
      </c>
      <c r="N84" s="162">
        <v>88</v>
      </c>
      <c r="O84" s="163">
        <v>3936.5780458287281</v>
      </c>
      <c r="P84" s="164">
        <v>283874.05080389074</v>
      </c>
      <c r="Q84" s="162">
        <v>1</v>
      </c>
      <c r="R84" s="163">
        <v>1527.9418817790604</v>
      </c>
      <c r="S84" s="164">
        <v>1251.0424041845763</v>
      </c>
      <c r="T84" s="165">
        <v>14222005</v>
      </c>
      <c r="U84" s="163">
        <v>-583482</v>
      </c>
      <c r="V84" s="163">
        <v>-125133</v>
      </c>
      <c r="W84" s="166">
        <v>-708615</v>
      </c>
      <c r="X84" s="165">
        <v>13513390</v>
      </c>
      <c r="Y84" s="164">
        <v>-33784</v>
      </c>
      <c r="Z84" s="165">
        <v>13479606</v>
      </c>
      <c r="AA84" s="164">
        <v>-3197</v>
      </c>
      <c r="AB84" s="165">
        <v>13950209</v>
      </c>
      <c r="AC84" s="163">
        <v>9343132</v>
      </c>
      <c r="AD84" s="163">
        <v>4607077</v>
      </c>
      <c r="AE84" s="165">
        <v>1151771</v>
      </c>
      <c r="AF84" s="168">
        <v>13968209</v>
      </c>
    </row>
    <row r="85" spans="1:32" customFormat="1" ht="8.4499999999999993" customHeight="1" thickTop="1" x14ac:dyDescent="0.2"/>
    <row r="86" spans="1:32" s="908" customFormat="1" ht="15" customHeight="1" x14ac:dyDescent="0.2">
      <c r="A86" s="1438"/>
      <c r="B86" s="1439"/>
      <c r="C86" s="986"/>
      <c r="D86" s="987"/>
      <c r="E86" s="987"/>
      <c r="F86" s="1060"/>
      <c r="G86" s="1060"/>
      <c r="H86" s="1060"/>
      <c r="I86" s="1060"/>
      <c r="J86" s="1060"/>
      <c r="K86" s="1060"/>
      <c r="L86" s="1060"/>
      <c r="M86" s="1060"/>
      <c r="N86" s="1060"/>
      <c r="O86" s="1060"/>
      <c r="P86" s="1060"/>
      <c r="Q86" s="1060"/>
      <c r="R86" s="1060"/>
      <c r="S86" s="1060"/>
      <c r="T86" s="1060"/>
      <c r="U86" s="1060"/>
      <c r="V86" s="1060"/>
      <c r="W86" s="1060"/>
      <c r="X86" s="1060"/>
      <c r="Y86" s="1060"/>
      <c r="Z86" s="1060"/>
      <c r="AA86" s="1060"/>
      <c r="AB86" s="1060"/>
      <c r="AC86" s="1060"/>
      <c r="AD86" s="1060"/>
      <c r="AE86" s="1060"/>
      <c r="AF86" s="1060"/>
    </row>
    <row r="87" spans="1:32" s="908" customFormat="1" ht="15" customHeight="1" x14ac:dyDescent="0.2">
      <c r="A87" s="1430"/>
      <c r="B87" s="1431"/>
      <c r="C87" s="988"/>
      <c r="D87" s="989"/>
      <c r="E87" s="989"/>
      <c r="F87" s="1060"/>
      <c r="G87" s="1060"/>
      <c r="H87" s="1060"/>
      <c r="I87" s="1060"/>
      <c r="J87" s="1060"/>
      <c r="K87" s="1060"/>
      <c r="L87" s="1060"/>
      <c r="M87" s="1060"/>
      <c r="N87" s="1060"/>
      <c r="O87" s="1060"/>
      <c r="P87" s="1060"/>
      <c r="Q87" s="1060"/>
      <c r="R87" s="1060"/>
      <c r="S87" s="1060"/>
      <c r="T87" s="1060"/>
      <c r="U87" s="1060"/>
      <c r="V87" s="1060"/>
      <c r="W87" s="1060"/>
      <c r="X87" s="1060"/>
      <c r="Y87" s="1060"/>
      <c r="Z87" s="1060"/>
      <c r="AA87" s="1060"/>
      <c r="AB87" s="1060"/>
      <c r="AC87" s="1060"/>
      <c r="AD87" s="1060"/>
      <c r="AE87" s="1060"/>
      <c r="AF87" s="1060"/>
    </row>
    <row r="88" spans="1:32" ht="16.149999999999999" customHeight="1" x14ac:dyDescent="0.2">
      <c r="A88" s="10"/>
      <c r="B88" s="10"/>
      <c r="C88" s="758"/>
      <c r="D88" s="459"/>
      <c r="E88" s="459"/>
      <c r="F88" s="1154"/>
      <c r="G88" s="1154"/>
      <c r="H88" s="459"/>
      <c r="I88" s="459"/>
      <c r="J88" s="459"/>
      <c r="K88" s="459"/>
      <c r="L88" s="759"/>
      <c r="M88" s="759"/>
      <c r="N88" s="759"/>
      <c r="O88" s="759"/>
      <c r="P88" s="759"/>
      <c r="Q88" s="759"/>
      <c r="R88" s="759"/>
      <c r="S88" s="759"/>
      <c r="T88" s="459"/>
      <c r="U88" s="459"/>
      <c r="V88" s="459"/>
      <c r="W88" s="459"/>
      <c r="X88" s="459"/>
      <c r="Y88" s="459"/>
      <c r="Z88" s="760"/>
      <c r="AA88" s="459"/>
      <c r="AB88" s="459"/>
      <c r="AC88" s="459"/>
      <c r="AD88" s="459"/>
      <c r="AE88" s="10"/>
      <c r="AF88" s="459"/>
    </row>
    <row r="89" spans="1:32" ht="16.149999999999999" customHeight="1" x14ac:dyDescent="0.2">
      <c r="A89" s="761"/>
      <c r="B89" s="761"/>
      <c r="C89" s="758"/>
      <c r="D89" s="459"/>
      <c r="E89" s="459"/>
      <c r="F89" s="1154"/>
      <c r="G89" s="1154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760"/>
      <c r="AA89" s="459"/>
      <c r="AB89" s="459"/>
      <c r="AC89" s="459"/>
      <c r="AD89" s="459"/>
      <c r="AE89" s="459"/>
      <c r="AF89" s="459"/>
    </row>
    <row r="90" spans="1:32" ht="16.149999999999999" customHeight="1" x14ac:dyDescent="0.2">
      <c r="A90" s="10"/>
      <c r="B90" s="10"/>
      <c r="C90" s="758"/>
      <c r="D90" s="10"/>
      <c r="E90" s="10"/>
      <c r="F90" s="759"/>
      <c r="G90" s="759"/>
      <c r="H90" s="759"/>
      <c r="I90" s="759"/>
      <c r="J90" s="759"/>
      <c r="K90" s="759"/>
      <c r="L90" s="759"/>
      <c r="M90" s="759"/>
      <c r="N90" s="759"/>
      <c r="O90" s="759"/>
      <c r="P90" s="759"/>
      <c r="Q90" s="759"/>
      <c r="R90" s="759"/>
      <c r="S90" s="759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759"/>
      <c r="G91" s="759"/>
      <c r="H91" s="759"/>
      <c r="I91" s="759"/>
      <c r="J91" s="759"/>
      <c r="K91" s="759"/>
      <c r="L91" s="759"/>
      <c r="M91" s="759"/>
      <c r="N91" s="759"/>
      <c r="O91" s="759"/>
      <c r="P91" s="759"/>
      <c r="Q91" s="759"/>
      <c r="R91" s="759"/>
      <c r="S91" s="759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  <mergeCell ref="X2:X3"/>
    <mergeCell ref="K2:M2"/>
    <mergeCell ref="AD2:AD3"/>
    <mergeCell ref="A76:B76"/>
    <mergeCell ref="AF2:AF3"/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367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722</v>
      </c>
      <c r="D76" s="163">
        <v>9250.4553302959666</v>
      </c>
      <c r="E76" s="164">
        <v>4684238.3697352074</v>
      </c>
      <c r="F76" s="164">
        <v>536.12</v>
      </c>
      <c r="G76" s="164">
        <v>387078.63999999996</v>
      </c>
      <c r="H76" s="162">
        <v>437</v>
      </c>
      <c r="I76" s="163">
        <v>570.35224473434255</v>
      </c>
      <c r="J76" s="164">
        <v>310630.73243010929</v>
      </c>
      <c r="K76" s="162">
        <v>101.5</v>
      </c>
      <c r="L76" s="163">
        <v>158.37628411149953</v>
      </c>
      <c r="M76" s="164">
        <v>19703.011357697542</v>
      </c>
      <c r="N76" s="162">
        <v>38</v>
      </c>
      <c r="O76" s="163">
        <v>3936.5780458287281</v>
      </c>
      <c r="P76" s="164">
        <v>184412.42157450903</v>
      </c>
      <c r="Q76" s="162">
        <v>0</v>
      </c>
      <c r="R76" s="163">
        <v>1527.9418817790604</v>
      </c>
      <c r="S76" s="164">
        <v>0</v>
      </c>
      <c r="T76" s="165">
        <v>5586064</v>
      </c>
      <c r="U76" s="163">
        <v>-407324</v>
      </c>
      <c r="V76" s="163">
        <v>-13283</v>
      </c>
      <c r="W76" s="166">
        <v>-420607</v>
      </c>
      <c r="X76" s="165">
        <v>5165457</v>
      </c>
      <c r="Y76" s="164">
        <v>-12913</v>
      </c>
      <c r="Z76" s="165">
        <v>5152544</v>
      </c>
      <c r="AA76" s="164">
        <v>0</v>
      </c>
      <c r="AB76" s="165">
        <v>5152544</v>
      </c>
      <c r="AC76" s="163">
        <v>3491832</v>
      </c>
      <c r="AD76" s="163">
        <v>1660712</v>
      </c>
      <c r="AE76" s="165">
        <v>415177</v>
      </c>
      <c r="AF76" s="168">
        <v>5152544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66577</v>
      </c>
      <c r="U77" s="860"/>
      <c r="V77" s="860"/>
      <c r="W77" s="860"/>
      <c r="X77" s="861">
        <v>66577</v>
      </c>
      <c r="Y77" s="910">
        <v>-166</v>
      </c>
      <c r="Z77" s="861">
        <v>66411</v>
      </c>
      <c r="AA77" s="860"/>
      <c r="AB77" s="861">
        <v>66411</v>
      </c>
      <c r="AC77" s="860">
        <v>44918</v>
      </c>
      <c r="AD77" s="860">
        <v>21493</v>
      </c>
      <c r="AE77" s="861">
        <v>5373</v>
      </c>
      <c r="AF77" s="912">
        <v>66411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10000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18880</v>
      </c>
      <c r="AC83" s="155">
        <v>12586</v>
      </c>
      <c r="AD83" s="709">
        <v>6294</v>
      </c>
      <c r="AE83" s="156">
        <v>1574</v>
      </c>
      <c r="AF83" s="156">
        <v>18880</v>
      </c>
    </row>
    <row r="84" spans="1:32" s="19" customFormat="1" ht="15" customHeight="1" thickBot="1" x14ac:dyDescent="0.25">
      <c r="A84" s="1404" t="s">
        <v>366</v>
      </c>
      <c r="B84" s="1405"/>
      <c r="C84" s="162">
        <v>722</v>
      </c>
      <c r="D84" s="163">
        <v>9250.4553302959666</v>
      </c>
      <c r="E84" s="164">
        <v>4684238.3697352074</v>
      </c>
      <c r="F84" s="164">
        <v>536.12</v>
      </c>
      <c r="G84" s="164">
        <v>387078.63999999996</v>
      </c>
      <c r="H84" s="162">
        <v>437</v>
      </c>
      <c r="I84" s="163">
        <v>570.35224473434255</v>
      </c>
      <c r="J84" s="164">
        <v>310630.73243010929</v>
      </c>
      <c r="K84" s="162">
        <v>101.5</v>
      </c>
      <c r="L84" s="163">
        <v>158.37628411149953</v>
      </c>
      <c r="M84" s="164">
        <v>19703.011357697542</v>
      </c>
      <c r="N84" s="162">
        <v>38</v>
      </c>
      <c r="O84" s="163">
        <v>3936.5780458287281</v>
      </c>
      <c r="P84" s="164">
        <v>184412.42157450903</v>
      </c>
      <c r="Q84" s="162">
        <v>0</v>
      </c>
      <c r="R84" s="163">
        <v>1527.9418817790604</v>
      </c>
      <c r="S84" s="164">
        <v>0</v>
      </c>
      <c r="T84" s="165">
        <v>5652641</v>
      </c>
      <c r="U84" s="163">
        <v>-407324</v>
      </c>
      <c r="V84" s="163">
        <v>-13283</v>
      </c>
      <c r="W84" s="166">
        <v>-420607</v>
      </c>
      <c r="X84" s="165">
        <v>5232034</v>
      </c>
      <c r="Y84" s="164">
        <v>-13079</v>
      </c>
      <c r="Z84" s="165">
        <v>5218955</v>
      </c>
      <c r="AA84" s="164">
        <v>0</v>
      </c>
      <c r="AB84" s="165">
        <v>5237835</v>
      </c>
      <c r="AC84" s="163">
        <v>3549336</v>
      </c>
      <c r="AD84" s="163">
        <v>1688499</v>
      </c>
      <c r="AE84" s="165">
        <v>422124</v>
      </c>
      <c r="AF84" s="168">
        <v>5247835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46"/>
      <c r="G88" s="1146"/>
      <c r="H88" s="10"/>
      <c r="I88" s="10"/>
      <c r="J88" s="10"/>
      <c r="K88" s="10"/>
      <c r="L88" s="759"/>
      <c r="M88" s="759"/>
      <c r="N88" s="759"/>
      <c r="O88" s="759"/>
      <c r="P88" s="759"/>
      <c r="Q88" s="759"/>
      <c r="R88" s="759"/>
      <c r="S88" s="759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46"/>
      <c r="G89" s="1146"/>
      <c r="H89" s="10"/>
      <c r="I89" s="10"/>
      <c r="J89" s="10"/>
      <c r="K89" s="10"/>
      <c r="L89" s="759"/>
      <c r="M89" s="759"/>
      <c r="N89" s="759"/>
      <c r="O89" s="759"/>
      <c r="P89" s="759"/>
      <c r="Q89" s="759"/>
      <c r="R89" s="759"/>
      <c r="S89" s="759"/>
      <c r="T89" s="10"/>
      <c r="U89" s="10"/>
      <c r="V89" s="10"/>
      <c r="W89" s="10"/>
      <c r="X89" s="10"/>
      <c r="Y89" s="459"/>
      <c r="Z89" s="760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59"/>
      <c r="Z90" s="76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383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821</v>
      </c>
      <c r="D76" s="163">
        <v>9250.4553302959666</v>
      </c>
      <c r="E76" s="164">
        <v>7002416.1182615319</v>
      </c>
      <c r="F76" s="164">
        <v>527.02</v>
      </c>
      <c r="G76" s="164">
        <v>432683.42</v>
      </c>
      <c r="H76" s="162">
        <v>646</v>
      </c>
      <c r="I76" s="163">
        <v>570.35224473434255</v>
      </c>
      <c r="J76" s="164">
        <v>401274.14564088278</v>
      </c>
      <c r="K76" s="162">
        <v>386</v>
      </c>
      <c r="L76" s="163">
        <v>158.37628411149953</v>
      </c>
      <c r="M76" s="164">
        <v>65854.574582571586</v>
      </c>
      <c r="N76" s="162">
        <v>70</v>
      </c>
      <c r="O76" s="163">
        <v>3936.5780458287281</v>
      </c>
      <c r="P76" s="164">
        <v>300356.3729337753</v>
      </c>
      <c r="Q76" s="162">
        <v>11</v>
      </c>
      <c r="R76" s="163">
        <v>1527.9418817790604</v>
      </c>
      <c r="S76" s="164">
        <v>18992.432098139339</v>
      </c>
      <c r="T76" s="165">
        <v>8221578</v>
      </c>
      <c r="U76" s="163">
        <v>-324932</v>
      </c>
      <c r="V76" s="163">
        <v>-111060</v>
      </c>
      <c r="W76" s="166">
        <v>-435992</v>
      </c>
      <c r="X76" s="165">
        <v>7785586</v>
      </c>
      <c r="Y76" s="164">
        <v>-19464</v>
      </c>
      <c r="Z76" s="165">
        <v>7766122</v>
      </c>
      <c r="AA76" s="164">
        <v>0</v>
      </c>
      <c r="AB76" s="165">
        <v>7766122</v>
      </c>
      <c r="AC76" s="163">
        <v>5270360</v>
      </c>
      <c r="AD76" s="163">
        <v>2495762</v>
      </c>
      <c r="AE76" s="165">
        <v>623942</v>
      </c>
      <c r="AF76" s="168">
        <v>7766122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103012</v>
      </c>
      <c r="U77" s="860"/>
      <c r="V77" s="860"/>
      <c r="W77" s="860"/>
      <c r="X77" s="861">
        <v>103012</v>
      </c>
      <c r="Y77" s="910">
        <v>-258</v>
      </c>
      <c r="Z77" s="861">
        <v>102754</v>
      </c>
      <c r="AA77" s="860"/>
      <c r="AB77" s="861">
        <v>102754</v>
      </c>
      <c r="AC77" s="860">
        <v>68912</v>
      </c>
      <c r="AD77" s="860">
        <v>33842</v>
      </c>
      <c r="AE77" s="861">
        <v>8461</v>
      </c>
      <c r="AF77" s="912">
        <v>102754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54948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22833</v>
      </c>
      <c r="AC83" s="155">
        <v>15224</v>
      </c>
      <c r="AD83" s="709">
        <v>7609</v>
      </c>
      <c r="AE83" s="156">
        <v>1902</v>
      </c>
      <c r="AF83" s="156">
        <v>22833</v>
      </c>
    </row>
    <row r="84" spans="1:32" s="19" customFormat="1" ht="15" customHeight="1" thickBot="1" x14ac:dyDescent="0.25">
      <c r="A84" s="1404" t="s">
        <v>366</v>
      </c>
      <c r="B84" s="1405"/>
      <c r="C84" s="162">
        <v>821</v>
      </c>
      <c r="D84" s="163">
        <v>9250.4553302959666</v>
      </c>
      <c r="E84" s="164">
        <v>7002416.1182615319</v>
      </c>
      <c r="F84" s="164">
        <v>527.02</v>
      </c>
      <c r="G84" s="164">
        <v>432683.42</v>
      </c>
      <c r="H84" s="162">
        <v>646</v>
      </c>
      <c r="I84" s="163">
        <v>570.35224473434255</v>
      </c>
      <c r="J84" s="164">
        <v>401274.14564088278</v>
      </c>
      <c r="K84" s="162">
        <v>386</v>
      </c>
      <c r="L84" s="163">
        <v>158.37628411149953</v>
      </c>
      <c r="M84" s="164">
        <v>65854.574582571586</v>
      </c>
      <c r="N84" s="162">
        <v>70</v>
      </c>
      <c r="O84" s="163">
        <v>3936.5780458287281</v>
      </c>
      <c r="P84" s="164">
        <v>300356.3729337753</v>
      </c>
      <c r="Q84" s="162">
        <v>11</v>
      </c>
      <c r="R84" s="163">
        <v>1527.9418817790604</v>
      </c>
      <c r="S84" s="164">
        <v>18992.432098139339</v>
      </c>
      <c r="T84" s="165">
        <v>8324590</v>
      </c>
      <c r="U84" s="163">
        <v>-324932</v>
      </c>
      <c r="V84" s="163">
        <v>-111060</v>
      </c>
      <c r="W84" s="166">
        <v>-435992</v>
      </c>
      <c r="X84" s="165">
        <v>7888598</v>
      </c>
      <c r="Y84" s="164">
        <v>-19722</v>
      </c>
      <c r="Z84" s="165">
        <v>7868876</v>
      </c>
      <c r="AA84" s="164">
        <v>0</v>
      </c>
      <c r="AB84" s="165">
        <v>7891709</v>
      </c>
      <c r="AC84" s="163">
        <v>5354496</v>
      </c>
      <c r="AD84" s="163">
        <v>2537213</v>
      </c>
      <c r="AE84" s="165">
        <v>634305</v>
      </c>
      <c r="AF84" s="168">
        <v>7946657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46"/>
      <c r="G88" s="1146"/>
      <c r="H88" s="10"/>
      <c r="I88" s="10"/>
      <c r="J88" s="10"/>
      <c r="K88" s="10"/>
      <c r="L88" s="759"/>
      <c r="M88" s="759"/>
      <c r="N88" s="759"/>
      <c r="O88" s="759"/>
      <c r="P88" s="759"/>
      <c r="Q88" s="759"/>
      <c r="R88" s="759"/>
      <c r="S88" s="759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46"/>
      <c r="G89" s="1146"/>
      <c r="H89" s="10"/>
      <c r="I89" s="10"/>
      <c r="J89" s="10"/>
      <c r="K89" s="10"/>
      <c r="L89" s="759"/>
      <c r="M89" s="759"/>
      <c r="N89" s="759"/>
      <c r="O89" s="759"/>
      <c r="P89" s="759"/>
      <c r="Q89" s="759"/>
      <c r="R89" s="759"/>
      <c r="S89" s="759"/>
      <c r="T89" s="10"/>
      <c r="U89" s="10"/>
      <c r="V89" s="10"/>
      <c r="W89" s="10"/>
      <c r="X89" s="10"/>
      <c r="Y89" s="459"/>
      <c r="Z89" s="760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59"/>
      <c r="Z90" s="76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384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931</v>
      </c>
      <c r="D76" s="163">
        <v>9250.4553302959666</v>
      </c>
      <c r="E76" s="164">
        <v>10101503.285950672</v>
      </c>
      <c r="F76" s="164">
        <v>788.9</v>
      </c>
      <c r="G76" s="164">
        <v>734465.90000000014</v>
      </c>
      <c r="H76" s="162">
        <v>409</v>
      </c>
      <c r="I76" s="163">
        <v>570.35224473434255</v>
      </c>
      <c r="J76" s="164">
        <v>143673.05720625847</v>
      </c>
      <c r="K76" s="162">
        <v>0.5</v>
      </c>
      <c r="L76" s="163">
        <v>158.37628411149953</v>
      </c>
      <c r="M76" s="164">
        <v>66.506288448253301</v>
      </c>
      <c r="N76" s="162">
        <v>107</v>
      </c>
      <c r="O76" s="163">
        <v>3936.5780458287281</v>
      </c>
      <c r="P76" s="164">
        <v>259378.00756346906</v>
      </c>
      <c r="Q76" s="162">
        <v>42</v>
      </c>
      <c r="R76" s="163">
        <v>1527.9418817790604</v>
      </c>
      <c r="S76" s="164">
        <v>39472.722919143358</v>
      </c>
      <c r="T76" s="165">
        <v>11278560</v>
      </c>
      <c r="U76" s="163">
        <v>-632878</v>
      </c>
      <c r="V76" s="163">
        <v>-18506</v>
      </c>
      <c r="W76" s="166">
        <v>-651384</v>
      </c>
      <c r="X76" s="165">
        <v>10627176</v>
      </c>
      <c r="Y76" s="164">
        <v>-26569</v>
      </c>
      <c r="Z76" s="165">
        <v>10600607</v>
      </c>
      <c r="AA76" s="164">
        <v>0</v>
      </c>
      <c r="AB76" s="165">
        <v>10600607</v>
      </c>
      <c r="AC76" s="163">
        <v>6960804</v>
      </c>
      <c r="AD76" s="163">
        <v>3639803</v>
      </c>
      <c r="AE76" s="165">
        <v>909952</v>
      </c>
      <c r="AF76" s="168">
        <v>10600607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167220</v>
      </c>
      <c r="U77" s="860"/>
      <c r="V77" s="860"/>
      <c r="W77" s="860"/>
      <c r="X77" s="861">
        <v>167220</v>
      </c>
      <c r="Y77" s="910">
        <v>-418</v>
      </c>
      <c r="Z77" s="861">
        <v>166802</v>
      </c>
      <c r="AA77" s="860"/>
      <c r="AB77" s="861">
        <v>166802</v>
      </c>
      <c r="AC77" s="860">
        <v>112316</v>
      </c>
      <c r="AD77" s="860">
        <v>54486</v>
      </c>
      <c r="AE77" s="861">
        <v>13622</v>
      </c>
      <c r="AF77" s="912">
        <v>166802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0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11741</v>
      </c>
      <c r="AC83" s="155">
        <v>7826</v>
      </c>
      <c r="AD83" s="709">
        <v>3915</v>
      </c>
      <c r="AE83" s="156">
        <v>979</v>
      </c>
      <c r="AF83" s="156">
        <v>11741</v>
      </c>
    </row>
    <row r="84" spans="1:32" s="19" customFormat="1" ht="15" customHeight="1" thickBot="1" x14ac:dyDescent="0.25">
      <c r="A84" s="1404" t="s">
        <v>366</v>
      </c>
      <c r="B84" s="1405"/>
      <c r="C84" s="162">
        <v>931</v>
      </c>
      <c r="D84" s="163">
        <v>9250.4553302959666</v>
      </c>
      <c r="E84" s="164">
        <v>10101503.285950672</v>
      </c>
      <c r="F84" s="164">
        <v>788.9</v>
      </c>
      <c r="G84" s="164">
        <v>734465.90000000014</v>
      </c>
      <c r="H84" s="162">
        <v>409</v>
      </c>
      <c r="I84" s="163">
        <v>570.35224473434255</v>
      </c>
      <c r="J84" s="164">
        <v>143673.05720625847</v>
      </c>
      <c r="K84" s="162">
        <v>0.5</v>
      </c>
      <c r="L84" s="163">
        <v>158.37628411149953</v>
      </c>
      <c r="M84" s="164">
        <v>66.506288448253301</v>
      </c>
      <c r="N84" s="162">
        <v>107</v>
      </c>
      <c r="O84" s="163">
        <v>3936.5780458287281</v>
      </c>
      <c r="P84" s="164">
        <v>259378.00756346906</v>
      </c>
      <c r="Q84" s="162">
        <v>42</v>
      </c>
      <c r="R84" s="163">
        <v>1527.9418817790604</v>
      </c>
      <c r="S84" s="164">
        <v>39472.722919143358</v>
      </c>
      <c r="T84" s="165">
        <v>11445780</v>
      </c>
      <c r="U84" s="163">
        <v>-632878</v>
      </c>
      <c r="V84" s="163">
        <v>-18506</v>
      </c>
      <c r="W84" s="166">
        <v>-651384</v>
      </c>
      <c r="X84" s="165">
        <v>10794396</v>
      </c>
      <c r="Y84" s="164">
        <v>-26987</v>
      </c>
      <c r="Z84" s="165">
        <v>10767409</v>
      </c>
      <c r="AA84" s="164">
        <v>0</v>
      </c>
      <c r="AB84" s="165">
        <v>10779150</v>
      </c>
      <c r="AC84" s="163">
        <v>7080946</v>
      </c>
      <c r="AD84" s="163">
        <v>3698204</v>
      </c>
      <c r="AE84" s="165">
        <v>924553</v>
      </c>
      <c r="AF84" s="168">
        <v>10779150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46"/>
      <c r="G88" s="1146"/>
      <c r="H88" s="10"/>
      <c r="I88" s="10"/>
      <c r="J88" s="10"/>
      <c r="K88" s="10"/>
      <c r="L88" s="759"/>
      <c r="M88" s="759"/>
      <c r="N88" s="759"/>
      <c r="O88" s="759"/>
      <c r="P88" s="759"/>
      <c r="Q88" s="759"/>
      <c r="R88" s="759"/>
      <c r="S88" s="759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46"/>
      <c r="G89" s="1146"/>
      <c r="H89" s="10"/>
      <c r="I89" s="10"/>
      <c r="J89" s="10"/>
      <c r="K89" s="10"/>
      <c r="L89" s="759"/>
      <c r="M89" s="759"/>
      <c r="N89" s="759"/>
      <c r="O89" s="759"/>
      <c r="P89" s="759"/>
      <c r="Q89" s="759"/>
      <c r="R89" s="759"/>
      <c r="S89" s="759"/>
      <c r="T89" s="10"/>
      <c r="U89" s="10"/>
      <c r="V89" s="10"/>
      <c r="W89" s="10"/>
      <c r="X89" s="10"/>
      <c r="Y89" s="459"/>
      <c r="Z89" s="760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59"/>
      <c r="Z90" s="76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26" t="s">
        <v>385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2"/>
      <c r="K1" s="1427" t="s">
        <v>291</v>
      </c>
      <c r="L1" s="1428"/>
      <c r="M1" s="1428"/>
      <c r="N1" s="1428"/>
      <c r="O1" s="1428"/>
      <c r="P1" s="1428"/>
      <c r="Q1" s="1428"/>
      <c r="R1" s="1428"/>
      <c r="S1" s="1428"/>
      <c r="T1" s="1429"/>
      <c r="U1" s="1400" t="s">
        <v>291</v>
      </c>
      <c r="V1" s="1401"/>
      <c r="W1" s="1401"/>
      <c r="X1" s="1401"/>
      <c r="Y1" s="1401"/>
      <c r="Z1" s="1401"/>
      <c r="AA1" s="1402"/>
      <c r="AB1" s="1400" t="s">
        <v>291</v>
      </c>
      <c r="AC1" s="1401"/>
      <c r="AD1" s="1401"/>
      <c r="AE1" s="1401"/>
      <c r="AF1" s="1402"/>
    </row>
    <row r="2" spans="1:32" ht="27.75" customHeight="1" x14ac:dyDescent="0.2">
      <c r="A2" s="1409"/>
      <c r="B2" s="1410"/>
      <c r="C2" s="1397" t="s">
        <v>1286</v>
      </c>
      <c r="D2" s="1394" t="s">
        <v>1237</v>
      </c>
      <c r="E2" s="1398"/>
      <c r="F2" s="1398"/>
      <c r="G2" s="1399"/>
      <c r="H2" s="1394" t="s">
        <v>902</v>
      </c>
      <c r="I2" s="1395"/>
      <c r="J2" s="1396"/>
      <c r="K2" s="1394" t="s">
        <v>899</v>
      </c>
      <c r="L2" s="1395"/>
      <c r="M2" s="1396"/>
      <c r="N2" s="1394" t="s">
        <v>900</v>
      </c>
      <c r="O2" s="1395"/>
      <c r="P2" s="1396"/>
      <c r="Q2" s="1394" t="s">
        <v>901</v>
      </c>
      <c r="R2" s="1395"/>
      <c r="S2" s="1396"/>
      <c r="T2" s="1397" t="s">
        <v>394</v>
      </c>
      <c r="U2" s="1276" t="s">
        <v>223</v>
      </c>
      <c r="V2" s="1276"/>
      <c r="W2" s="1276"/>
      <c r="X2" s="1397" t="s">
        <v>395</v>
      </c>
      <c r="Y2" s="1392" t="s">
        <v>1356</v>
      </c>
      <c r="Z2" s="1392" t="s">
        <v>396</v>
      </c>
      <c r="AA2" s="1406" t="s">
        <v>1352</v>
      </c>
      <c r="AB2" s="1397" t="s">
        <v>908</v>
      </c>
      <c r="AC2" s="1397" t="s">
        <v>1354</v>
      </c>
      <c r="AD2" s="1397" t="s">
        <v>258</v>
      </c>
      <c r="AE2" s="1397" t="s">
        <v>337</v>
      </c>
      <c r="AF2" s="1397" t="s">
        <v>909</v>
      </c>
    </row>
    <row r="3" spans="1:32" ht="93" customHeight="1" x14ac:dyDescent="0.2">
      <c r="A3" s="1411"/>
      <c r="B3" s="1412"/>
      <c r="C3" s="1413"/>
      <c r="D3" s="1224" t="s">
        <v>360</v>
      </c>
      <c r="E3" s="1224" t="s">
        <v>501</v>
      </c>
      <c r="F3" s="1224" t="s">
        <v>360</v>
      </c>
      <c r="G3" s="1224" t="s">
        <v>500</v>
      </c>
      <c r="H3" s="1224" t="s">
        <v>1287</v>
      </c>
      <c r="I3" s="1224" t="s">
        <v>360</v>
      </c>
      <c r="J3" s="1224" t="s">
        <v>300</v>
      </c>
      <c r="K3" s="1228" t="s">
        <v>1442</v>
      </c>
      <c r="L3" s="1224" t="s">
        <v>360</v>
      </c>
      <c r="M3" s="1224" t="s">
        <v>300</v>
      </c>
      <c r="N3" s="1224" t="s">
        <v>1289</v>
      </c>
      <c r="O3" s="1224" t="s">
        <v>360</v>
      </c>
      <c r="P3" s="1224" t="s">
        <v>300</v>
      </c>
      <c r="Q3" s="1224" t="s">
        <v>1289</v>
      </c>
      <c r="R3" s="1224" t="s">
        <v>360</v>
      </c>
      <c r="S3" s="1224" t="s">
        <v>300</v>
      </c>
      <c r="T3" s="1397"/>
      <c r="U3" s="1225" t="s">
        <v>1290</v>
      </c>
      <c r="V3" s="1225" t="s">
        <v>1291</v>
      </c>
      <c r="W3" s="1225" t="s">
        <v>224</v>
      </c>
      <c r="X3" s="1397"/>
      <c r="Y3" s="1393"/>
      <c r="Z3" s="1393"/>
      <c r="AA3" s="1406"/>
      <c r="AB3" s="1397"/>
      <c r="AC3" s="1397"/>
      <c r="AD3" s="1397"/>
      <c r="AE3" s="1397"/>
      <c r="AF3" s="1397"/>
    </row>
    <row r="4" spans="1:32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</row>
    <row r="5" spans="1:32" s="652" customFormat="1" ht="36" customHeight="1" x14ac:dyDescent="0.2">
      <c r="A5" s="649"/>
      <c r="B5" s="650"/>
      <c r="C5" s="538" t="s">
        <v>760</v>
      </c>
      <c r="D5" s="538" t="s">
        <v>1427</v>
      </c>
      <c r="E5" s="538" t="s">
        <v>761</v>
      </c>
      <c r="F5" s="538" t="s">
        <v>681</v>
      </c>
      <c r="G5" s="538" t="s">
        <v>656</v>
      </c>
      <c r="H5" s="538" t="s">
        <v>898</v>
      </c>
      <c r="I5" s="538" t="s">
        <v>1428</v>
      </c>
      <c r="J5" s="538" t="s">
        <v>770</v>
      </c>
      <c r="K5" s="538" t="s">
        <v>897</v>
      </c>
      <c r="L5" s="538" t="s">
        <v>1429</v>
      </c>
      <c r="M5" s="538" t="s">
        <v>772</v>
      </c>
      <c r="N5" s="538" t="s">
        <v>895</v>
      </c>
      <c r="O5" s="538" t="s">
        <v>1430</v>
      </c>
      <c r="P5" s="538" t="s">
        <v>774</v>
      </c>
      <c r="Q5" s="538" t="s">
        <v>896</v>
      </c>
      <c r="R5" s="538" t="s">
        <v>1431</v>
      </c>
      <c r="S5" s="538" t="s">
        <v>776</v>
      </c>
      <c r="T5" s="538" t="s">
        <v>1218</v>
      </c>
      <c r="U5" s="538" t="s">
        <v>889</v>
      </c>
      <c r="V5" s="538" t="s">
        <v>890</v>
      </c>
      <c r="W5" s="538" t="s">
        <v>777</v>
      </c>
      <c r="X5" s="538" t="s">
        <v>778</v>
      </c>
      <c r="Y5" s="538" t="s">
        <v>779</v>
      </c>
      <c r="Z5" s="538" t="s">
        <v>780</v>
      </c>
      <c r="AA5" s="538" t="s">
        <v>765</v>
      </c>
      <c r="AB5" s="538" t="s">
        <v>1217</v>
      </c>
      <c r="AC5" s="538" t="s">
        <v>894</v>
      </c>
      <c r="AD5" s="538" t="s">
        <v>781</v>
      </c>
      <c r="AE5" s="538" t="s">
        <v>907</v>
      </c>
      <c r="AF5" s="538" t="s">
        <v>1216</v>
      </c>
    </row>
    <row r="6" spans="1:32" s="652" customFormat="1" ht="36" hidden="1" customHeight="1" x14ac:dyDescent="0.2">
      <c r="A6" s="653"/>
      <c r="B6" s="654"/>
      <c r="C6" s="541" t="s">
        <v>554</v>
      </c>
      <c r="D6" s="541" t="s">
        <v>554</v>
      </c>
      <c r="E6" s="541" t="s">
        <v>555</v>
      </c>
      <c r="F6" s="541" t="s">
        <v>688</v>
      </c>
      <c r="G6" s="541" t="s">
        <v>555</v>
      </c>
      <c r="H6" s="541" t="s">
        <v>642</v>
      </c>
      <c r="I6" s="541" t="s">
        <v>554</v>
      </c>
      <c r="J6" s="541" t="s">
        <v>555</v>
      </c>
      <c r="K6" s="541" t="s">
        <v>642</v>
      </c>
      <c r="L6" s="541" t="s">
        <v>554</v>
      </c>
      <c r="M6" s="541" t="s">
        <v>555</v>
      </c>
      <c r="N6" s="541" t="s">
        <v>642</v>
      </c>
      <c r="O6" s="541" t="s">
        <v>554</v>
      </c>
      <c r="P6" s="541" t="s">
        <v>555</v>
      </c>
      <c r="Q6" s="541" t="s">
        <v>642</v>
      </c>
      <c r="R6" s="541" t="s">
        <v>554</v>
      </c>
      <c r="S6" s="541" t="s">
        <v>555</v>
      </c>
      <c r="T6" s="541" t="s">
        <v>555</v>
      </c>
      <c r="U6" s="541" t="s">
        <v>764</v>
      </c>
      <c r="V6" s="541" t="s">
        <v>764</v>
      </c>
      <c r="W6" s="541" t="s">
        <v>555</v>
      </c>
      <c r="X6" s="541" t="s">
        <v>555</v>
      </c>
      <c r="Y6" s="541" t="s">
        <v>555</v>
      </c>
      <c r="Z6" s="541" t="s">
        <v>555</v>
      </c>
      <c r="AA6" s="541" t="s">
        <v>765</v>
      </c>
      <c r="AB6" s="541" t="s">
        <v>782</v>
      </c>
      <c r="AC6" s="541" t="s">
        <v>766</v>
      </c>
      <c r="AD6" s="541" t="s">
        <v>555</v>
      </c>
      <c r="AE6" s="541" t="s">
        <v>555</v>
      </c>
      <c r="AF6" s="541" t="s">
        <v>783</v>
      </c>
    </row>
    <row r="7" spans="1:32" ht="15" customHeight="1" x14ac:dyDescent="0.2">
      <c r="A7" s="334"/>
      <c r="B7" s="115"/>
      <c r="C7" s="116"/>
      <c r="D7" s="117"/>
      <c r="E7" s="118"/>
      <c r="F7" s="118"/>
      <c r="G7" s="118"/>
      <c r="H7" s="119"/>
      <c r="I7" s="117"/>
      <c r="J7" s="118"/>
      <c r="K7" s="119"/>
      <c r="L7" s="117"/>
      <c r="M7" s="118"/>
      <c r="N7" s="119"/>
      <c r="O7" s="117"/>
      <c r="P7" s="118"/>
      <c r="Q7" s="119"/>
      <c r="R7" s="117"/>
      <c r="S7" s="118"/>
      <c r="T7" s="120"/>
      <c r="U7" s="117"/>
      <c r="V7" s="117"/>
      <c r="W7" s="121"/>
      <c r="X7" s="120"/>
      <c r="Y7" s="118"/>
      <c r="Z7" s="120"/>
      <c r="AA7" s="117"/>
      <c r="AB7" s="120"/>
      <c r="AC7" s="117"/>
      <c r="AD7" s="117"/>
      <c r="AE7" s="120"/>
      <c r="AF7" s="122"/>
    </row>
    <row r="8" spans="1:32" ht="15" customHeight="1" x14ac:dyDescent="0.2">
      <c r="A8" s="339"/>
      <c r="B8" s="133"/>
      <c r="C8" s="134"/>
      <c r="D8" s="135"/>
      <c r="E8" s="136"/>
      <c r="F8" s="136"/>
      <c r="G8" s="136"/>
      <c r="H8" s="137"/>
      <c r="I8" s="135"/>
      <c r="J8" s="136"/>
      <c r="K8" s="137"/>
      <c r="L8" s="135"/>
      <c r="M8" s="136"/>
      <c r="N8" s="137"/>
      <c r="O8" s="135"/>
      <c r="P8" s="136"/>
      <c r="Q8" s="137"/>
      <c r="R8" s="135"/>
      <c r="S8" s="136"/>
      <c r="T8" s="138"/>
      <c r="U8" s="135"/>
      <c r="V8" s="135"/>
      <c r="W8" s="139"/>
      <c r="X8" s="138"/>
      <c r="Y8" s="136"/>
      <c r="Z8" s="138"/>
      <c r="AA8" s="135"/>
      <c r="AB8" s="138"/>
      <c r="AC8" s="135"/>
      <c r="AD8" s="135"/>
      <c r="AE8" s="138"/>
      <c r="AF8" s="141"/>
    </row>
    <row r="9" spans="1:32" ht="15" customHeight="1" x14ac:dyDescent="0.2">
      <c r="A9" s="339"/>
      <c r="B9" s="133"/>
      <c r="C9" s="134"/>
      <c r="D9" s="135"/>
      <c r="E9" s="136"/>
      <c r="F9" s="136"/>
      <c r="G9" s="136"/>
      <c r="H9" s="137"/>
      <c r="I9" s="135"/>
      <c r="J9" s="136"/>
      <c r="K9" s="137"/>
      <c r="L9" s="135"/>
      <c r="M9" s="136"/>
      <c r="N9" s="137"/>
      <c r="O9" s="135"/>
      <c r="P9" s="136"/>
      <c r="Q9" s="137"/>
      <c r="R9" s="135"/>
      <c r="S9" s="136"/>
      <c r="T9" s="138"/>
      <c r="U9" s="135"/>
      <c r="V9" s="135"/>
      <c r="W9" s="139"/>
      <c r="X9" s="138"/>
      <c r="Y9" s="136"/>
      <c r="Z9" s="138"/>
      <c r="AA9" s="135"/>
      <c r="AB9" s="138"/>
      <c r="AC9" s="135"/>
      <c r="AD9" s="135"/>
      <c r="AE9" s="138"/>
      <c r="AF9" s="141"/>
    </row>
    <row r="10" spans="1:32" ht="15" customHeight="1" x14ac:dyDescent="0.2">
      <c r="A10" s="339"/>
      <c r="B10" s="133"/>
      <c r="C10" s="134"/>
      <c r="D10" s="135"/>
      <c r="E10" s="136"/>
      <c r="F10" s="136"/>
      <c r="G10" s="136"/>
      <c r="H10" s="137"/>
      <c r="I10" s="135"/>
      <c r="J10" s="136"/>
      <c r="K10" s="137"/>
      <c r="L10" s="135"/>
      <c r="M10" s="136"/>
      <c r="N10" s="137"/>
      <c r="O10" s="135"/>
      <c r="P10" s="136"/>
      <c r="Q10" s="137"/>
      <c r="R10" s="135"/>
      <c r="S10" s="136"/>
      <c r="T10" s="138"/>
      <c r="U10" s="135"/>
      <c r="V10" s="135"/>
      <c r="W10" s="139"/>
      <c r="X10" s="138"/>
      <c r="Y10" s="136"/>
      <c r="Z10" s="138"/>
      <c r="AA10" s="135"/>
      <c r="AB10" s="138"/>
      <c r="AC10" s="135"/>
      <c r="AD10" s="135"/>
      <c r="AE10" s="138"/>
      <c r="AF10" s="141"/>
    </row>
    <row r="11" spans="1:32" ht="15" customHeight="1" x14ac:dyDescent="0.2">
      <c r="A11" s="344"/>
      <c r="B11" s="147"/>
      <c r="C11" s="148"/>
      <c r="D11" s="149"/>
      <c r="E11" s="150"/>
      <c r="F11" s="150"/>
      <c r="G11" s="150"/>
      <c r="H11" s="151"/>
      <c r="I11" s="149"/>
      <c r="J11" s="150"/>
      <c r="K11" s="151"/>
      <c r="L11" s="149"/>
      <c r="M11" s="150"/>
      <c r="N11" s="151"/>
      <c r="O11" s="149"/>
      <c r="P11" s="150"/>
      <c r="Q11" s="151"/>
      <c r="R11" s="149"/>
      <c r="S11" s="150"/>
      <c r="T11" s="152"/>
      <c r="U11" s="149"/>
      <c r="V11" s="149"/>
      <c r="W11" s="153"/>
      <c r="X11" s="152"/>
      <c r="Y11" s="150"/>
      <c r="Z11" s="152"/>
      <c r="AA11" s="149"/>
      <c r="AB11" s="152"/>
      <c r="AC11" s="155"/>
      <c r="AD11" s="149"/>
      <c r="AE11" s="156"/>
      <c r="AF11" s="156"/>
    </row>
    <row r="12" spans="1:32" ht="15" customHeight="1" x14ac:dyDescent="0.2">
      <c r="A12" s="334"/>
      <c r="B12" s="115"/>
      <c r="C12" s="116"/>
      <c r="D12" s="117"/>
      <c r="E12" s="118"/>
      <c r="F12" s="118"/>
      <c r="G12" s="118"/>
      <c r="H12" s="119"/>
      <c r="I12" s="117"/>
      <c r="J12" s="118"/>
      <c r="K12" s="119"/>
      <c r="L12" s="117"/>
      <c r="M12" s="118"/>
      <c r="N12" s="119"/>
      <c r="O12" s="117"/>
      <c r="P12" s="118"/>
      <c r="Q12" s="119"/>
      <c r="R12" s="117"/>
      <c r="S12" s="118"/>
      <c r="T12" s="120"/>
      <c r="U12" s="117"/>
      <c r="V12" s="117"/>
      <c r="W12" s="121"/>
      <c r="X12" s="120"/>
      <c r="Y12" s="118"/>
      <c r="Z12" s="120"/>
      <c r="AA12" s="117"/>
      <c r="AB12" s="120"/>
      <c r="AC12" s="117"/>
      <c r="AD12" s="117"/>
      <c r="AE12" s="120"/>
      <c r="AF12" s="122"/>
    </row>
    <row r="13" spans="1:32" ht="15" customHeight="1" x14ac:dyDescent="0.2">
      <c r="A13" s="339"/>
      <c r="B13" s="133"/>
      <c r="C13" s="134"/>
      <c r="D13" s="135"/>
      <c r="E13" s="136"/>
      <c r="F13" s="136"/>
      <c r="G13" s="136"/>
      <c r="H13" s="137"/>
      <c r="I13" s="135"/>
      <c r="J13" s="136"/>
      <c r="K13" s="137"/>
      <c r="L13" s="135"/>
      <c r="M13" s="136"/>
      <c r="N13" s="137"/>
      <c r="O13" s="135"/>
      <c r="P13" s="136"/>
      <c r="Q13" s="137"/>
      <c r="R13" s="135"/>
      <c r="S13" s="136"/>
      <c r="T13" s="138"/>
      <c r="U13" s="135"/>
      <c r="V13" s="135"/>
      <c r="W13" s="139"/>
      <c r="X13" s="138"/>
      <c r="Y13" s="136"/>
      <c r="Z13" s="138"/>
      <c r="AA13" s="135"/>
      <c r="AB13" s="138"/>
      <c r="AC13" s="135"/>
      <c r="AD13" s="135"/>
      <c r="AE13" s="138"/>
      <c r="AF13" s="141"/>
    </row>
    <row r="14" spans="1:32" ht="15" customHeight="1" x14ac:dyDescent="0.2">
      <c r="A14" s="339"/>
      <c r="B14" s="133"/>
      <c r="C14" s="134"/>
      <c r="D14" s="135"/>
      <c r="E14" s="136"/>
      <c r="F14" s="136"/>
      <c r="G14" s="136"/>
      <c r="H14" s="137"/>
      <c r="I14" s="135"/>
      <c r="J14" s="136"/>
      <c r="K14" s="137"/>
      <c r="L14" s="135"/>
      <c r="M14" s="136"/>
      <c r="N14" s="137"/>
      <c r="O14" s="135"/>
      <c r="P14" s="136"/>
      <c r="Q14" s="137"/>
      <c r="R14" s="135"/>
      <c r="S14" s="136"/>
      <c r="T14" s="138"/>
      <c r="U14" s="135"/>
      <c r="V14" s="135"/>
      <c r="W14" s="139"/>
      <c r="X14" s="138"/>
      <c r="Y14" s="136"/>
      <c r="Z14" s="138"/>
      <c r="AA14" s="135"/>
      <c r="AB14" s="138"/>
      <c r="AC14" s="135"/>
      <c r="AD14" s="135"/>
      <c r="AE14" s="138"/>
      <c r="AF14" s="141"/>
    </row>
    <row r="15" spans="1:32" ht="15" customHeight="1" x14ac:dyDescent="0.2">
      <c r="A15" s="339"/>
      <c r="B15" s="133"/>
      <c r="C15" s="134"/>
      <c r="D15" s="135"/>
      <c r="E15" s="136"/>
      <c r="F15" s="136"/>
      <c r="G15" s="136"/>
      <c r="H15" s="137"/>
      <c r="I15" s="135"/>
      <c r="J15" s="136"/>
      <c r="K15" s="137"/>
      <c r="L15" s="135"/>
      <c r="M15" s="136"/>
      <c r="N15" s="137"/>
      <c r="O15" s="135"/>
      <c r="P15" s="136"/>
      <c r="Q15" s="137"/>
      <c r="R15" s="135"/>
      <c r="S15" s="136"/>
      <c r="T15" s="138"/>
      <c r="U15" s="135"/>
      <c r="V15" s="135"/>
      <c r="W15" s="139"/>
      <c r="X15" s="138"/>
      <c r="Y15" s="136"/>
      <c r="Z15" s="138"/>
      <c r="AA15" s="135"/>
      <c r="AB15" s="138"/>
      <c r="AC15" s="135"/>
      <c r="AD15" s="135"/>
      <c r="AE15" s="138"/>
      <c r="AF15" s="141"/>
    </row>
    <row r="16" spans="1:32" ht="15" customHeight="1" x14ac:dyDescent="0.2">
      <c r="A16" s="344"/>
      <c r="B16" s="147"/>
      <c r="C16" s="148"/>
      <c r="D16" s="149"/>
      <c r="E16" s="150"/>
      <c r="F16" s="150"/>
      <c r="G16" s="150"/>
      <c r="H16" s="151"/>
      <c r="I16" s="149"/>
      <c r="J16" s="150"/>
      <c r="K16" s="151"/>
      <c r="L16" s="149"/>
      <c r="M16" s="150"/>
      <c r="N16" s="151"/>
      <c r="O16" s="149"/>
      <c r="P16" s="150"/>
      <c r="Q16" s="151"/>
      <c r="R16" s="149"/>
      <c r="S16" s="150"/>
      <c r="T16" s="152"/>
      <c r="U16" s="149"/>
      <c r="V16" s="149"/>
      <c r="W16" s="153"/>
      <c r="X16" s="152"/>
      <c r="Y16" s="150"/>
      <c r="Z16" s="152"/>
      <c r="AA16" s="149"/>
      <c r="AB16" s="152"/>
      <c r="AC16" s="155"/>
      <c r="AD16" s="149"/>
      <c r="AE16" s="156"/>
      <c r="AF16" s="156"/>
    </row>
    <row r="17" spans="1:32" ht="15" customHeight="1" x14ac:dyDescent="0.2">
      <c r="A17" s="334"/>
      <c r="B17" s="115"/>
      <c r="C17" s="116"/>
      <c r="D17" s="117"/>
      <c r="E17" s="118"/>
      <c r="F17" s="118"/>
      <c r="G17" s="118"/>
      <c r="H17" s="119"/>
      <c r="I17" s="117"/>
      <c r="J17" s="118"/>
      <c r="K17" s="119"/>
      <c r="L17" s="117"/>
      <c r="M17" s="118"/>
      <c r="N17" s="119"/>
      <c r="O17" s="117"/>
      <c r="P17" s="118"/>
      <c r="Q17" s="119"/>
      <c r="R17" s="117"/>
      <c r="S17" s="118"/>
      <c r="T17" s="120"/>
      <c r="U17" s="117"/>
      <c r="V17" s="117"/>
      <c r="W17" s="121"/>
      <c r="X17" s="120"/>
      <c r="Y17" s="118"/>
      <c r="Z17" s="120"/>
      <c r="AA17" s="117"/>
      <c r="AB17" s="120"/>
      <c r="AC17" s="117"/>
      <c r="AD17" s="117"/>
      <c r="AE17" s="120"/>
      <c r="AF17" s="122"/>
    </row>
    <row r="18" spans="1:32" ht="15" customHeight="1" x14ac:dyDescent="0.2">
      <c r="A18" s="339"/>
      <c r="B18" s="133"/>
      <c r="C18" s="134"/>
      <c r="D18" s="135"/>
      <c r="E18" s="136"/>
      <c r="F18" s="136"/>
      <c r="G18" s="136"/>
      <c r="H18" s="137"/>
      <c r="I18" s="135"/>
      <c r="J18" s="136"/>
      <c r="K18" s="137"/>
      <c r="L18" s="135"/>
      <c r="M18" s="136"/>
      <c r="N18" s="137"/>
      <c r="O18" s="135"/>
      <c r="P18" s="136"/>
      <c r="Q18" s="137"/>
      <c r="R18" s="135"/>
      <c r="S18" s="136"/>
      <c r="T18" s="138"/>
      <c r="U18" s="135"/>
      <c r="V18" s="135"/>
      <c r="W18" s="139"/>
      <c r="X18" s="138"/>
      <c r="Y18" s="136"/>
      <c r="Z18" s="138"/>
      <c r="AA18" s="135"/>
      <c r="AB18" s="138"/>
      <c r="AC18" s="135"/>
      <c r="AD18" s="135"/>
      <c r="AE18" s="138"/>
      <c r="AF18" s="141"/>
    </row>
    <row r="19" spans="1:32" ht="15" customHeight="1" x14ac:dyDescent="0.2">
      <c r="A19" s="339"/>
      <c r="B19" s="133"/>
      <c r="C19" s="134"/>
      <c r="D19" s="135"/>
      <c r="E19" s="136"/>
      <c r="F19" s="136"/>
      <c r="G19" s="136"/>
      <c r="H19" s="137"/>
      <c r="I19" s="135"/>
      <c r="J19" s="136"/>
      <c r="K19" s="137"/>
      <c r="L19" s="135"/>
      <c r="M19" s="136"/>
      <c r="N19" s="137"/>
      <c r="O19" s="135"/>
      <c r="P19" s="136"/>
      <c r="Q19" s="137"/>
      <c r="R19" s="135"/>
      <c r="S19" s="136"/>
      <c r="T19" s="138"/>
      <c r="U19" s="135"/>
      <c r="V19" s="135"/>
      <c r="W19" s="139"/>
      <c r="X19" s="138"/>
      <c r="Y19" s="136"/>
      <c r="Z19" s="138"/>
      <c r="AA19" s="135"/>
      <c r="AB19" s="138"/>
      <c r="AC19" s="135"/>
      <c r="AD19" s="135"/>
      <c r="AE19" s="138"/>
      <c r="AF19" s="141"/>
    </row>
    <row r="20" spans="1:32" ht="15" customHeight="1" x14ac:dyDescent="0.2">
      <c r="A20" s="339"/>
      <c r="B20" s="133"/>
      <c r="C20" s="134"/>
      <c r="D20" s="135"/>
      <c r="E20" s="136"/>
      <c r="F20" s="136"/>
      <c r="G20" s="136"/>
      <c r="H20" s="137"/>
      <c r="I20" s="135"/>
      <c r="J20" s="136"/>
      <c r="K20" s="137"/>
      <c r="L20" s="135"/>
      <c r="M20" s="136"/>
      <c r="N20" s="137"/>
      <c r="O20" s="135"/>
      <c r="P20" s="136"/>
      <c r="Q20" s="137"/>
      <c r="R20" s="135"/>
      <c r="S20" s="136"/>
      <c r="T20" s="138"/>
      <c r="U20" s="135"/>
      <c r="V20" s="135"/>
      <c r="W20" s="139"/>
      <c r="X20" s="138"/>
      <c r="Y20" s="136"/>
      <c r="Z20" s="138"/>
      <c r="AA20" s="135"/>
      <c r="AB20" s="138"/>
      <c r="AC20" s="135"/>
      <c r="AD20" s="135"/>
      <c r="AE20" s="138"/>
      <c r="AF20" s="141"/>
    </row>
    <row r="21" spans="1:32" ht="15" customHeight="1" x14ac:dyDescent="0.2">
      <c r="A21" s="344"/>
      <c r="B21" s="147"/>
      <c r="C21" s="148"/>
      <c r="D21" s="149"/>
      <c r="E21" s="150"/>
      <c r="F21" s="150"/>
      <c r="G21" s="150"/>
      <c r="H21" s="151"/>
      <c r="I21" s="149"/>
      <c r="J21" s="150"/>
      <c r="K21" s="151"/>
      <c r="L21" s="149"/>
      <c r="M21" s="150"/>
      <c r="N21" s="151"/>
      <c r="O21" s="149"/>
      <c r="P21" s="150"/>
      <c r="Q21" s="151"/>
      <c r="R21" s="149"/>
      <c r="S21" s="150"/>
      <c r="T21" s="152"/>
      <c r="U21" s="149"/>
      <c r="V21" s="149"/>
      <c r="W21" s="153"/>
      <c r="X21" s="152"/>
      <c r="Y21" s="150"/>
      <c r="Z21" s="152"/>
      <c r="AA21" s="149"/>
      <c r="AB21" s="152"/>
      <c r="AC21" s="155"/>
      <c r="AD21" s="149"/>
      <c r="AE21" s="156"/>
      <c r="AF21" s="156"/>
    </row>
    <row r="22" spans="1:32" ht="15" customHeight="1" x14ac:dyDescent="0.2">
      <c r="A22" s="334"/>
      <c r="B22" s="115"/>
      <c r="C22" s="116"/>
      <c r="D22" s="117"/>
      <c r="E22" s="118"/>
      <c r="F22" s="118"/>
      <c r="G22" s="118"/>
      <c r="H22" s="119"/>
      <c r="I22" s="117"/>
      <c r="J22" s="118"/>
      <c r="K22" s="119"/>
      <c r="L22" s="117"/>
      <c r="M22" s="118"/>
      <c r="N22" s="119"/>
      <c r="O22" s="117"/>
      <c r="P22" s="118"/>
      <c r="Q22" s="119"/>
      <c r="R22" s="117"/>
      <c r="S22" s="118"/>
      <c r="T22" s="120"/>
      <c r="U22" s="117"/>
      <c r="V22" s="117"/>
      <c r="W22" s="121"/>
      <c r="X22" s="120"/>
      <c r="Y22" s="118"/>
      <c r="Z22" s="120"/>
      <c r="AA22" s="117"/>
      <c r="AB22" s="120"/>
      <c r="AC22" s="117"/>
      <c r="AD22" s="117"/>
      <c r="AE22" s="120"/>
      <c r="AF22" s="122"/>
    </row>
    <row r="23" spans="1:32" ht="15" customHeight="1" x14ac:dyDescent="0.2">
      <c r="A23" s="339"/>
      <c r="B23" s="133"/>
      <c r="C23" s="134"/>
      <c r="D23" s="135"/>
      <c r="E23" s="136"/>
      <c r="F23" s="136"/>
      <c r="G23" s="136"/>
      <c r="H23" s="137"/>
      <c r="I23" s="135"/>
      <c r="J23" s="136"/>
      <c r="K23" s="137"/>
      <c r="L23" s="135"/>
      <c r="M23" s="136"/>
      <c r="N23" s="137"/>
      <c r="O23" s="135"/>
      <c r="P23" s="136"/>
      <c r="Q23" s="137"/>
      <c r="R23" s="135"/>
      <c r="S23" s="136"/>
      <c r="T23" s="138"/>
      <c r="U23" s="135"/>
      <c r="V23" s="135"/>
      <c r="W23" s="139"/>
      <c r="X23" s="138"/>
      <c r="Y23" s="136"/>
      <c r="Z23" s="138"/>
      <c r="AA23" s="135"/>
      <c r="AB23" s="138"/>
      <c r="AC23" s="135"/>
      <c r="AD23" s="135"/>
      <c r="AE23" s="138"/>
      <c r="AF23" s="141"/>
    </row>
    <row r="24" spans="1:32" ht="15" customHeight="1" x14ac:dyDescent="0.2">
      <c r="A24" s="339"/>
      <c r="B24" s="133"/>
      <c r="C24" s="134"/>
      <c r="D24" s="135"/>
      <c r="E24" s="136"/>
      <c r="F24" s="136"/>
      <c r="G24" s="136"/>
      <c r="H24" s="137"/>
      <c r="I24" s="135"/>
      <c r="J24" s="136"/>
      <c r="K24" s="137"/>
      <c r="L24" s="135"/>
      <c r="M24" s="136"/>
      <c r="N24" s="137"/>
      <c r="O24" s="135"/>
      <c r="P24" s="136"/>
      <c r="Q24" s="137"/>
      <c r="R24" s="135"/>
      <c r="S24" s="136"/>
      <c r="T24" s="138"/>
      <c r="U24" s="135"/>
      <c r="V24" s="135"/>
      <c r="W24" s="139"/>
      <c r="X24" s="138"/>
      <c r="Y24" s="136"/>
      <c r="Z24" s="138"/>
      <c r="AA24" s="135"/>
      <c r="AB24" s="138"/>
      <c r="AC24" s="135"/>
      <c r="AD24" s="135"/>
      <c r="AE24" s="138"/>
      <c r="AF24" s="141"/>
    </row>
    <row r="25" spans="1:32" ht="15" customHeight="1" x14ac:dyDescent="0.2">
      <c r="A25" s="339"/>
      <c r="B25" s="133"/>
      <c r="C25" s="134"/>
      <c r="D25" s="135"/>
      <c r="E25" s="136"/>
      <c r="F25" s="136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5"/>
      <c r="S25" s="136"/>
      <c r="T25" s="138"/>
      <c r="U25" s="135"/>
      <c r="V25" s="135"/>
      <c r="W25" s="139"/>
      <c r="X25" s="138"/>
      <c r="Y25" s="136"/>
      <c r="Z25" s="138"/>
      <c r="AA25" s="135"/>
      <c r="AB25" s="138"/>
      <c r="AC25" s="135"/>
      <c r="AD25" s="135"/>
      <c r="AE25" s="138"/>
      <c r="AF25" s="141"/>
    </row>
    <row r="26" spans="1:32" ht="15" customHeight="1" x14ac:dyDescent="0.2">
      <c r="A26" s="344"/>
      <c r="B26" s="147"/>
      <c r="C26" s="148"/>
      <c r="D26" s="149"/>
      <c r="E26" s="150"/>
      <c r="F26" s="150"/>
      <c r="G26" s="150"/>
      <c r="H26" s="151"/>
      <c r="I26" s="149"/>
      <c r="J26" s="150"/>
      <c r="K26" s="151"/>
      <c r="L26" s="149"/>
      <c r="M26" s="150"/>
      <c r="N26" s="151"/>
      <c r="O26" s="149"/>
      <c r="P26" s="150"/>
      <c r="Q26" s="151"/>
      <c r="R26" s="149"/>
      <c r="S26" s="150"/>
      <c r="T26" s="152"/>
      <c r="U26" s="149"/>
      <c r="V26" s="149"/>
      <c r="W26" s="153"/>
      <c r="X26" s="152"/>
      <c r="Y26" s="150"/>
      <c r="Z26" s="152"/>
      <c r="AA26" s="149"/>
      <c r="AB26" s="152"/>
      <c r="AC26" s="155"/>
      <c r="AD26" s="149"/>
      <c r="AE26" s="156"/>
      <c r="AF26" s="156"/>
    </row>
    <row r="27" spans="1:32" ht="15" customHeight="1" x14ac:dyDescent="0.2">
      <c r="A27" s="334"/>
      <c r="B27" s="115"/>
      <c r="C27" s="116"/>
      <c r="D27" s="117"/>
      <c r="E27" s="118"/>
      <c r="F27" s="118"/>
      <c r="G27" s="118"/>
      <c r="H27" s="119"/>
      <c r="I27" s="117"/>
      <c r="J27" s="118"/>
      <c r="K27" s="119"/>
      <c r="L27" s="117"/>
      <c r="M27" s="118"/>
      <c r="N27" s="119"/>
      <c r="O27" s="117"/>
      <c r="P27" s="118"/>
      <c r="Q27" s="119"/>
      <c r="R27" s="117"/>
      <c r="S27" s="118"/>
      <c r="T27" s="120"/>
      <c r="U27" s="117"/>
      <c r="V27" s="117"/>
      <c r="W27" s="121"/>
      <c r="X27" s="120"/>
      <c r="Y27" s="118"/>
      <c r="Z27" s="120"/>
      <c r="AA27" s="117"/>
      <c r="AB27" s="120"/>
      <c r="AC27" s="117"/>
      <c r="AD27" s="117"/>
      <c r="AE27" s="120"/>
      <c r="AF27" s="122"/>
    </row>
    <row r="28" spans="1:32" ht="15" customHeight="1" x14ac:dyDescent="0.2">
      <c r="A28" s="339"/>
      <c r="B28" s="133"/>
      <c r="C28" s="134"/>
      <c r="D28" s="135"/>
      <c r="E28" s="136"/>
      <c r="F28" s="136"/>
      <c r="G28" s="136"/>
      <c r="H28" s="137"/>
      <c r="I28" s="135"/>
      <c r="J28" s="136"/>
      <c r="K28" s="137"/>
      <c r="L28" s="135"/>
      <c r="M28" s="136"/>
      <c r="N28" s="137"/>
      <c r="O28" s="135"/>
      <c r="P28" s="136"/>
      <c r="Q28" s="137"/>
      <c r="R28" s="135"/>
      <c r="S28" s="136"/>
      <c r="T28" s="138"/>
      <c r="U28" s="135"/>
      <c r="V28" s="135"/>
      <c r="W28" s="139"/>
      <c r="X28" s="138"/>
      <c r="Y28" s="136"/>
      <c r="Z28" s="138"/>
      <c r="AA28" s="135"/>
      <c r="AB28" s="138"/>
      <c r="AC28" s="135"/>
      <c r="AD28" s="135"/>
      <c r="AE28" s="138"/>
      <c r="AF28" s="141"/>
    </row>
    <row r="29" spans="1:32" ht="15" customHeight="1" x14ac:dyDescent="0.2">
      <c r="A29" s="339"/>
      <c r="B29" s="133"/>
      <c r="C29" s="134"/>
      <c r="D29" s="135"/>
      <c r="E29" s="136"/>
      <c r="F29" s="136"/>
      <c r="G29" s="136"/>
      <c r="H29" s="137"/>
      <c r="I29" s="135"/>
      <c r="J29" s="136"/>
      <c r="K29" s="137"/>
      <c r="L29" s="135"/>
      <c r="M29" s="136"/>
      <c r="N29" s="137"/>
      <c r="O29" s="135"/>
      <c r="P29" s="136"/>
      <c r="Q29" s="137"/>
      <c r="R29" s="135"/>
      <c r="S29" s="136"/>
      <c r="T29" s="138"/>
      <c r="U29" s="135"/>
      <c r="V29" s="135"/>
      <c r="W29" s="139"/>
      <c r="X29" s="138"/>
      <c r="Y29" s="136"/>
      <c r="Z29" s="138"/>
      <c r="AA29" s="135"/>
      <c r="AB29" s="138"/>
      <c r="AC29" s="135"/>
      <c r="AD29" s="135"/>
      <c r="AE29" s="138"/>
      <c r="AF29" s="141"/>
    </row>
    <row r="30" spans="1:32" ht="15" customHeight="1" x14ac:dyDescent="0.2">
      <c r="A30" s="339"/>
      <c r="B30" s="133"/>
      <c r="C30" s="134"/>
      <c r="D30" s="135"/>
      <c r="E30" s="136"/>
      <c r="F30" s="136"/>
      <c r="G30" s="136"/>
      <c r="H30" s="137"/>
      <c r="I30" s="135"/>
      <c r="J30" s="136"/>
      <c r="K30" s="137"/>
      <c r="L30" s="135"/>
      <c r="M30" s="136"/>
      <c r="N30" s="137"/>
      <c r="O30" s="135"/>
      <c r="P30" s="136"/>
      <c r="Q30" s="137"/>
      <c r="R30" s="135"/>
      <c r="S30" s="136"/>
      <c r="T30" s="138"/>
      <c r="U30" s="135"/>
      <c r="V30" s="135"/>
      <c r="W30" s="139"/>
      <c r="X30" s="138"/>
      <c r="Y30" s="136"/>
      <c r="Z30" s="138"/>
      <c r="AA30" s="135"/>
      <c r="AB30" s="138"/>
      <c r="AC30" s="135"/>
      <c r="AD30" s="135"/>
      <c r="AE30" s="138"/>
      <c r="AF30" s="141"/>
    </row>
    <row r="31" spans="1:32" ht="15" customHeight="1" x14ac:dyDescent="0.2">
      <c r="A31" s="344"/>
      <c r="B31" s="147"/>
      <c r="C31" s="148"/>
      <c r="D31" s="149"/>
      <c r="E31" s="150"/>
      <c r="F31" s="150"/>
      <c r="G31" s="150"/>
      <c r="H31" s="151"/>
      <c r="I31" s="149"/>
      <c r="J31" s="150"/>
      <c r="K31" s="151"/>
      <c r="L31" s="149"/>
      <c r="M31" s="150"/>
      <c r="N31" s="151"/>
      <c r="O31" s="149"/>
      <c r="P31" s="150"/>
      <c r="Q31" s="151"/>
      <c r="R31" s="149"/>
      <c r="S31" s="150"/>
      <c r="T31" s="152"/>
      <c r="U31" s="149"/>
      <c r="V31" s="149"/>
      <c r="W31" s="153"/>
      <c r="X31" s="152"/>
      <c r="Y31" s="150"/>
      <c r="Z31" s="152"/>
      <c r="AA31" s="149"/>
      <c r="AB31" s="152"/>
      <c r="AC31" s="155"/>
      <c r="AD31" s="149"/>
      <c r="AE31" s="156"/>
      <c r="AF31" s="156"/>
    </row>
    <row r="32" spans="1:32" ht="15" customHeight="1" x14ac:dyDescent="0.2">
      <c r="A32" s="334"/>
      <c r="B32" s="115"/>
      <c r="C32" s="116"/>
      <c r="D32" s="117"/>
      <c r="E32" s="118"/>
      <c r="F32" s="118"/>
      <c r="G32" s="118"/>
      <c r="H32" s="119"/>
      <c r="I32" s="117"/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20"/>
      <c r="U32" s="117"/>
      <c r="V32" s="117"/>
      <c r="W32" s="121"/>
      <c r="X32" s="120"/>
      <c r="Y32" s="118"/>
      <c r="Z32" s="120"/>
      <c r="AA32" s="117"/>
      <c r="AB32" s="120"/>
      <c r="AC32" s="117"/>
      <c r="AD32" s="117"/>
      <c r="AE32" s="120"/>
      <c r="AF32" s="122"/>
    </row>
    <row r="33" spans="1:32" ht="15" customHeight="1" x14ac:dyDescent="0.2">
      <c r="A33" s="339"/>
      <c r="B33" s="133"/>
      <c r="C33" s="134"/>
      <c r="D33" s="135"/>
      <c r="E33" s="136"/>
      <c r="F33" s="136"/>
      <c r="G33" s="136"/>
      <c r="H33" s="137"/>
      <c r="I33" s="135"/>
      <c r="J33" s="136"/>
      <c r="K33" s="137"/>
      <c r="L33" s="135"/>
      <c r="M33" s="136"/>
      <c r="N33" s="137"/>
      <c r="O33" s="135"/>
      <c r="P33" s="136"/>
      <c r="Q33" s="137"/>
      <c r="R33" s="135"/>
      <c r="S33" s="136"/>
      <c r="T33" s="138"/>
      <c r="U33" s="135"/>
      <c r="V33" s="135"/>
      <c r="W33" s="139"/>
      <c r="X33" s="138"/>
      <c r="Y33" s="136"/>
      <c r="Z33" s="138"/>
      <c r="AA33" s="135"/>
      <c r="AB33" s="138"/>
      <c r="AC33" s="135"/>
      <c r="AD33" s="135"/>
      <c r="AE33" s="138"/>
      <c r="AF33" s="141"/>
    </row>
    <row r="34" spans="1:32" ht="15" customHeight="1" x14ac:dyDescent="0.2">
      <c r="A34" s="339"/>
      <c r="B34" s="133"/>
      <c r="C34" s="134"/>
      <c r="D34" s="135"/>
      <c r="E34" s="136"/>
      <c r="F34" s="136"/>
      <c r="G34" s="136"/>
      <c r="H34" s="137"/>
      <c r="I34" s="135"/>
      <c r="J34" s="136"/>
      <c r="K34" s="137"/>
      <c r="L34" s="135"/>
      <c r="M34" s="136"/>
      <c r="N34" s="137"/>
      <c r="O34" s="135"/>
      <c r="P34" s="136"/>
      <c r="Q34" s="137"/>
      <c r="R34" s="135"/>
      <c r="S34" s="136"/>
      <c r="T34" s="138"/>
      <c r="U34" s="135"/>
      <c r="V34" s="135"/>
      <c r="W34" s="139"/>
      <c r="X34" s="138"/>
      <c r="Y34" s="136"/>
      <c r="Z34" s="138"/>
      <c r="AA34" s="135"/>
      <c r="AB34" s="138"/>
      <c r="AC34" s="135"/>
      <c r="AD34" s="135"/>
      <c r="AE34" s="138"/>
      <c r="AF34" s="141"/>
    </row>
    <row r="35" spans="1:32" ht="15" customHeight="1" x14ac:dyDescent="0.2">
      <c r="A35" s="339"/>
      <c r="B35" s="133"/>
      <c r="C35" s="134"/>
      <c r="D35" s="135"/>
      <c r="E35" s="136"/>
      <c r="F35" s="136"/>
      <c r="G35" s="136"/>
      <c r="H35" s="137"/>
      <c r="I35" s="135"/>
      <c r="J35" s="136"/>
      <c r="K35" s="137"/>
      <c r="L35" s="135"/>
      <c r="M35" s="136"/>
      <c r="N35" s="137"/>
      <c r="O35" s="135"/>
      <c r="P35" s="136"/>
      <c r="Q35" s="137"/>
      <c r="R35" s="135"/>
      <c r="S35" s="136"/>
      <c r="T35" s="138"/>
      <c r="U35" s="135"/>
      <c r="V35" s="135"/>
      <c r="W35" s="139"/>
      <c r="X35" s="138"/>
      <c r="Y35" s="136"/>
      <c r="Z35" s="138"/>
      <c r="AA35" s="135"/>
      <c r="AB35" s="138"/>
      <c r="AC35" s="135"/>
      <c r="AD35" s="135"/>
      <c r="AE35" s="138"/>
      <c r="AF35" s="141"/>
    </row>
    <row r="36" spans="1:32" ht="15" customHeight="1" x14ac:dyDescent="0.2">
      <c r="A36" s="344"/>
      <c r="B36" s="147"/>
      <c r="C36" s="148"/>
      <c r="D36" s="149"/>
      <c r="E36" s="150"/>
      <c r="F36" s="150"/>
      <c r="G36" s="150"/>
      <c r="H36" s="151"/>
      <c r="I36" s="149"/>
      <c r="J36" s="150"/>
      <c r="K36" s="151"/>
      <c r="L36" s="149"/>
      <c r="M36" s="150"/>
      <c r="N36" s="151"/>
      <c r="O36" s="149"/>
      <c r="P36" s="150"/>
      <c r="Q36" s="151"/>
      <c r="R36" s="149"/>
      <c r="S36" s="150"/>
      <c r="T36" s="152"/>
      <c r="U36" s="149"/>
      <c r="V36" s="149"/>
      <c r="W36" s="153"/>
      <c r="X36" s="152"/>
      <c r="Y36" s="150"/>
      <c r="Z36" s="152"/>
      <c r="AA36" s="149"/>
      <c r="AB36" s="152"/>
      <c r="AC36" s="155"/>
      <c r="AD36" s="149"/>
      <c r="AE36" s="156"/>
      <c r="AF36" s="156"/>
    </row>
    <row r="37" spans="1:32" ht="15" customHeight="1" x14ac:dyDescent="0.2">
      <c r="A37" s="334"/>
      <c r="B37" s="115"/>
      <c r="C37" s="116"/>
      <c r="D37" s="117"/>
      <c r="E37" s="118"/>
      <c r="F37" s="118"/>
      <c r="G37" s="118"/>
      <c r="H37" s="119"/>
      <c r="I37" s="117"/>
      <c r="J37" s="118"/>
      <c r="K37" s="119"/>
      <c r="L37" s="117"/>
      <c r="M37" s="118"/>
      <c r="N37" s="119"/>
      <c r="O37" s="117"/>
      <c r="P37" s="118"/>
      <c r="Q37" s="119"/>
      <c r="R37" s="117"/>
      <c r="S37" s="118"/>
      <c r="T37" s="120"/>
      <c r="U37" s="117"/>
      <c r="V37" s="117"/>
      <c r="W37" s="121"/>
      <c r="X37" s="120"/>
      <c r="Y37" s="118"/>
      <c r="Z37" s="120"/>
      <c r="AA37" s="117"/>
      <c r="AB37" s="120"/>
      <c r="AC37" s="117"/>
      <c r="AD37" s="117"/>
      <c r="AE37" s="120"/>
      <c r="AF37" s="122"/>
    </row>
    <row r="38" spans="1:32" ht="15" customHeight="1" x14ac:dyDescent="0.2">
      <c r="A38" s="339"/>
      <c r="B38" s="133"/>
      <c r="C38" s="134"/>
      <c r="D38" s="135"/>
      <c r="E38" s="136"/>
      <c r="F38" s="136"/>
      <c r="G38" s="136"/>
      <c r="H38" s="137"/>
      <c r="I38" s="135"/>
      <c r="J38" s="136"/>
      <c r="K38" s="137"/>
      <c r="L38" s="135"/>
      <c r="M38" s="136"/>
      <c r="N38" s="137"/>
      <c r="O38" s="135"/>
      <c r="P38" s="136"/>
      <c r="Q38" s="137"/>
      <c r="R38" s="135"/>
      <c r="S38" s="136"/>
      <c r="T38" s="138"/>
      <c r="U38" s="135"/>
      <c r="V38" s="135"/>
      <c r="W38" s="139"/>
      <c r="X38" s="138"/>
      <c r="Y38" s="136"/>
      <c r="Z38" s="138"/>
      <c r="AA38" s="135"/>
      <c r="AB38" s="138"/>
      <c r="AC38" s="135"/>
      <c r="AD38" s="135"/>
      <c r="AE38" s="138"/>
      <c r="AF38" s="141"/>
    </row>
    <row r="39" spans="1:32" ht="15" customHeight="1" x14ac:dyDescent="0.2">
      <c r="A39" s="339"/>
      <c r="B39" s="133"/>
      <c r="C39" s="134"/>
      <c r="D39" s="135"/>
      <c r="E39" s="136"/>
      <c r="F39" s="136"/>
      <c r="G39" s="136"/>
      <c r="H39" s="137"/>
      <c r="I39" s="135"/>
      <c r="J39" s="136"/>
      <c r="K39" s="137"/>
      <c r="L39" s="135"/>
      <c r="M39" s="136"/>
      <c r="N39" s="137"/>
      <c r="O39" s="135"/>
      <c r="P39" s="136"/>
      <c r="Q39" s="137"/>
      <c r="R39" s="135"/>
      <c r="S39" s="136"/>
      <c r="T39" s="138"/>
      <c r="U39" s="135"/>
      <c r="V39" s="135"/>
      <c r="W39" s="139"/>
      <c r="X39" s="138"/>
      <c r="Y39" s="136"/>
      <c r="Z39" s="138"/>
      <c r="AA39" s="135"/>
      <c r="AB39" s="138"/>
      <c r="AC39" s="135"/>
      <c r="AD39" s="135"/>
      <c r="AE39" s="138"/>
      <c r="AF39" s="141"/>
    </row>
    <row r="40" spans="1:32" ht="15" customHeight="1" x14ac:dyDescent="0.2">
      <c r="A40" s="339"/>
      <c r="B40" s="133"/>
      <c r="C40" s="134"/>
      <c r="D40" s="135"/>
      <c r="E40" s="136"/>
      <c r="F40" s="136"/>
      <c r="G40" s="136"/>
      <c r="H40" s="137"/>
      <c r="I40" s="135"/>
      <c r="J40" s="136"/>
      <c r="K40" s="137"/>
      <c r="L40" s="135"/>
      <c r="M40" s="136"/>
      <c r="N40" s="137"/>
      <c r="O40" s="135"/>
      <c r="P40" s="136"/>
      <c r="Q40" s="137"/>
      <c r="R40" s="135"/>
      <c r="S40" s="136"/>
      <c r="T40" s="138"/>
      <c r="U40" s="135"/>
      <c r="V40" s="135"/>
      <c r="W40" s="139"/>
      <c r="X40" s="138"/>
      <c r="Y40" s="136"/>
      <c r="Z40" s="138"/>
      <c r="AA40" s="135"/>
      <c r="AB40" s="138"/>
      <c r="AC40" s="135"/>
      <c r="AD40" s="135"/>
      <c r="AE40" s="138"/>
      <c r="AF40" s="141"/>
    </row>
    <row r="41" spans="1:32" ht="15" customHeight="1" x14ac:dyDescent="0.2">
      <c r="A41" s="344"/>
      <c r="B41" s="147"/>
      <c r="C41" s="148"/>
      <c r="D41" s="149"/>
      <c r="E41" s="150"/>
      <c r="F41" s="150"/>
      <c r="G41" s="150"/>
      <c r="H41" s="151"/>
      <c r="I41" s="149"/>
      <c r="J41" s="150"/>
      <c r="K41" s="151"/>
      <c r="L41" s="149"/>
      <c r="M41" s="150"/>
      <c r="N41" s="151"/>
      <c r="O41" s="149"/>
      <c r="P41" s="150"/>
      <c r="Q41" s="151"/>
      <c r="R41" s="149"/>
      <c r="S41" s="150"/>
      <c r="T41" s="152"/>
      <c r="U41" s="149"/>
      <c r="V41" s="149"/>
      <c r="W41" s="153"/>
      <c r="X41" s="152"/>
      <c r="Y41" s="150"/>
      <c r="Z41" s="152"/>
      <c r="AA41" s="149"/>
      <c r="AB41" s="152"/>
      <c r="AC41" s="155"/>
      <c r="AD41" s="149"/>
      <c r="AE41" s="156"/>
      <c r="AF41" s="156"/>
    </row>
    <row r="42" spans="1:32" ht="15" customHeight="1" x14ac:dyDescent="0.2">
      <c r="A42" s="334"/>
      <c r="B42" s="115"/>
      <c r="C42" s="116"/>
      <c r="D42" s="117"/>
      <c r="E42" s="118"/>
      <c r="F42" s="118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120"/>
      <c r="U42" s="117"/>
      <c r="V42" s="117"/>
      <c r="W42" s="121"/>
      <c r="X42" s="120"/>
      <c r="Y42" s="118"/>
      <c r="Z42" s="120"/>
      <c r="AA42" s="117"/>
      <c r="AB42" s="120"/>
      <c r="AC42" s="117"/>
      <c r="AD42" s="117"/>
      <c r="AE42" s="120"/>
      <c r="AF42" s="122"/>
    </row>
    <row r="43" spans="1:32" ht="15" customHeight="1" x14ac:dyDescent="0.2">
      <c r="A43" s="339"/>
      <c r="B43" s="133"/>
      <c r="C43" s="134"/>
      <c r="D43" s="135"/>
      <c r="E43" s="136"/>
      <c r="F43" s="136"/>
      <c r="G43" s="136"/>
      <c r="H43" s="137"/>
      <c r="I43" s="135"/>
      <c r="J43" s="136"/>
      <c r="K43" s="137"/>
      <c r="L43" s="135"/>
      <c r="M43" s="136"/>
      <c r="N43" s="137"/>
      <c r="O43" s="135"/>
      <c r="P43" s="136"/>
      <c r="Q43" s="137"/>
      <c r="R43" s="135"/>
      <c r="S43" s="136"/>
      <c r="T43" s="138"/>
      <c r="U43" s="135"/>
      <c r="V43" s="135"/>
      <c r="W43" s="139"/>
      <c r="X43" s="138"/>
      <c r="Y43" s="136"/>
      <c r="Z43" s="138"/>
      <c r="AA43" s="135"/>
      <c r="AB43" s="138"/>
      <c r="AC43" s="135"/>
      <c r="AD43" s="135"/>
      <c r="AE43" s="138"/>
      <c r="AF43" s="141"/>
    </row>
    <row r="44" spans="1:32" ht="15" customHeight="1" x14ac:dyDescent="0.2">
      <c r="A44" s="339"/>
      <c r="B44" s="133"/>
      <c r="C44" s="134"/>
      <c r="D44" s="135"/>
      <c r="E44" s="136"/>
      <c r="F44" s="136"/>
      <c r="G44" s="136"/>
      <c r="H44" s="137"/>
      <c r="I44" s="135"/>
      <c r="J44" s="136"/>
      <c r="K44" s="137"/>
      <c r="L44" s="135"/>
      <c r="M44" s="136"/>
      <c r="N44" s="137"/>
      <c r="O44" s="135"/>
      <c r="P44" s="136"/>
      <c r="Q44" s="137"/>
      <c r="R44" s="135"/>
      <c r="S44" s="136"/>
      <c r="T44" s="138"/>
      <c r="U44" s="135"/>
      <c r="V44" s="135"/>
      <c r="W44" s="139"/>
      <c r="X44" s="138"/>
      <c r="Y44" s="136"/>
      <c r="Z44" s="138"/>
      <c r="AA44" s="135"/>
      <c r="AB44" s="138"/>
      <c r="AC44" s="135"/>
      <c r="AD44" s="135"/>
      <c r="AE44" s="138"/>
      <c r="AF44" s="141"/>
    </row>
    <row r="45" spans="1:32" ht="15" customHeight="1" x14ac:dyDescent="0.2">
      <c r="A45" s="339"/>
      <c r="B45" s="133"/>
      <c r="C45" s="134"/>
      <c r="D45" s="135"/>
      <c r="E45" s="136"/>
      <c r="F45" s="136"/>
      <c r="G45" s="136"/>
      <c r="H45" s="137"/>
      <c r="I45" s="135"/>
      <c r="J45" s="136"/>
      <c r="K45" s="137"/>
      <c r="L45" s="135"/>
      <c r="M45" s="136"/>
      <c r="N45" s="137"/>
      <c r="O45" s="135"/>
      <c r="P45" s="136"/>
      <c r="Q45" s="137"/>
      <c r="R45" s="135"/>
      <c r="S45" s="136"/>
      <c r="T45" s="138"/>
      <c r="U45" s="135"/>
      <c r="V45" s="135"/>
      <c r="W45" s="139"/>
      <c r="X45" s="138"/>
      <c r="Y45" s="136"/>
      <c r="Z45" s="138"/>
      <c r="AA45" s="135"/>
      <c r="AB45" s="138"/>
      <c r="AC45" s="135"/>
      <c r="AD45" s="135"/>
      <c r="AE45" s="138"/>
      <c r="AF45" s="141"/>
    </row>
    <row r="46" spans="1:32" ht="15" customHeight="1" x14ac:dyDescent="0.2">
      <c r="A46" s="344"/>
      <c r="B46" s="147"/>
      <c r="C46" s="148"/>
      <c r="D46" s="149"/>
      <c r="E46" s="150"/>
      <c r="F46" s="150"/>
      <c r="G46" s="150"/>
      <c r="H46" s="151"/>
      <c r="I46" s="149"/>
      <c r="J46" s="150"/>
      <c r="K46" s="151"/>
      <c r="L46" s="149"/>
      <c r="M46" s="150"/>
      <c r="N46" s="151"/>
      <c r="O46" s="149"/>
      <c r="P46" s="150"/>
      <c r="Q46" s="151"/>
      <c r="R46" s="149"/>
      <c r="S46" s="150"/>
      <c r="T46" s="152"/>
      <c r="U46" s="149"/>
      <c r="V46" s="149"/>
      <c r="W46" s="153"/>
      <c r="X46" s="152"/>
      <c r="Y46" s="150"/>
      <c r="Z46" s="152"/>
      <c r="AA46" s="149"/>
      <c r="AB46" s="152"/>
      <c r="AC46" s="155"/>
      <c r="AD46" s="149"/>
      <c r="AE46" s="156"/>
      <c r="AF46" s="156"/>
    </row>
    <row r="47" spans="1:32" ht="15" customHeight="1" x14ac:dyDescent="0.2">
      <c r="A47" s="334"/>
      <c r="B47" s="115"/>
      <c r="C47" s="116"/>
      <c r="D47" s="117"/>
      <c r="E47" s="118"/>
      <c r="F47" s="118"/>
      <c r="G47" s="118"/>
      <c r="H47" s="119"/>
      <c r="I47" s="117"/>
      <c r="J47" s="118"/>
      <c r="K47" s="119"/>
      <c r="L47" s="117"/>
      <c r="M47" s="118"/>
      <c r="N47" s="119"/>
      <c r="O47" s="117"/>
      <c r="P47" s="118"/>
      <c r="Q47" s="119"/>
      <c r="R47" s="117"/>
      <c r="S47" s="118"/>
      <c r="T47" s="120"/>
      <c r="U47" s="117"/>
      <c r="V47" s="117"/>
      <c r="W47" s="121"/>
      <c r="X47" s="120"/>
      <c r="Y47" s="118"/>
      <c r="Z47" s="120"/>
      <c r="AA47" s="117"/>
      <c r="AB47" s="120"/>
      <c r="AC47" s="117"/>
      <c r="AD47" s="117"/>
      <c r="AE47" s="120"/>
      <c r="AF47" s="122"/>
    </row>
    <row r="48" spans="1:32" ht="15" customHeight="1" x14ac:dyDescent="0.2">
      <c r="A48" s="339"/>
      <c r="B48" s="133"/>
      <c r="C48" s="134"/>
      <c r="D48" s="135"/>
      <c r="E48" s="136"/>
      <c r="F48" s="136"/>
      <c r="G48" s="136"/>
      <c r="H48" s="137"/>
      <c r="I48" s="135"/>
      <c r="J48" s="136"/>
      <c r="K48" s="137"/>
      <c r="L48" s="135"/>
      <c r="M48" s="136"/>
      <c r="N48" s="137"/>
      <c r="O48" s="135"/>
      <c r="P48" s="136"/>
      <c r="Q48" s="137"/>
      <c r="R48" s="135"/>
      <c r="S48" s="136"/>
      <c r="T48" s="138"/>
      <c r="U48" s="135"/>
      <c r="V48" s="135"/>
      <c r="W48" s="139"/>
      <c r="X48" s="138"/>
      <c r="Y48" s="136"/>
      <c r="Z48" s="138"/>
      <c r="AA48" s="135"/>
      <c r="AB48" s="138"/>
      <c r="AC48" s="135"/>
      <c r="AD48" s="135"/>
      <c r="AE48" s="138"/>
      <c r="AF48" s="141"/>
    </row>
    <row r="49" spans="1:32" ht="15" customHeight="1" x14ac:dyDescent="0.2">
      <c r="A49" s="339"/>
      <c r="B49" s="133"/>
      <c r="C49" s="134"/>
      <c r="D49" s="135"/>
      <c r="E49" s="136"/>
      <c r="F49" s="136"/>
      <c r="G49" s="136"/>
      <c r="H49" s="137"/>
      <c r="I49" s="135"/>
      <c r="J49" s="136"/>
      <c r="K49" s="137"/>
      <c r="L49" s="135"/>
      <c r="M49" s="136"/>
      <c r="N49" s="137"/>
      <c r="O49" s="135"/>
      <c r="P49" s="136"/>
      <c r="Q49" s="137"/>
      <c r="R49" s="135"/>
      <c r="S49" s="136"/>
      <c r="T49" s="138"/>
      <c r="U49" s="135"/>
      <c r="V49" s="135"/>
      <c r="W49" s="139"/>
      <c r="X49" s="138"/>
      <c r="Y49" s="136"/>
      <c r="Z49" s="138"/>
      <c r="AA49" s="135"/>
      <c r="AB49" s="138"/>
      <c r="AC49" s="135"/>
      <c r="AD49" s="135"/>
      <c r="AE49" s="138"/>
      <c r="AF49" s="141"/>
    </row>
    <row r="50" spans="1:32" ht="15" customHeight="1" x14ac:dyDescent="0.2">
      <c r="A50" s="339"/>
      <c r="B50" s="133"/>
      <c r="C50" s="134"/>
      <c r="D50" s="135"/>
      <c r="E50" s="136"/>
      <c r="F50" s="136"/>
      <c r="G50" s="136"/>
      <c r="H50" s="137"/>
      <c r="I50" s="135"/>
      <c r="J50" s="136"/>
      <c r="K50" s="137"/>
      <c r="L50" s="135"/>
      <c r="M50" s="136"/>
      <c r="N50" s="137"/>
      <c r="O50" s="135"/>
      <c r="P50" s="136"/>
      <c r="Q50" s="137"/>
      <c r="R50" s="135"/>
      <c r="S50" s="136"/>
      <c r="T50" s="138"/>
      <c r="U50" s="135"/>
      <c r="V50" s="135"/>
      <c r="W50" s="139"/>
      <c r="X50" s="138"/>
      <c r="Y50" s="136"/>
      <c r="Z50" s="138"/>
      <c r="AA50" s="135"/>
      <c r="AB50" s="138"/>
      <c r="AC50" s="135"/>
      <c r="AD50" s="135"/>
      <c r="AE50" s="138"/>
      <c r="AF50" s="141"/>
    </row>
    <row r="51" spans="1:32" ht="15" customHeight="1" x14ac:dyDescent="0.2">
      <c r="A51" s="344"/>
      <c r="B51" s="147"/>
      <c r="C51" s="148"/>
      <c r="D51" s="149"/>
      <c r="E51" s="150"/>
      <c r="F51" s="150"/>
      <c r="G51" s="150"/>
      <c r="H51" s="151"/>
      <c r="I51" s="149"/>
      <c r="J51" s="150"/>
      <c r="K51" s="151"/>
      <c r="L51" s="149"/>
      <c r="M51" s="150"/>
      <c r="N51" s="151"/>
      <c r="O51" s="149"/>
      <c r="P51" s="150"/>
      <c r="Q51" s="151"/>
      <c r="R51" s="149"/>
      <c r="S51" s="150"/>
      <c r="T51" s="152"/>
      <c r="U51" s="149"/>
      <c r="V51" s="149"/>
      <c r="W51" s="153"/>
      <c r="X51" s="152"/>
      <c r="Y51" s="150"/>
      <c r="Z51" s="152"/>
      <c r="AA51" s="149"/>
      <c r="AB51" s="152"/>
      <c r="AC51" s="155"/>
      <c r="AD51" s="149"/>
      <c r="AE51" s="156"/>
      <c r="AF51" s="156"/>
    </row>
    <row r="52" spans="1:32" ht="15" customHeight="1" x14ac:dyDescent="0.2">
      <c r="A52" s="334"/>
      <c r="B52" s="115"/>
      <c r="C52" s="116"/>
      <c r="D52" s="117"/>
      <c r="E52" s="118"/>
      <c r="F52" s="118"/>
      <c r="G52" s="118"/>
      <c r="H52" s="119"/>
      <c r="I52" s="117"/>
      <c r="J52" s="118"/>
      <c r="K52" s="119"/>
      <c r="L52" s="117"/>
      <c r="M52" s="118"/>
      <c r="N52" s="119"/>
      <c r="O52" s="117"/>
      <c r="P52" s="118"/>
      <c r="Q52" s="119"/>
      <c r="R52" s="117"/>
      <c r="S52" s="118"/>
      <c r="T52" s="120"/>
      <c r="U52" s="117"/>
      <c r="V52" s="117"/>
      <c r="W52" s="121"/>
      <c r="X52" s="120"/>
      <c r="Y52" s="118"/>
      <c r="Z52" s="120"/>
      <c r="AA52" s="117"/>
      <c r="AB52" s="120"/>
      <c r="AC52" s="117"/>
      <c r="AD52" s="117"/>
      <c r="AE52" s="120"/>
      <c r="AF52" s="122"/>
    </row>
    <row r="53" spans="1:32" ht="15" customHeight="1" x14ac:dyDescent="0.2">
      <c r="A53" s="339"/>
      <c r="B53" s="133"/>
      <c r="C53" s="134"/>
      <c r="D53" s="135"/>
      <c r="E53" s="136"/>
      <c r="F53" s="136"/>
      <c r="G53" s="136"/>
      <c r="H53" s="137"/>
      <c r="I53" s="135"/>
      <c r="J53" s="136"/>
      <c r="K53" s="137"/>
      <c r="L53" s="135"/>
      <c r="M53" s="136"/>
      <c r="N53" s="137"/>
      <c r="O53" s="135"/>
      <c r="P53" s="136"/>
      <c r="Q53" s="137"/>
      <c r="R53" s="135"/>
      <c r="S53" s="136"/>
      <c r="T53" s="138"/>
      <c r="U53" s="135"/>
      <c r="V53" s="135"/>
      <c r="W53" s="139"/>
      <c r="X53" s="138"/>
      <c r="Y53" s="136"/>
      <c r="Z53" s="138"/>
      <c r="AA53" s="135"/>
      <c r="AB53" s="138"/>
      <c r="AC53" s="135"/>
      <c r="AD53" s="135"/>
      <c r="AE53" s="138"/>
      <c r="AF53" s="141"/>
    </row>
    <row r="54" spans="1:32" ht="15" customHeight="1" x14ac:dyDescent="0.2">
      <c r="A54" s="339"/>
      <c r="B54" s="133"/>
      <c r="C54" s="134"/>
      <c r="D54" s="135"/>
      <c r="E54" s="136"/>
      <c r="F54" s="136"/>
      <c r="G54" s="136"/>
      <c r="H54" s="137"/>
      <c r="I54" s="135"/>
      <c r="J54" s="136"/>
      <c r="K54" s="137"/>
      <c r="L54" s="135"/>
      <c r="M54" s="136"/>
      <c r="N54" s="137"/>
      <c r="O54" s="135"/>
      <c r="P54" s="136"/>
      <c r="Q54" s="137"/>
      <c r="R54" s="135"/>
      <c r="S54" s="136"/>
      <c r="T54" s="138"/>
      <c r="U54" s="135"/>
      <c r="V54" s="135"/>
      <c r="W54" s="139"/>
      <c r="X54" s="138"/>
      <c r="Y54" s="136"/>
      <c r="Z54" s="138"/>
      <c r="AA54" s="135"/>
      <c r="AB54" s="138"/>
      <c r="AC54" s="135"/>
      <c r="AD54" s="135"/>
      <c r="AE54" s="138"/>
      <c r="AF54" s="141"/>
    </row>
    <row r="55" spans="1:32" ht="15" customHeight="1" x14ac:dyDescent="0.2">
      <c r="A55" s="339"/>
      <c r="B55" s="133"/>
      <c r="C55" s="134"/>
      <c r="D55" s="135"/>
      <c r="E55" s="136"/>
      <c r="F55" s="136"/>
      <c r="G55" s="136"/>
      <c r="H55" s="137"/>
      <c r="I55" s="135"/>
      <c r="J55" s="136"/>
      <c r="K55" s="137"/>
      <c r="L55" s="135"/>
      <c r="M55" s="136"/>
      <c r="N55" s="137"/>
      <c r="O55" s="135"/>
      <c r="P55" s="136"/>
      <c r="Q55" s="137"/>
      <c r="R55" s="135"/>
      <c r="S55" s="136"/>
      <c r="T55" s="138"/>
      <c r="U55" s="135"/>
      <c r="V55" s="135"/>
      <c r="W55" s="139"/>
      <c r="X55" s="138"/>
      <c r="Y55" s="136"/>
      <c r="Z55" s="138"/>
      <c r="AA55" s="135"/>
      <c r="AB55" s="138"/>
      <c r="AC55" s="135"/>
      <c r="AD55" s="135"/>
      <c r="AE55" s="138"/>
      <c r="AF55" s="141"/>
    </row>
    <row r="56" spans="1:32" ht="15" customHeight="1" x14ac:dyDescent="0.2">
      <c r="A56" s="344"/>
      <c r="B56" s="147"/>
      <c r="C56" s="148"/>
      <c r="D56" s="149"/>
      <c r="E56" s="150"/>
      <c r="F56" s="150"/>
      <c r="G56" s="150"/>
      <c r="H56" s="151"/>
      <c r="I56" s="149"/>
      <c r="J56" s="150"/>
      <c r="K56" s="151"/>
      <c r="L56" s="149"/>
      <c r="M56" s="150"/>
      <c r="N56" s="151"/>
      <c r="O56" s="149"/>
      <c r="P56" s="150"/>
      <c r="Q56" s="151"/>
      <c r="R56" s="149"/>
      <c r="S56" s="150"/>
      <c r="T56" s="152"/>
      <c r="U56" s="149"/>
      <c r="V56" s="149"/>
      <c r="W56" s="153"/>
      <c r="X56" s="152"/>
      <c r="Y56" s="150"/>
      <c r="Z56" s="152"/>
      <c r="AA56" s="149"/>
      <c r="AB56" s="152"/>
      <c r="AC56" s="155"/>
      <c r="AD56" s="149"/>
      <c r="AE56" s="156"/>
      <c r="AF56" s="156"/>
    </row>
    <row r="57" spans="1:32" ht="15" customHeight="1" x14ac:dyDescent="0.2">
      <c r="A57" s="334"/>
      <c r="B57" s="115"/>
      <c r="C57" s="116"/>
      <c r="D57" s="117"/>
      <c r="E57" s="118"/>
      <c r="F57" s="118"/>
      <c r="G57" s="118"/>
      <c r="H57" s="119"/>
      <c r="I57" s="117"/>
      <c r="J57" s="118"/>
      <c r="K57" s="119"/>
      <c r="L57" s="117"/>
      <c r="M57" s="118"/>
      <c r="N57" s="119"/>
      <c r="O57" s="117"/>
      <c r="P57" s="118"/>
      <c r="Q57" s="119"/>
      <c r="R57" s="117"/>
      <c r="S57" s="118"/>
      <c r="T57" s="120"/>
      <c r="U57" s="117"/>
      <c r="V57" s="117"/>
      <c r="W57" s="121"/>
      <c r="X57" s="120"/>
      <c r="Y57" s="118"/>
      <c r="Z57" s="120"/>
      <c r="AA57" s="117"/>
      <c r="AB57" s="120"/>
      <c r="AC57" s="117"/>
      <c r="AD57" s="117"/>
      <c r="AE57" s="120"/>
      <c r="AF57" s="122"/>
    </row>
    <row r="58" spans="1:32" ht="15" customHeight="1" x14ac:dyDescent="0.2">
      <c r="A58" s="339"/>
      <c r="B58" s="133"/>
      <c r="C58" s="134"/>
      <c r="D58" s="135"/>
      <c r="E58" s="136"/>
      <c r="F58" s="136"/>
      <c r="G58" s="136"/>
      <c r="H58" s="137"/>
      <c r="I58" s="135"/>
      <c r="J58" s="136"/>
      <c r="K58" s="137"/>
      <c r="L58" s="135"/>
      <c r="M58" s="136"/>
      <c r="N58" s="137"/>
      <c r="O58" s="135"/>
      <c r="P58" s="136"/>
      <c r="Q58" s="137"/>
      <c r="R58" s="135"/>
      <c r="S58" s="136"/>
      <c r="T58" s="138"/>
      <c r="U58" s="135"/>
      <c r="V58" s="135"/>
      <c r="W58" s="139"/>
      <c r="X58" s="138"/>
      <c r="Y58" s="136"/>
      <c r="Z58" s="138"/>
      <c r="AA58" s="135"/>
      <c r="AB58" s="138"/>
      <c r="AC58" s="135"/>
      <c r="AD58" s="135"/>
      <c r="AE58" s="138"/>
      <c r="AF58" s="141"/>
    </row>
    <row r="59" spans="1:32" ht="15" customHeight="1" x14ac:dyDescent="0.2">
      <c r="A59" s="339"/>
      <c r="B59" s="133"/>
      <c r="C59" s="134"/>
      <c r="D59" s="135"/>
      <c r="E59" s="136"/>
      <c r="F59" s="136"/>
      <c r="G59" s="136"/>
      <c r="H59" s="137"/>
      <c r="I59" s="135"/>
      <c r="J59" s="136"/>
      <c r="K59" s="137"/>
      <c r="L59" s="135"/>
      <c r="M59" s="136"/>
      <c r="N59" s="137"/>
      <c r="O59" s="135"/>
      <c r="P59" s="136"/>
      <c r="Q59" s="137"/>
      <c r="R59" s="135"/>
      <c r="S59" s="136"/>
      <c r="T59" s="138"/>
      <c r="U59" s="135"/>
      <c r="V59" s="135"/>
      <c r="W59" s="139"/>
      <c r="X59" s="138"/>
      <c r="Y59" s="136"/>
      <c r="Z59" s="138"/>
      <c r="AA59" s="135"/>
      <c r="AB59" s="138"/>
      <c r="AC59" s="135"/>
      <c r="AD59" s="135"/>
      <c r="AE59" s="138"/>
      <c r="AF59" s="141"/>
    </row>
    <row r="60" spans="1:32" ht="15" customHeight="1" x14ac:dyDescent="0.2">
      <c r="A60" s="339"/>
      <c r="B60" s="133"/>
      <c r="C60" s="134"/>
      <c r="D60" s="135"/>
      <c r="E60" s="136"/>
      <c r="F60" s="136"/>
      <c r="G60" s="136"/>
      <c r="H60" s="137"/>
      <c r="I60" s="135"/>
      <c r="J60" s="136"/>
      <c r="K60" s="137"/>
      <c r="L60" s="135"/>
      <c r="M60" s="136"/>
      <c r="N60" s="137"/>
      <c r="O60" s="135"/>
      <c r="P60" s="136"/>
      <c r="Q60" s="137"/>
      <c r="R60" s="135"/>
      <c r="S60" s="136"/>
      <c r="T60" s="138"/>
      <c r="U60" s="135"/>
      <c r="V60" s="135"/>
      <c r="W60" s="139"/>
      <c r="X60" s="138"/>
      <c r="Y60" s="136"/>
      <c r="Z60" s="138"/>
      <c r="AA60" s="135"/>
      <c r="AB60" s="138"/>
      <c r="AC60" s="135"/>
      <c r="AD60" s="135"/>
      <c r="AE60" s="138"/>
      <c r="AF60" s="141"/>
    </row>
    <row r="61" spans="1:32" ht="15" customHeight="1" x14ac:dyDescent="0.2">
      <c r="A61" s="344"/>
      <c r="B61" s="147"/>
      <c r="C61" s="148"/>
      <c r="D61" s="149"/>
      <c r="E61" s="150"/>
      <c r="F61" s="150"/>
      <c r="G61" s="150"/>
      <c r="H61" s="151"/>
      <c r="I61" s="149"/>
      <c r="J61" s="150"/>
      <c r="K61" s="151"/>
      <c r="L61" s="149"/>
      <c r="M61" s="150"/>
      <c r="N61" s="151"/>
      <c r="O61" s="149"/>
      <c r="P61" s="150"/>
      <c r="Q61" s="151"/>
      <c r="R61" s="149"/>
      <c r="S61" s="150"/>
      <c r="T61" s="152"/>
      <c r="U61" s="149"/>
      <c r="V61" s="149"/>
      <c r="W61" s="153"/>
      <c r="X61" s="152"/>
      <c r="Y61" s="150"/>
      <c r="Z61" s="152"/>
      <c r="AA61" s="149"/>
      <c r="AB61" s="152"/>
      <c r="AC61" s="155"/>
      <c r="AD61" s="149"/>
      <c r="AE61" s="156"/>
      <c r="AF61" s="156"/>
    </row>
    <row r="62" spans="1:32" ht="15" customHeight="1" x14ac:dyDescent="0.2">
      <c r="A62" s="334"/>
      <c r="B62" s="115"/>
      <c r="C62" s="116"/>
      <c r="D62" s="117"/>
      <c r="E62" s="118"/>
      <c r="F62" s="118"/>
      <c r="G62" s="118"/>
      <c r="H62" s="119"/>
      <c r="I62" s="117"/>
      <c r="J62" s="118"/>
      <c r="K62" s="119"/>
      <c r="L62" s="117"/>
      <c r="M62" s="118"/>
      <c r="N62" s="119"/>
      <c r="O62" s="117"/>
      <c r="P62" s="118"/>
      <c r="Q62" s="119"/>
      <c r="R62" s="117"/>
      <c r="S62" s="118"/>
      <c r="T62" s="120"/>
      <c r="U62" s="117"/>
      <c r="V62" s="117"/>
      <c r="W62" s="121"/>
      <c r="X62" s="120"/>
      <c r="Y62" s="118"/>
      <c r="Z62" s="120"/>
      <c r="AA62" s="117"/>
      <c r="AB62" s="120"/>
      <c r="AC62" s="117"/>
      <c r="AD62" s="117"/>
      <c r="AE62" s="120"/>
      <c r="AF62" s="122"/>
    </row>
    <row r="63" spans="1:32" ht="15" customHeight="1" x14ac:dyDescent="0.2">
      <c r="A63" s="339"/>
      <c r="B63" s="133"/>
      <c r="C63" s="134"/>
      <c r="D63" s="135"/>
      <c r="E63" s="136"/>
      <c r="F63" s="136"/>
      <c r="G63" s="136"/>
      <c r="H63" s="137"/>
      <c r="I63" s="135"/>
      <c r="J63" s="136"/>
      <c r="K63" s="137"/>
      <c r="L63" s="135"/>
      <c r="M63" s="136"/>
      <c r="N63" s="137"/>
      <c r="O63" s="135"/>
      <c r="P63" s="136"/>
      <c r="Q63" s="137"/>
      <c r="R63" s="135"/>
      <c r="S63" s="136"/>
      <c r="T63" s="138"/>
      <c r="U63" s="135"/>
      <c r="V63" s="135"/>
      <c r="W63" s="139"/>
      <c r="X63" s="138"/>
      <c r="Y63" s="136"/>
      <c r="Z63" s="138"/>
      <c r="AA63" s="135"/>
      <c r="AB63" s="138"/>
      <c r="AC63" s="135"/>
      <c r="AD63" s="135"/>
      <c r="AE63" s="138"/>
      <c r="AF63" s="141"/>
    </row>
    <row r="64" spans="1:32" ht="15" customHeight="1" x14ac:dyDescent="0.2">
      <c r="A64" s="339"/>
      <c r="B64" s="133"/>
      <c r="C64" s="134"/>
      <c r="D64" s="135"/>
      <c r="E64" s="136"/>
      <c r="F64" s="136"/>
      <c r="G64" s="136"/>
      <c r="H64" s="137"/>
      <c r="I64" s="135"/>
      <c r="J64" s="136"/>
      <c r="K64" s="137"/>
      <c r="L64" s="135"/>
      <c r="M64" s="136"/>
      <c r="N64" s="137"/>
      <c r="O64" s="135"/>
      <c r="P64" s="136"/>
      <c r="Q64" s="137"/>
      <c r="R64" s="135"/>
      <c r="S64" s="136"/>
      <c r="T64" s="138"/>
      <c r="U64" s="135"/>
      <c r="V64" s="135"/>
      <c r="W64" s="139"/>
      <c r="X64" s="138"/>
      <c r="Y64" s="136"/>
      <c r="Z64" s="138"/>
      <c r="AA64" s="135"/>
      <c r="AB64" s="138"/>
      <c r="AC64" s="135"/>
      <c r="AD64" s="135"/>
      <c r="AE64" s="138"/>
      <c r="AF64" s="141"/>
    </row>
    <row r="65" spans="1:32" ht="15" customHeight="1" x14ac:dyDescent="0.2">
      <c r="A65" s="339"/>
      <c r="B65" s="133"/>
      <c r="C65" s="134"/>
      <c r="D65" s="135"/>
      <c r="E65" s="136"/>
      <c r="F65" s="136"/>
      <c r="G65" s="136"/>
      <c r="H65" s="137"/>
      <c r="I65" s="135"/>
      <c r="J65" s="136"/>
      <c r="K65" s="137"/>
      <c r="L65" s="135"/>
      <c r="M65" s="136"/>
      <c r="N65" s="137"/>
      <c r="O65" s="135"/>
      <c r="P65" s="136"/>
      <c r="Q65" s="137"/>
      <c r="R65" s="135"/>
      <c r="S65" s="136"/>
      <c r="T65" s="138"/>
      <c r="U65" s="135"/>
      <c r="V65" s="135"/>
      <c r="W65" s="139"/>
      <c r="X65" s="138"/>
      <c r="Y65" s="136"/>
      <c r="Z65" s="138"/>
      <c r="AA65" s="135"/>
      <c r="AB65" s="138"/>
      <c r="AC65" s="135"/>
      <c r="AD65" s="135"/>
      <c r="AE65" s="138"/>
      <c r="AF65" s="141"/>
    </row>
    <row r="66" spans="1:32" ht="15" customHeight="1" x14ac:dyDescent="0.2">
      <c r="A66" s="344"/>
      <c r="B66" s="147"/>
      <c r="C66" s="148"/>
      <c r="D66" s="149"/>
      <c r="E66" s="150"/>
      <c r="F66" s="150"/>
      <c r="G66" s="150"/>
      <c r="H66" s="151"/>
      <c r="I66" s="149"/>
      <c r="J66" s="150"/>
      <c r="K66" s="151"/>
      <c r="L66" s="149"/>
      <c r="M66" s="150"/>
      <c r="N66" s="151"/>
      <c r="O66" s="149"/>
      <c r="P66" s="150"/>
      <c r="Q66" s="151"/>
      <c r="R66" s="149"/>
      <c r="S66" s="150"/>
      <c r="T66" s="152"/>
      <c r="U66" s="149"/>
      <c r="V66" s="149"/>
      <c r="W66" s="153"/>
      <c r="X66" s="152"/>
      <c r="Y66" s="150"/>
      <c r="Z66" s="152"/>
      <c r="AA66" s="149"/>
      <c r="AB66" s="152"/>
      <c r="AC66" s="155"/>
      <c r="AD66" s="149"/>
      <c r="AE66" s="156"/>
      <c r="AF66" s="156"/>
    </row>
    <row r="67" spans="1:32" ht="15" customHeight="1" x14ac:dyDescent="0.2">
      <c r="A67" s="334"/>
      <c r="B67" s="115"/>
      <c r="C67" s="116"/>
      <c r="D67" s="117"/>
      <c r="E67" s="118"/>
      <c r="F67" s="118"/>
      <c r="G67" s="118"/>
      <c r="H67" s="119"/>
      <c r="I67" s="117"/>
      <c r="J67" s="118"/>
      <c r="K67" s="119"/>
      <c r="L67" s="117"/>
      <c r="M67" s="118"/>
      <c r="N67" s="119"/>
      <c r="O67" s="117"/>
      <c r="P67" s="118"/>
      <c r="Q67" s="119"/>
      <c r="R67" s="117"/>
      <c r="S67" s="118"/>
      <c r="T67" s="120"/>
      <c r="U67" s="117"/>
      <c r="V67" s="117"/>
      <c r="W67" s="121"/>
      <c r="X67" s="120"/>
      <c r="Y67" s="118"/>
      <c r="Z67" s="120"/>
      <c r="AA67" s="117"/>
      <c r="AB67" s="120"/>
      <c r="AC67" s="117"/>
      <c r="AD67" s="117"/>
      <c r="AE67" s="120"/>
      <c r="AF67" s="122"/>
    </row>
    <row r="68" spans="1:32" ht="15" customHeight="1" x14ac:dyDescent="0.2">
      <c r="A68" s="339"/>
      <c r="B68" s="133"/>
      <c r="C68" s="134"/>
      <c r="D68" s="135"/>
      <c r="E68" s="136"/>
      <c r="F68" s="136"/>
      <c r="G68" s="136"/>
      <c r="H68" s="137"/>
      <c r="I68" s="135"/>
      <c r="J68" s="136"/>
      <c r="K68" s="137"/>
      <c r="L68" s="135"/>
      <c r="M68" s="136"/>
      <c r="N68" s="137"/>
      <c r="O68" s="135"/>
      <c r="P68" s="136"/>
      <c r="Q68" s="137"/>
      <c r="R68" s="135"/>
      <c r="S68" s="136"/>
      <c r="T68" s="138"/>
      <c r="U68" s="135"/>
      <c r="V68" s="135"/>
      <c r="W68" s="139"/>
      <c r="X68" s="138"/>
      <c r="Y68" s="136"/>
      <c r="Z68" s="138"/>
      <c r="AA68" s="135"/>
      <c r="AB68" s="138"/>
      <c r="AC68" s="135"/>
      <c r="AD68" s="135"/>
      <c r="AE68" s="138"/>
      <c r="AF68" s="141"/>
    </row>
    <row r="69" spans="1:32" ht="15" customHeight="1" x14ac:dyDescent="0.2">
      <c r="A69" s="339"/>
      <c r="B69" s="133"/>
      <c r="C69" s="134"/>
      <c r="D69" s="135"/>
      <c r="E69" s="136"/>
      <c r="F69" s="136"/>
      <c r="G69" s="136"/>
      <c r="H69" s="137"/>
      <c r="I69" s="135"/>
      <c r="J69" s="136"/>
      <c r="K69" s="137"/>
      <c r="L69" s="135"/>
      <c r="M69" s="136"/>
      <c r="N69" s="137"/>
      <c r="O69" s="135"/>
      <c r="P69" s="136"/>
      <c r="Q69" s="137"/>
      <c r="R69" s="135"/>
      <c r="S69" s="136"/>
      <c r="T69" s="138"/>
      <c r="U69" s="135"/>
      <c r="V69" s="135"/>
      <c r="W69" s="139"/>
      <c r="X69" s="138"/>
      <c r="Y69" s="136"/>
      <c r="Z69" s="138"/>
      <c r="AA69" s="135"/>
      <c r="AB69" s="138"/>
      <c r="AC69" s="135"/>
      <c r="AD69" s="135"/>
      <c r="AE69" s="138"/>
      <c r="AF69" s="141"/>
    </row>
    <row r="70" spans="1:32" ht="15" customHeight="1" x14ac:dyDescent="0.2">
      <c r="A70" s="339"/>
      <c r="B70" s="133"/>
      <c r="C70" s="134"/>
      <c r="D70" s="135"/>
      <c r="E70" s="136"/>
      <c r="F70" s="136"/>
      <c r="G70" s="136"/>
      <c r="H70" s="137"/>
      <c r="I70" s="135"/>
      <c r="J70" s="136"/>
      <c r="K70" s="137"/>
      <c r="L70" s="135"/>
      <c r="M70" s="136"/>
      <c r="N70" s="137"/>
      <c r="O70" s="135"/>
      <c r="P70" s="136"/>
      <c r="Q70" s="137"/>
      <c r="R70" s="135"/>
      <c r="S70" s="136"/>
      <c r="T70" s="138"/>
      <c r="U70" s="135"/>
      <c r="V70" s="135"/>
      <c r="W70" s="139"/>
      <c r="X70" s="138"/>
      <c r="Y70" s="136"/>
      <c r="Z70" s="138"/>
      <c r="AA70" s="135"/>
      <c r="AB70" s="138"/>
      <c r="AC70" s="135"/>
      <c r="AD70" s="135"/>
      <c r="AE70" s="138"/>
      <c r="AF70" s="141"/>
    </row>
    <row r="71" spans="1:32" ht="15" customHeight="1" x14ac:dyDescent="0.2">
      <c r="A71" s="344"/>
      <c r="B71" s="147"/>
      <c r="C71" s="148"/>
      <c r="D71" s="149"/>
      <c r="E71" s="150"/>
      <c r="F71" s="150"/>
      <c r="G71" s="150"/>
      <c r="H71" s="151"/>
      <c r="I71" s="149"/>
      <c r="J71" s="150"/>
      <c r="K71" s="151"/>
      <c r="L71" s="149"/>
      <c r="M71" s="150"/>
      <c r="N71" s="151"/>
      <c r="O71" s="149"/>
      <c r="P71" s="150"/>
      <c r="Q71" s="151"/>
      <c r="R71" s="149"/>
      <c r="S71" s="150"/>
      <c r="T71" s="152"/>
      <c r="U71" s="149"/>
      <c r="V71" s="149"/>
      <c r="W71" s="153"/>
      <c r="X71" s="152"/>
      <c r="Y71" s="150"/>
      <c r="Z71" s="152"/>
      <c r="AA71" s="149"/>
      <c r="AB71" s="152"/>
      <c r="AC71" s="155"/>
      <c r="AD71" s="149"/>
      <c r="AE71" s="156"/>
      <c r="AF71" s="156"/>
    </row>
    <row r="72" spans="1:32" ht="15" customHeight="1" x14ac:dyDescent="0.2">
      <c r="A72" s="334"/>
      <c r="B72" s="115"/>
      <c r="C72" s="116"/>
      <c r="D72" s="117"/>
      <c r="E72" s="118"/>
      <c r="F72" s="118"/>
      <c r="G72" s="118"/>
      <c r="H72" s="119"/>
      <c r="I72" s="117"/>
      <c r="J72" s="118"/>
      <c r="K72" s="119"/>
      <c r="L72" s="117"/>
      <c r="M72" s="118"/>
      <c r="N72" s="119"/>
      <c r="O72" s="117"/>
      <c r="P72" s="118"/>
      <c r="Q72" s="119"/>
      <c r="R72" s="117"/>
      <c r="S72" s="118"/>
      <c r="T72" s="120"/>
      <c r="U72" s="117"/>
      <c r="V72" s="117"/>
      <c r="W72" s="121"/>
      <c r="X72" s="120"/>
      <c r="Y72" s="118"/>
      <c r="Z72" s="120"/>
      <c r="AA72" s="117"/>
      <c r="AB72" s="120"/>
      <c r="AC72" s="117"/>
      <c r="AD72" s="117"/>
      <c r="AE72" s="120"/>
      <c r="AF72" s="122"/>
    </row>
    <row r="73" spans="1:32" ht="15" customHeight="1" x14ac:dyDescent="0.2">
      <c r="A73" s="339"/>
      <c r="B73" s="133"/>
      <c r="C73" s="134"/>
      <c r="D73" s="135"/>
      <c r="E73" s="136"/>
      <c r="F73" s="136"/>
      <c r="G73" s="136"/>
      <c r="H73" s="137"/>
      <c r="I73" s="135"/>
      <c r="J73" s="136"/>
      <c r="K73" s="137"/>
      <c r="L73" s="135"/>
      <c r="M73" s="136"/>
      <c r="N73" s="137"/>
      <c r="O73" s="135"/>
      <c r="P73" s="136"/>
      <c r="Q73" s="137"/>
      <c r="R73" s="135"/>
      <c r="S73" s="136"/>
      <c r="T73" s="138"/>
      <c r="U73" s="135"/>
      <c r="V73" s="135"/>
      <c r="W73" s="139"/>
      <c r="X73" s="138"/>
      <c r="Y73" s="136"/>
      <c r="Z73" s="138"/>
      <c r="AA73" s="135"/>
      <c r="AB73" s="138"/>
      <c r="AC73" s="135"/>
      <c r="AD73" s="135"/>
      <c r="AE73" s="138"/>
      <c r="AF73" s="141"/>
    </row>
    <row r="74" spans="1:32" ht="15" customHeight="1" x14ac:dyDescent="0.2">
      <c r="A74" s="339"/>
      <c r="B74" s="133"/>
      <c r="C74" s="134"/>
      <c r="D74" s="135"/>
      <c r="E74" s="136"/>
      <c r="F74" s="136"/>
      <c r="G74" s="136"/>
      <c r="H74" s="137"/>
      <c r="I74" s="135"/>
      <c r="J74" s="136"/>
      <c r="K74" s="137"/>
      <c r="L74" s="135"/>
      <c r="M74" s="136"/>
      <c r="N74" s="137"/>
      <c r="O74" s="135"/>
      <c r="P74" s="136"/>
      <c r="Q74" s="137"/>
      <c r="R74" s="135"/>
      <c r="S74" s="136"/>
      <c r="T74" s="138"/>
      <c r="U74" s="135"/>
      <c r="V74" s="135"/>
      <c r="W74" s="139"/>
      <c r="X74" s="138"/>
      <c r="Y74" s="136"/>
      <c r="Z74" s="138"/>
      <c r="AA74" s="135"/>
      <c r="AB74" s="138"/>
      <c r="AC74" s="135"/>
      <c r="AD74" s="135"/>
      <c r="AE74" s="138"/>
      <c r="AF74" s="141"/>
    </row>
    <row r="75" spans="1:32" ht="15" customHeight="1" x14ac:dyDescent="0.2">
      <c r="A75" s="339"/>
      <c r="B75" s="133"/>
      <c r="C75" s="134"/>
      <c r="D75" s="135"/>
      <c r="E75" s="136"/>
      <c r="F75" s="136"/>
      <c r="G75" s="136"/>
      <c r="H75" s="137"/>
      <c r="I75" s="135"/>
      <c r="J75" s="136"/>
      <c r="K75" s="137"/>
      <c r="L75" s="135"/>
      <c r="M75" s="136"/>
      <c r="N75" s="137"/>
      <c r="O75" s="135"/>
      <c r="P75" s="136"/>
      <c r="Q75" s="137"/>
      <c r="R75" s="135"/>
      <c r="S75" s="136"/>
      <c r="T75" s="138"/>
      <c r="U75" s="135"/>
      <c r="V75" s="135"/>
      <c r="W75" s="139"/>
      <c r="X75" s="138"/>
      <c r="Y75" s="136"/>
      <c r="Z75" s="138"/>
      <c r="AA75" s="135"/>
      <c r="AB75" s="138"/>
      <c r="AC75" s="135"/>
      <c r="AD75" s="135"/>
      <c r="AE75" s="138"/>
      <c r="AF75" s="141"/>
    </row>
    <row r="76" spans="1:32" s="19" customFormat="1" ht="15" customHeight="1" thickBot="1" x14ac:dyDescent="0.25">
      <c r="A76" s="1404" t="s">
        <v>365</v>
      </c>
      <c r="B76" s="1405"/>
      <c r="C76" s="162">
        <v>119</v>
      </c>
      <c r="D76" s="163">
        <v>9250.4553302959666</v>
      </c>
      <c r="E76" s="164">
        <v>1028339.2477583396</v>
      </c>
      <c r="F76" s="164">
        <v>659.21</v>
      </c>
      <c r="G76" s="164">
        <v>78445.990000000005</v>
      </c>
      <c r="H76" s="162">
        <v>45</v>
      </c>
      <c r="I76" s="163">
        <v>570.35224473434255</v>
      </c>
      <c r="J76" s="164">
        <v>26417.797369237931</v>
      </c>
      <c r="K76" s="162">
        <v>16</v>
      </c>
      <c r="L76" s="163">
        <v>158.37628411149953</v>
      </c>
      <c r="M76" s="164">
        <v>2545.6830517511999</v>
      </c>
      <c r="N76" s="162">
        <v>23</v>
      </c>
      <c r="O76" s="163">
        <v>3936.5780458287281</v>
      </c>
      <c r="P76" s="164">
        <v>93910.060714577659</v>
      </c>
      <c r="Q76" s="162">
        <v>0</v>
      </c>
      <c r="R76" s="163">
        <v>1527.9418817790604</v>
      </c>
      <c r="S76" s="164">
        <v>0</v>
      </c>
      <c r="T76" s="165">
        <v>1229659</v>
      </c>
      <c r="U76" s="163">
        <v>41740</v>
      </c>
      <c r="V76" s="163">
        <v>-3959</v>
      </c>
      <c r="W76" s="166">
        <v>37781</v>
      </c>
      <c r="X76" s="165">
        <v>1267440</v>
      </c>
      <c r="Y76" s="164">
        <v>-3169</v>
      </c>
      <c r="Z76" s="165">
        <v>1264271</v>
      </c>
      <c r="AA76" s="164">
        <v>0</v>
      </c>
      <c r="AB76" s="165">
        <v>1264271</v>
      </c>
      <c r="AC76" s="163">
        <v>808858</v>
      </c>
      <c r="AD76" s="163">
        <v>455413</v>
      </c>
      <c r="AE76" s="165">
        <v>113852</v>
      </c>
      <c r="AF76" s="168">
        <v>1264271</v>
      </c>
    </row>
    <row r="77" spans="1:32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23254</v>
      </c>
      <c r="U77" s="860"/>
      <c r="V77" s="860"/>
      <c r="W77" s="860"/>
      <c r="X77" s="861">
        <v>23254</v>
      </c>
      <c r="Y77" s="910">
        <v>-58</v>
      </c>
      <c r="Z77" s="861">
        <v>23196</v>
      </c>
      <c r="AA77" s="860"/>
      <c r="AB77" s="861">
        <v>23196</v>
      </c>
      <c r="AC77" s="860">
        <v>15492</v>
      </c>
      <c r="AD77" s="860">
        <v>7704</v>
      </c>
      <c r="AE77" s="861">
        <v>1926</v>
      </c>
      <c r="AF77" s="912">
        <v>23196</v>
      </c>
    </row>
    <row r="78" spans="1:32" s="19" customFormat="1" ht="15" customHeight="1" x14ac:dyDescent="0.2">
      <c r="A78" s="1424" t="s">
        <v>333</v>
      </c>
      <c r="B78" s="1425"/>
      <c r="C78" s="703"/>
      <c r="D78" s="704"/>
      <c r="E78" s="704"/>
      <c r="F78" s="704"/>
      <c r="G78" s="704"/>
      <c r="H78" s="703"/>
      <c r="I78" s="704"/>
      <c r="J78" s="704"/>
      <c r="K78" s="703"/>
      <c r="L78" s="704"/>
      <c r="M78" s="704"/>
      <c r="N78" s="703"/>
      <c r="O78" s="704"/>
      <c r="P78" s="704"/>
      <c r="Q78" s="703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5"/>
      <c r="AC78" s="705"/>
      <c r="AD78" s="704"/>
      <c r="AE78" s="705"/>
      <c r="AF78" s="705"/>
    </row>
    <row r="79" spans="1:32" s="19" customFormat="1" ht="15" customHeight="1" x14ac:dyDescent="0.2">
      <c r="A79" s="1422" t="s">
        <v>334</v>
      </c>
      <c r="B79" s="1423"/>
      <c r="C79" s="703"/>
      <c r="D79" s="704"/>
      <c r="E79" s="704"/>
      <c r="F79" s="704"/>
      <c r="G79" s="704"/>
      <c r="H79" s="703"/>
      <c r="I79" s="704"/>
      <c r="J79" s="704"/>
      <c r="K79" s="703"/>
      <c r="L79" s="704"/>
      <c r="M79" s="704"/>
      <c r="N79" s="703"/>
      <c r="O79" s="704"/>
      <c r="P79" s="704"/>
      <c r="Q79" s="703"/>
      <c r="R79" s="704"/>
      <c r="S79" s="704"/>
      <c r="T79" s="704"/>
      <c r="U79" s="704"/>
      <c r="V79" s="704"/>
      <c r="W79" s="704"/>
      <c r="X79" s="704"/>
      <c r="Y79" s="704"/>
      <c r="Z79" s="704"/>
      <c r="AA79" s="704"/>
      <c r="AB79" s="141">
        <v>0</v>
      </c>
      <c r="AC79" s="705">
        <v>0</v>
      </c>
      <c r="AD79" s="704">
        <v>0</v>
      </c>
      <c r="AE79" s="141">
        <v>0</v>
      </c>
      <c r="AF79" s="141">
        <v>0</v>
      </c>
    </row>
    <row r="80" spans="1:32" s="19" customFormat="1" ht="15" customHeight="1" x14ac:dyDescent="0.2">
      <c r="A80" s="1420" t="s">
        <v>345</v>
      </c>
      <c r="B80" s="1421"/>
      <c r="C80" s="703"/>
      <c r="D80" s="704"/>
      <c r="E80" s="704"/>
      <c r="F80" s="704"/>
      <c r="G80" s="704"/>
      <c r="H80" s="703"/>
      <c r="I80" s="704"/>
      <c r="J80" s="704"/>
      <c r="K80" s="703"/>
      <c r="L80" s="704"/>
      <c r="M80" s="704"/>
      <c r="N80" s="703"/>
      <c r="O80" s="704"/>
      <c r="P80" s="704"/>
      <c r="Q80" s="703"/>
      <c r="R80" s="704"/>
      <c r="S80" s="704"/>
      <c r="T80" s="704"/>
      <c r="U80" s="704"/>
      <c r="V80" s="704"/>
      <c r="W80" s="704"/>
      <c r="X80" s="704"/>
      <c r="Y80" s="704"/>
      <c r="Z80" s="704"/>
      <c r="AA80" s="704"/>
      <c r="AB80" s="707"/>
      <c r="AC80" s="705"/>
      <c r="AD80" s="704"/>
      <c r="AE80" s="707"/>
      <c r="AF80" s="141">
        <v>0</v>
      </c>
    </row>
    <row r="81" spans="1:32" ht="15" customHeight="1" x14ac:dyDescent="0.2">
      <c r="A81" s="1416" t="s">
        <v>1192</v>
      </c>
      <c r="B81" s="1417"/>
      <c r="C81" s="703"/>
      <c r="D81" s="704"/>
      <c r="E81" s="704"/>
      <c r="F81" s="704"/>
      <c r="G81" s="704"/>
      <c r="H81" s="703"/>
      <c r="I81" s="704"/>
      <c r="J81" s="704"/>
      <c r="K81" s="703"/>
      <c r="L81" s="704"/>
      <c r="M81" s="704"/>
      <c r="N81" s="703"/>
      <c r="O81" s="704"/>
      <c r="P81" s="704"/>
      <c r="Q81" s="703"/>
      <c r="R81" s="704"/>
      <c r="S81" s="704"/>
      <c r="T81" s="704"/>
      <c r="U81" s="704"/>
      <c r="V81" s="704"/>
      <c r="W81" s="704"/>
      <c r="X81" s="704"/>
      <c r="Y81" s="704"/>
      <c r="Z81" s="704"/>
      <c r="AA81" s="704"/>
      <c r="AB81" s="705"/>
      <c r="AC81" s="705"/>
      <c r="AD81" s="704"/>
      <c r="AE81" s="705"/>
      <c r="AF81" s="141">
        <v>2892</v>
      </c>
    </row>
    <row r="82" spans="1:32" s="19" customFormat="1" ht="15" customHeight="1" x14ac:dyDescent="0.2">
      <c r="A82" s="1416" t="s">
        <v>344</v>
      </c>
      <c r="B82" s="1417"/>
      <c r="C82" s="703"/>
      <c r="D82" s="704"/>
      <c r="E82" s="704"/>
      <c r="F82" s="704"/>
      <c r="G82" s="704"/>
      <c r="H82" s="703"/>
      <c r="I82" s="704"/>
      <c r="J82" s="704"/>
      <c r="K82" s="703"/>
      <c r="L82" s="704"/>
      <c r="M82" s="704"/>
      <c r="N82" s="703"/>
      <c r="O82" s="704"/>
      <c r="P82" s="704"/>
      <c r="Q82" s="703"/>
      <c r="R82" s="704"/>
      <c r="S82" s="704"/>
      <c r="T82" s="704"/>
      <c r="U82" s="704"/>
      <c r="V82" s="704"/>
      <c r="W82" s="704"/>
      <c r="X82" s="704"/>
      <c r="Y82" s="704"/>
      <c r="Z82" s="704"/>
      <c r="AA82" s="704"/>
      <c r="AB82" s="707"/>
      <c r="AC82" s="705"/>
      <c r="AD82" s="704"/>
      <c r="AE82" s="707"/>
      <c r="AF82" s="141">
        <v>0</v>
      </c>
    </row>
    <row r="83" spans="1:32" s="19" customFormat="1" ht="15" customHeight="1" x14ac:dyDescent="0.2">
      <c r="A83" s="1414" t="s">
        <v>242</v>
      </c>
      <c r="B83" s="1415"/>
      <c r="C83" s="708"/>
      <c r="D83" s="709"/>
      <c r="E83" s="709"/>
      <c r="F83" s="709"/>
      <c r="G83" s="709"/>
      <c r="H83" s="708"/>
      <c r="I83" s="709"/>
      <c r="J83" s="709"/>
      <c r="K83" s="708"/>
      <c r="L83" s="709"/>
      <c r="M83" s="709"/>
      <c r="N83" s="708"/>
      <c r="O83" s="709"/>
      <c r="P83" s="709"/>
      <c r="Q83" s="708"/>
      <c r="R83" s="709"/>
      <c r="S83" s="709"/>
      <c r="T83" s="709"/>
      <c r="U83" s="709"/>
      <c r="V83" s="709"/>
      <c r="W83" s="709"/>
      <c r="X83" s="709"/>
      <c r="Y83" s="709"/>
      <c r="Z83" s="709"/>
      <c r="AA83" s="709"/>
      <c r="AB83" s="156">
        <v>1652</v>
      </c>
      <c r="AC83" s="155">
        <v>1102</v>
      </c>
      <c r="AD83" s="709">
        <v>550</v>
      </c>
      <c r="AE83" s="156">
        <v>138</v>
      </c>
      <c r="AF83" s="156">
        <v>1652</v>
      </c>
    </row>
    <row r="84" spans="1:32" s="19" customFormat="1" ht="15" customHeight="1" thickBot="1" x14ac:dyDescent="0.25">
      <c r="A84" s="1404" t="s">
        <v>366</v>
      </c>
      <c r="B84" s="1405"/>
      <c r="C84" s="162">
        <v>119</v>
      </c>
      <c r="D84" s="163">
        <v>9250.4553302959666</v>
      </c>
      <c r="E84" s="164">
        <v>1028339.2477583396</v>
      </c>
      <c r="F84" s="164">
        <v>659.21</v>
      </c>
      <c r="G84" s="164">
        <v>78445.990000000005</v>
      </c>
      <c r="H84" s="162">
        <v>45</v>
      </c>
      <c r="I84" s="163">
        <v>570.35224473434255</v>
      </c>
      <c r="J84" s="164">
        <v>26417.797369237931</v>
      </c>
      <c r="K84" s="162">
        <v>16</v>
      </c>
      <c r="L84" s="163">
        <v>158.37628411149953</v>
      </c>
      <c r="M84" s="164">
        <v>2545.6830517511999</v>
      </c>
      <c r="N84" s="162">
        <v>23</v>
      </c>
      <c r="O84" s="163">
        <v>3936.5780458287281</v>
      </c>
      <c r="P84" s="164">
        <v>93910.060714577659</v>
      </c>
      <c r="Q84" s="162">
        <v>0</v>
      </c>
      <c r="R84" s="163">
        <v>1527.9418817790604</v>
      </c>
      <c r="S84" s="164">
        <v>0</v>
      </c>
      <c r="T84" s="165">
        <v>1252913</v>
      </c>
      <c r="U84" s="163">
        <v>41740</v>
      </c>
      <c r="V84" s="163">
        <v>-3959</v>
      </c>
      <c r="W84" s="166">
        <v>37781</v>
      </c>
      <c r="X84" s="165">
        <v>1290694</v>
      </c>
      <c r="Y84" s="164">
        <v>-3227</v>
      </c>
      <c r="Z84" s="165">
        <v>1287467</v>
      </c>
      <c r="AA84" s="164">
        <v>0</v>
      </c>
      <c r="AB84" s="165">
        <v>1289119</v>
      </c>
      <c r="AC84" s="163">
        <v>825452</v>
      </c>
      <c r="AD84" s="163">
        <v>463667</v>
      </c>
      <c r="AE84" s="165">
        <v>115916</v>
      </c>
      <c r="AF84" s="168">
        <v>1292011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46"/>
      <c r="G88" s="1146"/>
      <c r="H88" s="10"/>
      <c r="I88" s="10"/>
      <c r="J88" s="10"/>
      <c r="K88" s="10"/>
      <c r="L88" s="759"/>
      <c r="M88" s="759"/>
      <c r="N88" s="759"/>
      <c r="O88" s="759"/>
      <c r="P88" s="759"/>
      <c r="Q88" s="759"/>
      <c r="R88" s="759"/>
      <c r="S88" s="759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46"/>
      <c r="G89" s="1146"/>
      <c r="H89" s="10"/>
      <c r="I89" s="10"/>
      <c r="J89" s="10"/>
      <c r="K89" s="10"/>
      <c r="L89" s="759"/>
      <c r="M89" s="759"/>
      <c r="N89" s="759"/>
      <c r="O89" s="759"/>
      <c r="P89" s="759"/>
      <c r="Q89" s="759"/>
      <c r="R89" s="759"/>
      <c r="S89" s="759"/>
      <c r="T89" s="10"/>
      <c r="U89" s="10"/>
      <c r="V89" s="10"/>
      <c r="W89" s="10"/>
      <c r="X89" s="10"/>
      <c r="Y89" s="459"/>
      <c r="Z89" s="760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59"/>
      <c r="Z90" s="760"/>
      <c r="AA90" s="10"/>
      <c r="AB90" s="10"/>
      <c r="AC90" s="10"/>
      <c r="AD90" s="10"/>
      <c r="AE90" s="10"/>
      <c r="AF90" s="10"/>
    </row>
    <row r="91" spans="1:32" x14ac:dyDescent="0.2">
      <c r="A91" s="10"/>
      <c r="B91" s="7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4</v>
      </c>
      <c r="AF91" s="10"/>
    </row>
    <row r="92" spans="1:32" x14ac:dyDescent="0.2">
      <c r="A92" s="10"/>
      <c r="B92" s="76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6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6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276" customWidth="1"/>
    <col min="2" max="2" width="27" style="276" customWidth="1"/>
    <col min="3" max="3" width="12.140625" style="1135" customWidth="1"/>
    <col min="4" max="4" width="12" style="1135" customWidth="1"/>
    <col min="5" max="5" width="11.7109375" style="1135" bestFit="1" customWidth="1"/>
    <col min="6" max="6" width="12.85546875" style="1135" bestFit="1" customWidth="1"/>
    <col min="7" max="7" width="13.42578125" style="1135" customWidth="1"/>
    <col min="8" max="9" width="11.42578125" style="1135" customWidth="1"/>
    <col min="10" max="10" width="11.28515625" style="1135" customWidth="1"/>
    <col min="11" max="11" width="12.7109375" style="1135" customWidth="1"/>
    <col min="12" max="12" width="15.7109375" style="1135" customWidth="1"/>
    <col min="13" max="14" width="12.7109375" style="1135" customWidth="1"/>
    <col min="15" max="16" width="15.7109375" style="1135" customWidth="1"/>
    <col min="17" max="18" width="14" style="1135" customWidth="1"/>
    <col min="19" max="19" width="15.7109375" style="1135" customWidth="1"/>
    <col min="20" max="16384" width="12.5703125" style="276"/>
  </cols>
  <sheetData>
    <row r="1" spans="1:19" s="1136" customFormat="1" ht="30" customHeight="1" x14ac:dyDescent="0.2">
      <c r="A1" s="1407" t="s">
        <v>452</v>
      </c>
      <c r="B1" s="1408"/>
      <c r="C1" s="1449" t="s">
        <v>1415</v>
      </c>
      <c r="D1" s="1449"/>
      <c r="E1" s="1449"/>
      <c r="F1" s="1449"/>
      <c r="G1" s="1449"/>
      <c r="H1" s="1449"/>
      <c r="I1" s="1449"/>
      <c r="J1" s="1449"/>
      <c r="K1" s="1449"/>
      <c r="L1" s="1441" t="s">
        <v>298</v>
      </c>
      <c r="M1" s="1441"/>
      <c r="N1" s="1441"/>
      <c r="O1" s="1441"/>
      <c r="P1" s="1441"/>
      <c r="Q1" s="1441"/>
      <c r="R1" s="1441"/>
      <c r="S1" s="1441"/>
    </row>
    <row r="2" spans="1:19" ht="99" customHeight="1" x14ac:dyDescent="0.2">
      <c r="A2" s="1409"/>
      <c r="B2" s="1410"/>
      <c r="C2" s="1444" t="s">
        <v>1416</v>
      </c>
      <c r="D2" s="1444" t="s">
        <v>1047</v>
      </c>
      <c r="E2" s="1120" t="s">
        <v>467</v>
      </c>
      <c r="F2" s="1120" t="s">
        <v>466</v>
      </c>
      <c r="G2" s="1444" t="s">
        <v>915</v>
      </c>
      <c r="H2" s="1444" t="s">
        <v>1354</v>
      </c>
      <c r="I2" s="1444" t="s">
        <v>258</v>
      </c>
      <c r="J2" s="1444" t="s">
        <v>337</v>
      </c>
      <c r="K2" s="1444" t="s">
        <v>1357</v>
      </c>
      <c r="L2" s="1440" t="s">
        <v>1155</v>
      </c>
      <c r="M2" s="1440" t="s">
        <v>1358</v>
      </c>
      <c r="N2" s="1440" t="s">
        <v>1359</v>
      </c>
      <c r="O2" s="1440" t="s">
        <v>299</v>
      </c>
      <c r="P2" s="1440" t="s">
        <v>1360</v>
      </c>
      <c r="Q2" s="1440" t="s">
        <v>1361</v>
      </c>
      <c r="R2" s="1440" t="s">
        <v>258</v>
      </c>
      <c r="S2" s="1440" t="s">
        <v>1362</v>
      </c>
    </row>
    <row r="3" spans="1:19" ht="13.15" customHeight="1" x14ac:dyDescent="0.2">
      <c r="A3" s="1411"/>
      <c r="B3" s="1412"/>
      <c r="C3" s="1444"/>
      <c r="D3" s="1444"/>
      <c r="E3" s="31">
        <v>0.31638418079096048</v>
      </c>
      <c r="F3" s="32">
        <v>1470.3473918621949</v>
      </c>
      <c r="G3" s="1444"/>
      <c r="H3" s="1444"/>
      <c r="I3" s="1444"/>
      <c r="J3" s="1444"/>
      <c r="K3" s="1444"/>
      <c r="L3" s="1440"/>
      <c r="M3" s="1440"/>
      <c r="N3" s="1440"/>
      <c r="O3" s="1440"/>
      <c r="P3" s="1440"/>
      <c r="Q3" s="1440"/>
      <c r="R3" s="1440"/>
      <c r="S3" s="1440"/>
    </row>
    <row r="4" spans="1:19" s="1137" customFormat="1" ht="14.25" customHeight="1" x14ac:dyDescent="0.2">
      <c r="A4" s="2"/>
      <c r="B4" s="3"/>
      <c r="C4" s="862">
        <v>1</v>
      </c>
      <c r="D4" s="862">
        <f t="shared" ref="D4:S4" si="0">C4+1</f>
        <v>2</v>
      </c>
      <c r="E4" s="862">
        <f t="shared" si="0"/>
        <v>3</v>
      </c>
      <c r="F4" s="862">
        <f t="shared" si="0"/>
        <v>4</v>
      </c>
      <c r="G4" s="862">
        <f t="shared" si="0"/>
        <v>5</v>
      </c>
      <c r="H4" s="862">
        <f t="shared" si="0"/>
        <v>6</v>
      </c>
      <c r="I4" s="862">
        <f t="shared" si="0"/>
        <v>7</v>
      </c>
      <c r="J4" s="862">
        <f t="shared" si="0"/>
        <v>8</v>
      </c>
      <c r="K4" s="862">
        <f t="shared" si="0"/>
        <v>9</v>
      </c>
      <c r="L4" s="862">
        <f t="shared" si="0"/>
        <v>10</v>
      </c>
      <c r="M4" s="862">
        <f t="shared" si="0"/>
        <v>11</v>
      </c>
      <c r="N4" s="862">
        <f t="shared" si="0"/>
        <v>12</v>
      </c>
      <c r="O4" s="862">
        <f t="shared" si="0"/>
        <v>13</v>
      </c>
      <c r="P4" s="862">
        <f t="shared" si="0"/>
        <v>14</v>
      </c>
      <c r="Q4" s="862">
        <f t="shared" si="0"/>
        <v>15</v>
      </c>
      <c r="R4" s="862">
        <f t="shared" si="0"/>
        <v>16</v>
      </c>
      <c r="S4" s="862">
        <f t="shared" si="0"/>
        <v>17</v>
      </c>
    </row>
    <row r="5" spans="1:19" s="1138" customFormat="1" ht="33" customHeight="1" x14ac:dyDescent="0.2">
      <c r="A5" s="863"/>
      <c r="B5" s="863"/>
      <c r="C5" s="538" t="s">
        <v>911</v>
      </c>
      <c r="D5" s="538" t="s">
        <v>371</v>
      </c>
      <c r="E5" s="538" t="s">
        <v>912</v>
      </c>
      <c r="F5" s="538" t="s">
        <v>913</v>
      </c>
      <c r="G5" s="538" t="s">
        <v>1220</v>
      </c>
      <c r="H5" s="538" t="s">
        <v>914</v>
      </c>
      <c r="I5" s="538" t="s">
        <v>784</v>
      </c>
      <c r="J5" s="538" t="s">
        <v>918</v>
      </c>
      <c r="K5" s="538" t="s">
        <v>1219</v>
      </c>
      <c r="L5" s="538" t="s">
        <v>1154</v>
      </c>
      <c r="M5" s="538" t="s">
        <v>228</v>
      </c>
      <c r="N5" s="538" t="s">
        <v>785</v>
      </c>
      <c r="O5" s="538" t="s">
        <v>910</v>
      </c>
      <c r="P5" s="538" t="s">
        <v>663</v>
      </c>
      <c r="Q5" s="538" t="s">
        <v>916</v>
      </c>
      <c r="R5" s="538" t="s">
        <v>786</v>
      </c>
      <c r="S5" s="538" t="s">
        <v>917</v>
      </c>
    </row>
    <row r="6" spans="1:19" s="1138" customFormat="1" ht="22.5" hidden="1" customHeight="1" x14ac:dyDescent="0.2">
      <c r="A6" s="863"/>
      <c r="B6" s="863"/>
      <c r="C6" s="538" t="s">
        <v>787</v>
      </c>
      <c r="D6" s="538" t="s">
        <v>554</v>
      </c>
      <c r="E6" s="538" t="s">
        <v>555</v>
      </c>
      <c r="F6" s="538" t="s">
        <v>555</v>
      </c>
      <c r="G6" s="625" t="s">
        <v>782</v>
      </c>
      <c r="H6" s="538" t="s">
        <v>766</v>
      </c>
      <c r="I6" s="538" t="s">
        <v>555</v>
      </c>
      <c r="J6" s="538" t="s">
        <v>555</v>
      </c>
      <c r="K6" s="625" t="s">
        <v>783</v>
      </c>
      <c r="L6" s="538" t="s">
        <v>554</v>
      </c>
      <c r="M6" s="538" t="s">
        <v>554</v>
      </c>
      <c r="N6" s="538" t="s">
        <v>555</v>
      </c>
      <c r="O6" s="538" t="s">
        <v>555</v>
      </c>
      <c r="P6" s="538" t="s">
        <v>555</v>
      </c>
      <c r="Q6" s="538" t="s">
        <v>766</v>
      </c>
      <c r="R6" s="538" t="s">
        <v>555</v>
      </c>
      <c r="S6" s="538" t="s">
        <v>555</v>
      </c>
    </row>
    <row r="7" spans="1:19" ht="16.149999999999999" customHeight="1" x14ac:dyDescent="0.2">
      <c r="A7" s="864">
        <v>1</v>
      </c>
      <c r="B7" s="865" t="s">
        <v>4</v>
      </c>
      <c r="C7" s="1156">
        <v>2.4683670000000002</v>
      </c>
      <c r="D7" s="866">
        <f>'3_Levels 1&amp;2'!AQ7</f>
        <v>5875.0561916878714</v>
      </c>
      <c r="E7" s="866">
        <f>D7*(1+$E$3)</f>
        <v>7733.8310319958982</v>
      </c>
      <c r="F7" s="866">
        <f>E7+$F$3</f>
        <v>9204.1784238580931</v>
      </c>
      <c r="G7" s="867">
        <f t="shared" ref="G7:G38" si="1">ROUND(C7*F7,0)</f>
        <v>22719</v>
      </c>
      <c r="H7" s="868">
        <v>16890</v>
      </c>
      <c r="I7" s="868">
        <f t="shared" ref="I7:I70" si="2">G7-H7</f>
        <v>5829</v>
      </c>
      <c r="J7" s="869">
        <f t="shared" ref="J7:J38" si="3">ROUND(I7/$J$86,0)</f>
        <v>1457</v>
      </c>
      <c r="K7" s="867">
        <f>G7</f>
        <v>22719</v>
      </c>
      <c r="L7" s="870">
        <f>'3_Levels 1&amp;2'!AW7</f>
        <v>24614229</v>
      </c>
      <c r="M7" s="1163">
        <f>'3_Levels 1&amp;2'!C7</f>
        <v>9432</v>
      </c>
      <c r="N7" s="1163">
        <f t="shared" ref="N7:N38" si="4">C7+M7</f>
        <v>9434.4683669999995</v>
      </c>
      <c r="O7" s="871">
        <f>L7/N7</f>
        <v>2608.9683109327025</v>
      </c>
      <c r="P7" s="872">
        <f>ROUND(C7*O7,0)</f>
        <v>6440</v>
      </c>
      <c r="Q7" s="871">
        <v>4786</v>
      </c>
      <c r="R7" s="871">
        <f>P7-Q7</f>
        <v>1654</v>
      </c>
      <c r="S7" s="872">
        <f t="shared" ref="S7:S38" si="5">ROUND(R7/$S$86,0)</f>
        <v>414</v>
      </c>
    </row>
    <row r="8" spans="1:19" ht="16.149999999999999" customHeight="1" x14ac:dyDescent="0.2">
      <c r="A8" s="873">
        <v>2</v>
      </c>
      <c r="B8" s="874" t="s">
        <v>5</v>
      </c>
      <c r="C8" s="1157">
        <v>0</v>
      </c>
      <c r="D8" s="875">
        <f>'3_Levels 1&amp;2'!AQ8</f>
        <v>7291.1254117050921</v>
      </c>
      <c r="E8" s="875">
        <f t="shared" ref="E8:E71" si="6">D8*(1+$E$3)</f>
        <v>9597.9221521315612</v>
      </c>
      <c r="F8" s="875">
        <f t="shared" ref="F8:F71" si="7">E8+$F$3</f>
        <v>11068.269543993756</v>
      </c>
      <c r="G8" s="876">
        <f t="shared" si="1"/>
        <v>0</v>
      </c>
      <c r="H8" s="875">
        <v>0</v>
      </c>
      <c r="I8" s="875">
        <f t="shared" si="2"/>
        <v>0</v>
      </c>
      <c r="J8" s="876">
        <f t="shared" si="3"/>
        <v>0</v>
      </c>
      <c r="K8" s="876">
        <f t="shared" ref="K8:K71" si="8">G8</f>
        <v>0</v>
      </c>
      <c r="L8" s="877">
        <f>'3_Levels 1&amp;2'!AW8</f>
        <v>11474884.699999999</v>
      </c>
      <c r="M8" s="1164">
        <f>'3_Levels 1&amp;2'!C8</f>
        <v>3947</v>
      </c>
      <c r="N8" s="1164">
        <f t="shared" si="4"/>
        <v>3947</v>
      </c>
      <c r="O8" s="878">
        <f t="shared" ref="O8:O71" si="9">L8/N8</f>
        <v>2907.2421332657714</v>
      </c>
      <c r="P8" s="879">
        <f t="shared" ref="P8:P71" si="10">ROUND(C8*O8,0)</f>
        <v>0</v>
      </c>
      <c r="Q8" s="878">
        <v>0</v>
      </c>
      <c r="R8" s="878">
        <f t="shared" ref="R8:R71" si="11">P8-Q8</f>
        <v>0</v>
      </c>
      <c r="S8" s="879">
        <f t="shared" si="5"/>
        <v>0</v>
      </c>
    </row>
    <row r="9" spans="1:19" ht="16.149999999999999" customHeight="1" x14ac:dyDescent="0.2">
      <c r="A9" s="873">
        <v>3</v>
      </c>
      <c r="B9" s="874" t="s">
        <v>6</v>
      </c>
      <c r="C9" s="1157">
        <v>3.6554000000000003E-2</v>
      </c>
      <c r="D9" s="875">
        <f>'3_Levels 1&amp;2'!AQ9</f>
        <v>4738.2538305741455</v>
      </c>
      <c r="E9" s="875">
        <f t="shared" si="6"/>
        <v>6237.3623871399768</v>
      </c>
      <c r="F9" s="875">
        <f t="shared" si="7"/>
        <v>7707.7097790021717</v>
      </c>
      <c r="G9" s="876">
        <f t="shared" si="1"/>
        <v>282</v>
      </c>
      <c r="H9" s="875">
        <v>162</v>
      </c>
      <c r="I9" s="875">
        <f t="shared" si="2"/>
        <v>120</v>
      </c>
      <c r="J9" s="876">
        <f t="shared" si="3"/>
        <v>30</v>
      </c>
      <c r="K9" s="876">
        <f t="shared" si="8"/>
        <v>282</v>
      </c>
      <c r="L9" s="877">
        <f>'3_Levels 1&amp;2'!AW9</f>
        <v>86229235.5</v>
      </c>
      <c r="M9" s="1164">
        <f>'3_Levels 1&amp;2'!C9</f>
        <v>22712</v>
      </c>
      <c r="N9" s="1164">
        <f t="shared" si="4"/>
        <v>22712.036553999998</v>
      </c>
      <c r="O9" s="878">
        <f t="shared" si="9"/>
        <v>3796.6315920187035</v>
      </c>
      <c r="P9" s="879">
        <f t="shared" si="10"/>
        <v>139</v>
      </c>
      <c r="Q9" s="878">
        <v>80</v>
      </c>
      <c r="R9" s="878">
        <f t="shared" si="11"/>
        <v>59</v>
      </c>
      <c r="S9" s="879">
        <f t="shared" si="5"/>
        <v>15</v>
      </c>
    </row>
    <row r="10" spans="1:19" ht="16.149999999999999" customHeight="1" x14ac:dyDescent="0.2">
      <c r="A10" s="873">
        <v>4</v>
      </c>
      <c r="B10" s="874" t="s">
        <v>7</v>
      </c>
      <c r="C10" s="1157">
        <v>0</v>
      </c>
      <c r="D10" s="875">
        <f>'3_Levels 1&amp;2'!AQ10</f>
        <v>6551.0888598497222</v>
      </c>
      <c r="E10" s="875">
        <f t="shared" si="6"/>
        <v>8623.7497420620639</v>
      </c>
      <c r="F10" s="875">
        <f t="shared" si="7"/>
        <v>10094.097133924259</v>
      </c>
      <c r="G10" s="876">
        <f t="shared" si="1"/>
        <v>0</v>
      </c>
      <c r="H10" s="875">
        <v>0</v>
      </c>
      <c r="I10" s="875">
        <f t="shared" si="2"/>
        <v>0</v>
      </c>
      <c r="J10" s="876">
        <f t="shared" si="3"/>
        <v>0</v>
      </c>
      <c r="K10" s="876">
        <f t="shared" si="8"/>
        <v>0</v>
      </c>
      <c r="L10" s="877">
        <f>'3_Levels 1&amp;2'!AW10</f>
        <v>11289414.039999999</v>
      </c>
      <c r="M10" s="1164">
        <f>'3_Levels 1&amp;2'!C10</f>
        <v>3061</v>
      </c>
      <c r="N10" s="1164">
        <f t="shared" si="4"/>
        <v>3061</v>
      </c>
      <c r="O10" s="878">
        <f t="shared" si="9"/>
        <v>3688.1457170859194</v>
      </c>
      <c r="P10" s="879">
        <f t="shared" si="10"/>
        <v>0</v>
      </c>
      <c r="Q10" s="878">
        <v>0</v>
      </c>
      <c r="R10" s="878">
        <f t="shared" si="11"/>
        <v>0</v>
      </c>
      <c r="S10" s="879">
        <f t="shared" si="5"/>
        <v>0</v>
      </c>
    </row>
    <row r="11" spans="1:19" ht="16.149999999999999" customHeight="1" x14ac:dyDescent="0.2">
      <c r="A11" s="880">
        <v>5</v>
      </c>
      <c r="B11" s="881" t="s">
        <v>8</v>
      </c>
      <c r="C11" s="1158">
        <v>1.9576910000000001</v>
      </c>
      <c r="D11" s="882">
        <f>'3_Levels 1&amp;2'!AQ11</f>
        <v>6207.798800541691</v>
      </c>
      <c r="E11" s="882">
        <f t="shared" si="6"/>
        <v>8171.8481385661808</v>
      </c>
      <c r="F11" s="882">
        <f t="shared" si="7"/>
        <v>9642.1955304283765</v>
      </c>
      <c r="G11" s="883">
        <f t="shared" si="1"/>
        <v>18876</v>
      </c>
      <c r="H11" s="882">
        <v>3906</v>
      </c>
      <c r="I11" s="882">
        <f t="shared" si="2"/>
        <v>14970</v>
      </c>
      <c r="J11" s="883">
        <f t="shared" si="3"/>
        <v>3743</v>
      </c>
      <c r="K11" s="883">
        <f t="shared" si="8"/>
        <v>18876</v>
      </c>
      <c r="L11" s="884">
        <f>'3_Levels 1&amp;2'!AW11</f>
        <v>11807856</v>
      </c>
      <c r="M11" s="1165">
        <f>'3_Levels 1&amp;2'!C11</f>
        <v>5169</v>
      </c>
      <c r="N11" s="1165">
        <f t="shared" si="4"/>
        <v>5170.9576909999996</v>
      </c>
      <c r="O11" s="885">
        <f t="shared" si="9"/>
        <v>2283.4949936936159</v>
      </c>
      <c r="P11" s="886">
        <f t="shared" si="10"/>
        <v>4470</v>
      </c>
      <c r="Q11" s="885">
        <v>926</v>
      </c>
      <c r="R11" s="885">
        <f t="shared" si="11"/>
        <v>3544</v>
      </c>
      <c r="S11" s="886">
        <f t="shared" si="5"/>
        <v>886</v>
      </c>
    </row>
    <row r="12" spans="1:19" ht="16.149999999999999" customHeight="1" x14ac:dyDescent="0.2">
      <c r="A12" s="864">
        <v>6</v>
      </c>
      <c r="B12" s="865" t="s">
        <v>9</v>
      </c>
      <c r="C12" s="1156">
        <v>1.3812009999999999</v>
      </c>
      <c r="D12" s="866">
        <f>'3_Levels 1&amp;2'!AQ12</f>
        <v>6339.0674157303374</v>
      </c>
      <c r="E12" s="866">
        <f t="shared" si="6"/>
        <v>8344.6480670348501</v>
      </c>
      <c r="F12" s="866">
        <f t="shared" si="7"/>
        <v>9814.995458897045</v>
      </c>
      <c r="G12" s="867">
        <f t="shared" si="1"/>
        <v>13556</v>
      </c>
      <c r="H12" s="868">
        <v>9570</v>
      </c>
      <c r="I12" s="868">
        <f t="shared" si="2"/>
        <v>3986</v>
      </c>
      <c r="J12" s="869">
        <f t="shared" si="3"/>
        <v>997</v>
      </c>
      <c r="K12" s="867">
        <f t="shared" si="8"/>
        <v>13556</v>
      </c>
      <c r="L12" s="870">
        <f>'3_Levels 1&amp;2'!AW12</f>
        <v>19636838.32</v>
      </c>
      <c r="M12" s="1163">
        <f>'3_Levels 1&amp;2'!C12</f>
        <v>5785</v>
      </c>
      <c r="N12" s="1163">
        <f t="shared" si="4"/>
        <v>5786.3812010000001</v>
      </c>
      <c r="O12" s="871">
        <f t="shared" si="9"/>
        <v>3393.6302566112254</v>
      </c>
      <c r="P12" s="872">
        <f t="shared" si="10"/>
        <v>4687</v>
      </c>
      <c r="Q12" s="871">
        <v>3310</v>
      </c>
      <c r="R12" s="871">
        <f t="shared" si="11"/>
        <v>1377</v>
      </c>
      <c r="S12" s="872">
        <f t="shared" si="5"/>
        <v>344</v>
      </c>
    </row>
    <row r="13" spans="1:19" ht="16.149999999999999" customHeight="1" x14ac:dyDescent="0.2">
      <c r="A13" s="873">
        <v>7</v>
      </c>
      <c r="B13" s="874" t="s">
        <v>10</v>
      </c>
      <c r="C13" s="1157">
        <v>0.89556100000000005</v>
      </c>
      <c r="D13" s="875">
        <f>'3_Levels 1&amp;2'!AQ13</f>
        <v>4160.4356388088372</v>
      </c>
      <c r="E13" s="875">
        <f t="shared" si="6"/>
        <v>5476.7316601268876</v>
      </c>
      <c r="F13" s="875">
        <f t="shared" si="7"/>
        <v>6947.0790519890825</v>
      </c>
      <c r="G13" s="876">
        <f t="shared" si="1"/>
        <v>6222</v>
      </c>
      <c r="H13" s="875">
        <v>4210</v>
      </c>
      <c r="I13" s="875">
        <f t="shared" si="2"/>
        <v>2012</v>
      </c>
      <c r="J13" s="876">
        <f t="shared" si="3"/>
        <v>503</v>
      </c>
      <c r="K13" s="876">
        <f t="shared" si="8"/>
        <v>6222</v>
      </c>
      <c r="L13" s="877">
        <f>'3_Levels 1&amp;2'!AW13</f>
        <v>11228164.939999999</v>
      </c>
      <c r="M13" s="1164">
        <f>'3_Levels 1&amp;2'!C13</f>
        <v>2082</v>
      </c>
      <c r="N13" s="1164">
        <f t="shared" si="4"/>
        <v>2082.8955609999998</v>
      </c>
      <c r="O13" s="878">
        <f t="shared" si="9"/>
        <v>5390.6519127676993</v>
      </c>
      <c r="P13" s="879">
        <f t="shared" si="10"/>
        <v>4828</v>
      </c>
      <c r="Q13" s="878">
        <v>3270</v>
      </c>
      <c r="R13" s="878">
        <f t="shared" si="11"/>
        <v>1558</v>
      </c>
      <c r="S13" s="879">
        <f t="shared" si="5"/>
        <v>390</v>
      </c>
    </row>
    <row r="14" spans="1:19" ht="16.149999999999999" customHeight="1" x14ac:dyDescent="0.2">
      <c r="A14" s="873">
        <v>8</v>
      </c>
      <c r="B14" s="874" t="s">
        <v>11</v>
      </c>
      <c r="C14" s="1157">
        <v>1.723238</v>
      </c>
      <c r="D14" s="875">
        <f>'3_Levels 1&amp;2'!AQ14</f>
        <v>5934.2938810172973</v>
      </c>
      <c r="E14" s="875">
        <f t="shared" si="6"/>
        <v>7811.8105891357636</v>
      </c>
      <c r="F14" s="875">
        <f t="shared" si="7"/>
        <v>9282.1579809979594</v>
      </c>
      <c r="G14" s="876">
        <f t="shared" si="1"/>
        <v>15995</v>
      </c>
      <c r="H14" s="875">
        <v>10074</v>
      </c>
      <c r="I14" s="875">
        <f t="shared" si="2"/>
        <v>5921</v>
      </c>
      <c r="J14" s="876">
        <f t="shared" si="3"/>
        <v>1480</v>
      </c>
      <c r="K14" s="876">
        <f t="shared" si="8"/>
        <v>15995</v>
      </c>
      <c r="L14" s="877">
        <f>'3_Levels 1&amp;2'!AW14</f>
        <v>77547012.079999998</v>
      </c>
      <c r="M14" s="1164">
        <f>'3_Levels 1&amp;2'!C14</f>
        <v>22373</v>
      </c>
      <c r="N14" s="1164">
        <f t="shared" si="4"/>
        <v>22374.723237999999</v>
      </c>
      <c r="O14" s="878">
        <f t="shared" si="9"/>
        <v>3465.8311191218859</v>
      </c>
      <c r="P14" s="879">
        <f t="shared" si="10"/>
        <v>5972</v>
      </c>
      <c r="Q14" s="878">
        <v>3762</v>
      </c>
      <c r="R14" s="878">
        <f t="shared" si="11"/>
        <v>2210</v>
      </c>
      <c r="S14" s="879">
        <f t="shared" si="5"/>
        <v>553</v>
      </c>
    </row>
    <row r="15" spans="1:19" ht="16.149999999999999" customHeight="1" x14ac:dyDescent="0.2">
      <c r="A15" s="873">
        <v>9</v>
      </c>
      <c r="B15" s="874" t="s">
        <v>12</v>
      </c>
      <c r="C15" s="1157">
        <v>26.2285</v>
      </c>
      <c r="D15" s="875">
        <f>'3_Levels 1&amp;2'!AQ15</f>
        <v>5568.0634166930467</v>
      </c>
      <c r="E15" s="875">
        <f t="shared" si="6"/>
        <v>7329.7105993755922</v>
      </c>
      <c r="F15" s="875">
        <f t="shared" si="7"/>
        <v>8800.0579912377871</v>
      </c>
      <c r="G15" s="876">
        <f t="shared" si="1"/>
        <v>230812</v>
      </c>
      <c r="H15" s="875">
        <v>153696</v>
      </c>
      <c r="I15" s="875">
        <f t="shared" si="2"/>
        <v>77116</v>
      </c>
      <c r="J15" s="876">
        <f t="shared" si="3"/>
        <v>19279</v>
      </c>
      <c r="K15" s="876">
        <f t="shared" si="8"/>
        <v>230812</v>
      </c>
      <c r="L15" s="877">
        <f>'3_Levels 1&amp;2'!AW15</f>
        <v>138577397.13999999</v>
      </c>
      <c r="M15" s="1164">
        <f>'3_Levels 1&amp;2'!C15</f>
        <v>37908</v>
      </c>
      <c r="N15" s="1164">
        <f t="shared" si="4"/>
        <v>37934.228499999997</v>
      </c>
      <c r="O15" s="878">
        <f t="shared" si="9"/>
        <v>3653.0964941068987</v>
      </c>
      <c r="P15" s="879">
        <f t="shared" si="10"/>
        <v>95815</v>
      </c>
      <c r="Q15" s="878">
        <v>63802</v>
      </c>
      <c r="R15" s="878">
        <f t="shared" si="11"/>
        <v>32013</v>
      </c>
      <c r="S15" s="879">
        <f t="shared" si="5"/>
        <v>8003</v>
      </c>
    </row>
    <row r="16" spans="1:19" ht="16.149999999999999" customHeight="1" x14ac:dyDescent="0.2">
      <c r="A16" s="880">
        <v>10</v>
      </c>
      <c r="B16" s="881" t="s">
        <v>13</v>
      </c>
      <c r="C16" s="1158">
        <v>12.616242</v>
      </c>
      <c r="D16" s="882">
        <f>'3_Levels 1&amp;2'!AQ16</f>
        <v>4320.5261163238483</v>
      </c>
      <c r="E16" s="882">
        <f t="shared" si="6"/>
        <v>5687.472232222919</v>
      </c>
      <c r="F16" s="882">
        <f t="shared" si="7"/>
        <v>7157.8196240851139</v>
      </c>
      <c r="G16" s="883">
        <f t="shared" si="1"/>
        <v>90305</v>
      </c>
      <c r="H16" s="882">
        <v>56296</v>
      </c>
      <c r="I16" s="882">
        <f t="shared" si="2"/>
        <v>34009</v>
      </c>
      <c r="J16" s="883">
        <f t="shared" si="3"/>
        <v>8502</v>
      </c>
      <c r="K16" s="883">
        <f t="shared" si="8"/>
        <v>90305</v>
      </c>
      <c r="L16" s="884">
        <f>'3_Levels 1&amp;2'!AW16</f>
        <v>149680844.02000001</v>
      </c>
      <c r="M16" s="1165">
        <f>'3_Levels 1&amp;2'!C16</f>
        <v>32719</v>
      </c>
      <c r="N16" s="1165">
        <f t="shared" si="4"/>
        <v>32731.616242</v>
      </c>
      <c r="O16" s="885">
        <f t="shared" si="9"/>
        <v>4572.9744267236974</v>
      </c>
      <c r="P16" s="886">
        <f t="shared" si="10"/>
        <v>57694</v>
      </c>
      <c r="Q16" s="885">
        <v>35968</v>
      </c>
      <c r="R16" s="885">
        <f t="shared" si="11"/>
        <v>21726</v>
      </c>
      <c r="S16" s="886">
        <f t="shared" si="5"/>
        <v>5432</v>
      </c>
    </row>
    <row r="17" spans="1:19" ht="16.149999999999999" customHeight="1" x14ac:dyDescent="0.2">
      <c r="A17" s="864">
        <v>11</v>
      </c>
      <c r="B17" s="865" t="s">
        <v>14</v>
      </c>
      <c r="C17" s="1156">
        <v>0</v>
      </c>
      <c r="D17" s="866">
        <f>'3_Levels 1&amp;2'!AQ17</f>
        <v>7872.6414239482201</v>
      </c>
      <c r="E17" s="866">
        <f t="shared" si="6"/>
        <v>10363.420631525058</v>
      </c>
      <c r="F17" s="866">
        <f t="shared" si="7"/>
        <v>11833.768023387252</v>
      </c>
      <c r="G17" s="867">
        <f t="shared" si="1"/>
        <v>0</v>
      </c>
      <c r="H17" s="868">
        <v>0</v>
      </c>
      <c r="I17" s="868">
        <f t="shared" si="2"/>
        <v>0</v>
      </c>
      <c r="J17" s="869">
        <f t="shared" si="3"/>
        <v>0</v>
      </c>
      <c r="K17" s="867">
        <f t="shared" si="8"/>
        <v>0</v>
      </c>
      <c r="L17" s="870">
        <f>'3_Levels 1&amp;2'!AW17</f>
        <v>5291284.42</v>
      </c>
      <c r="M17" s="1163">
        <f>'3_Levels 1&amp;2'!C17</f>
        <v>1545</v>
      </c>
      <c r="N17" s="1163">
        <f t="shared" si="4"/>
        <v>1545</v>
      </c>
      <c r="O17" s="871">
        <f t="shared" si="9"/>
        <v>3424.7795598705502</v>
      </c>
      <c r="P17" s="872">
        <f t="shared" si="10"/>
        <v>0</v>
      </c>
      <c r="Q17" s="871">
        <v>0</v>
      </c>
      <c r="R17" s="871">
        <f t="shared" si="11"/>
        <v>0</v>
      </c>
      <c r="S17" s="872">
        <f t="shared" si="5"/>
        <v>0</v>
      </c>
    </row>
    <row r="18" spans="1:19" ht="16.149999999999999" customHeight="1" x14ac:dyDescent="0.2">
      <c r="A18" s="873">
        <v>12</v>
      </c>
      <c r="B18" s="874" t="s">
        <v>15</v>
      </c>
      <c r="C18" s="1157">
        <v>0</v>
      </c>
      <c r="D18" s="875">
        <f>'3_Levels 1&amp;2'!AQ18</f>
        <v>2858.7020280811234</v>
      </c>
      <c r="E18" s="875">
        <f t="shared" si="6"/>
        <v>3763.150127361027</v>
      </c>
      <c r="F18" s="875">
        <f t="shared" si="7"/>
        <v>5233.4975192232214</v>
      </c>
      <c r="G18" s="876">
        <f t="shared" si="1"/>
        <v>0</v>
      </c>
      <c r="H18" s="875">
        <v>0</v>
      </c>
      <c r="I18" s="875">
        <f t="shared" si="2"/>
        <v>0</v>
      </c>
      <c r="J18" s="876">
        <f t="shared" si="3"/>
        <v>0</v>
      </c>
      <c r="K18" s="876">
        <f t="shared" si="8"/>
        <v>0</v>
      </c>
      <c r="L18" s="877">
        <f>'3_Levels 1&amp;2'!AW18</f>
        <v>8822217.0800000001</v>
      </c>
      <c r="M18" s="1164">
        <f>'3_Levels 1&amp;2'!C18</f>
        <v>1282</v>
      </c>
      <c r="N18" s="1164">
        <f t="shared" si="4"/>
        <v>1282</v>
      </c>
      <c r="O18" s="878">
        <f t="shared" si="9"/>
        <v>6881.6045865834631</v>
      </c>
      <c r="P18" s="879">
        <f t="shared" si="10"/>
        <v>0</v>
      </c>
      <c r="Q18" s="878">
        <v>0</v>
      </c>
      <c r="R18" s="878">
        <f t="shared" si="11"/>
        <v>0</v>
      </c>
      <c r="S18" s="879">
        <f t="shared" si="5"/>
        <v>0</v>
      </c>
    </row>
    <row r="19" spans="1:19" ht="16.149999999999999" customHeight="1" x14ac:dyDescent="0.2">
      <c r="A19" s="873">
        <v>13</v>
      </c>
      <c r="B19" s="874" t="s">
        <v>16</v>
      </c>
      <c r="C19" s="1157">
        <v>0</v>
      </c>
      <c r="D19" s="875">
        <f>'3_Levels 1&amp;2'!AQ19</f>
        <v>7512.4259567387689</v>
      </c>
      <c r="E19" s="875">
        <f t="shared" si="6"/>
        <v>9889.2386888143119</v>
      </c>
      <c r="F19" s="875">
        <f t="shared" si="7"/>
        <v>11359.586080676507</v>
      </c>
      <c r="G19" s="876">
        <f t="shared" si="1"/>
        <v>0</v>
      </c>
      <c r="H19" s="875">
        <v>0</v>
      </c>
      <c r="I19" s="875">
        <f t="shared" si="2"/>
        <v>0</v>
      </c>
      <c r="J19" s="876">
        <f t="shared" si="3"/>
        <v>0</v>
      </c>
      <c r="K19" s="876">
        <f t="shared" si="8"/>
        <v>0</v>
      </c>
      <c r="L19" s="877">
        <f>'3_Levels 1&amp;2'!AW19</f>
        <v>3670203</v>
      </c>
      <c r="M19" s="1164">
        <f>'3_Levels 1&amp;2'!C19</f>
        <v>1202</v>
      </c>
      <c r="N19" s="1164">
        <f t="shared" si="4"/>
        <v>1202</v>
      </c>
      <c r="O19" s="878">
        <f t="shared" si="9"/>
        <v>3053.4134775374378</v>
      </c>
      <c r="P19" s="879">
        <f t="shared" si="10"/>
        <v>0</v>
      </c>
      <c r="Q19" s="878">
        <v>0</v>
      </c>
      <c r="R19" s="878">
        <f t="shared" si="11"/>
        <v>0</v>
      </c>
      <c r="S19" s="879">
        <f t="shared" si="5"/>
        <v>0</v>
      </c>
    </row>
    <row r="20" spans="1:19" ht="16.149999999999999" customHeight="1" x14ac:dyDescent="0.2">
      <c r="A20" s="873">
        <v>14</v>
      </c>
      <c r="B20" s="874" t="s">
        <v>17</v>
      </c>
      <c r="C20" s="1157">
        <v>0</v>
      </c>
      <c r="D20" s="875">
        <f>'3_Levels 1&amp;2'!AQ20</f>
        <v>7706.5679156908664</v>
      </c>
      <c r="E20" s="875">
        <f t="shared" si="6"/>
        <v>10144.804092406621</v>
      </c>
      <c r="F20" s="875">
        <f t="shared" si="7"/>
        <v>11615.151484268816</v>
      </c>
      <c r="G20" s="876">
        <f t="shared" si="1"/>
        <v>0</v>
      </c>
      <c r="H20" s="875">
        <v>0</v>
      </c>
      <c r="I20" s="875">
        <f t="shared" si="2"/>
        <v>0</v>
      </c>
      <c r="J20" s="876">
        <f t="shared" si="3"/>
        <v>0</v>
      </c>
      <c r="K20" s="876">
        <f t="shared" si="8"/>
        <v>0</v>
      </c>
      <c r="L20" s="877">
        <f>'3_Levels 1&amp;2'!AW20</f>
        <v>7124038</v>
      </c>
      <c r="M20" s="1164">
        <f>'3_Levels 1&amp;2'!C20</f>
        <v>1708</v>
      </c>
      <c r="N20" s="1164">
        <f t="shared" si="4"/>
        <v>1708</v>
      </c>
      <c r="O20" s="878">
        <f t="shared" si="9"/>
        <v>4170.9824355971896</v>
      </c>
      <c r="P20" s="879">
        <f t="shared" si="10"/>
        <v>0</v>
      </c>
      <c r="Q20" s="878">
        <v>0</v>
      </c>
      <c r="R20" s="878">
        <f t="shared" si="11"/>
        <v>0</v>
      </c>
      <c r="S20" s="879">
        <f t="shared" si="5"/>
        <v>0</v>
      </c>
    </row>
    <row r="21" spans="1:19" ht="16.149999999999999" customHeight="1" x14ac:dyDescent="0.2">
      <c r="A21" s="880">
        <v>15</v>
      </c>
      <c r="B21" s="881" t="s">
        <v>18</v>
      </c>
      <c r="C21" s="1158">
        <v>0.24804200000000001</v>
      </c>
      <c r="D21" s="882">
        <f>'3_Levels 1&amp;2'!AQ21</f>
        <v>6898.2549687677456</v>
      </c>
      <c r="E21" s="882">
        <f t="shared" si="6"/>
        <v>9080.7537159485018</v>
      </c>
      <c r="F21" s="882">
        <f t="shared" si="7"/>
        <v>10551.101107810697</v>
      </c>
      <c r="G21" s="883">
        <f t="shared" si="1"/>
        <v>2617</v>
      </c>
      <c r="H21" s="882">
        <v>1514</v>
      </c>
      <c r="I21" s="882">
        <f t="shared" si="2"/>
        <v>1103</v>
      </c>
      <c r="J21" s="883">
        <f t="shared" si="3"/>
        <v>276</v>
      </c>
      <c r="K21" s="883">
        <f t="shared" si="8"/>
        <v>2617</v>
      </c>
      <c r="L21" s="884">
        <f>'3_Levels 1&amp;2'!AW21</f>
        <v>10908378</v>
      </c>
      <c r="M21" s="1165">
        <f>'3_Levels 1&amp;2'!C21</f>
        <v>3522</v>
      </c>
      <c r="N21" s="1165">
        <f t="shared" si="4"/>
        <v>3522.2480420000002</v>
      </c>
      <c r="O21" s="885">
        <f t="shared" si="9"/>
        <v>3096.9931333416293</v>
      </c>
      <c r="P21" s="886">
        <f t="shared" si="10"/>
        <v>768</v>
      </c>
      <c r="Q21" s="885">
        <v>446</v>
      </c>
      <c r="R21" s="885">
        <f t="shared" si="11"/>
        <v>322</v>
      </c>
      <c r="S21" s="886">
        <f t="shared" si="5"/>
        <v>81</v>
      </c>
    </row>
    <row r="22" spans="1:19" ht="16.149999999999999" customHeight="1" x14ac:dyDescent="0.2">
      <c r="A22" s="864">
        <v>16</v>
      </c>
      <c r="B22" s="865" t="s">
        <v>19</v>
      </c>
      <c r="C22" s="1156">
        <v>1.170002</v>
      </c>
      <c r="D22" s="866">
        <f>'3_Levels 1&amp;2'!AQ22</f>
        <v>2614.076346993967</v>
      </c>
      <c r="E22" s="866">
        <f t="shared" si="6"/>
        <v>3441.1287505626797</v>
      </c>
      <c r="F22" s="866">
        <f t="shared" si="7"/>
        <v>4911.4761424248745</v>
      </c>
      <c r="G22" s="867">
        <f t="shared" si="1"/>
        <v>5746</v>
      </c>
      <c r="H22" s="868">
        <v>4174</v>
      </c>
      <c r="I22" s="868">
        <f t="shared" si="2"/>
        <v>1572</v>
      </c>
      <c r="J22" s="869">
        <f t="shared" si="3"/>
        <v>393</v>
      </c>
      <c r="K22" s="867">
        <f t="shared" si="8"/>
        <v>5746</v>
      </c>
      <c r="L22" s="870">
        <f>'3_Levels 1&amp;2'!AW22</f>
        <v>28385983.280000001</v>
      </c>
      <c r="M22" s="1163">
        <f>'3_Levels 1&amp;2'!C22</f>
        <v>4807</v>
      </c>
      <c r="N22" s="1163">
        <f t="shared" si="4"/>
        <v>4808.1700019999998</v>
      </c>
      <c r="O22" s="871">
        <f t="shared" si="9"/>
        <v>5903.6979283579003</v>
      </c>
      <c r="P22" s="872">
        <f t="shared" si="10"/>
        <v>6907</v>
      </c>
      <c r="Q22" s="871">
        <v>5016</v>
      </c>
      <c r="R22" s="871">
        <f t="shared" si="11"/>
        <v>1891</v>
      </c>
      <c r="S22" s="872">
        <f t="shared" si="5"/>
        <v>473</v>
      </c>
    </row>
    <row r="23" spans="1:19" ht="16.149999999999999" customHeight="1" x14ac:dyDescent="0.2">
      <c r="A23" s="873">
        <v>17</v>
      </c>
      <c r="B23" s="874" t="s">
        <v>20</v>
      </c>
      <c r="C23" s="1157">
        <v>22.405006</v>
      </c>
      <c r="D23" s="875">
        <f>'3_Levels 1&amp;2'!AQ23</f>
        <v>4311.256149354097</v>
      </c>
      <c r="E23" s="875">
        <f t="shared" si="6"/>
        <v>5675.2693943474833</v>
      </c>
      <c r="F23" s="875">
        <f t="shared" si="7"/>
        <v>7145.6167862096781</v>
      </c>
      <c r="G23" s="876">
        <f t="shared" si="1"/>
        <v>160098</v>
      </c>
      <c r="H23" s="875">
        <v>105472</v>
      </c>
      <c r="I23" s="875">
        <f t="shared" si="2"/>
        <v>54626</v>
      </c>
      <c r="J23" s="876">
        <f t="shared" si="3"/>
        <v>13657</v>
      </c>
      <c r="K23" s="876">
        <f t="shared" si="8"/>
        <v>160098</v>
      </c>
      <c r="L23" s="877">
        <f>'3_Levels 1&amp;2'!AW23</f>
        <v>212378547.86000001</v>
      </c>
      <c r="M23" s="1164">
        <f>'3_Levels 1&amp;2'!C23</f>
        <v>45208</v>
      </c>
      <c r="N23" s="1164">
        <f t="shared" si="4"/>
        <v>45230.405006000001</v>
      </c>
      <c r="O23" s="878">
        <f t="shared" si="9"/>
        <v>4695.4818961233514</v>
      </c>
      <c r="P23" s="879">
        <f t="shared" si="10"/>
        <v>105202</v>
      </c>
      <c r="Q23" s="878">
        <v>69306</v>
      </c>
      <c r="R23" s="878">
        <f t="shared" si="11"/>
        <v>35896</v>
      </c>
      <c r="S23" s="879">
        <f t="shared" si="5"/>
        <v>8974</v>
      </c>
    </row>
    <row r="24" spans="1:19" ht="16.149999999999999" customHeight="1" x14ac:dyDescent="0.2">
      <c r="A24" s="873">
        <v>18</v>
      </c>
      <c r="B24" s="874" t="s">
        <v>21</v>
      </c>
      <c r="C24" s="1157">
        <v>1</v>
      </c>
      <c r="D24" s="875">
        <f>'3_Levels 1&amp;2'!AQ24</f>
        <v>6973.6530147895337</v>
      </c>
      <c r="E24" s="875">
        <f t="shared" si="6"/>
        <v>9180.0065109941315</v>
      </c>
      <c r="F24" s="875">
        <f t="shared" si="7"/>
        <v>10650.353902856326</v>
      </c>
      <c r="G24" s="876">
        <f t="shared" si="1"/>
        <v>10650</v>
      </c>
      <c r="H24" s="875">
        <v>7102</v>
      </c>
      <c r="I24" s="875">
        <f t="shared" si="2"/>
        <v>3548</v>
      </c>
      <c r="J24" s="876">
        <f t="shared" si="3"/>
        <v>887</v>
      </c>
      <c r="K24" s="876">
        <f t="shared" si="8"/>
        <v>10650</v>
      </c>
      <c r="L24" s="877">
        <f>'3_Levels 1&amp;2'!AW24</f>
        <v>2652311</v>
      </c>
      <c r="M24" s="1164">
        <f>'3_Levels 1&amp;2'!C24</f>
        <v>879</v>
      </c>
      <c r="N24" s="1164">
        <f t="shared" si="4"/>
        <v>880</v>
      </c>
      <c r="O24" s="878">
        <f t="shared" si="9"/>
        <v>3013.9897727272728</v>
      </c>
      <c r="P24" s="879">
        <f t="shared" si="10"/>
        <v>3014</v>
      </c>
      <c r="Q24" s="878">
        <v>2008</v>
      </c>
      <c r="R24" s="878">
        <f t="shared" si="11"/>
        <v>1006</v>
      </c>
      <c r="S24" s="879">
        <f t="shared" si="5"/>
        <v>252</v>
      </c>
    </row>
    <row r="25" spans="1:19" ht="16.149999999999999" customHeight="1" x14ac:dyDescent="0.2">
      <c r="A25" s="873">
        <v>19</v>
      </c>
      <c r="B25" s="874" t="s">
        <v>22</v>
      </c>
      <c r="C25" s="1157">
        <v>0</v>
      </c>
      <c r="D25" s="875">
        <f>'3_Levels 1&amp;2'!AQ25</f>
        <v>6020.3685092127307</v>
      </c>
      <c r="E25" s="875">
        <f t="shared" si="6"/>
        <v>7925.1178680596959</v>
      </c>
      <c r="F25" s="875">
        <f t="shared" si="7"/>
        <v>9395.4652599218898</v>
      </c>
      <c r="G25" s="876">
        <f t="shared" si="1"/>
        <v>0</v>
      </c>
      <c r="H25" s="875">
        <v>0</v>
      </c>
      <c r="I25" s="875">
        <f t="shared" si="2"/>
        <v>0</v>
      </c>
      <c r="J25" s="876">
        <f t="shared" si="3"/>
        <v>0</v>
      </c>
      <c r="K25" s="876">
        <f t="shared" si="8"/>
        <v>0</v>
      </c>
      <c r="L25" s="877">
        <f>'3_Levels 1&amp;2'!AW25</f>
        <v>7558955</v>
      </c>
      <c r="M25" s="1164">
        <f>'3_Levels 1&amp;2'!C25</f>
        <v>1791</v>
      </c>
      <c r="N25" s="1164">
        <f t="shared" si="4"/>
        <v>1791</v>
      </c>
      <c r="O25" s="878">
        <f t="shared" si="9"/>
        <v>4220.5220547180343</v>
      </c>
      <c r="P25" s="879">
        <f t="shared" si="10"/>
        <v>0</v>
      </c>
      <c r="Q25" s="878">
        <v>0</v>
      </c>
      <c r="R25" s="878">
        <f t="shared" si="11"/>
        <v>0</v>
      </c>
      <c r="S25" s="879">
        <f t="shared" si="5"/>
        <v>0</v>
      </c>
    </row>
    <row r="26" spans="1:19" ht="16.149999999999999" customHeight="1" x14ac:dyDescent="0.2">
      <c r="A26" s="880">
        <v>20</v>
      </c>
      <c r="B26" s="881" t="s">
        <v>23</v>
      </c>
      <c r="C26" s="1158">
        <v>2.2497090000000002</v>
      </c>
      <c r="D26" s="882">
        <f>'3_Levels 1&amp;2'!AQ26</f>
        <v>6446.5221223021581</v>
      </c>
      <c r="E26" s="882">
        <f t="shared" si="6"/>
        <v>8486.0997429175295</v>
      </c>
      <c r="F26" s="882">
        <f t="shared" si="7"/>
        <v>9956.4471347797244</v>
      </c>
      <c r="G26" s="883">
        <f t="shared" si="1"/>
        <v>22399</v>
      </c>
      <c r="H26" s="882">
        <v>17456</v>
      </c>
      <c r="I26" s="882">
        <f t="shared" si="2"/>
        <v>4943</v>
      </c>
      <c r="J26" s="883">
        <f t="shared" si="3"/>
        <v>1236</v>
      </c>
      <c r="K26" s="883">
        <f t="shared" si="8"/>
        <v>22399</v>
      </c>
      <c r="L26" s="884">
        <f>'3_Levels 1&amp;2'!AW26</f>
        <v>15158989</v>
      </c>
      <c r="M26" s="1165">
        <f>'3_Levels 1&amp;2'!C26</f>
        <v>5560</v>
      </c>
      <c r="N26" s="1165">
        <f t="shared" si="4"/>
        <v>5562.2497089999997</v>
      </c>
      <c r="O26" s="885">
        <f t="shared" si="9"/>
        <v>2725.3341351201825</v>
      </c>
      <c r="P26" s="886">
        <f t="shared" si="10"/>
        <v>6131</v>
      </c>
      <c r="Q26" s="885">
        <v>4776</v>
      </c>
      <c r="R26" s="885">
        <f t="shared" si="11"/>
        <v>1355</v>
      </c>
      <c r="S26" s="886">
        <f t="shared" si="5"/>
        <v>339</v>
      </c>
    </row>
    <row r="27" spans="1:19" ht="16.149999999999999" customHeight="1" x14ac:dyDescent="0.2">
      <c r="A27" s="864">
        <v>21</v>
      </c>
      <c r="B27" s="865" t="s">
        <v>24</v>
      </c>
      <c r="C27" s="1156">
        <v>1.9399470000000001</v>
      </c>
      <c r="D27" s="866">
        <f>'3_Levels 1&amp;2'!AQ27</f>
        <v>7100.9732453092429</v>
      </c>
      <c r="E27" s="866">
        <f t="shared" si="6"/>
        <v>9347.6088483449348</v>
      </c>
      <c r="F27" s="866">
        <f t="shared" si="7"/>
        <v>10817.95624020713</v>
      </c>
      <c r="G27" s="867">
        <f t="shared" si="1"/>
        <v>20986</v>
      </c>
      <c r="H27" s="868">
        <v>13098</v>
      </c>
      <c r="I27" s="868">
        <f t="shared" si="2"/>
        <v>7888</v>
      </c>
      <c r="J27" s="869">
        <f t="shared" si="3"/>
        <v>1972</v>
      </c>
      <c r="K27" s="867">
        <f t="shared" si="8"/>
        <v>20986</v>
      </c>
      <c r="L27" s="870">
        <f>'3_Levels 1&amp;2'!AW27</f>
        <v>7854161</v>
      </c>
      <c r="M27" s="1163">
        <f>'3_Levels 1&amp;2'!C27</f>
        <v>2878</v>
      </c>
      <c r="N27" s="1163">
        <f t="shared" si="4"/>
        <v>2879.9399469999998</v>
      </c>
      <c r="O27" s="871">
        <f t="shared" si="9"/>
        <v>2727.1961028845717</v>
      </c>
      <c r="P27" s="872">
        <f t="shared" si="10"/>
        <v>5291</v>
      </c>
      <c r="Q27" s="871">
        <v>3304</v>
      </c>
      <c r="R27" s="871">
        <f t="shared" si="11"/>
        <v>1987</v>
      </c>
      <c r="S27" s="872">
        <f t="shared" si="5"/>
        <v>497</v>
      </c>
    </row>
    <row r="28" spans="1:19" ht="16.149999999999999" customHeight="1" x14ac:dyDescent="0.2">
      <c r="A28" s="873">
        <v>22</v>
      </c>
      <c r="B28" s="874" t="s">
        <v>25</v>
      </c>
      <c r="C28" s="1157">
        <v>0.25326399999999999</v>
      </c>
      <c r="D28" s="875">
        <f>'3_Levels 1&amp;2'!AQ28</f>
        <v>7599.2275765036929</v>
      </c>
      <c r="E28" s="875">
        <f t="shared" si="6"/>
        <v>10003.502967939889</v>
      </c>
      <c r="F28" s="875">
        <f t="shared" si="7"/>
        <v>11473.850359802083</v>
      </c>
      <c r="G28" s="876">
        <f t="shared" si="1"/>
        <v>2906</v>
      </c>
      <c r="H28" s="875">
        <v>1682</v>
      </c>
      <c r="I28" s="875">
        <f t="shared" si="2"/>
        <v>1224</v>
      </c>
      <c r="J28" s="876">
        <f t="shared" si="3"/>
        <v>306</v>
      </c>
      <c r="K28" s="876">
        <f t="shared" si="8"/>
        <v>2906</v>
      </c>
      <c r="L28" s="877">
        <f>'3_Levels 1&amp;2'!AW28</f>
        <v>6341541</v>
      </c>
      <c r="M28" s="1164">
        <f>'3_Levels 1&amp;2'!C28</f>
        <v>2843</v>
      </c>
      <c r="N28" s="1164">
        <f t="shared" si="4"/>
        <v>2843.2532639999999</v>
      </c>
      <c r="O28" s="878">
        <f t="shared" si="9"/>
        <v>2230.3820346550738</v>
      </c>
      <c r="P28" s="879">
        <f t="shared" si="10"/>
        <v>565</v>
      </c>
      <c r="Q28" s="878">
        <v>328</v>
      </c>
      <c r="R28" s="878">
        <f t="shared" si="11"/>
        <v>237</v>
      </c>
      <c r="S28" s="879">
        <f t="shared" si="5"/>
        <v>59</v>
      </c>
    </row>
    <row r="29" spans="1:19" ht="16.149999999999999" customHeight="1" x14ac:dyDescent="0.2">
      <c r="A29" s="873">
        <v>23</v>
      </c>
      <c r="B29" s="874" t="s">
        <v>26</v>
      </c>
      <c r="C29" s="1157">
        <v>4.3007330000000001</v>
      </c>
      <c r="D29" s="875">
        <f>'3_Levels 1&amp;2'!AQ29</f>
        <v>6088.4927367809414</v>
      </c>
      <c r="E29" s="875">
        <f t="shared" si="6"/>
        <v>8014.7955235590925</v>
      </c>
      <c r="F29" s="875">
        <f t="shared" si="7"/>
        <v>9485.1429154212874</v>
      </c>
      <c r="G29" s="876">
        <f t="shared" si="1"/>
        <v>40793</v>
      </c>
      <c r="H29" s="875">
        <v>27010</v>
      </c>
      <c r="I29" s="875">
        <f t="shared" si="2"/>
        <v>13783</v>
      </c>
      <c r="J29" s="876">
        <f t="shared" si="3"/>
        <v>3446</v>
      </c>
      <c r="K29" s="876">
        <f t="shared" si="8"/>
        <v>40793</v>
      </c>
      <c r="L29" s="877">
        <f>'3_Levels 1&amp;2'!AW29</f>
        <v>42509073.619999997</v>
      </c>
      <c r="M29" s="1164">
        <f>'3_Levels 1&amp;2'!C29</f>
        <v>12047</v>
      </c>
      <c r="N29" s="1164">
        <f t="shared" si="4"/>
        <v>12051.300733</v>
      </c>
      <c r="O29" s="878">
        <f t="shared" si="9"/>
        <v>3527.3431940502214</v>
      </c>
      <c r="P29" s="879">
        <f t="shared" si="10"/>
        <v>15170</v>
      </c>
      <c r="Q29" s="878">
        <v>10046</v>
      </c>
      <c r="R29" s="878">
        <f t="shared" si="11"/>
        <v>5124</v>
      </c>
      <c r="S29" s="879">
        <f t="shared" si="5"/>
        <v>1281</v>
      </c>
    </row>
    <row r="30" spans="1:19" ht="16.149999999999999" customHeight="1" x14ac:dyDescent="0.2">
      <c r="A30" s="873">
        <v>24</v>
      </c>
      <c r="B30" s="874" t="s">
        <v>27</v>
      </c>
      <c r="C30" s="1157">
        <v>0.18276800000000001</v>
      </c>
      <c r="D30" s="875">
        <f>'3_Levels 1&amp;2'!AQ30</f>
        <v>3022.7957827183131</v>
      </c>
      <c r="E30" s="875">
        <f t="shared" si="6"/>
        <v>3979.1605501320169</v>
      </c>
      <c r="F30" s="875">
        <f t="shared" si="7"/>
        <v>5449.5079419942122</v>
      </c>
      <c r="G30" s="876">
        <f t="shared" si="1"/>
        <v>996</v>
      </c>
      <c r="H30" s="875">
        <v>576</v>
      </c>
      <c r="I30" s="875">
        <f t="shared" si="2"/>
        <v>420</v>
      </c>
      <c r="J30" s="876">
        <f t="shared" si="3"/>
        <v>105</v>
      </c>
      <c r="K30" s="876">
        <f t="shared" si="8"/>
        <v>996</v>
      </c>
      <c r="L30" s="877">
        <f>'3_Levels 1&amp;2'!AW30</f>
        <v>27181128.140000001</v>
      </c>
      <c r="M30" s="1164">
        <f>'3_Levels 1&amp;2'!C30</f>
        <v>4363</v>
      </c>
      <c r="N30" s="1164">
        <f t="shared" si="4"/>
        <v>4363.1827679999997</v>
      </c>
      <c r="O30" s="878">
        <f t="shared" si="9"/>
        <v>6229.6560986051281</v>
      </c>
      <c r="P30" s="879">
        <f t="shared" si="10"/>
        <v>1139</v>
      </c>
      <c r="Q30" s="878">
        <v>658</v>
      </c>
      <c r="R30" s="878">
        <f t="shared" si="11"/>
        <v>481</v>
      </c>
      <c r="S30" s="879">
        <f t="shared" si="5"/>
        <v>120</v>
      </c>
    </row>
    <row r="31" spans="1:19" ht="16.149999999999999" customHeight="1" x14ac:dyDescent="0.2">
      <c r="A31" s="880">
        <v>25</v>
      </c>
      <c r="B31" s="881" t="s">
        <v>28</v>
      </c>
      <c r="C31" s="1158">
        <v>1</v>
      </c>
      <c r="D31" s="882">
        <f>'3_Levels 1&amp;2'!AQ31</f>
        <v>5751.4137618832046</v>
      </c>
      <c r="E31" s="882">
        <f t="shared" si="6"/>
        <v>7571.0700933264779</v>
      </c>
      <c r="F31" s="882">
        <f t="shared" si="7"/>
        <v>9041.4174851886728</v>
      </c>
      <c r="G31" s="883">
        <f t="shared" si="1"/>
        <v>9041</v>
      </c>
      <c r="H31" s="882">
        <v>6026</v>
      </c>
      <c r="I31" s="882">
        <f t="shared" si="2"/>
        <v>3015</v>
      </c>
      <c r="J31" s="883">
        <f t="shared" si="3"/>
        <v>754</v>
      </c>
      <c r="K31" s="883">
        <f t="shared" si="8"/>
        <v>9041</v>
      </c>
      <c r="L31" s="884">
        <f>'3_Levels 1&amp;2'!AW31</f>
        <v>9048750.0199999996</v>
      </c>
      <c r="M31" s="1165">
        <f>'3_Levels 1&amp;2'!C31</f>
        <v>2209</v>
      </c>
      <c r="N31" s="1165">
        <f t="shared" si="4"/>
        <v>2210</v>
      </c>
      <c r="O31" s="885">
        <f t="shared" si="9"/>
        <v>4094.4570226244341</v>
      </c>
      <c r="P31" s="886">
        <f t="shared" si="10"/>
        <v>4094</v>
      </c>
      <c r="Q31" s="885">
        <v>2728</v>
      </c>
      <c r="R31" s="885">
        <f t="shared" si="11"/>
        <v>1366</v>
      </c>
      <c r="S31" s="886">
        <f t="shared" si="5"/>
        <v>342</v>
      </c>
    </row>
    <row r="32" spans="1:19" ht="16.149999999999999" customHeight="1" x14ac:dyDescent="0.2">
      <c r="A32" s="864">
        <v>26</v>
      </c>
      <c r="B32" s="865" t="s">
        <v>29</v>
      </c>
      <c r="C32" s="1156">
        <v>4.6792870000000004</v>
      </c>
      <c r="D32" s="866">
        <f>'3_Levels 1&amp;2'!AQ32</f>
        <v>4861.4907525698227</v>
      </c>
      <c r="E32" s="866">
        <f t="shared" si="6"/>
        <v>6399.5895217444559</v>
      </c>
      <c r="F32" s="866">
        <f t="shared" si="7"/>
        <v>7869.9369136066507</v>
      </c>
      <c r="G32" s="867">
        <f t="shared" si="1"/>
        <v>36826</v>
      </c>
      <c r="H32" s="868">
        <v>24664</v>
      </c>
      <c r="I32" s="868">
        <f t="shared" si="2"/>
        <v>12162</v>
      </c>
      <c r="J32" s="869">
        <f t="shared" si="3"/>
        <v>3041</v>
      </c>
      <c r="K32" s="867">
        <f t="shared" si="8"/>
        <v>36826</v>
      </c>
      <c r="L32" s="870">
        <f>'3_Levels 1&amp;2'!AW32</f>
        <v>231005008.5</v>
      </c>
      <c r="M32" s="1163">
        <f>'3_Levels 1&amp;2'!C32</f>
        <v>50879</v>
      </c>
      <c r="N32" s="1163">
        <f t="shared" si="4"/>
        <v>50883.679286999999</v>
      </c>
      <c r="O32" s="871">
        <f t="shared" si="9"/>
        <v>4539.8644857628888</v>
      </c>
      <c r="P32" s="872">
        <f t="shared" si="10"/>
        <v>21243</v>
      </c>
      <c r="Q32" s="871">
        <v>14226</v>
      </c>
      <c r="R32" s="871">
        <f t="shared" si="11"/>
        <v>7017</v>
      </c>
      <c r="S32" s="872">
        <f t="shared" si="5"/>
        <v>1754</v>
      </c>
    </row>
    <row r="33" spans="1:19" ht="16.149999999999999" customHeight="1" x14ac:dyDescent="0.2">
      <c r="A33" s="873">
        <v>27</v>
      </c>
      <c r="B33" s="874" t="s">
        <v>30</v>
      </c>
      <c r="C33" s="1157">
        <v>1.5550010000000001</v>
      </c>
      <c r="D33" s="875">
        <f>'3_Levels 1&amp;2'!AQ33</f>
        <v>6709.3224631080338</v>
      </c>
      <c r="E33" s="875">
        <f t="shared" si="6"/>
        <v>8832.0459542608587</v>
      </c>
      <c r="F33" s="875">
        <f t="shared" si="7"/>
        <v>10302.393346123054</v>
      </c>
      <c r="G33" s="876">
        <f t="shared" si="1"/>
        <v>16020</v>
      </c>
      <c r="H33" s="875">
        <v>10048</v>
      </c>
      <c r="I33" s="875">
        <f t="shared" si="2"/>
        <v>5972</v>
      </c>
      <c r="J33" s="876">
        <f t="shared" si="3"/>
        <v>1493</v>
      </c>
      <c r="K33" s="876">
        <f t="shared" si="8"/>
        <v>16020</v>
      </c>
      <c r="L33" s="877">
        <f>'3_Levels 1&amp;2'!AW33</f>
        <v>17807176.600000001</v>
      </c>
      <c r="M33" s="1164">
        <f>'3_Levels 1&amp;2'!C33</f>
        <v>5489</v>
      </c>
      <c r="N33" s="1164">
        <f t="shared" si="4"/>
        <v>5490.5550009999997</v>
      </c>
      <c r="O33" s="878">
        <f t="shared" si="9"/>
        <v>3243.2379962966884</v>
      </c>
      <c r="P33" s="879">
        <f t="shared" si="10"/>
        <v>5043</v>
      </c>
      <c r="Q33" s="878">
        <v>3162</v>
      </c>
      <c r="R33" s="878">
        <f t="shared" si="11"/>
        <v>1881</v>
      </c>
      <c r="S33" s="879">
        <f t="shared" si="5"/>
        <v>470</v>
      </c>
    </row>
    <row r="34" spans="1:19" ht="16.149999999999999" customHeight="1" x14ac:dyDescent="0.2">
      <c r="A34" s="873">
        <v>28</v>
      </c>
      <c r="B34" s="874" t="s">
        <v>31</v>
      </c>
      <c r="C34" s="1157">
        <v>9.6981169999999999</v>
      </c>
      <c r="D34" s="875">
        <f>'3_Levels 1&amp;2'!AQ34</f>
        <v>4389.7359056677369</v>
      </c>
      <c r="E34" s="875">
        <f t="shared" si="6"/>
        <v>5778.5789040710888</v>
      </c>
      <c r="F34" s="875">
        <f t="shared" si="7"/>
        <v>7248.9262959332837</v>
      </c>
      <c r="G34" s="876">
        <f t="shared" si="1"/>
        <v>70301</v>
      </c>
      <c r="H34" s="875">
        <v>46038</v>
      </c>
      <c r="I34" s="875">
        <f t="shared" si="2"/>
        <v>24263</v>
      </c>
      <c r="J34" s="876">
        <f t="shared" si="3"/>
        <v>6066</v>
      </c>
      <c r="K34" s="876">
        <f t="shared" si="8"/>
        <v>70301</v>
      </c>
      <c r="L34" s="877">
        <f>'3_Levels 1&amp;2'!AW34</f>
        <v>140226774.08000001</v>
      </c>
      <c r="M34" s="1164">
        <f>'3_Levels 1&amp;2'!C34</f>
        <v>33329</v>
      </c>
      <c r="N34" s="1164">
        <f t="shared" si="4"/>
        <v>33338.698117</v>
      </c>
      <c r="O34" s="878">
        <f t="shared" si="9"/>
        <v>4206.1262736740118</v>
      </c>
      <c r="P34" s="879">
        <f t="shared" si="10"/>
        <v>40792</v>
      </c>
      <c r="Q34" s="878">
        <v>26712</v>
      </c>
      <c r="R34" s="878">
        <f t="shared" si="11"/>
        <v>14080</v>
      </c>
      <c r="S34" s="879">
        <f t="shared" si="5"/>
        <v>3520</v>
      </c>
    </row>
    <row r="35" spans="1:19" ht="16.149999999999999" customHeight="1" x14ac:dyDescent="0.2">
      <c r="A35" s="873">
        <v>29</v>
      </c>
      <c r="B35" s="874" t="s">
        <v>32</v>
      </c>
      <c r="C35" s="1157">
        <v>2.1576110000000002</v>
      </c>
      <c r="D35" s="875">
        <f>'3_Levels 1&amp;2'!AQ35</f>
        <v>5232.4796540479228</v>
      </c>
      <c r="E35" s="875">
        <f t="shared" si="6"/>
        <v>6887.9534428992429</v>
      </c>
      <c r="F35" s="875">
        <f t="shared" si="7"/>
        <v>8358.3008347614377</v>
      </c>
      <c r="G35" s="876">
        <f t="shared" si="1"/>
        <v>18034</v>
      </c>
      <c r="H35" s="875">
        <v>11848</v>
      </c>
      <c r="I35" s="875">
        <f t="shared" si="2"/>
        <v>6186</v>
      </c>
      <c r="J35" s="876">
        <f t="shared" si="3"/>
        <v>1547</v>
      </c>
      <c r="K35" s="876">
        <f t="shared" si="8"/>
        <v>18034</v>
      </c>
      <c r="L35" s="877">
        <f>'3_Levels 1&amp;2'!AW35</f>
        <v>51749080.240000002</v>
      </c>
      <c r="M35" s="1164">
        <f>'3_Levels 1&amp;2'!C35</f>
        <v>14106</v>
      </c>
      <c r="N35" s="1164">
        <f t="shared" si="4"/>
        <v>14108.157611000001</v>
      </c>
      <c r="O35" s="878">
        <f t="shared" si="9"/>
        <v>3668.0253840977593</v>
      </c>
      <c r="P35" s="879">
        <f t="shared" si="10"/>
        <v>7914</v>
      </c>
      <c r="Q35" s="878">
        <v>5200</v>
      </c>
      <c r="R35" s="878">
        <f t="shared" si="11"/>
        <v>2714</v>
      </c>
      <c r="S35" s="879">
        <f t="shared" si="5"/>
        <v>679</v>
      </c>
    </row>
    <row r="36" spans="1:19" ht="16.149999999999999" customHeight="1" x14ac:dyDescent="0.2">
      <c r="A36" s="880">
        <v>30</v>
      </c>
      <c r="B36" s="881" t="s">
        <v>33</v>
      </c>
      <c r="C36" s="1158">
        <v>0</v>
      </c>
      <c r="D36" s="882">
        <f>'3_Levels 1&amp;2'!AQ36</f>
        <v>6706.9952229299361</v>
      </c>
      <c r="E36" s="882">
        <f t="shared" si="6"/>
        <v>8828.982412105508</v>
      </c>
      <c r="F36" s="882">
        <f t="shared" si="7"/>
        <v>10299.329803967703</v>
      </c>
      <c r="G36" s="883">
        <f t="shared" si="1"/>
        <v>0</v>
      </c>
      <c r="H36" s="882">
        <v>0</v>
      </c>
      <c r="I36" s="882">
        <f t="shared" si="2"/>
        <v>0</v>
      </c>
      <c r="J36" s="883">
        <f t="shared" si="3"/>
        <v>0</v>
      </c>
      <c r="K36" s="883">
        <f t="shared" si="8"/>
        <v>0</v>
      </c>
      <c r="L36" s="884">
        <f>'3_Levels 1&amp;2'!AW36</f>
        <v>8247928.9199999999</v>
      </c>
      <c r="M36" s="1165">
        <f>'3_Levels 1&amp;2'!C36</f>
        <v>2512</v>
      </c>
      <c r="N36" s="1165">
        <f t="shared" si="4"/>
        <v>2512</v>
      </c>
      <c r="O36" s="885">
        <f t="shared" si="9"/>
        <v>3283.4111942675158</v>
      </c>
      <c r="P36" s="886">
        <f t="shared" si="10"/>
        <v>0</v>
      </c>
      <c r="Q36" s="885">
        <v>0</v>
      </c>
      <c r="R36" s="885">
        <f t="shared" si="11"/>
        <v>0</v>
      </c>
      <c r="S36" s="886">
        <f t="shared" si="5"/>
        <v>0</v>
      </c>
    </row>
    <row r="37" spans="1:19" ht="16.149999999999999" customHeight="1" x14ac:dyDescent="0.2">
      <c r="A37" s="864">
        <v>31</v>
      </c>
      <c r="B37" s="865" t="s">
        <v>34</v>
      </c>
      <c r="C37" s="1156">
        <v>0.172324</v>
      </c>
      <c r="D37" s="866">
        <f>'3_Levels 1&amp;2'!AQ37</f>
        <v>5338.3492629191642</v>
      </c>
      <c r="E37" s="866">
        <f t="shared" si="6"/>
        <v>7027.3185212438711</v>
      </c>
      <c r="F37" s="866">
        <f t="shared" si="7"/>
        <v>8497.665913106066</v>
      </c>
      <c r="G37" s="867">
        <f t="shared" si="1"/>
        <v>1464</v>
      </c>
      <c r="H37" s="868">
        <v>0</v>
      </c>
      <c r="I37" s="868">
        <f t="shared" si="2"/>
        <v>1464</v>
      </c>
      <c r="J37" s="869">
        <f t="shared" si="3"/>
        <v>366</v>
      </c>
      <c r="K37" s="867">
        <f t="shared" si="8"/>
        <v>1464</v>
      </c>
      <c r="L37" s="870">
        <f>'3_Levels 1&amp;2'!AW37</f>
        <v>26420182.960000001</v>
      </c>
      <c r="M37" s="1163">
        <f>'3_Levels 1&amp;2'!C37</f>
        <v>6173</v>
      </c>
      <c r="N37" s="1163">
        <f t="shared" si="4"/>
        <v>6173.1723240000001</v>
      </c>
      <c r="O37" s="871">
        <f t="shared" si="9"/>
        <v>4279.8388856380807</v>
      </c>
      <c r="P37" s="872">
        <f t="shared" si="10"/>
        <v>738</v>
      </c>
      <c r="Q37" s="871">
        <v>0</v>
      </c>
      <c r="R37" s="871">
        <f t="shared" si="11"/>
        <v>738</v>
      </c>
      <c r="S37" s="872">
        <f t="shared" si="5"/>
        <v>185</v>
      </c>
    </row>
    <row r="38" spans="1:19" ht="16.149999999999999" customHeight="1" x14ac:dyDescent="0.2">
      <c r="A38" s="873">
        <v>32</v>
      </c>
      <c r="B38" s="874" t="s">
        <v>35</v>
      </c>
      <c r="C38" s="1157">
        <v>0</v>
      </c>
      <c r="D38" s="875">
        <f>'3_Levels 1&amp;2'!AQ38</f>
        <v>6577.1710901936576</v>
      </c>
      <c r="E38" s="875">
        <f t="shared" si="6"/>
        <v>8658.0839774865653</v>
      </c>
      <c r="F38" s="875">
        <f t="shared" si="7"/>
        <v>10128.43136934876</v>
      </c>
      <c r="G38" s="876">
        <f t="shared" si="1"/>
        <v>0</v>
      </c>
      <c r="H38" s="875">
        <v>0</v>
      </c>
      <c r="I38" s="875">
        <f t="shared" si="2"/>
        <v>0</v>
      </c>
      <c r="J38" s="876">
        <f t="shared" si="3"/>
        <v>0</v>
      </c>
      <c r="K38" s="876">
        <f t="shared" si="8"/>
        <v>0</v>
      </c>
      <c r="L38" s="877">
        <f>'3_Levels 1&amp;2'!AW38</f>
        <v>67830651</v>
      </c>
      <c r="M38" s="1164">
        <f>'3_Levels 1&amp;2'!C38</f>
        <v>25922</v>
      </c>
      <c r="N38" s="1164">
        <f t="shared" si="4"/>
        <v>25922</v>
      </c>
      <c r="O38" s="878">
        <f t="shared" si="9"/>
        <v>2616.7213563768228</v>
      </c>
      <c r="P38" s="879">
        <f t="shared" si="10"/>
        <v>0</v>
      </c>
      <c r="Q38" s="878">
        <v>0</v>
      </c>
      <c r="R38" s="878">
        <f t="shared" si="11"/>
        <v>0</v>
      </c>
      <c r="S38" s="879">
        <f t="shared" si="5"/>
        <v>0</v>
      </c>
    </row>
    <row r="39" spans="1:19" ht="16.149999999999999" customHeight="1" x14ac:dyDescent="0.2">
      <c r="A39" s="873">
        <v>33</v>
      </c>
      <c r="B39" s="874" t="s">
        <v>36</v>
      </c>
      <c r="C39" s="1157">
        <v>3.0522200000000002</v>
      </c>
      <c r="D39" s="875">
        <f>'3_Levels 1&amp;2'!AQ39</f>
        <v>6646.8866855524084</v>
      </c>
      <c r="E39" s="875">
        <f t="shared" si="6"/>
        <v>8749.8564843712484</v>
      </c>
      <c r="F39" s="875">
        <f t="shared" si="7"/>
        <v>10220.203876233443</v>
      </c>
      <c r="G39" s="876">
        <f t="shared" ref="G39:G70" si="12">ROUND(C39*F39,0)</f>
        <v>31194</v>
      </c>
      <c r="H39" s="875">
        <v>22448</v>
      </c>
      <c r="I39" s="875">
        <f t="shared" si="2"/>
        <v>8746</v>
      </c>
      <c r="J39" s="876">
        <f t="shared" ref="J39:J70" si="13">ROUND(I39/$J$86,0)</f>
        <v>2187</v>
      </c>
      <c r="K39" s="876">
        <f t="shared" si="8"/>
        <v>31194</v>
      </c>
      <c r="L39" s="877">
        <f>'3_Levels 1&amp;2'!AW39</f>
        <v>5718661</v>
      </c>
      <c r="M39" s="1164">
        <f>'3_Levels 1&amp;2'!C39</f>
        <v>1412</v>
      </c>
      <c r="N39" s="1164">
        <f t="shared" ref="N39:N70" si="14">C39+M39</f>
        <v>1415.05222</v>
      </c>
      <c r="O39" s="878">
        <f t="shared" si="9"/>
        <v>4041.3073942953142</v>
      </c>
      <c r="P39" s="879">
        <f t="shared" si="10"/>
        <v>12335</v>
      </c>
      <c r="Q39" s="878">
        <v>8874</v>
      </c>
      <c r="R39" s="878">
        <f t="shared" si="11"/>
        <v>3461</v>
      </c>
      <c r="S39" s="879">
        <f t="shared" ref="S39:S70" si="15">ROUND(R39/$S$86,0)</f>
        <v>865</v>
      </c>
    </row>
    <row r="40" spans="1:19" ht="16.149999999999999" customHeight="1" x14ac:dyDescent="0.2">
      <c r="A40" s="873">
        <v>34</v>
      </c>
      <c r="B40" s="874" t="s">
        <v>37</v>
      </c>
      <c r="C40" s="1157">
        <v>2.052219</v>
      </c>
      <c r="D40" s="875">
        <f>'3_Levels 1&amp;2'!AQ40</f>
        <v>7227.4076858813705</v>
      </c>
      <c r="E40" s="875">
        <f t="shared" si="6"/>
        <v>9514.0451458212392</v>
      </c>
      <c r="F40" s="875">
        <f t="shared" si="7"/>
        <v>10984.392537683434</v>
      </c>
      <c r="G40" s="876">
        <f t="shared" si="12"/>
        <v>22542</v>
      </c>
      <c r="H40" s="875">
        <v>15078</v>
      </c>
      <c r="I40" s="875">
        <f t="shared" si="2"/>
        <v>7464</v>
      </c>
      <c r="J40" s="876">
        <f t="shared" si="13"/>
        <v>1866</v>
      </c>
      <c r="K40" s="876">
        <f t="shared" si="8"/>
        <v>22542</v>
      </c>
      <c r="L40" s="877">
        <f>'3_Levels 1&amp;2'!AW40</f>
        <v>11804207</v>
      </c>
      <c r="M40" s="1164">
        <f>'3_Levels 1&amp;2'!C40</f>
        <v>3591</v>
      </c>
      <c r="N40" s="1164">
        <f t="shared" si="14"/>
        <v>3593.0522190000002</v>
      </c>
      <c r="O40" s="878">
        <f t="shared" si="9"/>
        <v>3285.2867925435512</v>
      </c>
      <c r="P40" s="879">
        <f t="shared" si="10"/>
        <v>6742</v>
      </c>
      <c r="Q40" s="878">
        <v>4510</v>
      </c>
      <c r="R40" s="878">
        <f t="shared" si="11"/>
        <v>2232</v>
      </c>
      <c r="S40" s="879">
        <f t="shared" si="15"/>
        <v>558</v>
      </c>
    </row>
    <row r="41" spans="1:19" ht="16.149999999999999" customHeight="1" x14ac:dyDescent="0.2">
      <c r="A41" s="880">
        <v>35</v>
      </c>
      <c r="B41" s="881" t="s">
        <v>38</v>
      </c>
      <c r="C41" s="1158">
        <v>0</v>
      </c>
      <c r="D41" s="882">
        <f>'3_Levels 1&amp;2'!AQ41</f>
        <v>5538.0670112279449</v>
      </c>
      <c r="E41" s="882">
        <f t="shared" si="6"/>
        <v>7290.2238057407412</v>
      </c>
      <c r="F41" s="882">
        <f t="shared" si="7"/>
        <v>8760.5711976029361</v>
      </c>
      <c r="G41" s="883">
        <f t="shared" si="12"/>
        <v>0</v>
      </c>
      <c r="H41" s="882">
        <v>0</v>
      </c>
      <c r="I41" s="882">
        <f t="shared" si="2"/>
        <v>0</v>
      </c>
      <c r="J41" s="883">
        <f t="shared" si="13"/>
        <v>0</v>
      </c>
      <c r="K41" s="883">
        <f t="shared" si="8"/>
        <v>0</v>
      </c>
      <c r="L41" s="884">
        <f>'3_Levels 1&amp;2'!AW41</f>
        <v>21572086.140000001</v>
      </c>
      <c r="M41" s="1165">
        <f>'3_Levels 1&amp;2'!C41</f>
        <v>5611</v>
      </c>
      <c r="N41" s="1165">
        <f t="shared" si="14"/>
        <v>5611</v>
      </c>
      <c r="O41" s="885">
        <f t="shared" si="9"/>
        <v>3844.6063339868119</v>
      </c>
      <c r="P41" s="886">
        <f t="shared" si="10"/>
        <v>0</v>
      </c>
      <c r="Q41" s="885">
        <v>0</v>
      </c>
      <c r="R41" s="885">
        <f t="shared" si="11"/>
        <v>0</v>
      </c>
      <c r="S41" s="886">
        <f t="shared" si="15"/>
        <v>0</v>
      </c>
    </row>
    <row r="42" spans="1:19" ht="16.149999999999999" customHeight="1" x14ac:dyDescent="0.2">
      <c r="A42" s="864">
        <v>36</v>
      </c>
      <c r="B42" s="865" t="s">
        <v>39</v>
      </c>
      <c r="C42" s="1156">
        <v>28.930263</v>
      </c>
      <c r="D42" s="866">
        <f>'3_Levels 1&amp;2'!AQ42</f>
        <v>4293.2624906467126</v>
      </c>
      <c r="E42" s="866">
        <f t="shared" si="6"/>
        <v>5651.5828266705312</v>
      </c>
      <c r="F42" s="866">
        <f t="shared" si="7"/>
        <v>7121.930218532726</v>
      </c>
      <c r="G42" s="867">
        <f t="shared" si="12"/>
        <v>206039</v>
      </c>
      <c r="H42" s="868">
        <v>137152</v>
      </c>
      <c r="I42" s="868">
        <f t="shared" si="2"/>
        <v>68887</v>
      </c>
      <c r="J42" s="869">
        <f t="shared" si="13"/>
        <v>17222</v>
      </c>
      <c r="K42" s="867">
        <f t="shared" si="8"/>
        <v>206039</v>
      </c>
      <c r="L42" s="870">
        <f>'3_Levels 1&amp;2'!AW42</f>
        <v>225108330.41999999</v>
      </c>
      <c r="M42" s="1163">
        <f>'3_Levels 1&amp;2'!C42</f>
        <v>46775</v>
      </c>
      <c r="N42" s="1163">
        <f t="shared" si="14"/>
        <v>46803.930263000002</v>
      </c>
      <c r="O42" s="871">
        <f t="shared" si="9"/>
        <v>4809.6031498866514</v>
      </c>
      <c r="P42" s="872">
        <f t="shared" si="10"/>
        <v>139143</v>
      </c>
      <c r="Q42" s="871">
        <v>92624</v>
      </c>
      <c r="R42" s="871">
        <f t="shared" si="11"/>
        <v>46519</v>
      </c>
      <c r="S42" s="872">
        <f t="shared" si="15"/>
        <v>11630</v>
      </c>
    </row>
    <row r="43" spans="1:19" ht="16.149999999999999" customHeight="1" x14ac:dyDescent="0.2">
      <c r="A43" s="873">
        <v>37</v>
      </c>
      <c r="B43" s="874" t="s">
        <v>40</v>
      </c>
      <c r="C43" s="1157">
        <v>6.2532639999999997</v>
      </c>
      <c r="D43" s="875">
        <f>'3_Levels 1&amp;2'!AQ43</f>
        <v>6485.7960674760934</v>
      </c>
      <c r="E43" s="875">
        <f t="shared" si="6"/>
        <v>8537.7993430617498</v>
      </c>
      <c r="F43" s="875">
        <f t="shared" si="7"/>
        <v>10008.146734923945</v>
      </c>
      <c r="G43" s="876">
        <f t="shared" si="12"/>
        <v>62584</v>
      </c>
      <c r="H43" s="875">
        <v>42470</v>
      </c>
      <c r="I43" s="875">
        <f t="shared" si="2"/>
        <v>20114</v>
      </c>
      <c r="J43" s="876">
        <f t="shared" si="13"/>
        <v>5029</v>
      </c>
      <c r="K43" s="876">
        <f t="shared" si="8"/>
        <v>62584</v>
      </c>
      <c r="L43" s="877">
        <f>'3_Levels 1&amp;2'!AW43</f>
        <v>58323738.380000003</v>
      </c>
      <c r="M43" s="1164">
        <f>'3_Levels 1&amp;2'!C43</f>
        <v>18614</v>
      </c>
      <c r="N43" s="1164">
        <f t="shared" si="14"/>
        <v>18620.253263999999</v>
      </c>
      <c r="O43" s="878">
        <f t="shared" si="9"/>
        <v>3132.274172272505</v>
      </c>
      <c r="P43" s="879">
        <f t="shared" si="10"/>
        <v>19587</v>
      </c>
      <c r="Q43" s="878">
        <v>13290</v>
      </c>
      <c r="R43" s="878">
        <f t="shared" si="11"/>
        <v>6297</v>
      </c>
      <c r="S43" s="879">
        <f t="shared" si="15"/>
        <v>1574</v>
      </c>
    </row>
    <row r="44" spans="1:19" ht="16.149999999999999" customHeight="1" x14ac:dyDescent="0.2">
      <c r="A44" s="873">
        <v>38</v>
      </c>
      <c r="B44" s="874" t="s">
        <v>41</v>
      </c>
      <c r="C44" s="1157">
        <v>0</v>
      </c>
      <c r="D44" s="875">
        <f>'3_Levels 1&amp;2'!AQ44</f>
        <v>2818.509667440062</v>
      </c>
      <c r="E44" s="875">
        <f t="shared" si="6"/>
        <v>3710.2415396244883</v>
      </c>
      <c r="F44" s="875">
        <f t="shared" si="7"/>
        <v>5180.5889314866836</v>
      </c>
      <c r="G44" s="876">
        <f t="shared" si="12"/>
        <v>0</v>
      </c>
      <c r="H44" s="875">
        <v>0</v>
      </c>
      <c r="I44" s="875">
        <f t="shared" si="2"/>
        <v>0</v>
      </c>
      <c r="J44" s="876">
        <f t="shared" si="13"/>
        <v>0</v>
      </c>
      <c r="K44" s="876">
        <f t="shared" si="8"/>
        <v>0</v>
      </c>
      <c r="L44" s="877">
        <f>'3_Levels 1&amp;2'!AW44</f>
        <v>26455676.079999998</v>
      </c>
      <c r="M44" s="1164">
        <f>'3_Levels 1&amp;2'!C44</f>
        <v>3879</v>
      </c>
      <c r="N44" s="1164">
        <f t="shared" si="14"/>
        <v>3879</v>
      </c>
      <c r="O44" s="878">
        <f t="shared" si="9"/>
        <v>6820.2310079917497</v>
      </c>
      <c r="P44" s="879">
        <f t="shared" si="10"/>
        <v>0</v>
      </c>
      <c r="Q44" s="878">
        <v>0</v>
      </c>
      <c r="R44" s="878">
        <f t="shared" si="11"/>
        <v>0</v>
      </c>
      <c r="S44" s="879">
        <f t="shared" si="15"/>
        <v>0</v>
      </c>
    </row>
    <row r="45" spans="1:19" ht="16.149999999999999" customHeight="1" x14ac:dyDescent="0.2">
      <c r="A45" s="873">
        <v>39</v>
      </c>
      <c r="B45" s="874" t="s">
        <v>42</v>
      </c>
      <c r="C45" s="1157">
        <v>2.052219</v>
      </c>
      <c r="D45" s="875">
        <f>'3_Levels 1&amp;2'!AQ45</f>
        <v>3727.5221507004921</v>
      </c>
      <c r="E45" s="875">
        <f t="shared" si="6"/>
        <v>4906.851192730026</v>
      </c>
      <c r="F45" s="875">
        <f t="shared" si="7"/>
        <v>6377.1985845922209</v>
      </c>
      <c r="G45" s="876">
        <f t="shared" si="12"/>
        <v>13087</v>
      </c>
      <c r="H45" s="875">
        <v>9064</v>
      </c>
      <c r="I45" s="875">
        <f t="shared" si="2"/>
        <v>4023</v>
      </c>
      <c r="J45" s="876">
        <f t="shared" si="13"/>
        <v>1006</v>
      </c>
      <c r="K45" s="876">
        <f t="shared" si="8"/>
        <v>13087</v>
      </c>
      <c r="L45" s="877">
        <f>'3_Levels 1&amp;2'!AW45</f>
        <v>15277010</v>
      </c>
      <c r="M45" s="1164">
        <f>'3_Levels 1&amp;2'!C45</f>
        <v>2641</v>
      </c>
      <c r="N45" s="1164">
        <f t="shared" si="14"/>
        <v>2643.0522190000002</v>
      </c>
      <c r="O45" s="878">
        <f t="shared" si="9"/>
        <v>5780.0636287769084</v>
      </c>
      <c r="P45" s="879">
        <f t="shared" si="10"/>
        <v>11862</v>
      </c>
      <c r="Q45" s="878">
        <v>8214</v>
      </c>
      <c r="R45" s="878">
        <f t="shared" si="11"/>
        <v>3648</v>
      </c>
      <c r="S45" s="879">
        <f t="shared" si="15"/>
        <v>912</v>
      </c>
    </row>
    <row r="46" spans="1:19" ht="16.149999999999999" customHeight="1" x14ac:dyDescent="0.2">
      <c r="A46" s="880">
        <v>40</v>
      </c>
      <c r="B46" s="881" t="s">
        <v>43</v>
      </c>
      <c r="C46" s="1158">
        <v>3.2961580000000001</v>
      </c>
      <c r="D46" s="882">
        <f>'3_Levels 1&amp;2'!AQ46</f>
        <v>6103.4250709901989</v>
      </c>
      <c r="E46" s="882">
        <f t="shared" si="6"/>
        <v>8034.4522120944421</v>
      </c>
      <c r="F46" s="882">
        <f t="shared" si="7"/>
        <v>9504.7996039566369</v>
      </c>
      <c r="G46" s="883">
        <f t="shared" si="12"/>
        <v>31329</v>
      </c>
      <c r="H46" s="882">
        <v>19402</v>
      </c>
      <c r="I46" s="882">
        <f t="shared" si="2"/>
        <v>11927</v>
      </c>
      <c r="J46" s="883">
        <f t="shared" si="13"/>
        <v>2982</v>
      </c>
      <c r="K46" s="883">
        <f t="shared" si="8"/>
        <v>31329</v>
      </c>
      <c r="L46" s="884">
        <f>'3_Levels 1&amp;2'!AW46</f>
        <v>74413510.060000002</v>
      </c>
      <c r="M46" s="1165">
        <f>'3_Levels 1&amp;2'!C46</f>
        <v>21834</v>
      </c>
      <c r="N46" s="1165">
        <f t="shared" si="14"/>
        <v>21837.296158000001</v>
      </c>
      <c r="O46" s="885">
        <f t="shared" si="9"/>
        <v>3407.6338719589571</v>
      </c>
      <c r="P46" s="886">
        <f t="shared" si="10"/>
        <v>11232</v>
      </c>
      <c r="Q46" s="885">
        <v>6958</v>
      </c>
      <c r="R46" s="885">
        <f t="shared" si="11"/>
        <v>4274</v>
      </c>
      <c r="S46" s="886">
        <f t="shared" si="15"/>
        <v>1069</v>
      </c>
    </row>
    <row r="47" spans="1:19" ht="16.149999999999999" customHeight="1" x14ac:dyDescent="0.2">
      <c r="A47" s="864">
        <v>41</v>
      </c>
      <c r="B47" s="865" t="s">
        <v>44</v>
      </c>
      <c r="C47" s="1156">
        <v>0</v>
      </c>
      <c r="D47" s="866">
        <f>'3_Levels 1&amp;2'!AQ47</f>
        <v>3525.7266409266408</v>
      </c>
      <c r="E47" s="866">
        <f t="shared" si="6"/>
        <v>4641.2107759090804</v>
      </c>
      <c r="F47" s="866">
        <f t="shared" si="7"/>
        <v>6111.5581677712753</v>
      </c>
      <c r="G47" s="867">
        <f t="shared" si="12"/>
        <v>0</v>
      </c>
      <c r="H47" s="868">
        <v>0</v>
      </c>
      <c r="I47" s="868">
        <f t="shared" si="2"/>
        <v>0</v>
      </c>
      <c r="J47" s="869">
        <f t="shared" si="13"/>
        <v>0</v>
      </c>
      <c r="K47" s="867">
        <f t="shared" si="8"/>
        <v>0</v>
      </c>
      <c r="L47" s="870">
        <f>'3_Levels 1&amp;2'!AW47</f>
        <v>8116922.4199999999</v>
      </c>
      <c r="M47" s="1163">
        <f>'3_Levels 1&amp;2'!C47</f>
        <v>1295</v>
      </c>
      <c r="N47" s="1163">
        <f t="shared" si="14"/>
        <v>1295</v>
      </c>
      <c r="O47" s="871">
        <f t="shared" si="9"/>
        <v>6267.8937606177606</v>
      </c>
      <c r="P47" s="872">
        <f t="shared" si="10"/>
        <v>0</v>
      </c>
      <c r="Q47" s="871">
        <v>0</v>
      </c>
      <c r="R47" s="871">
        <f t="shared" si="11"/>
        <v>0</v>
      </c>
      <c r="S47" s="872">
        <f t="shared" si="15"/>
        <v>0</v>
      </c>
    </row>
    <row r="48" spans="1:19" ht="16.149999999999999" customHeight="1" x14ac:dyDescent="0.2">
      <c r="A48" s="873">
        <v>42</v>
      </c>
      <c r="B48" s="874" t="s">
        <v>45</v>
      </c>
      <c r="C48" s="1157">
        <v>2.579634</v>
      </c>
      <c r="D48" s="875">
        <f>'3_Levels 1&amp;2'!AQ48</f>
        <v>5754.5016501650161</v>
      </c>
      <c r="E48" s="875">
        <f t="shared" si="6"/>
        <v>7575.1349406127047</v>
      </c>
      <c r="F48" s="875">
        <f t="shared" si="7"/>
        <v>9045.4823324748995</v>
      </c>
      <c r="G48" s="876">
        <f t="shared" si="12"/>
        <v>23334</v>
      </c>
      <c r="H48" s="875">
        <v>15888</v>
      </c>
      <c r="I48" s="875">
        <f t="shared" si="2"/>
        <v>7446</v>
      </c>
      <c r="J48" s="876">
        <f t="shared" si="13"/>
        <v>1862</v>
      </c>
      <c r="K48" s="876">
        <f t="shared" si="8"/>
        <v>23334</v>
      </c>
      <c r="L48" s="877">
        <f>'3_Levels 1&amp;2'!AW48</f>
        <v>11310466</v>
      </c>
      <c r="M48" s="1164">
        <f>'3_Levels 1&amp;2'!C48</f>
        <v>2727</v>
      </c>
      <c r="N48" s="1164">
        <f t="shared" si="14"/>
        <v>2729.5796340000002</v>
      </c>
      <c r="O48" s="878">
        <f t="shared" si="9"/>
        <v>4143.6658814109542</v>
      </c>
      <c r="P48" s="879">
        <f t="shared" si="10"/>
        <v>10689</v>
      </c>
      <c r="Q48" s="878">
        <v>7280</v>
      </c>
      <c r="R48" s="878">
        <f t="shared" si="11"/>
        <v>3409</v>
      </c>
      <c r="S48" s="879">
        <f t="shared" si="15"/>
        <v>852</v>
      </c>
    </row>
    <row r="49" spans="1:19" ht="16.149999999999999" customHeight="1" x14ac:dyDescent="0.2">
      <c r="A49" s="873">
        <v>43</v>
      </c>
      <c r="B49" s="874" t="s">
        <v>46</v>
      </c>
      <c r="C49" s="1157">
        <v>0.91644999999999999</v>
      </c>
      <c r="D49" s="875">
        <f>'3_Levels 1&amp;2'!AQ49</f>
        <v>6490.3963156584514</v>
      </c>
      <c r="E49" s="875">
        <f t="shared" si="6"/>
        <v>8543.8550369967179</v>
      </c>
      <c r="F49" s="875">
        <f t="shared" si="7"/>
        <v>10014.202428858913</v>
      </c>
      <c r="G49" s="876">
        <f t="shared" si="12"/>
        <v>9178</v>
      </c>
      <c r="H49" s="875">
        <v>5312</v>
      </c>
      <c r="I49" s="875">
        <f t="shared" si="2"/>
        <v>3866</v>
      </c>
      <c r="J49" s="876">
        <f t="shared" si="13"/>
        <v>967</v>
      </c>
      <c r="K49" s="876">
        <f t="shared" si="8"/>
        <v>9178</v>
      </c>
      <c r="L49" s="877">
        <f>'3_Levels 1&amp;2'!AW49</f>
        <v>14353112.1</v>
      </c>
      <c r="M49" s="1164">
        <f>'3_Levels 1&amp;2'!C49</f>
        <v>4017</v>
      </c>
      <c r="N49" s="1164">
        <f t="shared" si="14"/>
        <v>4017.9164500000002</v>
      </c>
      <c r="O49" s="878">
        <f t="shared" si="9"/>
        <v>3572.2773926769928</v>
      </c>
      <c r="P49" s="879">
        <f t="shared" si="10"/>
        <v>3274</v>
      </c>
      <c r="Q49" s="878">
        <v>1896</v>
      </c>
      <c r="R49" s="878">
        <f t="shared" si="11"/>
        <v>1378</v>
      </c>
      <c r="S49" s="879">
        <f t="shared" si="15"/>
        <v>345</v>
      </c>
    </row>
    <row r="50" spans="1:19" ht="16.149999999999999" customHeight="1" x14ac:dyDescent="0.2">
      <c r="A50" s="873">
        <v>44</v>
      </c>
      <c r="B50" s="874" t="s">
        <v>47</v>
      </c>
      <c r="C50" s="1157">
        <v>1.8620380000000001</v>
      </c>
      <c r="D50" s="875">
        <f>'3_Levels 1&amp;2'!AQ50</f>
        <v>5991.060874229016</v>
      </c>
      <c r="E50" s="875">
        <f t="shared" si="6"/>
        <v>7886.5377609907382</v>
      </c>
      <c r="F50" s="875">
        <f t="shared" si="7"/>
        <v>9356.885152852934</v>
      </c>
      <c r="G50" s="876">
        <f t="shared" si="12"/>
        <v>17423</v>
      </c>
      <c r="H50" s="875">
        <v>10046</v>
      </c>
      <c r="I50" s="875">
        <f t="shared" si="2"/>
        <v>7377</v>
      </c>
      <c r="J50" s="876">
        <f t="shared" si="13"/>
        <v>1844</v>
      </c>
      <c r="K50" s="876">
        <f t="shared" si="8"/>
        <v>17423</v>
      </c>
      <c r="L50" s="877">
        <f>'3_Levels 1&amp;2'!AW50</f>
        <v>24867648.559999999</v>
      </c>
      <c r="M50" s="1164">
        <f>'3_Levels 1&amp;2'!C50</f>
        <v>7458</v>
      </c>
      <c r="N50" s="1164">
        <f t="shared" si="14"/>
        <v>7459.8620380000002</v>
      </c>
      <c r="O50" s="878">
        <f t="shared" si="9"/>
        <v>3333.526603216787</v>
      </c>
      <c r="P50" s="879">
        <f t="shared" si="10"/>
        <v>6207</v>
      </c>
      <c r="Q50" s="878">
        <v>3578</v>
      </c>
      <c r="R50" s="878">
        <f t="shared" si="11"/>
        <v>2629</v>
      </c>
      <c r="S50" s="879">
        <f t="shared" si="15"/>
        <v>657</v>
      </c>
    </row>
    <row r="51" spans="1:19" ht="16.149999999999999" customHeight="1" x14ac:dyDescent="0.2">
      <c r="A51" s="880">
        <v>45</v>
      </c>
      <c r="B51" s="881" t="s">
        <v>48</v>
      </c>
      <c r="C51" s="1158">
        <v>0.328982</v>
      </c>
      <c r="D51" s="882">
        <f>'3_Levels 1&amp;2'!AQ51</f>
        <v>3059.3762271719625</v>
      </c>
      <c r="E51" s="882">
        <f t="shared" si="6"/>
        <v>4027.314468537103</v>
      </c>
      <c r="F51" s="882">
        <f t="shared" si="7"/>
        <v>5497.6618603992974</v>
      </c>
      <c r="G51" s="883">
        <f t="shared" si="12"/>
        <v>1809</v>
      </c>
      <c r="H51" s="882">
        <v>1048</v>
      </c>
      <c r="I51" s="882">
        <f t="shared" si="2"/>
        <v>761</v>
      </c>
      <c r="J51" s="883">
        <f t="shared" si="13"/>
        <v>190</v>
      </c>
      <c r="K51" s="883">
        <f t="shared" si="8"/>
        <v>1809</v>
      </c>
      <c r="L51" s="884">
        <f>'3_Levels 1&amp;2'!AW51</f>
        <v>52552592.18</v>
      </c>
      <c r="M51" s="1165">
        <f>'3_Levels 1&amp;2'!C51</f>
        <v>9473</v>
      </c>
      <c r="N51" s="1165">
        <f t="shared" si="14"/>
        <v>9473.3289820000009</v>
      </c>
      <c r="O51" s="885">
        <f t="shared" si="9"/>
        <v>5547.4260716432063</v>
      </c>
      <c r="P51" s="886">
        <f t="shared" si="10"/>
        <v>1825</v>
      </c>
      <c r="Q51" s="885">
        <v>1056</v>
      </c>
      <c r="R51" s="885">
        <f t="shared" si="11"/>
        <v>769</v>
      </c>
      <c r="S51" s="886">
        <f t="shared" si="15"/>
        <v>192</v>
      </c>
    </row>
    <row r="52" spans="1:19" ht="16.149999999999999" customHeight="1" x14ac:dyDescent="0.2">
      <c r="A52" s="864">
        <v>46</v>
      </c>
      <c r="B52" s="865" t="s">
        <v>49</v>
      </c>
      <c r="C52" s="1156">
        <v>0</v>
      </c>
      <c r="D52" s="866">
        <f>'3_Levels 1&amp;2'!AQ52</f>
        <v>7986.7974683544307</v>
      </c>
      <c r="E52" s="866">
        <f t="shared" si="6"/>
        <v>10513.693842523064</v>
      </c>
      <c r="F52" s="866">
        <f t="shared" si="7"/>
        <v>11984.041234385259</v>
      </c>
      <c r="G52" s="867">
        <f t="shared" si="12"/>
        <v>0</v>
      </c>
      <c r="H52" s="868">
        <v>0</v>
      </c>
      <c r="I52" s="868">
        <f t="shared" si="2"/>
        <v>0</v>
      </c>
      <c r="J52" s="869">
        <f t="shared" si="13"/>
        <v>0</v>
      </c>
      <c r="K52" s="867">
        <f t="shared" si="8"/>
        <v>0</v>
      </c>
      <c r="L52" s="870">
        <f>'3_Levels 1&amp;2'!AW52</f>
        <v>3604274</v>
      </c>
      <c r="M52" s="1163">
        <f>'3_Levels 1&amp;2'!C52</f>
        <v>1185</v>
      </c>
      <c r="N52" s="1163">
        <f t="shared" si="14"/>
        <v>1185</v>
      </c>
      <c r="O52" s="871">
        <f t="shared" si="9"/>
        <v>3041.5814345991562</v>
      </c>
      <c r="P52" s="872">
        <f t="shared" si="10"/>
        <v>0</v>
      </c>
      <c r="Q52" s="871">
        <v>0</v>
      </c>
      <c r="R52" s="871">
        <f t="shared" si="11"/>
        <v>0</v>
      </c>
      <c r="S52" s="872">
        <f t="shared" si="15"/>
        <v>0</v>
      </c>
    </row>
    <row r="53" spans="1:19" ht="16.149999999999999" customHeight="1" x14ac:dyDescent="0.2">
      <c r="A53" s="873">
        <v>47</v>
      </c>
      <c r="B53" s="874" t="s">
        <v>50</v>
      </c>
      <c r="C53" s="1157">
        <v>0</v>
      </c>
      <c r="D53" s="875">
        <f>'3_Levels 1&amp;2'!AQ53</f>
        <v>3022.6299572039943</v>
      </c>
      <c r="E53" s="875">
        <f t="shared" si="6"/>
        <v>3978.9422600481957</v>
      </c>
      <c r="F53" s="875">
        <f t="shared" si="7"/>
        <v>5449.2896519103906</v>
      </c>
      <c r="G53" s="876">
        <f t="shared" si="12"/>
        <v>0</v>
      </c>
      <c r="H53" s="875">
        <v>0</v>
      </c>
      <c r="I53" s="875">
        <f t="shared" si="2"/>
        <v>0</v>
      </c>
      <c r="J53" s="876">
        <f t="shared" si="13"/>
        <v>0</v>
      </c>
      <c r="K53" s="876">
        <f t="shared" si="8"/>
        <v>0</v>
      </c>
      <c r="L53" s="877">
        <f>'3_Levels 1&amp;2'!AW53</f>
        <v>22828632.539999999</v>
      </c>
      <c r="M53" s="1164">
        <f>'3_Levels 1&amp;2'!C53</f>
        <v>3505</v>
      </c>
      <c r="N53" s="1164">
        <f t="shared" si="14"/>
        <v>3505</v>
      </c>
      <c r="O53" s="878">
        <f t="shared" si="9"/>
        <v>6513.1619229671896</v>
      </c>
      <c r="P53" s="879">
        <f t="shared" si="10"/>
        <v>0</v>
      </c>
      <c r="Q53" s="878">
        <v>0</v>
      </c>
      <c r="R53" s="878">
        <f t="shared" si="11"/>
        <v>0</v>
      </c>
      <c r="S53" s="879">
        <f t="shared" si="15"/>
        <v>0</v>
      </c>
    </row>
    <row r="54" spans="1:19" ht="16.149999999999999" customHeight="1" x14ac:dyDescent="0.2">
      <c r="A54" s="873">
        <v>48</v>
      </c>
      <c r="B54" s="874" t="s">
        <v>73</v>
      </c>
      <c r="C54" s="1157">
        <v>0.44386399999999998</v>
      </c>
      <c r="D54" s="875">
        <f>'3_Levels 1&amp;2'!AQ54</f>
        <v>5122.6339362618428</v>
      </c>
      <c r="E54" s="875">
        <f t="shared" si="6"/>
        <v>6743.3542776780187</v>
      </c>
      <c r="F54" s="875">
        <f t="shared" si="7"/>
        <v>8213.7016695402126</v>
      </c>
      <c r="G54" s="876">
        <f t="shared" si="12"/>
        <v>3646</v>
      </c>
      <c r="H54" s="875">
        <v>2832</v>
      </c>
      <c r="I54" s="875">
        <f t="shared" si="2"/>
        <v>814</v>
      </c>
      <c r="J54" s="876">
        <f t="shared" si="13"/>
        <v>204</v>
      </c>
      <c r="K54" s="876">
        <f t="shared" si="8"/>
        <v>3646</v>
      </c>
      <c r="L54" s="877">
        <f>'3_Levels 1&amp;2'!AW54</f>
        <v>26307912.440000001</v>
      </c>
      <c r="M54" s="1164">
        <f>'3_Levels 1&amp;2'!C54</f>
        <v>5805</v>
      </c>
      <c r="N54" s="1164">
        <f t="shared" si="14"/>
        <v>5805.4438639999998</v>
      </c>
      <c r="O54" s="878">
        <f t="shared" si="9"/>
        <v>4531.5936311325604</v>
      </c>
      <c r="P54" s="879">
        <f t="shared" si="10"/>
        <v>2011</v>
      </c>
      <c r="Q54" s="878">
        <v>1562</v>
      </c>
      <c r="R54" s="878">
        <f t="shared" si="11"/>
        <v>449</v>
      </c>
      <c r="S54" s="879">
        <f t="shared" si="15"/>
        <v>112</v>
      </c>
    </row>
    <row r="55" spans="1:19" ht="16.149999999999999" customHeight="1" x14ac:dyDescent="0.2">
      <c r="A55" s="873">
        <v>49</v>
      </c>
      <c r="B55" s="874" t="s">
        <v>51</v>
      </c>
      <c r="C55" s="1157">
        <v>2.4736359999999999</v>
      </c>
      <c r="D55" s="875">
        <f>'3_Levels 1&amp;2'!AQ55</f>
        <v>5961.4994982632188</v>
      </c>
      <c r="E55" s="875">
        <f t="shared" si="6"/>
        <v>7847.6236333069492</v>
      </c>
      <c r="F55" s="875">
        <f t="shared" si="7"/>
        <v>9317.9710251691431</v>
      </c>
      <c r="G55" s="876">
        <f t="shared" si="12"/>
        <v>23049</v>
      </c>
      <c r="H55" s="875">
        <v>15728</v>
      </c>
      <c r="I55" s="875">
        <f t="shared" si="2"/>
        <v>7321</v>
      </c>
      <c r="J55" s="876">
        <f t="shared" si="13"/>
        <v>1830</v>
      </c>
      <c r="K55" s="876">
        <f t="shared" si="8"/>
        <v>23049</v>
      </c>
      <c r="L55" s="877">
        <f>'3_Levels 1&amp;2'!AW55</f>
        <v>37320622</v>
      </c>
      <c r="M55" s="1164">
        <f>'3_Levels 1&amp;2'!C55</f>
        <v>12955</v>
      </c>
      <c r="N55" s="1164">
        <f t="shared" si="14"/>
        <v>12957.473636000001</v>
      </c>
      <c r="O55" s="878">
        <f t="shared" si="9"/>
        <v>2880.2390842850255</v>
      </c>
      <c r="P55" s="879">
        <f t="shared" si="10"/>
        <v>7125</v>
      </c>
      <c r="Q55" s="878">
        <v>4862</v>
      </c>
      <c r="R55" s="878">
        <f t="shared" si="11"/>
        <v>2263</v>
      </c>
      <c r="S55" s="879">
        <f t="shared" si="15"/>
        <v>566</v>
      </c>
    </row>
    <row r="56" spans="1:19" ht="16.149999999999999" customHeight="1" x14ac:dyDescent="0.2">
      <c r="A56" s="880">
        <v>50</v>
      </c>
      <c r="B56" s="881" t="s">
        <v>52</v>
      </c>
      <c r="C56" s="1158">
        <v>0.26631899999999997</v>
      </c>
      <c r="D56" s="882">
        <f>'3_Levels 1&amp;2'!AQ56</f>
        <v>5819.5148890092041</v>
      </c>
      <c r="E56" s="882">
        <f t="shared" si="6"/>
        <v>7660.7173397691786</v>
      </c>
      <c r="F56" s="882">
        <f t="shared" si="7"/>
        <v>9131.0647316313734</v>
      </c>
      <c r="G56" s="883">
        <f t="shared" si="12"/>
        <v>2432</v>
      </c>
      <c r="H56" s="882">
        <v>2208</v>
      </c>
      <c r="I56" s="882">
        <f t="shared" si="2"/>
        <v>224</v>
      </c>
      <c r="J56" s="883">
        <f t="shared" si="13"/>
        <v>56</v>
      </c>
      <c r="K56" s="883">
        <f t="shared" si="8"/>
        <v>2432</v>
      </c>
      <c r="L56" s="884">
        <f>'3_Levels 1&amp;2'!AW56</f>
        <v>26049729.760000002</v>
      </c>
      <c r="M56" s="1165">
        <f>'3_Levels 1&amp;2'!C56</f>
        <v>7388</v>
      </c>
      <c r="N56" s="1165">
        <f t="shared" si="14"/>
        <v>7388.2663190000003</v>
      </c>
      <c r="O56" s="885">
        <f t="shared" si="9"/>
        <v>3525.8244133687135</v>
      </c>
      <c r="P56" s="886">
        <f t="shared" si="10"/>
        <v>939</v>
      </c>
      <c r="Q56" s="885">
        <v>854</v>
      </c>
      <c r="R56" s="885">
        <f t="shared" si="11"/>
        <v>85</v>
      </c>
      <c r="S56" s="886">
        <f t="shared" si="15"/>
        <v>21</v>
      </c>
    </row>
    <row r="57" spans="1:19" ht="16.149999999999999" customHeight="1" x14ac:dyDescent="0.2">
      <c r="A57" s="864">
        <v>51</v>
      </c>
      <c r="B57" s="865" t="s">
        <v>53</v>
      </c>
      <c r="C57" s="1156">
        <v>0.754158</v>
      </c>
      <c r="D57" s="866">
        <f>'3_Levels 1&amp;2'!AQ57</f>
        <v>5919.2544631939345</v>
      </c>
      <c r="E57" s="866">
        <f t="shared" si="6"/>
        <v>7792.0129374247836</v>
      </c>
      <c r="F57" s="866">
        <f t="shared" si="7"/>
        <v>9262.3603292869775</v>
      </c>
      <c r="G57" s="867">
        <f t="shared" si="12"/>
        <v>6985</v>
      </c>
      <c r="H57" s="868">
        <v>4008</v>
      </c>
      <c r="I57" s="868">
        <f t="shared" si="2"/>
        <v>2977</v>
      </c>
      <c r="J57" s="869">
        <f t="shared" si="13"/>
        <v>744</v>
      </c>
      <c r="K57" s="867">
        <f t="shared" si="8"/>
        <v>6985</v>
      </c>
      <c r="L57" s="870">
        <f>'3_Levels 1&amp;2'!AW57</f>
        <v>32268307.18</v>
      </c>
      <c r="M57" s="1163">
        <f>'3_Levels 1&amp;2'!C57</f>
        <v>8178</v>
      </c>
      <c r="N57" s="1163">
        <f t="shared" si="14"/>
        <v>8178.7541579999997</v>
      </c>
      <c r="O57" s="871">
        <f t="shared" si="9"/>
        <v>3945.3817239923942</v>
      </c>
      <c r="P57" s="872">
        <f t="shared" si="10"/>
        <v>2975</v>
      </c>
      <c r="Q57" s="871">
        <v>1706</v>
      </c>
      <c r="R57" s="871">
        <f t="shared" si="11"/>
        <v>1269</v>
      </c>
      <c r="S57" s="872">
        <f t="shared" si="15"/>
        <v>317</v>
      </c>
    </row>
    <row r="58" spans="1:19" ht="16.149999999999999" customHeight="1" x14ac:dyDescent="0.2">
      <c r="A58" s="873">
        <v>52</v>
      </c>
      <c r="B58" s="874" t="s">
        <v>54</v>
      </c>
      <c r="C58" s="1157">
        <v>4.6866849999999998</v>
      </c>
      <c r="D58" s="875">
        <f>'3_Levels 1&amp;2'!AQ58</f>
        <v>5851.2456633725824</v>
      </c>
      <c r="E58" s="875">
        <f t="shared" si="6"/>
        <v>7702.4872291853762</v>
      </c>
      <c r="F58" s="875">
        <f t="shared" si="7"/>
        <v>9172.834621047572</v>
      </c>
      <c r="G58" s="876">
        <f t="shared" si="12"/>
        <v>42990</v>
      </c>
      <c r="H58" s="875">
        <v>30010</v>
      </c>
      <c r="I58" s="875">
        <f t="shared" si="2"/>
        <v>12980</v>
      </c>
      <c r="J58" s="876">
        <f t="shared" si="13"/>
        <v>3245</v>
      </c>
      <c r="K58" s="876">
        <f t="shared" si="8"/>
        <v>42990</v>
      </c>
      <c r="L58" s="877">
        <f>'3_Levels 1&amp;2'!AW58</f>
        <v>146577215.38</v>
      </c>
      <c r="M58" s="1164">
        <f>'3_Levels 1&amp;2'!C58</f>
        <v>38048</v>
      </c>
      <c r="N58" s="1164">
        <f t="shared" si="14"/>
        <v>38052.686685000001</v>
      </c>
      <c r="O58" s="878">
        <f>L58/N58</f>
        <v>3851.9544386803918</v>
      </c>
      <c r="P58" s="879">
        <f t="shared" si="10"/>
        <v>18053</v>
      </c>
      <c r="Q58" s="878">
        <v>12602</v>
      </c>
      <c r="R58" s="878">
        <f t="shared" si="11"/>
        <v>5451</v>
      </c>
      <c r="S58" s="879">
        <f t="shared" si="15"/>
        <v>1363</v>
      </c>
    </row>
    <row r="59" spans="1:19" ht="16.149999999999999" customHeight="1" x14ac:dyDescent="0.2">
      <c r="A59" s="873">
        <v>53</v>
      </c>
      <c r="B59" s="874" t="s">
        <v>55</v>
      </c>
      <c r="C59" s="1157">
        <v>3.1174940000000002</v>
      </c>
      <c r="D59" s="875">
        <f>'3_Levels 1&amp;2'!AQ59</f>
        <v>6086.6274215269868</v>
      </c>
      <c r="E59" s="875">
        <f t="shared" si="6"/>
        <v>8012.3400520665982</v>
      </c>
      <c r="F59" s="875">
        <f t="shared" si="7"/>
        <v>9482.6874439287931</v>
      </c>
      <c r="G59" s="876">
        <f t="shared" si="12"/>
        <v>29562</v>
      </c>
      <c r="H59" s="875">
        <v>20442</v>
      </c>
      <c r="I59" s="875">
        <f t="shared" si="2"/>
        <v>9120</v>
      </c>
      <c r="J59" s="876">
        <f t="shared" si="13"/>
        <v>2280</v>
      </c>
      <c r="K59" s="876">
        <f t="shared" si="8"/>
        <v>29562</v>
      </c>
      <c r="L59" s="877">
        <f>'3_Levels 1&amp;2'!AW59</f>
        <v>52238918</v>
      </c>
      <c r="M59" s="1164">
        <f>'3_Levels 1&amp;2'!C59</f>
        <v>19306</v>
      </c>
      <c r="N59" s="1164">
        <f t="shared" si="14"/>
        <v>19309.117493999998</v>
      </c>
      <c r="O59" s="878">
        <f t="shared" si="9"/>
        <v>2705.4016329970759</v>
      </c>
      <c r="P59" s="879">
        <f t="shared" si="10"/>
        <v>8434</v>
      </c>
      <c r="Q59" s="878">
        <v>5832</v>
      </c>
      <c r="R59" s="878">
        <f t="shared" si="11"/>
        <v>2602</v>
      </c>
      <c r="S59" s="879">
        <f t="shared" si="15"/>
        <v>651</v>
      </c>
    </row>
    <row r="60" spans="1:19" ht="16.149999999999999" customHeight="1" x14ac:dyDescent="0.2">
      <c r="A60" s="873">
        <v>54</v>
      </c>
      <c r="B60" s="874" t="s">
        <v>56</v>
      </c>
      <c r="C60" s="1157">
        <v>0</v>
      </c>
      <c r="D60" s="875">
        <f>'3_Levels 1&amp;2'!AQ60</f>
        <v>6318.4628820960697</v>
      </c>
      <c r="E60" s="875">
        <f t="shared" si="6"/>
        <v>8317.5245849061248</v>
      </c>
      <c r="F60" s="875">
        <f t="shared" si="7"/>
        <v>9787.8719767683197</v>
      </c>
      <c r="G60" s="876">
        <f t="shared" si="12"/>
        <v>0</v>
      </c>
      <c r="H60" s="875">
        <v>0</v>
      </c>
      <c r="I60" s="875">
        <f t="shared" si="2"/>
        <v>0</v>
      </c>
      <c r="J60" s="876">
        <f t="shared" si="13"/>
        <v>0</v>
      </c>
      <c r="K60" s="876">
        <f t="shared" si="8"/>
        <v>0</v>
      </c>
      <c r="L60" s="877">
        <f>'3_Levels 1&amp;2'!AW60</f>
        <v>2292606.2000000002</v>
      </c>
      <c r="M60" s="1164">
        <f>'3_Levels 1&amp;2'!C60</f>
        <v>458</v>
      </c>
      <c r="N60" s="1164">
        <f t="shared" si="14"/>
        <v>458</v>
      </c>
      <c r="O60" s="878">
        <f t="shared" si="9"/>
        <v>5005.6903930131011</v>
      </c>
      <c r="P60" s="879">
        <f t="shared" si="10"/>
        <v>0</v>
      </c>
      <c r="Q60" s="878">
        <v>0</v>
      </c>
      <c r="R60" s="878">
        <f t="shared" si="11"/>
        <v>0</v>
      </c>
      <c r="S60" s="879">
        <f t="shared" si="15"/>
        <v>0</v>
      </c>
    </row>
    <row r="61" spans="1:19" ht="16.149999999999999" customHeight="1" x14ac:dyDescent="0.2">
      <c r="A61" s="880">
        <v>55</v>
      </c>
      <c r="B61" s="881" t="s">
        <v>57</v>
      </c>
      <c r="C61" s="1158">
        <v>5.6116349999999997</v>
      </c>
      <c r="D61" s="882">
        <f>'3_Levels 1&amp;2'!AQ61</f>
        <v>5565.2042835595776</v>
      </c>
      <c r="E61" s="882">
        <f t="shared" si="6"/>
        <v>7325.9468817479183</v>
      </c>
      <c r="F61" s="882">
        <f t="shared" si="7"/>
        <v>8796.294273610114</v>
      </c>
      <c r="G61" s="883">
        <f t="shared" si="12"/>
        <v>49362</v>
      </c>
      <c r="H61" s="882">
        <v>31696</v>
      </c>
      <c r="I61" s="882">
        <f t="shared" si="2"/>
        <v>17666</v>
      </c>
      <c r="J61" s="883">
        <f t="shared" si="13"/>
        <v>4417</v>
      </c>
      <c r="K61" s="883">
        <f t="shared" si="8"/>
        <v>49362</v>
      </c>
      <c r="L61" s="884">
        <f>'3_Levels 1&amp;2'!AW61</f>
        <v>61892684.32</v>
      </c>
      <c r="M61" s="1165">
        <f>'3_Levels 1&amp;2'!C61</f>
        <v>16575</v>
      </c>
      <c r="N61" s="1165">
        <f t="shared" si="14"/>
        <v>16580.611635000001</v>
      </c>
      <c r="O61" s="885">
        <f t="shared" si="9"/>
        <v>3732.8348122786242</v>
      </c>
      <c r="P61" s="886">
        <f t="shared" si="10"/>
        <v>20947</v>
      </c>
      <c r="Q61" s="885">
        <v>13450</v>
      </c>
      <c r="R61" s="885">
        <f t="shared" si="11"/>
        <v>7497</v>
      </c>
      <c r="S61" s="886">
        <f t="shared" si="15"/>
        <v>1874</v>
      </c>
    </row>
    <row r="62" spans="1:19" ht="16.149999999999999" customHeight="1" x14ac:dyDescent="0.2">
      <c r="A62" s="864">
        <v>56</v>
      </c>
      <c r="B62" s="865" t="s">
        <v>58</v>
      </c>
      <c r="C62" s="1156">
        <v>0</v>
      </c>
      <c r="D62" s="866">
        <f>'3_Levels 1&amp;2'!AQ62</f>
        <v>6780.6988313856427</v>
      </c>
      <c r="E62" s="866">
        <f t="shared" si="6"/>
        <v>8926.0046763438113</v>
      </c>
      <c r="F62" s="866">
        <f t="shared" si="7"/>
        <v>10396.352068206006</v>
      </c>
      <c r="G62" s="867">
        <f t="shared" si="12"/>
        <v>0</v>
      </c>
      <c r="H62" s="868">
        <v>0</v>
      </c>
      <c r="I62" s="868">
        <f t="shared" si="2"/>
        <v>0</v>
      </c>
      <c r="J62" s="869">
        <f t="shared" si="13"/>
        <v>0</v>
      </c>
      <c r="K62" s="867">
        <f t="shared" si="8"/>
        <v>0</v>
      </c>
      <c r="L62" s="870">
        <f>'3_Levels 1&amp;2'!AW62</f>
        <v>10412406.48</v>
      </c>
      <c r="M62" s="1163">
        <f>'3_Levels 1&amp;2'!C62</f>
        <v>2995</v>
      </c>
      <c r="N62" s="1163">
        <f t="shared" si="14"/>
        <v>2995</v>
      </c>
      <c r="O62" s="871">
        <f t="shared" si="9"/>
        <v>3476.5964874791321</v>
      </c>
      <c r="P62" s="872">
        <f t="shared" si="10"/>
        <v>0</v>
      </c>
      <c r="Q62" s="871">
        <v>0</v>
      </c>
      <c r="R62" s="871">
        <f t="shared" si="11"/>
        <v>0</v>
      </c>
      <c r="S62" s="872">
        <f t="shared" si="15"/>
        <v>0</v>
      </c>
    </row>
    <row r="63" spans="1:19" ht="16.149999999999999" customHeight="1" x14ac:dyDescent="0.2">
      <c r="A63" s="873">
        <v>57</v>
      </c>
      <c r="B63" s="874" t="s">
        <v>59</v>
      </c>
      <c r="C63" s="1157">
        <v>2.525795</v>
      </c>
      <c r="D63" s="875">
        <f>'3_Levels 1&amp;2'!AQ63</f>
        <v>6200.3039699570818</v>
      </c>
      <c r="E63" s="875">
        <f t="shared" si="6"/>
        <v>8161.9820621468925</v>
      </c>
      <c r="F63" s="875">
        <f t="shared" si="7"/>
        <v>9632.3294540090865</v>
      </c>
      <c r="G63" s="876">
        <f t="shared" si="12"/>
        <v>24329</v>
      </c>
      <c r="H63" s="875">
        <v>15840</v>
      </c>
      <c r="I63" s="875">
        <f t="shared" si="2"/>
        <v>8489</v>
      </c>
      <c r="J63" s="876">
        <f t="shared" si="13"/>
        <v>2122</v>
      </c>
      <c r="K63" s="876">
        <f t="shared" si="8"/>
        <v>24329</v>
      </c>
      <c r="L63" s="877">
        <f>'3_Levels 1&amp;2'!AW63</f>
        <v>24230039</v>
      </c>
      <c r="M63" s="1164">
        <f>'3_Levels 1&amp;2'!C63</f>
        <v>9320</v>
      </c>
      <c r="N63" s="1164">
        <f t="shared" si="14"/>
        <v>9322.5257949999996</v>
      </c>
      <c r="O63" s="878">
        <f t="shared" si="9"/>
        <v>2599.0852192648722</v>
      </c>
      <c r="P63" s="879">
        <f t="shared" si="10"/>
        <v>6565</v>
      </c>
      <c r="Q63" s="878">
        <v>4272</v>
      </c>
      <c r="R63" s="878">
        <f t="shared" si="11"/>
        <v>2293</v>
      </c>
      <c r="S63" s="879">
        <f t="shared" si="15"/>
        <v>573</v>
      </c>
    </row>
    <row r="64" spans="1:19" ht="16.149999999999999" customHeight="1" x14ac:dyDescent="0.2">
      <c r="A64" s="873">
        <v>58</v>
      </c>
      <c r="B64" s="874" t="s">
        <v>60</v>
      </c>
      <c r="C64" s="1157">
        <v>1.045148</v>
      </c>
      <c r="D64" s="875">
        <f>'3_Levels 1&amp;2'!AQ64</f>
        <v>6783.3416489958836</v>
      </c>
      <c r="E64" s="875">
        <f t="shared" si="6"/>
        <v>8929.483639638649</v>
      </c>
      <c r="F64" s="875">
        <f t="shared" si="7"/>
        <v>10399.831031500844</v>
      </c>
      <c r="G64" s="876">
        <f t="shared" si="12"/>
        <v>10869</v>
      </c>
      <c r="H64" s="875">
        <v>7160</v>
      </c>
      <c r="I64" s="875">
        <f t="shared" si="2"/>
        <v>3709</v>
      </c>
      <c r="J64" s="876">
        <f t="shared" si="13"/>
        <v>927</v>
      </c>
      <c r="K64" s="876">
        <f t="shared" si="8"/>
        <v>10869</v>
      </c>
      <c r="L64" s="877">
        <f>'3_Levels 1&amp;2'!AW64</f>
        <v>20160668</v>
      </c>
      <c r="M64" s="1164">
        <f>'3_Levels 1&amp;2'!C64</f>
        <v>8017</v>
      </c>
      <c r="N64" s="1164">
        <f t="shared" si="14"/>
        <v>8018.0451480000002</v>
      </c>
      <c r="O64" s="878">
        <f t="shared" si="9"/>
        <v>2514.4118831793835</v>
      </c>
      <c r="P64" s="879">
        <f t="shared" si="10"/>
        <v>2628</v>
      </c>
      <c r="Q64" s="878">
        <v>1730</v>
      </c>
      <c r="R64" s="878">
        <f t="shared" si="11"/>
        <v>898</v>
      </c>
      <c r="S64" s="879">
        <f t="shared" si="15"/>
        <v>225</v>
      </c>
    </row>
    <row r="65" spans="1:19" ht="16.149999999999999" customHeight="1" x14ac:dyDescent="0.2">
      <c r="A65" s="873">
        <v>59</v>
      </c>
      <c r="B65" s="874" t="s">
        <v>61</v>
      </c>
      <c r="C65" s="1157">
        <v>0.81723199999999996</v>
      </c>
      <c r="D65" s="875">
        <f>'3_Levels 1&amp;2'!AQ65</f>
        <v>7384.2284284284287</v>
      </c>
      <c r="E65" s="875">
        <f t="shared" si="6"/>
        <v>9720.4814905300791</v>
      </c>
      <c r="F65" s="875">
        <f t="shared" si="7"/>
        <v>11190.828882392274</v>
      </c>
      <c r="G65" s="876">
        <f t="shared" si="12"/>
        <v>9146</v>
      </c>
      <c r="H65" s="875">
        <v>5296</v>
      </c>
      <c r="I65" s="875">
        <f t="shared" si="2"/>
        <v>3850</v>
      </c>
      <c r="J65" s="876">
        <f t="shared" si="13"/>
        <v>963</v>
      </c>
      <c r="K65" s="876">
        <f t="shared" si="8"/>
        <v>9146</v>
      </c>
      <c r="L65" s="877">
        <f>'3_Levels 1&amp;2'!AW65</f>
        <v>8011466</v>
      </c>
      <c r="M65" s="1164">
        <f>'3_Levels 1&amp;2'!C65</f>
        <v>4995</v>
      </c>
      <c r="N65" s="1164">
        <f t="shared" si="14"/>
        <v>4995.8172320000003</v>
      </c>
      <c r="O65" s="878">
        <f t="shared" si="9"/>
        <v>1603.6347264034578</v>
      </c>
      <c r="P65" s="879">
        <f t="shared" si="10"/>
        <v>1311</v>
      </c>
      <c r="Q65" s="878">
        <v>760</v>
      </c>
      <c r="R65" s="878">
        <f t="shared" si="11"/>
        <v>551</v>
      </c>
      <c r="S65" s="879">
        <f t="shared" si="15"/>
        <v>138</v>
      </c>
    </row>
    <row r="66" spans="1:19" ht="16.149999999999999" customHeight="1" x14ac:dyDescent="0.2">
      <c r="A66" s="880">
        <v>60</v>
      </c>
      <c r="B66" s="881" t="s">
        <v>62</v>
      </c>
      <c r="C66" s="1158">
        <v>0.16188</v>
      </c>
      <c r="D66" s="882">
        <f>'3_Levels 1&amp;2'!AQ66</f>
        <v>6430.8981338811845</v>
      </c>
      <c r="E66" s="882">
        <f t="shared" si="6"/>
        <v>8465.5325717192991</v>
      </c>
      <c r="F66" s="882">
        <f t="shared" si="7"/>
        <v>9935.8799635814939</v>
      </c>
      <c r="G66" s="883">
        <f t="shared" si="12"/>
        <v>1608</v>
      </c>
      <c r="H66" s="882">
        <v>930</v>
      </c>
      <c r="I66" s="882">
        <f t="shared" si="2"/>
        <v>678</v>
      </c>
      <c r="J66" s="883">
        <f t="shared" si="13"/>
        <v>170</v>
      </c>
      <c r="K66" s="883">
        <f t="shared" si="8"/>
        <v>1608</v>
      </c>
      <c r="L66" s="884">
        <f>'3_Levels 1&amp;2'!AW66</f>
        <v>20652635.460000001</v>
      </c>
      <c r="M66" s="1165">
        <f>'3_Levels 1&amp;2'!C66</f>
        <v>5841</v>
      </c>
      <c r="N66" s="1165">
        <f t="shared" si="14"/>
        <v>5841.1618799999997</v>
      </c>
      <c r="O66" s="885">
        <f t="shared" si="9"/>
        <v>3535.7067453847044</v>
      </c>
      <c r="P66" s="886">
        <f t="shared" si="10"/>
        <v>572</v>
      </c>
      <c r="Q66" s="885">
        <v>330</v>
      </c>
      <c r="R66" s="885">
        <f t="shared" si="11"/>
        <v>242</v>
      </c>
      <c r="S66" s="886">
        <f t="shared" si="15"/>
        <v>61</v>
      </c>
    </row>
    <row r="67" spans="1:19" ht="16.149999999999999" customHeight="1" x14ac:dyDescent="0.2">
      <c r="A67" s="864">
        <v>61</v>
      </c>
      <c r="B67" s="865" t="s">
        <v>63</v>
      </c>
      <c r="C67" s="1156">
        <v>0</v>
      </c>
      <c r="D67" s="866">
        <f>'3_Levels 1&amp;2'!AQ67</f>
        <v>3990.6392657621709</v>
      </c>
      <c r="E67" s="866">
        <f t="shared" si="6"/>
        <v>5253.2144006925755</v>
      </c>
      <c r="F67" s="866">
        <f t="shared" si="7"/>
        <v>6723.5617925547704</v>
      </c>
      <c r="G67" s="867">
        <f t="shared" si="12"/>
        <v>0</v>
      </c>
      <c r="H67" s="868">
        <v>0</v>
      </c>
      <c r="I67" s="868">
        <f t="shared" si="2"/>
        <v>0</v>
      </c>
      <c r="J67" s="869">
        <f t="shared" si="13"/>
        <v>0</v>
      </c>
      <c r="K67" s="867">
        <f t="shared" si="8"/>
        <v>0</v>
      </c>
      <c r="L67" s="870">
        <f>'3_Levels 1&amp;2'!AW67</f>
        <v>19932166.02</v>
      </c>
      <c r="M67" s="1163">
        <f>'3_Levels 1&amp;2'!C67</f>
        <v>3759</v>
      </c>
      <c r="N67" s="1163">
        <f t="shared" si="14"/>
        <v>3759</v>
      </c>
      <c r="O67" s="871">
        <f t="shared" si="9"/>
        <v>5302.5182282521946</v>
      </c>
      <c r="P67" s="872">
        <f t="shared" si="10"/>
        <v>0</v>
      </c>
      <c r="Q67" s="871">
        <v>0</v>
      </c>
      <c r="R67" s="871">
        <f t="shared" si="11"/>
        <v>0</v>
      </c>
      <c r="S67" s="872">
        <f t="shared" si="15"/>
        <v>0</v>
      </c>
    </row>
    <row r="68" spans="1:19" ht="16.149999999999999" customHeight="1" x14ac:dyDescent="0.2">
      <c r="A68" s="873">
        <v>62</v>
      </c>
      <c r="B68" s="874" t="s">
        <v>64</v>
      </c>
      <c r="C68" s="1157">
        <v>0.73368100000000003</v>
      </c>
      <c r="D68" s="875">
        <f>'3_Levels 1&amp;2'!AQ68</f>
        <v>6814.9654088050311</v>
      </c>
      <c r="E68" s="875">
        <f t="shared" si="6"/>
        <v>8971.112656788544</v>
      </c>
      <c r="F68" s="875">
        <f t="shared" si="7"/>
        <v>10441.460048650739</v>
      </c>
      <c r="G68" s="876">
        <f t="shared" si="12"/>
        <v>7661</v>
      </c>
      <c r="H68" s="875">
        <v>4434</v>
      </c>
      <c r="I68" s="875">
        <f t="shared" si="2"/>
        <v>3227</v>
      </c>
      <c r="J68" s="876">
        <f t="shared" si="13"/>
        <v>807</v>
      </c>
      <c r="K68" s="876">
        <f t="shared" si="8"/>
        <v>7661</v>
      </c>
      <c r="L68" s="877">
        <f>'3_Levels 1&amp;2'!AW68</f>
        <v>4493926</v>
      </c>
      <c r="M68" s="1164">
        <f>'3_Levels 1&amp;2'!C68</f>
        <v>1908</v>
      </c>
      <c r="N68" s="1164">
        <f t="shared" si="14"/>
        <v>1908.7336809999999</v>
      </c>
      <c r="O68" s="878">
        <f t="shared" si="9"/>
        <v>2354.4017925253975</v>
      </c>
      <c r="P68" s="879">
        <f t="shared" si="10"/>
        <v>1727</v>
      </c>
      <c r="Q68" s="878">
        <v>1000</v>
      </c>
      <c r="R68" s="878">
        <f t="shared" si="11"/>
        <v>727</v>
      </c>
      <c r="S68" s="879">
        <f t="shared" si="15"/>
        <v>182</v>
      </c>
    </row>
    <row r="69" spans="1:19" ht="16.149999999999999" customHeight="1" x14ac:dyDescent="0.2">
      <c r="A69" s="873">
        <v>63</v>
      </c>
      <c r="B69" s="874" t="s">
        <v>65</v>
      </c>
      <c r="C69" s="1157">
        <v>0</v>
      </c>
      <c r="D69" s="875">
        <f>'3_Levels 1&amp;2'!AQ69</f>
        <v>4415.4486025580291</v>
      </c>
      <c r="E69" s="875">
        <f t="shared" si="6"/>
        <v>5812.426691502942</v>
      </c>
      <c r="F69" s="875">
        <f t="shared" si="7"/>
        <v>7282.7740833651369</v>
      </c>
      <c r="G69" s="876">
        <f t="shared" si="12"/>
        <v>0</v>
      </c>
      <c r="H69" s="875">
        <v>0</v>
      </c>
      <c r="I69" s="875">
        <f t="shared" si="2"/>
        <v>0</v>
      </c>
      <c r="J69" s="876">
        <f t="shared" si="13"/>
        <v>0</v>
      </c>
      <c r="K69" s="876">
        <f t="shared" si="8"/>
        <v>0</v>
      </c>
      <c r="L69" s="877">
        <f>'3_Levels 1&amp;2'!AW69</f>
        <v>11151073.76</v>
      </c>
      <c r="M69" s="1164">
        <f>'3_Levels 1&amp;2'!C69</f>
        <v>2111</v>
      </c>
      <c r="N69" s="1164">
        <f t="shared" si="14"/>
        <v>2111</v>
      </c>
      <c r="O69" s="878">
        <f t="shared" si="9"/>
        <v>5282.3655897678827</v>
      </c>
      <c r="P69" s="879">
        <f t="shared" si="10"/>
        <v>0</v>
      </c>
      <c r="Q69" s="878">
        <v>0</v>
      </c>
      <c r="R69" s="878">
        <f t="shared" si="11"/>
        <v>0</v>
      </c>
      <c r="S69" s="879">
        <f t="shared" si="15"/>
        <v>0</v>
      </c>
    </row>
    <row r="70" spans="1:19" ht="16.149999999999999" customHeight="1" x14ac:dyDescent="0.2">
      <c r="A70" s="873">
        <v>64</v>
      </c>
      <c r="B70" s="874" t="s">
        <v>66</v>
      </c>
      <c r="C70" s="1157">
        <v>0</v>
      </c>
      <c r="D70" s="875">
        <f>'3_Levels 1&amp;2'!AQ70</f>
        <v>7230.3039408866998</v>
      </c>
      <c r="E70" s="875">
        <f t="shared" si="6"/>
        <v>9517.8577300937905</v>
      </c>
      <c r="F70" s="875">
        <f t="shared" si="7"/>
        <v>10988.205121955985</v>
      </c>
      <c r="G70" s="876">
        <f t="shared" si="12"/>
        <v>0</v>
      </c>
      <c r="H70" s="875">
        <v>0</v>
      </c>
      <c r="I70" s="875">
        <f t="shared" si="2"/>
        <v>0</v>
      </c>
      <c r="J70" s="876">
        <f t="shared" si="13"/>
        <v>0</v>
      </c>
      <c r="K70" s="876">
        <f t="shared" si="8"/>
        <v>0</v>
      </c>
      <c r="L70" s="877">
        <f>'3_Levels 1&amp;2'!AW70</f>
        <v>7373487.4000000004</v>
      </c>
      <c r="M70" s="1164">
        <f>'3_Levels 1&amp;2'!C70</f>
        <v>2030</v>
      </c>
      <c r="N70" s="1164">
        <f t="shared" si="14"/>
        <v>2030</v>
      </c>
      <c r="O70" s="878">
        <f t="shared" si="9"/>
        <v>3632.2598029556652</v>
      </c>
      <c r="P70" s="879">
        <f t="shared" si="10"/>
        <v>0</v>
      </c>
      <c r="Q70" s="878">
        <v>0</v>
      </c>
      <c r="R70" s="878">
        <f t="shared" si="11"/>
        <v>0</v>
      </c>
      <c r="S70" s="879">
        <f t="shared" si="15"/>
        <v>0</v>
      </c>
    </row>
    <row r="71" spans="1:19" ht="16.149999999999999" customHeight="1" x14ac:dyDescent="0.2">
      <c r="A71" s="880">
        <v>65</v>
      </c>
      <c r="B71" s="881" t="s">
        <v>67</v>
      </c>
      <c r="C71" s="1158">
        <v>1.548303</v>
      </c>
      <c r="D71" s="882">
        <f>'3_Levels 1&amp;2'!AQ71</f>
        <v>5840.2426415094342</v>
      </c>
      <c r="E71" s="882">
        <f t="shared" si="6"/>
        <v>7688.0030252638317</v>
      </c>
      <c r="F71" s="882">
        <f t="shared" si="7"/>
        <v>9158.3504171260265</v>
      </c>
      <c r="G71" s="883">
        <f>ROUND(C71*F71,0)</f>
        <v>14180</v>
      </c>
      <c r="H71" s="882">
        <v>9816</v>
      </c>
      <c r="I71" s="882">
        <f>G71-H71</f>
        <v>4364</v>
      </c>
      <c r="J71" s="883">
        <f>ROUND(I71/$J$86,0)</f>
        <v>1091</v>
      </c>
      <c r="K71" s="883">
        <f t="shared" si="8"/>
        <v>14180</v>
      </c>
      <c r="L71" s="884">
        <f>'3_Levels 1&amp;2'!AW71</f>
        <v>32930608.600000001</v>
      </c>
      <c r="M71" s="1165">
        <f>'3_Levels 1&amp;2'!C71</f>
        <v>7950</v>
      </c>
      <c r="N71" s="1165">
        <f>C71+M71</f>
        <v>7951.5483029999996</v>
      </c>
      <c r="O71" s="885">
        <f t="shared" si="9"/>
        <v>4141.4083578635591</v>
      </c>
      <c r="P71" s="886">
        <f t="shared" si="10"/>
        <v>6412</v>
      </c>
      <c r="Q71" s="885">
        <v>4440</v>
      </c>
      <c r="R71" s="885">
        <f t="shared" si="11"/>
        <v>1972</v>
      </c>
      <c r="S71" s="886">
        <f>ROUND(R71/$S$86,0)</f>
        <v>493</v>
      </c>
    </row>
    <row r="72" spans="1:19" ht="16.149999999999999" customHeight="1" x14ac:dyDescent="0.2">
      <c r="A72" s="864">
        <v>66</v>
      </c>
      <c r="B72" s="865" t="s">
        <v>68</v>
      </c>
      <c r="C72" s="1156">
        <v>0</v>
      </c>
      <c r="D72" s="866">
        <f>'3_Levels 1&amp;2'!AQ72</f>
        <v>7211.2939279957009</v>
      </c>
      <c r="E72" s="866">
        <f>D72*(1+$E$3)</f>
        <v>9492.8332498474483</v>
      </c>
      <c r="F72" s="866">
        <f>E72+$F$3</f>
        <v>10963.180641709643</v>
      </c>
      <c r="G72" s="867">
        <f>ROUND(C72*F72,0)</f>
        <v>0</v>
      </c>
      <c r="H72" s="868">
        <v>0</v>
      </c>
      <c r="I72" s="868">
        <f>G72-H72</f>
        <v>0</v>
      </c>
      <c r="J72" s="869">
        <f>ROUND(I72/$J$86,0)</f>
        <v>0</v>
      </c>
      <c r="K72" s="867">
        <f>G72</f>
        <v>0</v>
      </c>
      <c r="L72" s="870">
        <f>'3_Levels 1&amp;2'!AW72</f>
        <v>8001732.3799999999</v>
      </c>
      <c r="M72" s="1163">
        <f>'3_Levels 1&amp;2'!C72</f>
        <v>1861</v>
      </c>
      <c r="N72" s="1163">
        <f>C72+M72</f>
        <v>1861</v>
      </c>
      <c r="O72" s="871">
        <f>L72/N72</f>
        <v>4299.6949919398176</v>
      </c>
      <c r="P72" s="872">
        <f>ROUND(C72*O72,0)</f>
        <v>0</v>
      </c>
      <c r="Q72" s="871">
        <v>0</v>
      </c>
      <c r="R72" s="871">
        <f>P72-Q72</f>
        <v>0</v>
      </c>
      <c r="S72" s="872">
        <f>ROUND(R72/$S$86,0)</f>
        <v>0</v>
      </c>
    </row>
    <row r="73" spans="1:19" ht="16.149999999999999" customHeight="1" x14ac:dyDescent="0.2">
      <c r="A73" s="873">
        <v>67</v>
      </c>
      <c r="B73" s="874" t="s">
        <v>2</v>
      </c>
      <c r="C73" s="1157">
        <v>0.221057</v>
      </c>
      <c r="D73" s="875">
        <f>'3_Levels 1&amp;2'!AQ73</f>
        <v>6130.0120724346079</v>
      </c>
      <c r="E73" s="875">
        <f>D73*(1+$E$3)</f>
        <v>8069.4509202105291</v>
      </c>
      <c r="F73" s="875">
        <f>E73+$F$3</f>
        <v>9539.798312072724</v>
      </c>
      <c r="G73" s="876">
        <f>ROUND(C73*F73,0)</f>
        <v>2109</v>
      </c>
      <c r="H73" s="875">
        <v>1210</v>
      </c>
      <c r="I73" s="875">
        <f>G73-H73</f>
        <v>899</v>
      </c>
      <c r="J73" s="876">
        <f>ROUND(I73/$J$86,0)</f>
        <v>225</v>
      </c>
      <c r="K73" s="876">
        <f>G73</f>
        <v>2109</v>
      </c>
      <c r="L73" s="877">
        <f>'3_Levels 1&amp;2'!AW73</f>
        <v>18286550.039999999</v>
      </c>
      <c r="M73" s="1164">
        <f>'3_Levels 1&amp;2'!C73</f>
        <v>5467</v>
      </c>
      <c r="N73" s="1164">
        <f>C73+M73</f>
        <v>5467.2210569999997</v>
      </c>
      <c r="O73" s="878">
        <f>L73/N73</f>
        <v>3344.7614152324554</v>
      </c>
      <c r="P73" s="879">
        <f>ROUND(C73*O73,0)</f>
        <v>739</v>
      </c>
      <c r="Q73" s="878">
        <v>424</v>
      </c>
      <c r="R73" s="878">
        <f>P73-Q73</f>
        <v>315</v>
      </c>
      <c r="S73" s="879">
        <f>ROUND(R73/$S$86,0)</f>
        <v>79</v>
      </c>
    </row>
    <row r="74" spans="1:19" ht="16.149999999999999" customHeight="1" x14ac:dyDescent="0.2">
      <c r="A74" s="873">
        <v>68</v>
      </c>
      <c r="B74" s="887" t="s">
        <v>1</v>
      </c>
      <c r="C74" s="1157">
        <v>0.65796299999999996</v>
      </c>
      <c r="D74" s="875">
        <f>'3_Levels 1&amp;2'!AQ74</f>
        <v>7508.8761467889908</v>
      </c>
      <c r="E74" s="875">
        <f>D74*(1+$E$3)</f>
        <v>9884.5657751516082</v>
      </c>
      <c r="F74" s="875">
        <f>E74+$F$3</f>
        <v>11354.913167013803</v>
      </c>
      <c r="G74" s="876">
        <f>ROUND(C74*F74,0)</f>
        <v>7471</v>
      </c>
      <c r="H74" s="875">
        <v>5320</v>
      </c>
      <c r="I74" s="875">
        <f>G74-H74</f>
        <v>2151</v>
      </c>
      <c r="J74" s="876">
        <f>ROUND(I74/$J$86,0)</f>
        <v>538</v>
      </c>
      <c r="K74" s="876">
        <f>G74</f>
        <v>7471</v>
      </c>
      <c r="L74" s="877">
        <f>'3_Levels 1&amp;2'!AW74</f>
        <v>5622569</v>
      </c>
      <c r="M74" s="1164">
        <f>'3_Levels 1&amp;2'!C74</f>
        <v>1744</v>
      </c>
      <c r="N74" s="1164">
        <f>C74+M74</f>
        <v>1744.6579630000001</v>
      </c>
      <c r="O74" s="878">
        <f>L74/N74</f>
        <v>3222.7342661089838</v>
      </c>
      <c r="P74" s="879">
        <f>ROUND(C74*O74,0)</f>
        <v>2120</v>
      </c>
      <c r="Q74" s="878">
        <v>1512</v>
      </c>
      <c r="R74" s="878">
        <f>P74-Q74</f>
        <v>608</v>
      </c>
      <c r="S74" s="879">
        <f>ROUND(R74/$S$86,0)</f>
        <v>152</v>
      </c>
    </row>
    <row r="75" spans="1:19" ht="16.149999999999999" customHeight="1" x14ac:dyDescent="0.2">
      <c r="A75" s="873">
        <v>69</v>
      </c>
      <c r="B75" s="874" t="s">
        <v>74</v>
      </c>
      <c r="C75" s="1157">
        <v>0</v>
      </c>
      <c r="D75" s="875">
        <f>'3_Levels 1&amp;2'!AQ75</f>
        <v>6790.4046386415403</v>
      </c>
      <c r="E75" s="875">
        <f>D75*(1+$E$3)</f>
        <v>8938.7812474772818</v>
      </c>
      <c r="F75" s="875">
        <f>E75+$F$3</f>
        <v>10409.128639339477</v>
      </c>
      <c r="G75" s="876">
        <f>ROUND(C75*F75,0)</f>
        <v>0</v>
      </c>
      <c r="H75" s="875">
        <v>0</v>
      </c>
      <c r="I75" s="875">
        <f>G75-H75</f>
        <v>0</v>
      </c>
      <c r="J75" s="876">
        <f>ROUND(I75/$J$86,0)</f>
        <v>0</v>
      </c>
      <c r="K75" s="876">
        <f>G75</f>
        <v>0</v>
      </c>
      <c r="L75" s="877">
        <f>'3_Levels 1&amp;2'!AW75</f>
        <v>14385604.4</v>
      </c>
      <c r="M75" s="1164">
        <f>'3_Levels 1&amp;2'!C75</f>
        <v>4829</v>
      </c>
      <c r="N75" s="1164">
        <f>C75+M75</f>
        <v>4829</v>
      </c>
      <c r="O75" s="878">
        <f>L75/N75</f>
        <v>2979.0027749016358</v>
      </c>
      <c r="P75" s="879">
        <f>ROUND(C75*O75,0)</f>
        <v>0</v>
      </c>
      <c r="Q75" s="878">
        <v>0</v>
      </c>
      <c r="R75" s="878">
        <f>P75-Q75</f>
        <v>0</v>
      </c>
      <c r="S75" s="879">
        <f>ROUND(R75/$S$86,0)</f>
        <v>0</v>
      </c>
    </row>
    <row r="76" spans="1:19" s="268" customFormat="1" ht="16.149999999999999" customHeight="1" thickBot="1" x14ac:dyDescent="0.25">
      <c r="A76" s="1404" t="s">
        <v>365</v>
      </c>
      <c r="B76" s="1405"/>
      <c r="C76" s="1159">
        <f>SUM(C7:C75)</f>
        <v>176.70746199999999</v>
      </c>
      <c r="D76" s="368">
        <f>'3_Levels 1&amp;2'!AQ76</f>
        <v>5399.0730456285546</v>
      </c>
      <c r="E76" s="368">
        <f>D76*(1+$E$3)</f>
        <v>7107.2543482003002</v>
      </c>
      <c r="F76" s="368">
        <f>E76+$F$3</f>
        <v>8577.6017400624951</v>
      </c>
      <c r="G76" s="373">
        <f t="shared" ref="G76:N76" si="16">SUM(G7:G75)</f>
        <v>1471562</v>
      </c>
      <c r="H76" s="371">
        <f t="shared" si="16"/>
        <v>966350</v>
      </c>
      <c r="I76" s="371">
        <f t="shared" si="16"/>
        <v>505212</v>
      </c>
      <c r="J76" s="373">
        <f t="shared" si="16"/>
        <v>126310</v>
      </c>
      <c r="K76" s="888">
        <f t="shared" si="16"/>
        <v>1471562</v>
      </c>
      <c r="L76" s="1166">
        <f t="shared" si="16"/>
        <v>2647158033.1600003</v>
      </c>
      <c r="M76" s="1167">
        <f t="shared" si="16"/>
        <v>680999</v>
      </c>
      <c r="N76" s="1167">
        <f t="shared" si="16"/>
        <v>681175.70746200008</v>
      </c>
      <c r="O76" s="388">
        <f>L76/N76</f>
        <v>3886.1603609193212</v>
      </c>
      <c r="P76" s="889">
        <f t="shared" ref="P76:S76" si="17">SUM(P7:P75)</f>
        <v>709510</v>
      </c>
      <c r="Q76" s="163">
        <f t="shared" si="17"/>
        <v>467436</v>
      </c>
      <c r="R76" s="890">
        <f t="shared" si="17"/>
        <v>242074</v>
      </c>
      <c r="S76" s="889">
        <f t="shared" si="17"/>
        <v>60524</v>
      </c>
    </row>
    <row r="77" spans="1:19" s="268" customFormat="1" ht="16.149999999999999" customHeight="1" thickTop="1" x14ac:dyDescent="0.2">
      <c r="A77" s="1452" t="s">
        <v>1109</v>
      </c>
      <c r="B77" s="1453"/>
      <c r="C77" s="1160"/>
      <c r="D77" s="891"/>
      <c r="E77" s="891"/>
      <c r="F77" s="891"/>
      <c r="G77" s="892">
        <v>64566</v>
      </c>
      <c r="H77" s="891">
        <v>44078</v>
      </c>
      <c r="I77" s="891">
        <f>G77-H77</f>
        <v>20488</v>
      </c>
      <c r="J77" s="892">
        <f>ROUND(I77/$J$86,0)</f>
        <v>5122</v>
      </c>
      <c r="K77" s="892">
        <v>64566</v>
      </c>
      <c r="L77" s="893"/>
      <c r="M77" s="1168"/>
      <c r="N77" s="1168"/>
      <c r="O77" s="894"/>
      <c r="P77" s="894"/>
      <c r="Q77" s="894"/>
      <c r="R77" s="894"/>
      <c r="S77" s="894"/>
    </row>
    <row r="78" spans="1:19" s="268" customFormat="1" ht="16.149999999999999" customHeight="1" x14ac:dyDescent="0.2">
      <c r="A78" s="1424" t="s">
        <v>333</v>
      </c>
      <c r="B78" s="1425"/>
      <c r="C78" s="895"/>
      <c r="D78" s="896"/>
      <c r="E78" s="896"/>
      <c r="F78" s="896"/>
      <c r="G78" s="705"/>
      <c r="H78" s="705"/>
      <c r="I78" s="704"/>
      <c r="J78" s="705"/>
      <c r="K78" s="705"/>
      <c r="L78" s="897"/>
      <c r="M78" s="898"/>
      <c r="N78" s="898"/>
      <c r="O78" s="899"/>
      <c r="P78" s="900"/>
      <c r="Q78" s="899"/>
      <c r="R78" s="900"/>
      <c r="S78" s="900"/>
    </row>
    <row r="79" spans="1:19" s="268" customFormat="1" ht="16.149999999999999" customHeight="1" x14ac:dyDescent="0.2">
      <c r="A79" s="1450" t="s">
        <v>334</v>
      </c>
      <c r="B79" s="1451"/>
      <c r="C79" s="901"/>
      <c r="D79" s="377"/>
      <c r="E79" s="377"/>
      <c r="F79" s="377"/>
      <c r="G79" s="141">
        <v>0</v>
      </c>
      <c r="H79" s="705">
        <v>0</v>
      </c>
      <c r="I79" s="704">
        <f>G79-H79</f>
        <v>0</v>
      </c>
      <c r="J79" s="141">
        <f>ROUND(I79/$J$86,0)</f>
        <v>0</v>
      </c>
      <c r="K79" s="141">
        <v>0</v>
      </c>
      <c r="L79" s="902"/>
      <c r="M79" s="854"/>
      <c r="N79" s="854"/>
      <c r="O79" s="365"/>
      <c r="P79" s="379"/>
      <c r="Q79" s="365"/>
      <c r="R79" s="379"/>
      <c r="S79" s="379"/>
    </row>
    <row r="80" spans="1:19" s="268" customFormat="1" ht="16.149999999999999" customHeight="1" x14ac:dyDescent="0.2">
      <c r="A80" s="1447" t="s">
        <v>345</v>
      </c>
      <c r="B80" s="1448"/>
      <c r="C80" s="1161"/>
      <c r="D80" s="381"/>
      <c r="E80" s="381"/>
      <c r="F80" s="381"/>
      <c r="G80" s="705"/>
      <c r="H80" s="705"/>
      <c r="I80" s="704"/>
      <c r="J80" s="705"/>
      <c r="K80" s="141">
        <v>0</v>
      </c>
      <c r="L80" s="903"/>
      <c r="M80" s="1169"/>
      <c r="N80" s="1169"/>
      <c r="O80" s="365"/>
      <c r="P80" s="904"/>
      <c r="Q80" s="365"/>
      <c r="R80" s="383"/>
      <c r="S80" s="383"/>
    </row>
    <row r="81" spans="1:19" s="268" customFormat="1" ht="16.149999999999999" customHeight="1" x14ac:dyDescent="0.2">
      <c r="A81" s="1445" t="s">
        <v>1192</v>
      </c>
      <c r="B81" s="1446"/>
      <c r="C81" s="1161"/>
      <c r="D81" s="381"/>
      <c r="E81" s="381"/>
      <c r="F81" s="381"/>
      <c r="G81" s="705"/>
      <c r="H81" s="705"/>
      <c r="I81" s="704"/>
      <c r="J81" s="705"/>
      <c r="K81" s="141">
        <v>38078</v>
      </c>
      <c r="L81" s="903"/>
      <c r="M81" s="1170"/>
      <c r="N81" s="1170"/>
      <c r="O81" s="365"/>
      <c r="P81" s="904"/>
      <c r="Q81" s="365"/>
      <c r="R81" s="383"/>
      <c r="S81" s="383"/>
    </row>
    <row r="82" spans="1:19" s="268" customFormat="1" ht="16.149999999999999" customHeight="1" x14ac:dyDescent="0.2">
      <c r="A82" s="1445" t="s">
        <v>344</v>
      </c>
      <c r="B82" s="1446"/>
      <c r="C82" s="1161"/>
      <c r="D82" s="381"/>
      <c r="E82" s="381"/>
      <c r="F82" s="381"/>
      <c r="G82" s="705"/>
      <c r="H82" s="705"/>
      <c r="I82" s="704"/>
      <c r="J82" s="705"/>
      <c r="K82" s="141">
        <v>0</v>
      </c>
      <c r="L82" s="903"/>
      <c r="M82" s="1170"/>
      <c r="N82" s="1170"/>
      <c r="O82" s="365"/>
      <c r="P82" s="904"/>
      <c r="Q82" s="365"/>
      <c r="R82" s="383"/>
      <c r="S82" s="383"/>
    </row>
    <row r="83" spans="1:19" s="268" customFormat="1" ht="16.149999999999999" customHeight="1" x14ac:dyDescent="0.2">
      <c r="A83" s="1442" t="s">
        <v>242</v>
      </c>
      <c r="B83" s="1443"/>
      <c r="C83" s="1162"/>
      <c r="D83" s="385"/>
      <c r="E83" s="385"/>
      <c r="F83" s="385"/>
      <c r="G83" s="156">
        <v>10561</v>
      </c>
      <c r="H83" s="155">
        <v>7040</v>
      </c>
      <c r="I83" s="709">
        <f>G83-H83</f>
        <v>3521</v>
      </c>
      <c r="J83" s="156">
        <f>ROUND(I83/$J$86,0)</f>
        <v>880</v>
      </c>
      <c r="K83" s="156">
        <v>10561</v>
      </c>
      <c r="L83" s="905"/>
      <c r="M83" s="1171"/>
      <c r="N83" s="1171"/>
      <c r="O83" s="906"/>
      <c r="P83" s="907"/>
      <c r="Q83" s="906"/>
      <c r="R83" s="387"/>
      <c r="S83" s="387"/>
    </row>
    <row r="84" spans="1:19" s="268" customFormat="1" ht="16.149999999999999" customHeight="1" thickBot="1" x14ac:dyDescent="0.25">
      <c r="A84" s="1404" t="s">
        <v>366</v>
      </c>
      <c r="B84" s="1405"/>
      <c r="C84" s="1159">
        <f>SUM(C76:C83)</f>
        <v>176.70746199999999</v>
      </c>
      <c r="D84" s="368">
        <f t="shared" ref="D84:S84" si="18">SUM(D76:D83)</f>
        <v>5399.0730456285546</v>
      </c>
      <c r="E84" s="368">
        <f t="shared" si="18"/>
        <v>7107.2543482003002</v>
      </c>
      <c r="F84" s="368">
        <f t="shared" si="18"/>
        <v>8577.6017400624951</v>
      </c>
      <c r="G84" s="373">
        <f t="shared" si="18"/>
        <v>1546689</v>
      </c>
      <c r="H84" s="371">
        <f t="shared" si="18"/>
        <v>1017468</v>
      </c>
      <c r="I84" s="371">
        <f t="shared" si="18"/>
        <v>529221</v>
      </c>
      <c r="J84" s="373">
        <f t="shared" si="18"/>
        <v>132312</v>
      </c>
      <c r="K84" s="888">
        <f t="shared" si="18"/>
        <v>1584767</v>
      </c>
      <c r="L84" s="1166">
        <f t="shared" si="18"/>
        <v>2647158033.1600003</v>
      </c>
      <c r="M84" s="1167">
        <f t="shared" si="18"/>
        <v>680999</v>
      </c>
      <c r="N84" s="1167">
        <f t="shared" si="18"/>
        <v>681175.70746200008</v>
      </c>
      <c r="O84" s="388">
        <f t="shared" si="18"/>
        <v>3886.1603609193212</v>
      </c>
      <c r="P84" s="889">
        <f t="shared" si="18"/>
        <v>709510</v>
      </c>
      <c r="Q84" s="163">
        <f t="shared" si="18"/>
        <v>467436</v>
      </c>
      <c r="R84" s="890">
        <f t="shared" si="18"/>
        <v>242074</v>
      </c>
      <c r="S84" s="889">
        <f t="shared" si="18"/>
        <v>60524</v>
      </c>
    </row>
    <row r="85" spans="1:19" ht="21" thickTop="1" x14ac:dyDescent="0.2">
      <c r="A85" s="1"/>
      <c r="C85" s="276"/>
      <c r="G85" s="1139"/>
      <c r="H85" s="1139"/>
      <c r="I85" s="1139"/>
      <c r="J85" s="1139"/>
      <c r="K85" s="1139"/>
      <c r="M85" s="276"/>
    </row>
    <row r="86" spans="1:19" ht="12.75" customHeight="1" x14ac:dyDescent="0.2">
      <c r="E86" s="276"/>
      <c r="F86" s="276"/>
      <c r="J86" s="1135">
        <v>4</v>
      </c>
      <c r="S86" s="1135">
        <f>J86</f>
        <v>4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O2:O3"/>
    <mergeCell ref="P2:P3"/>
    <mergeCell ref="Q2:Q3"/>
    <mergeCell ref="R2:R3"/>
    <mergeCell ref="S2:S3"/>
    <mergeCell ref="A79:B79"/>
    <mergeCell ref="L2:L3"/>
    <mergeCell ref="M2:M3"/>
    <mergeCell ref="D2:D3"/>
    <mergeCell ref="A1:B3"/>
    <mergeCell ref="A77:B77"/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&amp;L&amp;"Arial,Bold"&amp;20&amp;K000000FY2020-21 Budget Letter
March 2021&amp;R&amp;"Arial,Bold"&amp;12&amp;KFF0000
</oddHeader>
    <oddFooter>&amp;R&amp;9&amp;P</oddFooter>
  </headerFooter>
  <colBreaks count="1" manualBreakCount="1">
    <brk id="11" max="8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6"/>
  <sheetViews>
    <sheetView zoomScaleNormal="100" zoomScaleSheetLayoutView="100" workbookViewId="0">
      <pane xSplit="2" ySplit="6" topLeftCell="C7" activePane="bottomRight" state="frozen"/>
      <selection activeCell="J7" sqref="J7:J75"/>
      <selection pane="topRight" activeCell="J7" sqref="J7:J75"/>
      <selection pane="bottomLeft" activeCell="J7" sqref="J7:J75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59" t="s">
        <v>1194</v>
      </c>
      <c r="B1" s="1459"/>
      <c r="C1" s="1454" t="s">
        <v>291</v>
      </c>
      <c r="D1" s="1455"/>
      <c r="E1" s="1455"/>
      <c r="F1" s="1455"/>
      <c r="G1" s="1455"/>
      <c r="H1" s="1455"/>
      <c r="I1" s="1455"/>
      <c r="J1" s="1455"/>
      <c r="K1" s="1456"/>
      <c r="L1" s="1454" t="s">
        <v>291</v>
      </c>
      <c r="M1" s="1455"/>
      <c r="N1" s="1455"/>
      <c r="O1" s="1455"/>
      <c r="P1" s="1455"/>
      <c r="Q1" s="1455"/>
      <c r="R1" s="1456"/>
    </row>
    <row r="2" spans="1:18" s="389" customFormat="1" ht="17.45" customHeight="1" x14ac:dyDescent="0.2">
      <c r="A2" s="1459"/>
      <c r="B2" s="1459"/>
      <c r="C2" s="28"/>
      <c r="D2" s="29"/>
      <c r="E2" s="29"/>
      <c r="F2" s="29"/>
      <c r="G2" s="29"/>
      <c r="H2" s="29"/>
      <c r="I2" s="1460" t="s">
        <v>223</v>
      </c>
      <c r="J2" s="1461"/>
      <c r="K2" s="1462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59"/>
      <c r="B3" s="1459"/>
      <c r="C3" s="176" t="s">
        <v>1350</v>
      </c>
      <c r="D3" s="175" t="s">
        <v>463</v>
      </c>
      <c r="E3" s="175" t="s">
        <v>464</v>
      </c>
      <c r="F3" s="175" t="s">
        <v>1351</v>
      </c>
      <c r="G3" s="175" t="s">
        <v>289</v>
      </c>
      <c r="H3" s="175" t="s">
        <v>1152</v>
      </c>
      <c r="I3" s="25" t="s">
        <v>1290</v>
      </c>
      <c r="J3" s="25" t="s">
        <v>1291</v>
      </c>
      <c r="K3" s="25" t="s">
        <v>224</v>
      </c>
      <c r="L3" s="175" t="s">
        <v>465</v>
      </c>
      <c r="M3" s="737" t="s">
        <v>1352</v>
      </c>
      <c r="N3" s="27" t="s">
        <v>919</v>
      </c>
      <c r="O3" s="27" t="s">
        <v>1354</v>
      </c>
      <c r="P3" s="27" t="s">
        <v>258</v>
      </c>
      <c r="Q3" s="27" t="s">
        <v>1355</v>
      </c>
      <c r="R3" s="27" t="s">
        <v>920</v>
      </c>
    </row>
    <row r="4" spans="1:18" ht="14.25" customHeight="1" x14ac:dyDescent="0.2">
      <c r="A4" s="390"/>
      <c r="B4" s="391"/>
      <c r="C4" s="392">
        <v>1</v>
      </c>
      <c r="D4" s="392">
        <f>C4+1</f>
        <v>2</v>
      </c>
      <c r="E4" s="392">
        <f>D4+1</f>
        <v>3</v>
      </c>
      <c r="F4" s="392">
        <f t="shared" ref="F4:R4" si="0">E4+1</f>
        <v>4</v>
      </c>
      <c r="G4" s="392">
        <f t="shared" si="0"/>
        <v>5</v>
      </c>
      <c r="H4" s="392">
        <f t="shared" si="0"/>
        <v>6</v>
      </c>
      <c r="I4" s="392">
        <f t="shared" si="0"/>
        <v>7</v>
      </c>
      <c r="J4" s="392">
        <f t="shared" si="0"/>
        <v>8</v>
      </c>
      <c r="K4" s="392">
        <f t="shared" si="0"/>
        <v>9</v>
      </c>
      <c r="L4" s="392">
        <f t="shared" si="0"/>
        <v>10</v>
      </c>
      <c r="M4" s="392">
        <f t="shared" si="0"/>
        <v>11</v>
      </c>
      <c r="N4" s="392">
        <f>M4+1</f>
        <v>12</v>
      </c>
      <c r="O4" s="392">
        <f t="shared" si="0"/>
        <v>13</v>
      </c>
      <c r="P4" s="392">
        <f t="shared" si="0"/>
        <v>14</v>
      </c>
      <c r="Q4" s="392">
        <f t="shared" si="0"/>
        <v>15</v>
      </c>
      <c r="R4" s="392">
        <f t="shared" si="0"/>
        <v>16</v>
      </c>
    </row>
    <row r="5" spans="1:18" s="438" customFormat="1" ht="27.75" customHeight="1" x14ac:dyDescent="0.2">
      <c r="A5" s="655"/>
      <c r="B5" s="655"/>
      <c r="C5" s="538" t="s">
        <v>760</v>
      </c>
      <c r="D5" s="538" t="s">
        <v>1153</v>
      </c>
      <c r="E5" s="538" t="s">
        <v>761</v>
      </c>
      <c r="F5" s="538" t="s">
        <v>681</v>
      </c>
      <c r="G5" s="538" t="s">
        <v>656</v>
      </c>
      <c r="H5" s="538" t="s">
        <v>1221</v>
      </c>
      <c r="I5" s="538" t="s">
        <v>889</v>
      </c>
      <c r="J5" s="538" t="s">
        <v>890</v>
      </c>
      <c r="K5" s="538" t="s">
        <v>762</v>
      </c>
      <c r="L5" s="538" t="s">
        <v>763</v>
      </c>
      <c r="M5" s="541" t="s">
        <v>765</v>
      </c>
      <c r="N5" s="538" t="s">
        <v>1209</v>
      </c>
      <c r="O5" s="538" t="s">
        <v>922</v>
      </c>
      <c r="P5" s="538" t="s">
        <v>788</v>
      </c>
      <c r="Q5" s="538" t="s">
        <v>921</v>
      </c>
      <c r="R5" s="538" t="s">
        <v>1210</v>
      </c>
    </row>
    <row r="6" spans="1:18" s="438" customFormat="1" ht="22.5" hidden="1" x14ac:dyDescent="0.2">
      <c r="A6" s="656"/>
      <c r="B6" s="656"/>
      <c r="C6" s="541" t="s">
        <v>554</v>
      </c>
      <c r="D6" s="541" t="s">
        <v>554</v>
      </c>
      <c r="E6" s="541" t="s">
        <v>555</v>
      </c>
      <c r="F6" s="541" t="s">
        <v>789</v>
      </c>
      <c r="G6" s="541" t="s">
        <v>555</v>
      </c>
      <c r="H6" s="541" t="s">
        <v>555</v>
      </c>
      <c r="I6" s="541" t="s">
        <v>764</v>
      </c>
      <c r="J6" s="541" t="s">
        <v>764</v>
      </c>
      <c r="K6" s="541" t="s">
        <v>555</v>
      </c>
      <c r="L6" s="541" t="s">
        <v>555</v>
      </c>
      <c r="M6" s="541" t="s">
        <v>765</v>
      </c>
      <c r="N6" s="541" t="s">
        <v>782</v>
      </c>
      <c r="O6" s="541" t="s">
        <v>790</v>
      </c>
      <c r="P6" s="541" t="s">
        <v>555</v>
      </c>
      <c r="Q6" s="541" t="s">
        <v>555</v>
      </c>
      <c r="R6" s="541" t="s">
        <v>783</v>
      </c>
    </row>
    <row r="7" spans="1:18" ht="15.6" customHeight="1" x14ac:dyDescent="0.2">
      <c r="A7" s="334">
        <v>1</v>
      </c>
      <c r="B7" s="115" t="s">
        <v>4</v>
      </c>
      <c r="C7" s="335">
        <f>'8_2.1.20 SIS'!BG7</f>
        <v>0</v>
      </c>
      <c r="D7" s="336">
        <f>'9_Per Pupil Summary'!Q7</f>
        <v>7707.2262298558107</v>
      </c>
      <c r="E7" s="337">
        <f>C7*D7</f>
        <v>0</v>
      </c>
      <c r="F7" s="337">
        <f>'9_Per Pupil Summary'!G7</f>
        <v>777.48</v>
      </c>
      <c r="G7" s="337">
        <f>C7*F7</f>
        <v>0</v>
      </c>
      <c r="H7" s="338">
        <f>ROUND(E7+G7,0)</f>
        <v>0</v>
      </c>
      <c r="I7" s="117">
        <v>0</v>
      </c>
      <c r="J7" s="117">
        <v>0</v>
      </c>
      <c r="K7" s="121">
        <f t="shared" ref="K7:K38" si="1">I7+J7</f>
        <v>0</v>
      </c>
      <c r="L7" s="338">
        <f t="shared" ref="L7:L70" si="2">K7+H7</f>
        <v>0</v>
      </c>
      <c r="M7" s="336">
        <v>0</v>
      </c>
      <c r="N7" s="120">
        <f>ROUND(SUM(L7:M7),0)</f>
        <v>0</v>
      </c>
      <c r="O7" s="117">
        <v>0</v>
      </c>
      <c r="P7" s="117">
        <f>N7-O7</f>
        <v>0</v>
      </c>
      <c r="Q7" s="120">
        <f t="shared" ref="Q7:Q38" si="3">ROUND(P7/$Q$86,0)</f>
        <v>0</v>
      </c>
      <c r="R7" s="122">
        <f t="shared" ref="R7:R38" si="4">N7</f>
        <v>0</v>
      </c>
    </row>
    <row r="8" spans="1:18" ht="15.6" customHeight="1" x14ac:dyDescent="0.2">
      <c r="A8" s="339">
        <v>2</v>
      </c>
      <c r="B8" s="133" t="s">
        <v>5</v>
      </c>
      <c r="C8" s="340">
        <f>'8_2.1.20 SIS'!BG8</f>
        <v>0</v>
      </c>
      <c r="D8" s="341">
        <f>'9_Per Pupil Summary'!Q8</f>
        <v>9356.0454218393716</v>
      </c>
      <c r="E8" s="342">
        <f t="shared" ref="E8:E71" si="5">C8*D8</f>
        <v>0</v>
      </c>
      <c r="F8" s="342">
        <f>'9_Per Pupil Summary'!G8</f>
        <v>842.32</v>
      </c>
      <c r="G8" s="342">
        <f t="shared" ref="G8:G71" si="6">C8*F8</f>
        <v>0</v>
      </c>
      <c r="H8" s="343">
        <f t="shared" ref="H8:H71" si="7">ROUND(E8+G8,0)</f>
        <v>0</v>
      </c>
      <c r="I8" s="135">
        <v>0</v>
      </c>
      <c r="J8" s="135">
        <v>0</v>
      </c>
      <c r="K8" s="139">
        <f t="shared" si="1"/>
        <v>0</v>
      </c>
      <c r="L8" s="343">
        <f t="shared" si="2"/>
        <v>0</v>
      </c>
      <c r="M8" s="341">
        <v>0</v>
      </c>
      <c r="N8" s="138">
        <f t="shared" ref="N8:N71" si="8">ROUND(SUM(L8:M8),0)</f>
        <v>0</v>
      </c>
      <c r="O8" s="135">
        <v>0</v>
      </c>
      <c r="P8" s="135">
        <f t="shared" ref="P8:P71" si="9">N8-O8</f>
        <v>0</v>
      </c>
      <c r="Q8" s="138">
        <f t="shared" si="3"/>
        <v>0</v>
      </c>
      <c r="R8" s="138">
        <f t="shared" si="4"/>
        <v>0</v>
      </c>
    </row>
    <row r="9" spans="1:18" ht="15.6" customHeight="1" x14ac:dyDescent="0.2">
      <c r="A9" s="339">
        <v>3</v>
      </c>
      <c r="B9" s="133" t="s">
        <v>6</v>
      </c>
      <c r="C9" s="340">
        <f>'8_2.1.20 SIS'!BG9</f>
        <v>0</v>
      </c>
      <c r="D9" s="341">
        <f>'9_Per Pupil Summary'!Q9</f>
        <v>7938.0538340965122</v>
      </c>
      <c r="E9" s="342">
        <f t="shared" si="5"/>
        <v>0</v>
      </c>
      <c r="F9" s="342">
        <f>'9_Per Pupil Summary'!G9</f>
        <v>596.84</v>
      </c>
      <c r="G9" s="342">
        <f t="shared" si="6"/>
        <v>0</v>
      </c>
      <c r="H9" s="343">
        <f t="shared" si="7"/>
        <v>0</v>
      </c>
      <c r="I9" s="135">
        <v>0</v>
      </c>
      <c r="J9" s="135">
        <v>0</v>
      </c>
      <c r="K9" s="139">
        <f t="shared" si="1"/>
        <v>0</v>
      </c>
      <c r="L9" s="343">
        <f t="shared" si="2"/>
        <v>0</v>
      </c>
      <c r="M9" s="341">
        <v>0</v>
      </c>
      <c r="N9" s="138">
        <f t="shared" si="8"/>
        <v>0</v>
      </c>
      <c r="O9" s="135">
        <v>0</v>
      </c>
      <c r="P9" s="135">
        <f t="shared" si="9"/>
        <v>0</v>
      </c>
      <c r="Q9" s="138">
        <f t="shared" si="3"/>
        <v>0</v>
      </c>
      <c r="R9" s="138">
        <f t="shared" si="4"/>
        <v>0</v>
      </c>
    </row>
    <row r="10" spans="1:18" ht="15.6" customHeight="1" x14ac:dyDescent="0.2">
      <c r="A10" s="339">
        <v>4</v>
      </c>
      <c r="B10" s="133" t="s">
        <v>7</v>
      </c>
      <c r="C10" s="340">
        <f>'8_2.1.20 SIS'!BG10</f>
        <v>0</v>
      </c>
      <c r="D10" s="341">
        <f>'9_Per Pupil Summary'!Q10</f>
        <v>9653.4789774583478</v>
      </c>
      <c r="E10" s="342">
        <f t="shared" si="5"/>
        <v>0</v>
      </c>
      <c r="F10" s="342">
        <f>'9_Per Pupil Summary'!G10</f>
        <v>585.76</v>
      </c>
      <c r="G10" s="342">
        <f t="shared" si="6"/>
        <v>0</v>
      </c>
      <c r="H10" s="343">
        <f t="shared" si="7"/>
        <v>0</v>
      </c>
      <c r="I10" s="135">
        <v>0</v>
      </c>
      <c r="J10" s="135">
        <v>0</v>
      </c>
      <c r="K10" s="139">
        <f t="shared" si="1"/>
        <v>0</v>
      </c>
      <c r="L10" s="343">
        <f t="shared" si="2"/>
        <v>0</v>
      </c>
      <c r="M10" s="341">
        <v>0</v>
      </c>
      <c r="N10" s="138">
        <f t="shared" si="8"/>
        <v>0</v>
      </c>
      <c r="O10" s="135">
        <v>0</v>
      </c>
      <c r="P10" s="135">
        <f t="shared" si="9"/>
        <v>0</v>
      </c>
      <c r="Q10" s="138">
        <f t="shared" si="3"/>
        <v>0</v>
      </c>
      <c r="R10" s="138">
        <f t="shared" si="4"/>
        <v>0</v>
      </c>
    </row>
    <row r="11" spans="1:18" ht="15.6" customHeight="1" x14ac:dyDescent="0.2">
      <c r="A11" s="344">
        <v>5</v>
      </c>
      <c r="B11" s="147" t="s">
        <v>8</v>
      </c>
      <c r="C11" s="345">
        <f>'8_2.1.20 SIS'!BG11</f>
        <v>0</v>
      </c>
      <c r="D11" s="346">
        <f>'9_Per Pupil Summary'!Q11</f>
        <v>7936.2487599148772</v>
      </c>
      <c r="E11" s="347">
        <f t="shared" si="5"/>
        <v>0</v>
      </c>
      <c r="F11" s="347">
        <f>'9_Per Pupil Summary'!G11</f>
        <v>555.91</v>
      </c>
      <c r="G11" s="347">
        <f t="shared" si="6"/>
        <v>0</v>
      </c>
      <c r="H11" s="348">
        <f t="shared" si="7"/>
        <v>0</v>
      </c>
      <c r="I11" s="149">
        <v>0</v>
      </c>
      <c r="J11" s="149">
        <v>0</v>
      </c>
      <c r="K11" s="153">
        <f t="shared" si="1"/>
        <v>0</v>
      </c>
      <c r="L11" s="348">
        <f t="shared" si="2"/>
        <v>0</v>
      </c>
      <c r="M11" s="346">
        <v>0</v>
      </c>
      <c r="N11" s="152">
        <f t="shared" si="8"/>
        <v>0</v>
      </c>
      <c r="O11" s="155">
        <v>0</v>
      </c>
      <c r="P11" s="149">
        <f t="shared" si="9"/>
        <v>0</v>
      </c>
      <c r="Q11" s="156">
        <f t="shared" si="3"/>
        <v>0</v>
      </c>
      <c r="R11" s="156">
        <f t="shared" si="4"/>
        <v>0</v>
      </c>
    </row>
    <row r="12" spans="1:18" ht="15.6" customHeight="1" x14ac:dyDescent="0.2">
      <c r="A12" s="334">
        <v>6</v>
      </c>
      <c r="B12" s="115" t="s">
        <v>9</v>
      </c>
      <c r="C12" s="335">
        <f>'8_2.1.20 SIS'!BG12</f>
        <v>0</v>
      </c>
      <c r="D12" s="336">
        <f>'9_Per Pupil Summary'!Q12</f>
        <v>9188.0273811581683</v>
      </c>
      <c r="E12" s="337">
        <f t="shared" si="5"/>
        <v>0</v>
      </c>
      <c r="F12" s="337">
        <f>'9_Per Pupil Summary'!G12</f>
        <v>545.4799999999999</v>
      </c>
      <c r="G12" s="337">
        <f t="shared" si="6"/>
        <v>0</v>
      </c>
      <c r="H12" s="338">
        <f t="shared" si="7"/>
        <v>0</v>
      </c>
      <c r="I12" s="117">
        <v>0</v>
      </c>
      <c r="J12" s="117">
        <v>0</v>
      </c>
      <c r="K12" s="121">
        <f t="shared" si="1"/>
        <v>0</v>
      </c>
      <c r="L12" s="338">
        <f t="shared" si="2"/>
        <v>0</v>
      </c>
      <c r="M12" s="336">
        <v>0</v>
      </c>
      <c r="N12" s="120">
        <f t="shared" si="8"/>
        <v>0</v>
      </c>
      <c r="O12" s="117">
        <v>0</v>
      </c>
      <c r="P12" s="117">
        <f t="shared" si="9"/>
        <v>0</v>
      </c>
      <c r="Q12" s="120">
        <f t="shared" si="3"/>
        <v>0</v>
      </c>
      <c r="R12" s="122">
        <f t="shared" si="4"/>
        <v>0</v>
      </c>
    </row>
    <row r="13" spans="1:18" ht="15.6" customHeight="1" x14ac:dyDescent="0.2">
      <c r="A13" s="339">
        <v>7</v>
      </c>
      <c r="B13" s="133" t="s">
        <v>10</v>
      </c>
      <c r="C13" s="340">
        <f>'8_2.1.20 SIS'!BG13</f>
        <v>0</v>
      </c>
      <c r="D13" s="341">
        <f>'9_Per Pupil Summary'!Q13</f>
        <v>8796.4858501440922</v>
      </c>
      <c r="E13" s="342">
        <f t="shared" si="5"/>
        <v>0</v>
      </c>
      <c r="F13" s="342">
        <f>'9_Per Pupil Summary'!G13</f>
        <v>756.91999999999985</v>
      </c>
      <c r="G13" s="342">
        <f t="shared" si="6"/>
        <v>0</v>
      </c>
      <c r="H13" s="343">
        <f t="shared" si="7"/>
        <v>0</v>
      </c>
      <c r="I13" s="135">
        <v>0</v>
      </c>
      <c r="J13" s="135">
        <v>0</v>
      </c>
      <c r="K13" s="139">
        <f t="shared" si="1"/>
        <v>0</v>
      </c>
      <c r="L13" s="343">
        <f t="shared" si="2"/>
        <v>0</v>
      </c>
      <c r="M13" s="341">
        <v>0</v>
      </c>
      <c r="N13" s="138">
        <f t="shared" si="8"/>
        <v>0</v>
      </c>
      <c r="O13" s="135">
        <v>0</v>
      </c>
      <c r="P13" s="135">
        <f t="shared" si="9"/>
        <v>0</v>
      </c>
      <c r="Q13" s="138">
        <f t="shared" si="3"/>
        <v>0</v>
      </c>
      <c r="R13" s="138">
        <f t="shared" si="4"/>
        <v>0</v>
      </c>
    </row>
    <row r="14" spans="1:18" ht="15.6" customHeight="1" x14ac:dyDescent="0.2">
      <c r="A14" s="339">
        <v>8</v>
      </c>
      <c r="B14" s="133" t="s">
        <v>11</v>
      </c>
      <c r="C14" s="340">
        <f>'8_2.1.20 SIS'!BG14</f>
        <v>0</v>
      </c>
      <c r="D14" s="341">
        <f>'9_Per Pupil Summary'!Q14</f>
        <v>8674.633902471729</v>
      </c>
      <c r="E14" s="342">
        <f t="shared" si="5"/>
        <v>0</v>
      </c>
      <c r="F14" s="342">
        <f>'9_Per Pupil Summary'!G14</f>
        <v>725.76</v>
      </c>
      <c r="G14" s="342">
        <f t="shared" si="6"/>
        <v>0</v>
      </c>
      <c r="H14" s="343">
        <f t="shared" si="7"/>
        <v>0</v>
      </c>
      <c r="I14" s="135">
        <v>0</v>
      </c>
      <c r="J14" s="135">
        <v>0</v>
      </c>
      <c r="K14" s="139">
        <f t="shared" si="1"/>
        <v>0</v>
      </c>
      <c r="L14" s="343">
        <f t="shared" si="2"/>
        <v>0</v>
      </c>
      <c r="M14" s="341">
        <v>0</v>
      </c>
      <c r="N14" s="138">
        <f t="shared" si="8"/>
        <v>0</v>
      </c>
      <c r="O14" s="135">
        <v>0</v>
      </c>
      <c r="P14" s="135">
        <f t="shared" si="9"/>
        <v>0</v>
      </c>
      <c r="Q14" s="138">
        <f t="shared" si="3"/>
        <v>0</v>
      </c>
      <c r="R14" s="138">
        <f t="shared" si="4"/>
        <v>0</v>
      </c>
    </row>
    <row r="15" spans="1:18" ht="15.6" customHeight="1" x14ac:dyDescent="0.2">
      <c r="A15" s="339">
        <v>9</v>
      </c>
      <c r="B15" s="133" t="s">
        <v>12</v>
      </c>
      <c r="C15" s="340">
        <f>'8_2.1.20 SIS'!BG15</f>
        <v>0</v>
      </c>
      <c r="D15" s="341">
        <f>'9_Per Pupil Summary'!Q15</f>
        <v>8478.9234188034188</v>
      </c>
      <c r="E15" s="342">
        <f t="shared" si="5"/>
        <v>0</v>
      </c>
      <c r="F15" s="342">
        <f>'9_Per Pupil Summary'!G15</f>
        <v>744.76</v>
      </c>
      <c r="G15" s="342">
        <f t="shared" si="6"/>
        <v>0</v>
      </c>
      <c r="H15" s="343">
        <f t="shared" si="7"/>
        <v>0</v>
      </c>
      <c r="I15" s="135">
        <v>0</v>
      </c>
      <c r="J15" s="135">
        <v>0</v>
      </c>
      <c r="K15" s="139">
        <f t="shared" si="1"/>
        <v>0</v>
      </c>
      <c r="L15" s="343">
        <f t="shared" si="2"/>
        <v>0</v>
      </c>
      <c r="M15" s="341">
        <v>0</v>
      </c>
      <c r="N15" s="138">
        <f t="shared" si="8"/>
        <v>0</v>
      </c>
      <c r="O15" s="135">
        <v>0</v>
      </c>
      <c r="P15" s="135">
        <f t="shared" si="9"/>
        <v>0</v>
      </c>
      <c r="Q15" s="138">
        <f t="shared" si="3"/>
        <v>0</v>
      </c>
      <c r="R15" s="138">
        <f t="shared" si="4"/>
        <v>0</v>
      </c>
    </row>
    <row r="16" spans="1:18" ht="15.6" customHeight="1" x14ac:dyDescent="0.2">
      <c r="A16" s="344">
        <v>10</v>
      </c>
      <c r="B16" s="147" t="s">
        <v>13</v>
      </c>
      <c r="C16" s="345">
        <f>'8_2.1.20 SIS'!BG16</f>
        <v>0</v>
      </c>
      <c r="D16" s="346">
        <f>'9_Per Pupil Summary'!Q16</f>
        <v>8287.2261089886597</v>
      </c>
      <c r="E16" s="347">
        <f t="shared" si="5"/>
        <v>0</v>
      </c>
      <c r="F16" s="347">
        <f>'9_Per Pupil Summary'!G16</f>
        <v>608.04000000000008</v>
      </c>
      <c r="G16" s="347">
        <f t="shared" si="6"/>
        <v>0</v>
      </c>
      <c r="H16" s="348">
        <f t="shared" si="7"/>
        <v>0</v>
      </c>
      <c r="I16" s="149">
        <v>0</v>
      </c>
      <c r="J16" s="149">
        <v>0</v>
      </c>
      <c r="K16" s="153">
        <f t="shared" si="1"/>
        <v>0</v>
      </c>
      <c r="L16" s="348">
        <f t="shared" si="2"/>
        <v>0</v>
      </c>
      <c r="M16" s="346">
        <v>0</v>
      </c>
      <c r="N16" s="152">
        <f t="shared" si="8"/>
        <v>0</v>
      </c>
      <c r="O16" s="155">
        <v>0</v>
      </c>
      <c r="P16" s="149">
        <f t="shared" si="9"/>
        <v>0</v>
      </c>
      <c r="Q16" s="156">
        <f t="shared" si="3"/>
        <v>0</v>
      </c>
      <c r="R16" s="156">
        <f t="shared" si="4"/>
        <v>0</v>
      </c>
    </row>
    <row r="17" spans="1:18" ht="15.6" customHeight="1" x14ac:dyDescent="0.2">
      <c r="A17" s="334">
        <v>11</v>
      </c>
      <c r="B17" s="115" t="s">
        <v>14</v>
      </c>
      <c r="C17" s="335">
        <f>'8_2.1.20 SIS'!BG17</f>
        <v>0</v>
      </c>
      <c r="D17" s="336">
        <f>'9_Per Pupil Summary'!Q17</f>
        <v>10590.871262135923</v>
      </c>
      <c r="E17" s="337">
        <f t="shared" si="5"/>
        <v>0</v>
      </c>
      <c r="F17" s="337">
        <f>'9_Per Pupil Summary'!G17</f>
        <v>706.55</v>
      </c>
      <c r="G17" s="337">
        <f t="shared" si="6"/>
        <v>0</v>
      </c>
      <c r="H17" s="338">
        <f t="shared" si="7"/>
        <v>0</v>
      </c>
      <c r="I17" s="117">
        <v>0</v>
      </c>
      <c r="J17" s="117">
        <v>0</v>
      </c>
      <c r="K17" s="121">
        <f t="shared" si="1"/>
        <v>0</v>
      </c>
      <c r="L17" s="338">
        <f t="shared" si="2"/>
        <v>0</v>
      </c>
      <c r="M17" s="336">
        <v>0</v>
      </c>
      <c r="N17" s="120">
        <f t="shared" si="8"/>
        <v>0</v>
      </c>
      <c r="O17" s="117">
        <v>0</v>
      </c>
      <c r="P17" s="117">
        <f t="shared" si="9"/>
        <v>0</v>
      </c>
      <c r="Q17" s="120">
        <f t="shared" si="3"/>
        <v>0</v>
      </c>
      <c r="R17" s="122">
        <f t="shared" si="4"/>
        <v>0</v>
      </c>
    </row>
    <row r="18" spans="1:18" ht="15.6" customHeight="1" x14ac:dyDescent="0.2">
      <c r="A18" s="339">
        <v>12</v>
      </c>
      <c r="B18" s="133" t="s">
        <v>15</v>
      </c>
      <c r="C18" s="340">
        <f>'8_2.1.20 SIS'!BG18</f>
        <v>0</v>
      </c>
      <c r="D18" s="341">
        <f>'9_Per Pupil Summary'!Q18</f>
        <v>8676.9923556942285</v>
      </c>
      <c r="E18" s="342">
        <f t="shared" si="5"/>
        <v>0</v>
      </c>
      <c r="F18" s="342">
        <f>'9_Per Pupil Summary'!G18</f>
        <v>1063.31</v>
      </c>
      <c r="G18" s="342">
        <f t="shared" si="6"/>
        <v>0</v>
      </c>
      <c r="H18" s="343">
        <f t="shared" si="7"/>
        <v>0</v>
      </c>
      <c r="I18" s="135">
        <v>0</v>
      </c>
      <c r="J18" s="135">
        <v>0</v>
      </c>
      <c r="K18" s="139">
        <f t="shared" si="1"/>
        <v>0</v>
      </c>
      <c r="L18" s="343">
        <f t="shared" si="2"/>
        <v>0</v>
      </c>
      <c r="M18" s="341">
        <v>0</v>
      </c>
      <c r="N18" s="138">
        <f t="shared" si="8"/>
        <v>0</v>
      </c>
      <c r="O18" s="135">
        <v>0</v>
      </c>
      <c r="P18" s="135">
        <f t="shared" si="9"/>
        <v>0</v>
      </c>
      <c r="Q18" s="138">
        <f t="shared" si="3"/>
        <v>0</v>
      </c>
      <c r="R18" s="138">
        <f t="shared" si="4"/>
        <v>0</v>
      </c>
    </row>
    <row r="19" spans="1:18" ht="15.6" customHeight="1" x14ac:dyDescent="0.2">
      <c r="A19" s="339">
        <v>13</v>
      </c>
      <c r="B19" s="133" t="s">
        <v>16</v>
      </c>
      <c r="C19" s="340">
        <f>'8_2.1.20 SIS'!BG19</f>
        <v>0</v>
      </c>
      <c r="D19" s="341">
        <f>'9_Per Pupil Summary'!Q19</f>
        <v>9816.4058402662231</v>
      </c>
      <c r="E19" s="342">
        <f t="shared" si="5"/>
        <v>0</v>
      </c>
      <c r="F19" s="342">
        <f>'9_Per Pupil Summary'!G19</f>
        <v>749.43000000000006</v>
      </c>
      <c r="G19" s="342">
        <f t="shared" si="6"/>
        <v>0</v>
      </c>
      <c r="H19" s="343">
        <f t="shared" si="7"/>
        <v>0</v>
      </c>
      <c r="I19" s="135">
        <v>0</v>
      </c>
      <c r="J19" s="135">
        <v>0</v>
      </c>
      <c r="K19" s="139">
        <f t="shared" si="1"/>
        <v>0</v>
      </c>
      <c r="L19" s="343">
        <f t="shared" si="2"/>
        <v>0</v>
      </c>
      <c r="M19" s="341">
        <v>0</v>
      </c>
      <c r="N19" s="138">
        <f t="shared" si="8"/>
        <v>0</v>
      </c>
      <c r="O19" s="135">
        <v>0</v>
      </c>
      <c r="P19" s="135">
        <f t="shared" si="9"/>
        <v>0</v>
      </c>
      <c r="Q19" s="138">
        <f t="shared" si="3"/>
        <v>0</v>
      </c>
      <c r="R19" s="138">
        <f t="shared" si="4"/>
        <v>0</v>
      </c>
    </row>
    <row r="20" spans="1:18" ht="15.6" customHeight="1" x14ac:dyDescent="0.2">
      <c r="A20" s="339">
        <v>14</v>
      </c>
      <c r="B20" s="133" t="s">
        <v>17</v>
      </c>
      <c r="C20" s="340">
        <f>'8_2.1.20 SIS'!BG20</f>
        <v>0</v>
      </c>
      <c r="D20" s="341">
        <f>'9_Per Pupil Summary'!Q20</f>
        <v>11067.567822014051</v>
      </c>
      <c r="E20" s="342">
        <f t="shared" si="5"/>
        <v>0</v>
      </c>
      <c r="F20" s="342">
        <f>'9_Per Pupil Summary'!G20</f>
        <v>809.9799999999999</v>
      </c>
      <c r="G20" s="342">
        <f t="shared" si="6"/>
        <v>0</v>
      </c>
      <c r="H20" s="343">
        <f t="shared" si="7"/>
        <v>0</v>
      </c>
      <c r="I20" s="135">
        <v>0</v>
      </c>
      <c r="J20" s="135">
        <v>0</v>
      </c>
      <c r="K20" s="139">
        <f t="shared" si="1"/>
        <v>0</v>
      </c>
      <c r="L20" s="343">
        <f t="shared" si="2"/>
        <v>0</v>
      </c>
      <c r="M20" s="341">
        <v>0</v>
      </c>
      <c r="N20" s="138">
        <f t="shared" si="8"/>
        <v>0</v>
      </c>
      <c r="O20" s="135">
        <v>0</v>
      </c>
      <c r="P20" s="135">
        <f t="shared" si="9"/>
        <v>0</v>
      </c>
      <c r="Q20" s="138">
        <f t="shared" si="3"/>
        <v>0</v>
      </c>
      <c r="R20" s="138">
        <f t="shared" si="4"/>
        <v>0</v>
      </c>
    </row>
    <row r="21" spans="1:18" ht="15.6" customHeight="1" x14ac:dyDescent="0.2">
      <c r="A21" s="344">
        <v>15</v>
      </c>
      <c r="B21" s="147" t="s">
        <v>18</v>
      </c>
      <c r="C21" s="345">
        <f>'8_2.1.20 SIS'!BG21</f>
        <v>0</v>
      </c>
      <c r="D21" s="346">
        <f>'9_Per Pupil Summary'!Q21</f>
        <v>9441.6648551959115</v>
      </c>
      <c r="E21" s="347">
        <f t="shared" si="5"/>
        <v>0</v>
      </c>
      <c r="F21" s="347">
        <f>'9_Per Pupil Summary'!G21</f>
        <v>553.79999999999995</v>
      </c>
      <c r="G21" s="347">
        <f t="shared" si="6"/>
        <v>0</v>
      </c>
      <c r="H21" s="348">
        <f t="shared" si="7"/>
        <v>0</v>
      </c>
      <c r="I21" s="149">
        <v>0</v>
      </c>
      <c r="J21" s="149">
        <v>0</v>
      </c>
      <c r="K21" s="153">
        <f t="shared" si="1"/>
        <v>0</v>
      </c>
      <c r="L21" s="348">
        <f t="shared" si="2"/>
        <v>0</v>
      </c>
      <c r="M21" s="346">
        <v>0</v>
      </c>
      <c r="N21" s="152">
        <f t="shared" si="8"/>
        <v>0</v>
      </c>
      <c r="O21" s="155">
        <v>0</v>
      </c>
      <c r="P21" s="149">
        <f t="shared" si="9"/>
        <v>0</v>
      </c>
      <c r="Q21" s="156">
        <f t="shared" si="3"/>
        <v>0</v>
      </c>
      <c r="R21" s="156">
        <f t="shared" si="4"/>
        <v>0</v>
      </c>
    </row>
    <row r="22" spans="1:18" ht="15.6" customHeight="1" x14ac:dyDescent="0.2">
      <c r="A22" s="334">
        <v>16</v>
      </c>
      <c r="B22" s="115" t="s">
        <v>19</v>
      </c>
      <c r="C22" s="335">
        <f>'8_2.1.20 SIS'!BG22</f>
        <v>0</v>
      </c>
      <c r="D22" s="336">
        <f>'9_Per Pupil Summary'!Q22</f>
        <v>7832.4763698772622</v>
      </c>
      <c r="E22" s="337">
        <f t="shared" si="5"/>
        <v>0</v>
      </c>
      <c r="F22" s="337">
        <f>'9_Per Pupil Summary'!G22</f>
        <v>686.73</v>
      </c>
      <c r="G22" s="337">
        <f t="shared" si="6"/>
        <v>0</v>
      </c>
      <c r="H22" s="338">
        <f t="shared" si="7"/>
        <v>0</v>
      </c>
      <c r="I22" s="117">
        <v>0</v>
      </c>
      <c r="J22" s="117">
        <v>0</v>
      </c>
      <c r="K22" s="121">
        <f t="shared" si="1"/>
        <v>0</v>
      </c>
      <c r="L22" s="338">
        <f t="shared" si="2"/>
        <v>0</v>
      </c>
      <c r="M22" s="336">
        <v>0</v>
      </c>
      <c r="N22" s="120">
        <f t="shared" si="8"/>
        <v>0</v>
      </c>
      <c r="O22" s="117">
        <v>0</v>
      </c>
      <c r="P22" s="117">
        <f t="shared" si="9"/>
        <v>0</v>
      </c>
      <c r="Q22" s="120">
        <f t="shared" si="3"/>
        <v>0</v>
      </c>
      <c r="R22" s="122">
        <f t="shared" si="4"/>
        <v>0</v>
      </c>
    </row>
    <row r="23" spans="1:18" ht="15.6" customHeight="1" x14ac:dyDescent="0.2">
      <c r="A23" s="339">
        <v>17</v>
      </c>
      <c r="B23" s="133" t="s">
        <v>20</v>
      </c>
      <c r="C23" s="340">
        <f>'8_2.1.20 SIS'!BG23</f>
        <v>0</v>
      </c>
      <c r="D23" s="341">
        <f>'9_Per Pupil Summary'!Q23</f>
        <v>8207.5861458149011</v>
      </c>
      <c r="E23" s="342">
        <f t="shared" si="5"/>
        <v>0</v>
      </c>
      <c r="F23" s="342">
        <f>'9_Per Pupil Summary'!G23</f>
        <v>801.48</v>
      </c>
      <c r="G23" s="342">
        <f t="shared" si="6"/>
        <v>0</v>
      </c>
      <c r="H23" s="343">
        <f t="shared" si="7"/>
        <v>0</v>
      </c>
      <c r="I23" s="135">
        <v>0</v>
      </c>
      <c r="J23" s="135">
        <v>0</v>
      </c>
      <c r="K23" s="139">
        <f t="shared" si="1"/>
        <v>0</v>
      </c>
      <c r="L23" s="343">
        <f t="shared" si="2"/>
        <v>0</v>
      </c>
      <c r="M23" s="341">
        <v>0</v>
      </c>
      <c r="N23" s="138">
        <f t="shared" si="8"/>
        <v>0</v>
      </c>
      <c r="O23" s="135">
        <v>0</v>
      </c>
      <c r="P23" s="135">
        <f t="shared" si="9"/>
        <v>0</v>
      </c>
      <c r="Q23" s="138">
        <f t="shared" si="3"/>
        <v>0</v>
      </c>
      <c r="R23" s="138">
        <f t="shared" si="4"/>
        <v>0</v>
      </c>
    </row>
    <row r="24" spans="1:18" ht="15.6" customHeight="1" x14ac:dyDescent="0.2">
      <c r="A24" s="339">
        <v>18</v>
      </c>
      <c r="B24" s="133" t="s">
        <v>21</v>
      </c>
      <c r="C24" s="340">
        <f>'8_2.1.20 SIS'!BG24</f>
        <v>0</v>
      </c>
      <c r="D24" s="341">
        <f>'9_Per Pupil Summary'!Q24</f>
        <v>9145.1230716723549</v>
      </c>
      <c r="E24" s="342">
        <f t="shared" si="5"/>
        <v>0</v>
      </c>
      <c r="F24" s="342">
        <f>'9_Per Pupil Summary'!G24</f>
        <v>845.94999999999993</v>
      </c>
      <c r="G24" s="342">
        <f t="shared" si="6"/>
        <v>0</v>
      </c>
      <c r="H24" s="343">
        <f t="shared" si="7"/>
        <v>0</v>
      </c>
      <c r="I24" s="135">
        <v>0</v>
      </c>
      <c r="J24" s="135">
        <v>0</v>
      </c>
      <c r="K24" s="139">
        <f t="shared" si="1"/>
        <v>0</v>
      </c>
      <c r="L24" s="343">
        <f t="shared" si="2"/>
        <v>0</v>
      </c>
      <c r="M24" s="341">
        <v>0</v>
      </c>
      <c r="N24" s="138">
        <f t="shared" si="8"/>
        <v>0</v>
      </c>
      <c r="O24" s="135">
        <v>0</v>
      </c>
      <c r="P24" s="135">
        <f t="shared" si="9"/>
        <v>0</v>
      </c>
      <c r="Q24" s="138">
        <f t="shared" si="3"/>
        <v>0</v>
      </c>
      <c r="R24" s="138">
        <f t="shared" si="4"/>
        <v>0</v>
      </c>
    </row>
    <row r="25" spans="1:18" ht="15.6" customHeight="1" x14ac:dyDescent="0.2">
      <c r="A25" s="339">
        <v>19</v>
      </c>
      <c r="B25" s="133" t="s">
        <v>22</v>
      </c>
      <c r="C25" s="340">
        <f>'8_2.1.20 SIS'!BG25</f>
        <v>0</v>
      </c>
      <c r="D25" s="341">
        <f>'9_Per Pupil Summary'!Q25</f>
        <v>9335.4585817978787</v>
      </c>
      <c r="E25" s="342">
        <f t="shared" si="5"/>
        <v>0</v>
      </c>
      <c r="F25" s="342">
        <f>'9_Per Pupil Summary'!G25</f>
        <v>905.43</v>
      </c>
      <c r="G25" s="342">
        <f t="shared" si="6"/>
        <v>0</v>
      </c>
      <c r="H25" s="343">
        <f t="shared" si="7"/>
        <v>0</v>
      </c>
      <c r="I25" s="135">
        <v>0</v>
      </c>
      <c r="J25" s="135">
        <v>0</v>
      </c>
      <c r="K25" s="139">
        <f t="shared" si="1"/>
        <v>0</v>
      </c>
      <c r="L25" s="343">
        <f t="shared" si="2"/>
        <v>0</v>
      </c>
      <c r="M25" s="341">
        <v>0</v>
      </c>
      <c r="N25" s="138">
        <f t="shared" si="8"/>
        <v>0</v>
      </c>
      <c r="O25" s="135">
        <v>0</v>
      </c>
      <c r="P25" s="135">
        <f t="shared" si="9"/>
        <v>0</v>
      </c>
      <c r="Q25" s="138">
        <f t="shared" si="3"/>
        <v>0</v>
      </c>
      <c r="R25" s="138">
        <f t="shared" si="4"/>
        <v>0</v>
      </c>
    </row>
    <row r="26" spans="1:18" ht="15.6" customHeight="1" x14ac:dyDescent="0.2">
      <c r="A26" s="344">
        <v>20</v>
      </c>
      <c r="B26" s="147" t="s">
        <v>23</v>
      </c>
      <c r="C26" s="345">
        <f>'8_2.1.20 SIS'!BG26</f>
        <v>0</v>
      </c>
      <c r="D26" s="346">
        <f>'9_Per Pupil Summary'!Q26</f>
        <v>8586.7921582733816</v>
      </c>
      <c r="E26" s="347">
        <f t="shared" si="5"/>
        <v>0</v>
      </c>
      <c r="F26" s="347">
        <f>'9_Per Pupil Summary'!G26</f>
        <v>586.16999999999996</v>
      </c>
      <c r="G26" s="347">
        <f t="shared" si="6"/>
        <v>0</v>
      </c>
      <c r="H26" s="348">
        <f t="shared" si="7"/>
        <v>0</v>
      </c>
      <c r="I26" s="149">
        <v>0</v>
      </c>
      <c r="J26" s="149">
        <v>0</v>
      </c>
      <c r="K26" s="153">
        <f t="shared" si="1"/>
        <v>0</v>
      </c>
      <c r="L26" s="348">
        <f t="shared" si="2"/>
        <v>0</v>
      </c>
      <c r="M26" s="346">
        <v>0</v>
      </c>
      <c r="N26" s="152">
        <f t="shared" si="8"/>
        <v>0</v>
      </c>
      <c r="O26" s="155">
        <v>0</v>
      </c>
      <c r="P26" s="149">
        <f t="shared" si="9"/>
        <v>0</v>
      </c>
      <c r="Q26" s="156">
        <f t="shared" si="3"/>
        <v>0</v>
      </c>
      <c r="R26" s="156">
        <f t="shared" si="4"/>
        <v>0</v>
      </c>
    </row>
    <row r="27" spans="1:18" ht="15.6" customHeight="1" x14ac:dyDescent="0.2">
      <c r="A27" s="334">
        <v>21</v>
      </c>
      <c r="B27" s="115" t="s">
        <v>24</v>
      </c>
      <c r="C27" s="335">
        <f>'8_2.1.20 SIS'!BG27</f>
        <v>0</v>
      </c>
      <c r="D27" s="336">
        <f>'9_Per Pupil Summary'!Q27</f>
        <v>9219.6533495482981</v>
      </c>
      <c r="E27" s="337">
        <f t="shared" si="5"/>
        <v>0</v>
      </c>
      <c r="F27" s="337">
        <f>'9_Per Pupil Summary'!G27</f>
        <v>610.35</v>
      </c>
      <c r="G27" s="337">
        <f t="shared" si="6"/>
        <v>0</v>
      </c>
      <c r="H27" s="338">
        <f t="shared" si="7"/>
        <v>0</v>
      </c>
      <c r="I27" s="117">
        <v>0</v>
      </c>
      <c r="J27" s="117">
        <v>0</v>
      </c>
      <c r="K27" s="121">
        <f t="shared" si="1"/>
        <v>0</v>
      </c>
      <c r="L27" s="338">
        <f t="shared" si="2"/>
        <v>0</v>
      </c>
      <c r="M27" s="336">
        <v>0</v>
      </c>
      <c r="N27" s="120">
        <f t="shared" si="8"/>
        <v>0</v>
      </c>
      <c r="O27" s="117">
        <v>0</v>
      </c>
      <c r="P27" s="117">
        <f t="shared" si="9"/>
        <v>0</v>
      </c>
      <c r="Q27" s="120">
        <f t="shared" si="3"/>
        <v>0</v>
      </c>
      <c r="R27" s="122">
        <f t="shared" si="4"/>
        <v>0</v>
      </c>
    </row>
    <row r="28" spans="1:18" ht="15.6" customHeight="1" x14ac:dyDescent="0.2">
      <c r="A28" s="339">
        <v>22</v>
      </c>
      <c r="B28" s="133" t="s">
        <v>25</v>
      </c>
      <c r="C28" s="340">
        <f>'8_2.1.20 SIS'!BG28</f>
        <v>0</v>
      </c>
      <c r="D28" s="341">
        <f>'9_Per Pupil Summary'!Q28</f>
        <v>9333.4477453394302</v>
      </c>
      <c r="E28" s="342">
        <f t="shared" si="5"/>
        <v>0</v>
      </c>
      <c r="F28" s="342">
        <f>'9_Per Pupil Summary'!G28</f>
        <v>496.36</v>
      </c>
      <c r="G28" s="342">
        <f t="shared" si="6"/>
        <v>0</v>
      </c>
      <c r="H28" s="343">
        <f t="shared" si="7"/>
        <v>0</v>
      </c>
      <c r="I28" s="135">
        <v>0</v>
      </c>
      <c r="J28" s="135">
        <v>0</v>
      </c>
      <c r="K28" s="139">
        <f t="shared" si="1"/>
        <v>0</v>
      </c>
      <c r="L28" s="343">
        <f t="shared" si="2"/>
        <v>0</v>
      </c>
      <c r="M28" s="341">
        <v>0</v>
      </c>
      <c r="N28" s="138">
        <f t="shared" si="8"/>
        <v>0</v>
      </c>
      <c r="O28" s="135">
        <v>0</v>
      </c>
      <c r="P28" s="135">
        <f t="shared" si="9"/>
        <v>0</v>
      </c>
      <c r="Q28" s="138">
        <f t="shared" si="3"/>
        <v>0</v>
      </c>
      <c r="R28" s="138">
        <f t="shared" si="4"/>
        <v>0</v>
      </c>
    </row>
    <row r="29" spans="1:18" ht="15.6" customHeight="1" x14ac:dyDescent="0.2">
      <c r="A29" s="339">
        <v>23</v>
      </c>
      <c r="B29" s="133" t="s">
        <v>26</v>
      </c>
      <c r="C29" s="340">
        <f>'8_2.1.20 SIS'!BG29</f>
        <v>0</v>
      </c>
      <c r="D29" s="341">
        <f>'9_Per Pupil Summary'!Q29</f>
        <v>8928.5127583630783</v>
      </c>
      <c r="E29" s="342">
        <f t="shared" si="5"/>
        <v>0</v>
      </c>
      <c r="F29" s="342">
        <f>'9_Per Pupil Summary'!G29</f>
        <v>688.58</v>
      </c>
      <c r="G29" s="342">
        <f t="shared" si="6"/>
        <v>0</v>
      </c>
      <c r="H29" s="343">
        <f t="shared" si="7"/>
        <v>0</v>
      </c>
      <c r="I29" s="135">
        <v>0</v>
      </c>
      <c r="J29" s="135">
        <v>0</v>
      </c>
      <c r="K29" s="139">
        <f t="shared" si="1"/>
        <v>0</v>
      </c>
      <c r="L29" s="343">
        <f t="shared" si="2"/>
        <v>0</v>
      </c>
      <c r="M29" s="341">
        <v>0</v>
      </c>
      <c r="N29" s="138">
        <f t="shared" si="8"/>
        <v>0</v>
      </c>
      <c r="O29" s="135">
        <v>0</v>
      </c>
      <c r="P29" s="135">
        <f t="shared" si="9"/>
        <v>0</v>
      </c>
      <c r="Q29" s="138">
        <f t="shared" si="3"/>
        <v>0</v>
      </c>
      <c r="R29" s="138">
        <f t="shared" si="4"/>
        <v>0</v>
      </c>
    </row>
    <row r="30" spans="1:18" ht="15.6" customHeight="1" x14ac:dyDescent="0.2">
      <c r="A30" s="339">
        <v>24</v>
      </c>
      <c r="B30" s="133" t="s">
        <v>27</v>
      </c>
      <c r="C30" s="340">
        <f>'8_2.1.20 SIS'!BG30</f>
        <v>0</v>
      </c>
      <c r="D30" s="341">
        <f>'9_Per Pupil Summary'!Q30</f>
        <v>8398.4657254182894</v>
      </c>
      <c r="E30" s="342">
        <f t="shared" si="5"/>
        <v>0</v>
      </c>
      <c r="F30" s="342">
        <f>'9_Per Pupil Summary'!G30</f>
        <v>854.24999999999989</v>
      </c>
      <c r="G30" s="342">
        <f t="shared" si="6"/>
        <v>0</v>
      </c>
      <c r="H30" s="343">
        <f t="shared" si="7"/>
        <v>0</v>
      </c>
      <c r="I30" s="135">
        <v>0</v>
      </c>
      <c r="J30" s="135">
        <v>0</v>
      </c>
      <c r="K30" s="139">
        <f t="shared" si="1"/>
        <v>0</v>
      </c>
      <c r="L30" s="343">
        <f t="shared" si="2"/>
        <v>0</v>
      </c>
      <c r="M30" s="341">
        <v>0</v>
      </c>
      <c r="N30" s="138">
        <f t="shared" si="8"/>
        <v>0</v>
      </c>
      <c r="O30" s="135">
        <v>0</v>
      </c>
      <c r="P30" s="135">
        <f t="shared" si="9"/>
        <v>0</v>
      </c>
      <c r="Q30" s="138">
        <f t="shared" si="3"/>
        <v>0</v>
      </c>
      <c r="R30" s="138">
        <f t="shared" si="4"/>
        <v>0</v>
      </c>
    </row>
    <row r="31" spans="1:18" ht="15.6" customHeight="1" x14ac:dyDescent="0.2">
      <c r="A31" s="344">
        <v>25</v>
      </c>
      <c r="B31" s="147" t="s">
        <v>28</v>
      </c>
      <c r="C31" s="345">
        <f>'8_2.1.20 SIS'!BG31</f>
        <v>0</v>
      </c>
      <c r="D31" s="346">
        <f>'9_Per Pupil Summary'!Q31</f>
        <v>9193.9935672249885</v>
      </c>
      <c r="E31" s="347">
        <f t="shared" si="5"/>
        <v>0</v>
      </c>
      <c r="F31" s="347">
        <f>'9_Per Pupil Summary'!G31</f>
        <v>653.73</v>
      </c>
      <c r="G31" s="347">
        <f t="shared" si="6"/>
        <v>0</v>
      </c>
      <c r="H31" s="348">
        <f t="shared" si="7"/>
        <v>0</v>
      </c>
      <c r="I31" s="149">
        <v>0</v>
      </c>
      <c r="J31" s="149">
        <v>0</v>
      </c>
      <c r="K31" s="153">
        <f t="shared" si="1"/>
        <v>0</v>
      </c>
      <c r="L31" s="348">
        <f t="shared" si="2"/>
        <v>0</v>
      </c>
      <c r="M31" s="346">
        <v>0</v>
      </c>
      <c r="N31" s="152">
        <f t="shared" si="8"/>
        <v>0</v>
      </c>
      <c r="O31" s="155">
        <v>0</v>
      </c>
      <c r="P31" s="149">
        <f t="shared" si="9"/>
        <v>0</v>
      </c>
      <c r="Q31" s="156">
        <f t="shared" si="3"/>
        <v>0</v>
      </c>
      <c r="R31" s="156">
        <f t="shared" si="4"/>
        <v>0</v>
      </c>
    </row>
    <row r="32" spans="1:18" ht="15.6" customHeight="1" x14ac:dyDescent="0.2">
      <c r="A32" s="334">
        <v>26</v>
      </c>
      <c r="B32" s="115" t="s">
        <v>29</v>
      </c>
      <c r="C32" s="335">
        <f>'8_2.1.20 SIS'!BG32</f>
        <v>42</v>
      </c>
      <c r="D32" s="336">
        <f>'9_Per Pupil Summary'!Q32</f>
        <v>8564.9407441183976</v>
      </c>
      <c r="E32" s="337">
        <f t="shared" si="5"/>
        <v>359727.5112529727</v>
      </c>
      <c r="F32" s="337">
        <f>'9_Per Pupil Summary'!G32</f>
        <v>836.83</v>
      </c>
      <c r="G32" s="337">
        <f t="shared" si="6"/>
        <v>35146.86</v>
      </c>
      <c r="H32" s="338">
        <f t="shared" si="7"/>
        <v>394874</v>
      </c>
      <c r="I32" s="117">
        <v>-75214</v>
      </c>
      <c r="J32" s="117">
        <v>4701</v>
      </c>
      <c r="K32" s="121">
        <f t="shared" si="1"/>
        <v>-70513</v>
      </c>
      <c r="L32" s="338">
        <f t="shared" si="2"/>
        <v>324361</v>
      </c>
      <c r="M32" s="336">
        <v>0</v>
      </c>
      <c r="N32" s="120">
        <f t="shared" si="8"/>
        <v>324361</v>
      </c>
      <c r="O32" s="117">
        <v>238178</v>
      </c>
      <c r="P32" s="117">
        <f t="shared" si="9"/>
        <v>86183</v>
      </c>
      <c r="Q32" s="120">
        <f t="shared" si="3"/>
        <v>21546</v>
      </c>
      <c r="R32" s="122">
        <f t="shared" si="4"/>
        <v>324361</v>
      </c>
    </row>
    <row r="33" spans="1:18" ht="15.6" customHeight="1" x14ac:dyDescent="0.2">
      <c r="A33" s="339">
        <v>27</v>
      </c>
      <c r="B33" s="133" t="s">
        <v>30</v>
      </c>
      <c r="C33" s="340">
        <f>'8_2.1.20 SIS'!BG33</f>
        <v>0</v>
      </c>
      <c r="D33" s="341">
        <f>'9_Per Pupil Summary'!Q33</f>
        <v>9260.4225250501004</v>
      </c>
      <c r="E33" s="342">
        <f t="shared" si="5"/>
        <v>0</v>
      </c>
      <c r="F33" s="342">
        <f>'9_Per Pupil Summary'!G33</f>
        <v>693.06</v>
      </c>
      <c r="G33" s="342">
        <f t="shared" si="6"/>
        <v>0</v>
      </c>
      <c r="H33" s="343">
        <f t="shared" si="7"/>
        <v>0</v>
      </c>
      <c r="I33" s="135">
        <v>0</v>
      </c>
      <c r="J33" s="135">
        <v>0</v>
      </c>
      <c r="K33" s="139">
        <f t="shared" si="1"/>
        <v>0</v>
      </c>
      <c r="L33" s="343">
        <f t="shared" si="2"/>
        <v>0</v>
      </c>
      <c r="M33" s="341">
        <v>0</v>
      </c>
      <c r="N33" s="138">
        <f t="shared" si="8"/>
        <v>0</v>
      </c>
      <c r="O33" s="135">
        <v>0</v>
      </c>
      <c r="P33" s="135">
        <f t="shared" si="9"/>
        <v>0</v>
      </c>
      <c r="Q33" s="138">
        <f t="shared" si="3"/>
        <v>0</v>
      </c>
      <c r="R33" s="138">
        <f t="shared" si="4"/>
        <v>0</v>
      </c>
    </row>
    <row r="34" spans="1:18" ht="15.6" customHeight="1" x14ac:dyDescent="0.2">
      <c r="A34" s="339">
        <v>28</v>
      </c>
      <c r="B34" s="133" t="s">
        <v>31</v>
      </c>
      <c r="C34" s="340">
        <f>'8_2.1.20 SIS'!BG34</f>
        <v>0</v>
      </c>
      <c r="D34" s="341">
        <f>'9_Per Pupil Summary'!Q34</f>
        <v>7902.6858936661774</v>
      </c>
      <c r="E34" s="342">
        <f t="shared" si="5"/>
        <v>0</v>
      </c>
      <c r="F34" s="342">
        <f>'9_Per Pupil Summary'!G34</f>
        <v>694.4</v>
      </c>
      <c r="G34" s="342">
        <f t="shared" si="6"/>
        <v>0</v>
      </c>
      <c r="H34" s="343">
        <f t="shared" si="7"/>
        <v>0</v>
      </c>
      <c r="I34" s="135">
        <v>0</v>
      </c>
      <c r="J34" s="135">
        <v>0</v>
      </c>
      <c r="K34" s="139">
        <f t="shared" si="1"/>
        <v>0</v>
      </c>
      <c r="L34" s="343">
        <f t="shared" si="2"/>
        <v>0</v>
      </c>
      <c r="M34" s="341">
        <v>0</v>
      </c>
      <c r="N34" s="138">
        <f t="shared" si="8"/>
        <v>0</v>
      </c>
      <c r="O34" s="135">
        <v>0</v>
      </c>
      <c r="P34" s="135">
        <f t="shared" si="9"/>
        <v>0</v>
      </c>
      <c r="Q34" s="138">
        <f t="shared" si="3"/>
        <v>0</v>
      </c>
      <c r="R34" s="138">
        <f t="shared" si="4"/>
        <v>0</v>
      </c>
    </row>
    <row r="35" spans="1:18" ht="15.6" customHeight="1" x14ac:dyDescent="0.2">
      <c r="A35" s="339">
        <v>29</v>
      </c>
      <c r="B35" s="133" t="s">
        <v>32</v>
      </c>
      <c r="C35" s="340">
        <f>'8_2.1.20 SIS'!BG35</f>
        <v>0</v>
      </c>
      <c r="D35" s="341">
        <f>'9_Per Pupil Summary'!Q35</f>
        <v>8146.1196327803773</v>
      </c>
      <c r="E35" s="342">
        <f t="shared" si="5"/>
        <v>0</v>
      </c>
      <c r="F35" s="342">
        <f>'9_Per Pupil Summary'!G35</f>
        <v>754.94999999999993</v>
      </c>
      <c r="G35" s="342">
        <f t="shared" si="6"/>
        <v>0</v>
      </c>
      <c r="H35" s="343">
        <f t="shared" si="7"/>
        <v>0</v>
      </c>
      <c r="I35" s="135">
        <v>0</v>
      </c>
      <c r="J35" s="135">
        <v>0</v>
      </c>
      <c r="K35" s="139">
        <f t="shared" si="1"/>
        <v>0</v>
      </c>
      <c r="L35" s="343">
        <f t="shared" si="2"/>
        <v>0</v>
      </c>
      <c r="M35" s="341">
        <v>0</v>
      </c>
      <c r="N35" s="138">
        <f t="shared" si="8"/>
        <v>0</v>
      </c>
      <c r="O35" s="135">
        <v>0</v>
      </c>
      <c r="P35" s="135">
        <f t="shared" si="9"/>
        <v>0</v>
      </c>
      <c r="Q35" s="138">
        <f t="shared" si="3"/>
        <v>0</v>
      </c>
      <c r="R35" s="138">
        <f t="shared" si="4"/>
        <v>0</v>
      </c>
    </row>
    <row r="36" spans="1:18" ht="15.6" customHeight="1" x14ac:dyDescent="0.2">
      <c r="A36" s="344">
        <v>30</v>
      </c>
      <c r="B36" s="147" t="s">
        <v>33</v>
      </c>
      <c r="C36" s="345">
        <f>'8_2.1.20 SIS'!BG36</f>
        <v>0</v>
      </c>
      <c r="D36" s="346">
        <f>'9_Per Pupil Summary'!Q36</f>
        <v>9263.2352388535037</v>
      </c>
      <c r="E36" s="347">
        <f t="shared" si="5"/>
        <v>0</v>
      </c>
      <c r="F36" s="347">
        <f>'9_Per Pupil Summary'!G36</f>
        <v>727.17</v>
      </c>
      <c r="G36" s="347">
        <f t="shared" si="6"/>
        <v>0</v>
      </c>
      <c r="H36" s="348">
        <f t="shared" si="7"/>
        <v>0</v>
      </c>
      <c r="I36" s="149">
        <v>0</v>
      </c>
      <c r="J36" s="149">
        <v>0</v>
      </c>
      <c r="K36" s="153">
        <f t="shared" si="1"/>
        <v>0</v>
      </c>
      <c r="L36" s="348">
        <f t="shared" si="2"/>
        <v>0</v>
      </c>
      <c r="M36" s="346">
        <v>0</v>
      </c>
      <c r="N36" s="152">
        <f t="shared" si="8"/>
        <v>0</v>
      </c>
      <c r="O36" s="155">
        <v>0</v>
      </c>
      <c r="P36" s="149">
        <f t="shared" si="9"/>
        <v>0</v>
      </c>
      <c r="Q36" s="156">
        <f t="shared" si="3"/>
        <v>0</v>
      </c>
      <c r="R36" s="156">
        <f t="shared" si="4"/>
        <v>0</v>
      </c>
    </row>
    <row r="37" spans="1:18" ht="15.6" customHeight="1" x14ac:dyDescent="0.2">
      <c r="A37" s="334">
        <v>31</v>
      </c>
      <c r="B37" s="115" t="s">
        <v>34</v>
      </c>
      <c r="C37" s="335">
        <f>'8_2.1.20 SIS'!BG37</f>
        <v>0</v>
      </c>
      <c r="D37" s="336">
        <f>'9_Per Pupil Summary'!Q37</f>
        <v>8997.4791965008917</v>
      </c>
      <c r="E37" s="337">
        <f t="shared" si="5"/>
        <v>0</v>
      </c>
      <c r="F37" s="337">
        <f>'9_Per Pupil Summary'!G37</f>
        <v>620.83000000000004</v>
      </c>
      <c r="G37" s="337">
        <f t="shared" si="6"/>
        <v>0</v>
      </c>
      <c r="H37" s="338">
        <f t="shared" si="7"/>
        <v>0</v>
      </c>
      <c r="I37" s="117">
        <v>0</v>
      </c>
      <c r="J37" s="117">
        <v>0</v>
      </c>
      <c r="K37" s="121">
        <f t="shared" si="1"/>
        <v>0</v>
      </c>
      <c r="L37" s="338">
        <f t="shared" si="2"/>
        <v>0</v>
      </c>
      <c r="M37" s="336">
        <v>0</v>
      </c>
      <c r="N37" s="120">
        <f t="shared" si="8"/>
        <v>0</v>
      </c>
      <c r="O37" s="117">
        <v>0</v>
      </c>
      <c r="P37" s="117">
        <f t="shared" si="9"/>
        <v>0</v>
      </c>
      <c r="Q37" s="120">
        <f t="shared" si="3"/>
        <v>0</v>
      </c>
      <c r="R37" s="122">
        <f t="shared" si="4"/>
        <v>0</v>
      </c>
    </row>
    <row r="38" spans="1:18" ht="15.6" customHeight="1" x14ac:dyDescent="0.2">
      <c r="A38" s="339">
        <v>32</v>
      </c>
      <c r="B38" s="133" t="s">
        <v>35</v>
      </c>
      <c r="C38" s="340">
        <f>'8_2.1.20 SIS'!BG38</f>
        <v>0</v>
      </c>
      <c r="D38" s="341">
        <f>'9_Per Pupil Summary'!Q38</f>
        <v>8634.1210878790207</v>
      </c>
      <c r="E38" s="342">
        <f t="shared" si="5"/>
        <v>0</v>
      </c>
      <c r="F38" s="342">
        <f>'9_Per Pupil Summary'!G38</f>
        <v>559.77</v>
      </c>
      <c r="G38" s="342">
        <f t="shared" si="6"/>
        <v>0</v>
      </c>
      <c r="H38" s="343">
        <f t="shared" si="7"/>
        <v>0</v>
      </c>
      <c r="I38" s="135">
        <v>0</v>
      </c>
      <c r="J38" s="135">
        <v>0</v>
      </c>
      <c r="K38" s="139">
        <f t="shared" si="1"/>
        <v>0</v>
      </c>
      <c r="L38" s="343">
        <f t="shared" si="2"/>
        <v>0</v>
      </c>
      <c r="M38" s="341">
        <v>0</v>
      </c>
      <c r="N38" s="138">
        <f t="shared" si="8"/>
        <v>0</v>
      </c>
      <c r="O38" s="135">
        <v>0</v>
      </c>
      <c r="P38" s="135">
        <f t="shared" si="9"/>
        <v>0</v>
      </c>
      <c r="Q38" s="138">
        <f t="shared" si="3"/>
        <v>0</v>
      </c>
      <c r="R38" s="138">
        <f t="shared" si="4"/>
        <v>0</v>
      </c>
    </row>
    <row r="39" spans="1:18" ht="15.6" customHeight="1" x14ac:dyDescent="0.2">
      <c r="A39" s="339">
        <v>33</v>
      </c>
      <c r="B39" s="133" t="s">
        <v>36</v>
      </c>
      <c r="C39" s="340">
        <f>'8_2.1.20 SIS'!BG39</f>
        <v>0</v>
      </c>
      <c r="D39" s="341">
        <f>'9_Per Pupil Summary'!Q39</f>
        <v>10041.616487252126</v>
      </c>
      <c r="E39" s="342">
        <f t="shared" si="5"/>
        <v>0</v>
      </c>
      <c r="F39" s="342">
        <f>'9_Per Pupil Summary'!G39</f>
        <v>655.31000000000006</v>
      </c>
      <c r="G39" s="342">
        <f t="shared" si="6"/>
        <v>0</v>
      </c>
      <c r="H39" s="343">
        <f t="shared" si="7"/>
        <v>0</v>
      </c>
      <c r="I39" s="135">
        <v>0</v>
      </c>
      <c r="J39" s="135">
        <v>0</v>
      </c>
      <c r="K39" s="139">
        <f t="shared" ref="K39:K70" si="10">I39+J39</f>
        <v>0</v>
      </c>
      <c r="L39" s="343">
        <f t="shared" si="2"/>
        <v>0</v>
      </c>
      <c r="M39" s="341">
        <v>0</v>
      </c>
      <c r="N39" s="138">
        <f t="shared" si="8"/>
        <v>0</v>
      </c>
      <c r="O39" s="135">
        <v>0</v>
      </c>
      <c r="P39" s="135">
        <f t="shared" si="9"/>
        <v>0</v>
      </c>
      <c r="Q39" s="138">
        <f t="shared" ref="Q39:Q70" si="11">ROUND(P39/$Q$86,0)</f>
        <v>0</v>
      </c>
      <c r="R39" s="138">
        <f t="shared" ref="R39:R75" si="12">N39</f>
        <v>0</v>
      </c>
    </row>
    <row r="40" spans="1:18" ht="15.6" customHeight="1" x14ac:dyDescent="0.2">
      <c r="A40" s="339">
        <v>34</v>
      </c>
      <c r="B40" s="133" t="s">
        <v>37</v>
      </c>
      <c r="C40" s="340">
        <f>'8_2.1.20 SIS'!BG40</f>
        <v>0</v>
      </c>
      <c r="D40" s="341">
        <f>'9_Per Pupil Summary'!Q40</f>
        <v>9870.4576886661089</v>
      </c>
      <c r="E40" s="342">
        <f t="shared" si="5"/>
        <v>0</v>
      </c>
      <c r="F40" s="342">
        <f>'9_Per Pupil Summary'!G40</f>
        <v>644.11000000000013</v>
      </c>
      <c r="G40" s="342">
        <f t="shared" si="6"/>
        <v>0</v>
      </c>
      <c r="H40" s="343">
        <f t="shared" si="7"/>
        <v>0</v>
      </c>
      <c r="I40" s="135">
        <v>0</v>
      </c>
      <c r="J40" s="135">
        <v>0</v>
      </c>
      <c r="K40" s="139">
        <f t="shared" si="10"/>
        <v>0</v>
      </c>
      <c r="L40" s="343">
        <f t="shared" si="2"/>
        <v>0</v>
      </c>
      <c r="M40" s="341">
        <v>0</v>
      </c>
      <c r="N40" s="138">
        <f t="shared" si="8"/>
        <v>0</v>
      </c>
      <c r="O40" s="135">
        <v>0</v>
      </c>
      <c r="P40" s="135">
        <f t="shared" si="9"/>
        <v>0</v>
      </c>
      <c r="Q40" s="138">
        <f t="shared" si="11"/>
        <v>0</v>
      </c>
      <c r="R40" s="138">
        <f t="shared" si="12"/>
        <v>0</v>
      </c>
    </row>
    <row r="41" spans="1:18" ht="15.6" customHeight="1" x14ac:dyDescent="0.2">
      <c r="A41" s="344">
        <v>35</v>
      </c>
      <c r="B41" s="147" t="s">
        <v>38</v>
      </c>
      <c r="C41" s="345">
        <f>'8_2.1.20 SIS'!BG41</f>
        <v>0</v>
      </c>
      <c r="D41" s="346">
        <f>'9_Per Pupil Summary'!Q41</f>
        <v>8844.7169328105501</v>
      </c>
      <c r="E41" s="347">
        <f t="shared" si="5"/>
        <v>0</v>
      </c>
      <c r="F41" s="347">
        <f>'9_Per Pupil Summary'!G41</f>
        <v>537.96</v>
      </c>
      <c r="G41" s="347">
        <f t="shared" si="6"/>
        <v>0</v>
      </c>
      <c r="H41" s="348">
        <f t="shared" si="7"/>
        <v>0</v>
      </c>
      <c r="I41" s="149">
        <v>0</v>
      </c>
      <c r="J41" s="149">
        <v>0</v>
      </c>
      <c r="K41" s="153">
        <f t="shared" si="10"/>
        <v>0</v>
      </c>
      <c r="L41" s="348">
        <f t="shared" si="2"/>
        <v>0</v>
      </c>
      <c r="M41" s="346">
        <v>0</v>
      </c>
      <c r="N41" s="152">
        <f t="shared" si="8"/>
        <v>0</v>
      </c>
      <c r="O41" s="155">
        <v>0</v>
      </c>
      <c r="P41" s="149">
        <f t="shared" si="9"/>
        <v>0</v>
      </c>
      <c r="Q41" s="156">
        <f t="shared" si="11"/>
        <v>0</v>
      </c>
      <c r="R41" s="156">
        <f t="shared" si="12"/>
        <v>0</v>
      </c>
    </row>
    <row r="42" spans="1:18" ht="15.6" customHeight="1" x14ac:dyDescent="0.2">
      <c r="A42" s="334">
        <v>36</v>
      </c>
      <c r="B42" s="115" t="s">
        <v>39</v>
      </c>
      <c r="C42" s="335">
        <f>'8_2.1.20 SIS'!BG42</f>
        <v>117</v>
      </c>
      <c r="D42" s="336">
        <f>'9_Per Pupil Summary'!Q42</f>
        <v>8372.8678246926775</v>
      </c>
      <c r="E42" s="337">
        <f t="shared" si="5"/>
        <v>979625.53548904322</v>
      </c>
      <c r="F42" s="337">
        <f>'9_Per Pupil Summary'!G42</f>
        <v>746.03</v>
      </c>
      <c r="G42" s="337">
        <f t="shared" si="6"/>
        <v>87285.51</v>
      </c>
      <c r="H42" s="338">
        <f t="shared" si="7"/>
        <v>1066911</v>
      </c>
      <c r="I42" s="117">
        <v>182378</v>
      </c>
      <c r="J42" s="117">
        <v>-18238</v>
      </c>
      <c r="K42" s="121">
        <f t="shared" si="10"/>
        <v>164140</v>
      </c>
      <c r="L42" s="338">
        <f t="shared" si="2"/>
        <v>1231051</v>
      </c>
      <c r="M42" s="336">
        <v>4477</v>
      </c>
      <c r="N42" s="120">
        <f t="shared" si="8"/>
        <v>1235528</v>
      </c>
      <c r="O42" s="117">
        <v>772010</v>
      </c>
      <c r="P42" s="117">
        <f t="shared" si="9"/>
        <v>463518</v>
      </c>
      <c r="Q42" s="120">
        <f t="shared" si="11"/>
        <v>115880</v>
      </c>
      <c r="R42" s="122">
        <f t="shared" si="12"/>
        <v>1235528</v>
      </c>
    </row>
    <row r="43" spans="1:18" ht="15.6" customHeight="1" x14ac:dyDescent="0.2">
      <c r="A43" s="339">
        <v>37</v>
      </c>
      <c r="B43" s="133" t="s">
        <v>40</v>
      </c>
      <c r="C43" s="340">
        <f>'8_2.1.20 SIS'!BG43</f>
        <v>0</v>
      </c>
      <c r="D43" s="341">
        <f>'9_Per Pupil Summary'!Q43</f>
        <v>8965.516042763511</v>
      </c>
      <c r="E43" s="342">
        <f t="shared" si="5"/>
        <v>0</v>
      </c>
      <c r="F43" s="342">
        <f>'9_Per Pupil Summary'!G43</f>
        <v>653.61</v>
      </c>
      <c r="G43" s="342">
        <f t="shared" si="6"/>
        <v>0</v>
      </c>
      <c r="H43" s="343">
        <f t="shared" si="7"/>
        <v>0</v>
      </c>
      <c r="I43" s="135">
        <v>0</v>
      </c>
      <c r="J43" s="135">
        <v>0</v>
      </c>
      <c r="K43" s="139">
        <f t="shared" si="10"/>
        <v>0</v>
      </c>
      <c r="L43" s="343">
        <f t="shared" si="2"/>
        <v>0</v>
      </c>
      <c r="M43" s="341">
        <v>0</v>
      </c>
      <c r="N43" s="138">
        <f t="shared" si="8"/>
        <v>0</v>
      </c>
      <c r="O43" s="135">
        <v>0</v>
      </c>
      <c r="P43" s="135">
        <f t="shared" si="9"/>
        <v>0</v>
      </c>
      <c r="Q43" s="138">
        <f t="shared" si="11"/>
        <v>0</v>
      </c>
      <c r="R43" s="138">
        <f t="shared" si="12"/>
        <v>0</v>
      </c>
    </row>
    <row r="44" spans="1:18" ht="15.6" customHeight="1" x14ac:dyDescent="0.2">
      <c r="A44" s="339">
        <v>38</v>
      </c>
      <c r="B44" s="133" t="s">
        <v>41</v>
      </c>
      <c r="C44" s="340">
        <f>'8_2.1.20 SIS'!BG44</f>
        <v>4</v>
      </c>
      <c r="D44" s="341">
        <f>'9_Per Pupil Summary'!Q44</f>
        <v>8808.8195849445729</v>
      </c>
      <c r="E44" s="342">
        <f t="shared" si="5"/>
        <v>35235.278339778291</v>
      </c>
      <c r="F44" s="342">
        <f>'9_Per Pupil Summary'!G44</f>
        <v>829.92000000000007</v>
      </c>
      <c r="G44" s="342">
        <f t="shared" si="6"/>
        <v>3319.6800000000003</v>
      </c>
      <c r="H44" s="343">
        <f t="shared" si="7"/>
        <v>38555</v>
      </c>
      <c r="I44" s="135">
        <v>9639</v>
      </c>
      <c r="J44" s="135">
        <v>-9639</v>
      </c>
      <c r="K44" s="139">
        <f t="shared" si="10"/>
        <v>0</v>
      </c>
      <c r="L44" s="343">
        <f t="shared" si="2"/>
        <v>38555</v>
      </c>
      <c r="M44" s="341">
        <v>0</v>
      </c>
      <c r="N44" s="138">
        <f t="shared" si="8"/>
        <v>38555</v>
      </c>
      <c r="O44" s="135">
        <v>28916</v>
      </c>
      <c r="P44" s="135">
        <f t="shared" si="9"/>
        <v>9639</v>
      </c>
      <c r="Q44" s="138">
        <f t="shared" si="11"/>
        <v>2410</v>
      </c>
      <c r="R44" s="138">
        <f t="shared" si="12"/>
        <v>38555</v>
      </c>
    </row>
    <row r="45" spans="1:18" ht="15.6" customHeight="1" x14ac:dyDescent="0.2">
      <c r="A45" s="339">
        <v>39</v>
      </c>
      <c r="B45" s="133" t="s">
        <v>42</v>
      </c>
      <c r="C45" s="340">
        <f>'8_2.1.20 SIS'!BG45</f>
        <v>0</v>
      </c>
      <c r="D45" s="341">
        <f>'9_Per Pupil Summary'!Q45</f>
        <v>8732.4221734191597</v>
      </c>
      <c r="E45" s="342">
        <f t="shared" si="5"/>
        <v>0</v>
      </c>
      <c r="F45" s="342">
        <f>'9_Per Pupil Summary'!G45</f>
        <v>779.66</v>
      </c>
      <c r="G45" s="342">
        <f t="shared" si="6"/>
        <v>0</v>
      </c>
      <c r="H45" s="343">
        <f t="shared" si="7"/>
        <v>0</v>
      </c>
      <c r="I45" s="135">
        <v>0</v>
      </c>
      <c r="J45" s="135">
        <v>0</v>
      </c>
      <c r="K45" s="139">
        <f t="shared" si="10"/>
        <v>0</v>
      </c>
      <c r="L45" s="343">
        <f t="shared" si="2"/>
        <v>0</v>
      </c>
      <c r="M45" s="341">
        <v>0</v>
      </c>
      <c r="N45" s="138">
        <f t="shared" si="8"/>
        <v>0</v>
      </c>
      <c r="O45" s="135">
        <v>0</v>
      </c>
      <c r="P45" s="135">
        <f t="shared" si="9"/>
        <v>0</v>
      </c>
      <c r="Q45" s="138">
        <f t="shared" si="11"/>
        <v>0</v>
      </c>
      <c r="R45" s="138">
        <f t="shared" si="12"/>
        <v>0</v>
      </c>
    </row>
    <row r="46" spans="1:18" ht="15.6" customHeight="1" x14ac:dyDescent="0.2">
      <c r="A46" s="344">
        <v>40</v>
      </c>
      <c r="B46" s="147" t="s">
        <v>43</v>
      </c>
      <c r="C46" s="345">
        <f>'8_2.1.20 SIS'!BG46</f>
        <v>0</v>
      </c>
      <c r="D46" s="346">
        <f>'9_Per Pupil Summary'!Q46</f>
        <v>8811.3050792342219</v>
      </c>
      <c r="E46" s="347">
        <f t="shared" si="5"/>
        <v>0</v>
      </c>
      <c r="F46" s="347">
        <f>'9_Per Pupil Summary'!G46</f>
        <v>700.2700000000001</v>
      </c>
      <c r="G46" s="347">
        <f t="shared" si="6"/>
        <v>0</v>
      </c>
      <c r="H46" s="348">
        <f t="shared" si="7"/>
        <v>0</v>
      </c>
      <c r="I46" s="149">
        <v>0</v>
      </c>
      <c r="J46" s="149">
        <v>0</v>
      </c>
      <c r="K46" s="153">
        <f t="shared" si="10"/>
        <v>0</v>
      </c>
      <c r="L46" s="348">
        <f t="shared" si="2"/>
        <v>0</v>
      </c>
      <c r="M46" s="346">
        <v>0</v>
      </c>
      <c r="N46" s="152">
        <f t="shared" si="8"/>
        <v>0</v>
      </c>
      <c r="O46" s="155">
        <v>0</v>
      </c>
      <c r="P46" s="149">
        <f t="shared" si="9"/>
        <v>0</v>
      </c>
      <c r="Q46" s="156">
        <f t="shared" si="11"/>
        <v>0</v>
      </c>
      <c r="R46" s="156">
        <f t="shared" si="12"/>
        <v>0</v>
      </c>
    </row>
    <row r="47" spans="1:18" ht="15.6" customHeight="1" x14ac:dyDescent="0.2">
      <c r="A47" s="334">
        <v>41</v>
      </c>
      <c r="B47" s="115" t="s">
        <v>44</v>
      </c>
      <c r="C47" s="335">
        <f>'8_2.1.20 SIS'!BG47</f>
        <v>0</v>
      </c>
      <c r="D47" s="336">
        <f>'9_Per Pupil Summary'!Q47</f>
        <v>8907.396563706563</v>
      </c>
      <c r="E47" s="337">
        <f t="shared" si="5"/>
        <v>0</v>
      </c>
      <c r="F47" s="337">
        <f>'9_Per Pupil Summary'!G47</f>
        <v>886.22</v>
      </c>
      <c r="G47" s="337">
        <f t="shared" si="6"/>
        <v>0</v>
      </c>
      <c r="H47" s="338">
        <f t="shared" si="7"/>
        <v>0</v>
      </c>
      <c r="I47" s="117">
        <v>0</v>
      </c>
      <c r="J47" s="117">
        <v>0</v>
      </c>
      <c r="K47" s="121">
        <f t="shared" si="10"/>
        <v>0</v>
      </c>
      <c r="L47" s="338">
        <f t="shared" si="2"/>
        <v>0</v>
      </c>
      <c r="M47" s="336">
        <v>0</v>
      </c>
      <c r="N47" s="120">
        <f t="shared" si="8"/>
        <v>0</v>
      </c>
      <c r="O47" s="117">
        <v>0</v>
      </c>
      <c r="P47" s="117">
        <f t="shared" si="9"/>
        <v>0</v>
      </c>
      <c r="Q47" s="120">
        <f t="shared" si="11"/>
        <v>0</v>
      </c>
      <c r="R47" s="122">
        <f t="shared" si="12"/>
        <v>0</v>
      </c>
    </row>
    <row r="48" spans="1:18" ht="15.6" customHeight="1" x14ac:dyDescent="0.2">
      <c r="A48" s="339">
        <v>42</v>
      </c>
      <c r="B48" s="133" t="s">
        <v>45</v>
      </c>
      <c r="C48" s="340">
        <f>'8_2.1.20 SIS'!BG48</f>
        <v>0</v>
      </c>
      <c r="D48" s="341">
        <f>'9_Per Pupil Summary'!Q48</f>
        <v>9367.8114888155487</v>
      </c>
      <c r="E48" s="342">
        <f t="shared" si="5"/>
        <v>0</v>
      </c>
      <c r="F48" s="342">
        <f>'9_Per Pupil Summary'!G48</f>
        <v>534.28</v>
      </c>
      <c r="G48" s="342">
        <f t="shared" si="6"/>
        <v>0</v>
      </c>
      <c r="H48" s="343">
        <f t="shared" si="7"/>
        <v>0</v>
      </c>
      <c r="I48" s="135">
        <v>0</v>
      </c>
      <c r="J48" s="135">
        <v>0</v>
      </c>
      <c r="K48" s="139">
        <f t="shared" si="10"/>
        <v>0</v>
      </c>
      <c r="L48" s="343">
        <f t="shared" si="2"/>
        <v>0</v>
      </c>
      <c r="M48" s="341">
        <v>0</v>
      </c>
      <c r="N48" s="138">
        <f t="shared" si="8"/>
        <v>0</v>
      </c>
      <c r="O48" s="135">
        <v>0</v>
      </c>
      <c r="P48" s="135">
        <f t="shared" si="9"/>
        <v>0</v>
      </c>
      <c r="Q48" s="138">
        <f t="shared" si="11"/>
        <v>0</v>
      </c>
      <c r="R48" s="138">
        <f t="shared" si="12"/>
        <v>0</v>
      </c>
    </row>
    <row r="49" spans="1:18" ht="15.6" customHeight="1" x14ac:dyDescent="0.2">
      <c r="A49" s="339">
        <v>43</v>
      </c>
      <c r="B49" s="133" t="s">
        <v>46</v>
      </c>
      <c r="C49" s="340">
        <f>'8_2.1.20 SIS'!BG49</f>
        <v>0</v>
      </c>
      <c r="D49" s="341">
        <f>'9_Per Pupil Summary'!Q49</f>
        <v>9488.8764077669912</v>
      </c>
      <c r="E49" s="342">
        <f t="shared" si="5"/>
        <v>0</v>
      </c>
      <c r="F49" s="342">
        <f>'9_Per Pupil Summary'!G49</f>
        <v>574.6099999999999</v>
      </c>
      <c r="G49" s="342">
        <f t="shared" si="6"/>
        <v>0</v>
      </c>
      <c r="H49" s="343">
        <f t="shared" si="7"/>
        <v>0</v>
      </c>
      <c r="I49" s="135">
        <v>0</v>
      </c>
      <c r="J49" s="135">
        <v>0</v>
      </c>
      <c r="K49" s="139">
        <f t="shared" si="10"/>
        <v>0</v>
      </c>
      <c r="L49" s="343">
        <f t="shared" si="2"/>
        <v>0</v>
      </c>
      <c r="M49" s="341">
        <v>0</v>
      </c>
      <c r="N49" s="138">
        <f t="shared" si="8"/>
        <v>0</v>
      </c>
      <c r="O49" s="135">
        <v>0</v>
      </c>
      <c r="P49" s="135">
        <f t="shared" si="9"/>
        <v>0</v>
      </c>
      <c r="Q49" s="138">
        <f t="shared" si="11"/>
        <v>0</v>
      </c>
      <c r="R49" s="138">
        <f t="shared" si="12"/>
        <v>0</v>
      </c>
    </row>
    <row r="50" spans="1:18" ht="15.6" customHeight="1" x14ac:dyDescent="0.2">
      <c r="A50" s="339">
        <v>44</v>
      </c>
      <c r="B50" s="133" t="s">
        <v>47</v>
      </c>
      <c r="C50" s="340">
        <f>'8_2.1.20 SIS'!BG50</f>
        <v>8</v>
      </c>
      <c r="D50" s="341">
        <f>'9_Per Pupil Summary'!Q50</f>
        <v>8662.2609117725933</v>
      </c>
      <c r="E50" s="342">
        <f t="shared" si="5"/>
        <v>69298.087294180747</v>
      </c>
      <c r="F50" s="342">
        <f>'9_Per Pupil Summary'!G50</f>
        <v>663.16000000000008</v>
      </c>
      <c r="G50" s="342">
        <f t="shared" si="6"/>
        <v>5305.2800000000007</v>
      </c>
      <c r="H50" s="343">
        <f t="shared" si="7"/>
        <v>74603</v>
      </c>
      <c r="I50" s="135">
        <v>27976</v>
      </c>
      <c r="J50" s="135">
        <v>0</v>
      </c>
      <c r="K50" s="139">
        <f t="shared" si="10"/>
        <v>27976</v>
      </c>
      <c r="L50" s="343">
        <f t="shared" si="2"/>
        <v>102579</v>
      </c>
      <c r="M50" s="341">
        <v>0</v>
      </c>
      <c r="N50" s="138">
        <f t="shared" si="8"/>
        <v>102579</v>
      </c>
      <c r="O50" s="135">
        <v>59062</v>
      </c>
      <c r="P50" s="135">
        <f t="shared" si="9"/>
        <v>43517</v>
      </c>
      <c r="Q50" s="138">
        <f t="shared" si="11"/>
        <v>10879</v>
      </c>
      <c r="R50" s="138">
        <f t="shared" si="12"/>
        <v>102579</v>
      </c>
    </row>
    <row r="51" spans="1:18" ht="15.6" customHeight="1" x14ac:dyDescent="0.2">
      <c r="A51" s="344">
        <v>45</v>
      </c>
      <c r="B51" s="147" t="s">
        <v>48</v>
      </c>
      <c r="C51" s="345">
        <f>'8_2.1.20 SIS'!BG51</f>
        <v>5</v>
      </c>
      <c r="D51" s="346">
        <f>'9_Per Pupil Summary'!Q51</f>
        <v>7853.0362356170172</v>
      </c>
      <c r="E51" s="347">
        <f t="shared" si="5"/>
        <v>39265.181178085084</v>
      </c>
      <c r="F51" s="347">
        <f>'9_Per Pupil Summary'!G51</f>
        <v>753.96000000000015</v>
      </c>
      <c r="G51" s="347">
        <f t="shared" si="6"/>
        <v>3769.8000000000006</v>
      </c>
      <c r="H51" s="348">
        <f t="shared" si="7"/>
        <v>43035</v>
      </c>
      <c r="I51" s="149">
        <v>0</v>
      </c>
      <c r="J51" s="149">
        <v>0</v>
      </c>
      <c r="K51" s="153">
        <f t="shared" si="10"/>
        <v>0</v>
      </c>
      <c r="L51" s="348">
        <f t="shared" si="2"/>
        <v>43035</v>
      </c>
      <c r="M51" s="346">
        <v>0</v>
      </c>
      <c r="N51" s="152">
        <f t="shared" si="8"/>
        <v>43035</v>
      </c>
      <c r="O51" s="155">
        <v>28690</v>
      </c>
      <c r="P51" s="149">
        <f t="shared" si="9"/>
        <v>14345</v>
      </c>
      <c r="Q51" s="156">
        <f t="shared" si="11"/>
        <v>3586</v>
      </c>
      <c r="R51" s="156">
        <f t="shared" si="12"/>
        <v>43035</v>
      </c>
    </row>
    <row r="52" spans="1:18" ht="15.6" customHeight="1" x14ac:dyDescent="0.2">
      <c r="A52" s="334">
        <v>46</v>
      </c>
      <c r="B52" s="115" t="s">
        <v>49</v>
      </c>
      <c r="C52" s="335">
        <f>'8_2.1.20 SIS'!BG52</f>
        <v>0</v>
      </c>
      <c r="D52" s="336">
        <f>'9_Per Pupil Summary'!Q52</f>
        <v>10300.317552742616</v>
      </c>
      <c r="E52" s="337">
        <f t="shared" si="5"/>
        <v>0</v>
      </c>
      <c r="F52" s="337">
        <f>'9_Per Pupil Summary'!G52</f>
        <v>728.06</v>
      </c>
      <c r="G52" s="337">
        <f t="shared" si="6"/>
        <v>0</v>
      </c>
      <c r="H52" s="338">
        <f t="shared" si="7"/>
        <v>0</v>
      </c>
      <c r="I52" s="117">
        <v>0</v>
      </c>
      <c r="J52" s="117">
        <v>0</v>
      </c>
      <c r="K52" s="121">
        <f t="shared" si="10"/>
        <v>0</v>
      </c>
      <c r="L52" s="338">
        <f t="shared" si="2"/>
        <v>0</v>
      </c>
      <c r="M52" s="336">
        <v>0</v>
      </c>
      <c r="N52" s="120">
        <f t="shared" si="8"/>
        <v>0</v>
      </c>
      <c r="O52" s="117">
        <v>0</v>
      </c>
      <c r="P52" s="117">
        <f t="shared" si="9"/>
        <v>0</v>
      </c>
      <c r="Q52" s="120">
        <f t="shared" si="11"/>
        <v>0</v>
      </c>
      <c r="R52" s="122">
        <f t="shared" si="12"/>
        <v>0</v>
      </c>
    </row>
    <row r="53" spans="1:18" ht="15.6" customHeight="1" x14ac:dyDescent="0.2">
      <c r="A53" s="339">
        <v>47</v>
      </c>
      <c r="B53" s="133" t="s">
        <v>50</v>
      </c>
      <c r="C53" s="340">
        <f>'8_2.1.20 SIS'!BG53</f>
        <v>2</v>
      </c>
      <c r="D53" s="341">
        <f>'9_Per Pupil Summary'!Q53</f>
        <v>8625.0299001426538</v>
      </c>
      <c r="E53" s="342">
        <f t="shared" si="5"/>
        <v>17250.059800285308</v>
      </c>
      <c r="F53" s="342">
        <f>'9_Per Pupil Summary'!G53</f>
        <v>910.76</v>
      </c>
      <c r="G53" s="342">
        <f t="shared" si="6"/>
        <v>1821.52</v>
      </c>
      <c r="H53" s="343">
        <f t="shared" si="7"/>
        <v>19072</v>
      </c>
      <c r="I53" s="135">
        <v>0</v>
      </c>
      <c r="J53" s="135">
        <v>0</v>
      </c>
      <c r="K53" s="139">
        <f t="shared" si="10"/>
        <v>0</v>
      </c>
      <c r="L53" s="343">
        <f t="shared" si="2"/>
        <v>19072</v>
      </c>
      <c r="M53" s="341">
        <v>0</v>
      </c>
      <c r="N53" s="138">
        <f t="shared" si="8"/>
        <v>19072</v>
      </c>
      <c r="O53" s="135">
        <v>12714</v>
      </c>
      <c r="P53" s="135">
        <f t="shared" si="9"/>
        <v>6358</v>
      </c>
      <c r="Q53" s="138">
        <f t="shared" si="11"/>
        <v>1590</v>
      </c>
      <c r="R53" s="138">
        <f t="shared" si="12"/>
        <v>19072</v>
      </c>
    </row>
    <row r="54" spans="1:18" ht="15.6" customHeight="1" x14ac:dyDescent="0.2">
      <c r="A54" s="339">
        <v>48</v>
      </c>
      <c r="B54" s="133" t="s">
        <v>73</v>
      </c>
      <c r="C54" s="340">
        <f>'8_2.1.20 SIS'!BG54</f>
        <v>4</v>
      </c>
      <c r="D54" s="341">
        <f>'9_Per Pupil Summary'!Q54</f>
        <v>8783.503996554693</v>
      </c>
      <c r="E54" s="342">
        <f t="shared" si="5"/>
        <v>35134.015986218772</v>
      </c>
      <c r="F54" s="342">
        <f>'9_Per Pupil Summary'!G54</f>
        <v>871.07</v>
      </c>
      <c r="G54" s="342">
        <f t="shared" si="6"/>
        <v>3484.28</v>
      </c>
      <c r="H54" s="343">
        <f t="shared" si="7"/>
        <v>38618</v>
      </c>
      <c r="I54" s="135">
        <v>-19309</v>
      </c>
      <c r="J54" s="135">
        <v>0</v>
      </c>
      <c r="K54" s="139">
        <f t="shared" si="10"/>
        <v>-19309</v>
      </c>
      <c r="L54" s="343">
        <f t="shared" si="2"/>
        <v>19309</v>
      </c>
      <c r="M54" s="341">
        <v>0</v>
      </c>
      <c r="N54" s="138">
        <f t="shared" si="8"/>
        <v>19309</v>
      </c>
      <c r="O54" s="135">
        <v>19308</v>
      </c>
      <c r="P54" s="135">
        <f t="shared" si="9"/>
        <v>1</v>
      </c>
      <c r="Q54" s="138">
        <f t="shared" si="11"/>
        <v>0</v>
      </c>
      <c r="R54" s="138">
        <f t="shared" si="12"/>
        <v>19309</v>
      </c>
    </row>
    <row r="55" spans="1:18" ht="15.6" customHeight="1" x14ac:dyDescent="0.2">
      <c r="A55" s="339">
        <v>49</v>
      </c>
      <c r="B55" s="133" t="s">
        <v>51</v>
      </c>
      <c r="C55" s="340">
        <f>'8_2.1.20 SIS'!BG55</f>
        <v>0</v>
      </c>
      <c r="D55" s="341">
        <f>'9_Per Pupil Summary'!Q55</f>
        <v>8267.8495137012724</v>
      </c>
      <c r="E55" s="342">
        <f t="shared" si="5"/>
        <v>0</v>
      </c>
      <c r="F55" s="342">
        <f>'9_Per Pupil Summary'!G55</f>
        <v>574.43999999999994</v>
      </c>
      <c r="G55" s="342">
        <f t="shared" si="6"/>
        <v>0</v>
      </c>
      <c r="H55" s="343">
        <f t="shared" si="7"/>
        <v>0</v>
      </c>
      <c r="I55" s="135">
        <v>0</v>
      </c>
      <c r="J55" s="135">
        <v>0</v>
      </c>
      <c r="K55" s="139">
        <f t="shared" si="10"/>
        <v>0</v>
      </c>
      <c r="L55" s="343">
        <f t="shared" si="2"/>
        <v>0</v>
      </c>
      <c r="M55" s="341">
        <v>0</v>
      </c>
      <c r="N55" s="138">
        <f t="shared" si="8"/>
        <v>0</v>
      </c>
      <c r="O55" s="135">
        <v>0</v>
      </c>
      <c r="P55" s="135">
        <f t="shared" si="9"/>
        <v>0</v>
      </c>
      <c r="Q55" s="138">
        <f t="shared" si="11"/>
        <v>0</v>
      </c>
      <c r="R55" s="138">
        <f t="shared" si="12"/>
        <v>0</v>
      </c>
    </row>
    <row r="56" spans="1:18" ht="15.6" customHeight="1" x14ac:dyDescent="0.2">
      <c r="A56" s="344">
        <v>50</v>
      </c>
      <c r="B56" s="147" t="s">
        <v>52</v>
      </c>
      <c r="C56" s="345">
        <f>'8_2.1.20 SIS'!BG56</f>
        <v>0</v>
      </c>
      <c r="D56" s="346">
        <f>'9_Per Pupil Summary'!Q56</f>
        <v>8711.0049539794272</v>
      </c>
      <c r="E56" s="347">
        <f t="shared" si="5"/>
        <v>0</v>
      </c>
      <c r="F56" s="347">
        <f>'9_Per Pupil Summary'!G56</f>
        <v>634.46</v>
      </c>
      <c r="G56" s="347">
        <f t="shared" si="6"/>
        <v>0</v>
      </c>
      <c r="H56" s="348">
        <f t="shared" si="7"/>
        <v>0</v>
      </c>
      <c r="I56" s="149">
        <v>9345</v>
      </c>
      <c r="J56" s="149">
        <v>-4673</v>
      </c>
      <c r="K56" s="153">
        <f t="shared" si="10"/>
        <v>4672</v>
      </c>
      <c r="L56" s="348">
        <f t="shared" si="2"/>
        <v>4672</v>
      </c>
      <c r="M56" s="346">
        <v>0</v>
      </c>
      <c r="N56" s="152">
        <f t="shared" si="8"/>
        <v>4672</v>
      </c>
      <c r="O56" s="155">
        <v>3116</v>
      </c>
      <c r="P56" s="149">
        <f t="shared" si="9"/>
        <v>1556</v>
      </c>
      <c r="Q56" s="156">
        <f t="shared" si="11"/>
        <v>389</v>
      </c>
      <c r="R56" s="156">
        <f t="shared" si="12"/>
        <v>4672</v>
      </c>
    </row>
    <row r="57" spans="1:18" ht="15.6" customHeight="1" x14ac:dyDescent="0.2">
      <c r="A57" s="334">
        <v>51</v>
      </c>
      <c r="B57" s="115" t="s">
        <v>53</v>
      </c>
      <c r="C57" s="335">
        <f>'8_2.1.20 SIS'!BG57</f>
        <v>0</v>
      </c>
      <c r="D57" s="336">
        <f>'9_Per Pupil Summary'!Q57</f>
        <v>9158.3445218879933</v>
      </c>
      <c r="E57" s="337">
        <f t="shared" si="5"/>
        <v>0</v>
      </c>
      <c r="F57" s="337">
        <f>'9_Per Pupil Summary'!G57</f>
        <v>706.66</v>
      </c>
      <c r="G57" s="337">
        <f t="shared" si="6"/>
        <v>0</v>
      </c>
      <c r="H57" s="338">
        <f t="shared" si="7"/>
        <v>0</v>
      </c>
      <c r="I57" s="117">
        <v>0</v>
      </c>
      <c r="J57" s="117">
        <v>0</v>
      </c>
      <c r="K57" s="121">
        <f t="shared" si="10"/>
        <v>0</v>
      </c>
      <c r="L57" s="338">
        <f t="shared" si="2"/>
        <v>0</v>
      </c>
      <c r="M57" s="336">
        <v>0</v>
      </c>
      <c r="N57" s="120">
        <f t="shared" si="8"/>
        <v>0</v>
      </c>
      <c r="O57" s="117">
        <v>0</v>
      </c>
      <c r="P57" s="117">
        <f t="shared" si="9"/>
        <v>0</v>
      </c>
      <c r="Q57" s="120">
        <f t="shared" si="11"/>
        <v>0</v>
      </c>
      <c r="R57" s="122">
        <f t="shared" si="12"/>
        <v>0</v>
      </c>
    </row>
    <row r="58" spans="1:18" ht="15.6" customHeight="1" x14ac:dyDescent="0.2">
      <c r="A58" s="339">
        <v>52</v>
      </c>
      <c r="B58" s="133" t="s">
        <v>54</v>
      </c>
      <c r="C58" s="340">
        <f>'8_2.1.20 SIS'!BG58</f>
        <v>39</v>
      </c>
      <c r="D58" s="341">
        <f>'9_Per Pupil Summary'!Q58</f>
        <v>9045.3056570647605</v>
      </c>
      <c r="E58" s="342">
        <f t="shared" si="5"/>
        <v>352766.92062552564</v>
      </c>
      <c r="F58" s="342">
        <f>'9_Per Pupil Summary'!G58</f>
        <v>658.37</v>
      </c>
      <c r="G58" s="342">
        <f t="shared" si="6"/>
        <v>25676.43</v>
      </c>
      <c r="H58" s="343">
        <f t="shared" si="7"/>
        <v>378443</v>
      </c>
      <c r="I58" s="135">
        <v>-29111</v>
      </c>
      <c r="J58" s="135">
        <v>9704</v>
      </c>
      <c r="K58" s="139">
        <f t="shared" si="10"/>
        <v>-19407</v>
      </c>
      <c r="L58" s="343">
        <f t="shared" si="2"/>
        <v>359036</v>
      </c>
      <c r="M58" s="341">
        <v>0</v>
      </c>
      <c r="N58" s="138">
        <f t="shared" si="8"/>
        <v>359036</v>
      </c>
      <c r="O58" s="135">
        <v>242592</v>
      </c>
      <c r="P58" s="135">
        <f t="shared" si="9"/>
        <v>116444</v>
      </c>
      <c r="Q58" s="138">
        <f t="shared" si="11"/>
        <v>29111</v>
      </c>
      <c r="R58" s="138">
        <f t="shared" si="12"/>
        <v>359036</v>
      </c>
    </row>
    <row r="59" spans="1:18" ht="15.6" customHeight="1" x14ac:dyDescent="0.2">
      <c r="A59" s="339">
        <v>53</v>
      </c>
      <c r="B59" s="133" t="s">
        <v>55</v>
      </c>
      <c r="C59" s="340">
        <f>'8_2.1.20 SIS'!BG59</f>
        <v>8</v>
      </c>
      <c r="D59" s="341">
        <f>'9_Per Pupil Summary'!Q59</f>
        <v>8102.7274443178285</v>
      </c>
      <c r="E59" s="342">
        <f t="shared" si="5"/>
        <v>64821.819554542628</v>
      </c>
      <c r="F59" s="342">
        <f>'9_Per Pupil Summary'!G59</f>
        <v>689.74</v>
      </c>
      <c r="G59" s="342">
        <f t="shared" si="6"/>
        <v>5517.92</v>
      </c>
      <c r="H59" s="343">
        <f t="shared" si="7"/>
        <v>70340</v>
      </c>
      <c r="I59" s="135">
        <v>0</v>
      </c>
      <c r="J59" s="135">
        <v>0</v>
      </c>
      <c r="K59" s="139">
        <f t="shared" si="10"/>
        <v>0</v>
      </c>
      <c r="L59" s="343">
        <f t="shared" si="2"/>
        <v>70340</v>
      </c>
      <c r="M59" s="341">
        <v>0</v>
      </c>
      <c r="N59" s="138">
        <f t="shared" si="8"/>
        <v>70340</v>
      </c>
      <c r="O59" s="135">
        <v>46894</v>
      </c>
      <c r="P59" s="135">
        <f t="shared" si="9"/>
        <v>23446</v>
      </c>
      <c r="Q59" s="138">
        <f t="shared" si="11"/>
        <v>5862</v>
      </c>
      <c r="R59" s="138">
        <f t="shared" si="12"/>
        <v>70340</v>
      </c>
    </row>
    <row r="60" spans="1:18" ht="15.6" customHeight="1" x14ac:dyDescent="0.2">
      <c r="A60" s="339">
        <v>54</v>
      </c>
      <c r="B60" s="133" t="s">
        <v>56</v>
      </c>
      <c r="C60" s="340">
        <f>'8_2.1.20 SIS'!BG60</f>
        <v>0</v>
      </c>
      <c r="D60" s="341">
        <f>'9_Per Pupil Summary'!Q60</f>
        <v>10372.70310043668</v>
      </c>
      <c r="E60" s="342">
        <f t="shared" si="5"/>
        <v>0</v>
      </c>
      <c r="F60" s="342">
        <f>'9_Per Pupil Summary'!G60</f>
        <v>951.45</v>
      </c>
      <c r="G60" s="342">
        <f t="shared" si="6"/>
        <v>0</v>
      </c>
      <c r="H60" s="343">
        <f t="shared" si="7"/>
        <v>0</v>
      </c>
      <c r="I60" s="135">
        <v>0</v>
      </c>
      <c r="J60" s="135">
        <v>0</v>
      </c>
      <c r="K60" s="139">
        <f t="shared" si="10"/>
        <v>0</v>
      </c>
      <c r="L60" s="343">
        <f t="shared" si="2"/>
        <v>0</v>
      </c>
      <c r="M60" s="341">
        <v>0</v>
      </c>
      <c r="N60" s="138">
        <f t="shared" si="8"/>
        <v>0</v>
      </c>
      <c r="O60" s="135">
        <v>0</v>
      </c>
      <c r="P60" s="135">
        <f t="shared" si="9"/>
        <v>0</v>
      </c>
      <c r="Q60" s="138">
        <f t="shared" si="11"/>
        <v>0</v>
      </c>
      <c r="R60" s="138">
        <f t="shared" si="12"/>
        <v>0</v>
      </c>
    </row>
    <row r="61" spans="1:18" ht="15.6" customHeight="1" x14ac:dyDescent="0.2">
      <c r="A61" s="344">
        <v>55</v>
      </c>
      <c r="B61" s="147" t="s">
        <v>57</v>
      </c>
      <c r="C61" s="345">
        <f>'8_2.1.20 SIS'!BG61</f>
        <v>0</v>
      </c>
      <c r="D61" s="346">
        <f>'9_Per Pupil Summary'!Q61</f>
        <v>8504.1642533936647</v>
      </c>
      <c r="E61" s="347">
        <f t="shared" si="5"/>
        <v>0</v>
      </c>
      <c r="F61" s="347">
        <f>'9_Per Pupil Summary'!G61</f>
        <v>795.14</v>
      </c>
      <c r="G61" s="347">
        <f t="shared" si="6"/>
        <v>0</v>
      </c>
      <c r="H61" s="348">
        <f t="shared" si="7"/>
        <v>0</v>
      </c>
      <c r="I61" s="149">
        <v>0</v>
      </c>
      <c r="J61" s="149">
        <v>0</v>
      </c>
      <c r="K61" s="153">
        <f t="shared" si="10"/>
        <v>0</v>
      </c>
      <c r="L61" s="348">
        <f t="shared" si="2"/>
        <v>0</v>
      </c>
      <c r="M61" s="346">
        <v>0</v>
      </c>
      <c r="N61" s="152">
        <f t="shared" si="8"/>
        <v>0</v>
      </c>
      <c r="O61" s="155">
        <v>0</v>
      </c>
      <c r="P61" s="149">
        <f t="shared" si="9"/>
        <v>0</v>
      </c>
      <c r="Q61" s="156">
        <f t="shared" si="11"/>
        <v>0</v>
      </c>
      <c r="R61" s="156">
        <f t="shared" si="12"/>
        <v>0</v>
      </c>
    </row>
    <row r="62" spans="1:18" ht="15.6" customHeight="1" x14ac:dyDescent="0.2">
      <c r="A62" s="334">
        <v>56</v>
      </c>
      <c r="B62" s="115" t="s">
        <v>58</v>
      </c>
      <c r="C62" s="335">
        <f>'8_2.1.20 SIS'!BG62</f>
        <v>0</v>
      </c>
      <c r="D62" s="336">
        <f>'9_Per Pupil Summary'!Q62</f>
        <v>9642.638731218698</v>
      </c>
      <c r="E62" s="337">
        <f t="shared" si="5"/>
        <v>0</v>
      </c>
      <c r="F62" s="337">
        <f>'9_Per Pupil Summary'!G62</f>
        <v>614.66000000000008</v>
      </c>
      <c r="G62" s="337">
        <f t="shared" si="6"/>
        <v>0</v>
      </c>
      <c r="H62" s="338">
        <f t="shared" si="7"/>
        <v>0</v>
      </c>
      <c r="I62" s="117">
        <v>0</v>
      </c>
      <c r="J62" s="117">
        <v>0</v>
      </c>
      <c r="K62" s="121">
        <f t="shared" si="10"/>
        <v>0</v>
      </c>
      <c r="L62" s="338">
        <f t="shared" si="2"/>
        <v>0</v>
      </c>
      <c r="M62" s="336">
        <v>0</v>
      </c>
      <c r="N62" s="120">
        <f t="shared" si="8"/>
        <v>0</v>
      </c>
      <c r="O62" s="117">
        <v>0</v>
      </c>
      <c r="P62" s="117">
        <f t="shared" si="9"/>
        <v>0</v>
      </c>
      <c r="Q62" s="120">
        <f t="shared" si="11"/>
        <v>0</v>
      </c>
      <c r="R62" s="122">
        <f t="shared" si="12"/>
        <v>0</v>
      </c>
    </row>
    <row r="63" spans="1:18" ht="15.6" customHeight="1" x14ac:dyDescent="0.2">
      <c r="A63" s="339">
        <v>57</v>
      </c>
      <c r="B63" s="133" t="s">
        <v>59</v>
      </c>
      <c r="C63" s="340">
        <f>'8_2.1.20 SIS'!BG63</f>
        <v>0</v>
      </c>
      <c r="D63" s="341">
        <f>'9_Per Pupil Summary'!Q63</f>
        <v>8035.5839914163089</v>
      </c>
      <c r="E63" s="342">
        <f t="shared" si="5"/>
        <v>0</v>
      </c>
      <c r="F63" s="342">
        <f>'9_Per Pupil Summary'!G63</f>
        <v>764.51</v>
      </c>
      <c r="G63" s="342">
        <f t="shared" si="6"/>
        <v>0</v>
      </c>
      <c r="H63" s="343">
        <f t="shared" si="7"/>
        <v>0</v>
      </c>
      <c r="I63" s="135">
        <v>0</v>
      </c>
      <c r="J63" s="135">
        <v>0</v>
      </c>
      <c r="K63" s="139">
        <f t="shared" si="10"/>
        <v>0</v>
      </c>
      <c r="L63" s="343">
        <f t="shared" si="2"/>
        <v>0</v>
      </c>
      <c r="M63" s="341">
        <v>0</v>
      </c>
      <c r="N63" s="138">
        <f t="shared" si="8"/>
        <v>0</v>
      </c>
      <c r="O63" s="135">
        <v>0</v>
      </c>
      <c r="P63" s="135">
        <f t="shared" si="9"/>
        <v>0</v>
      </c>
      <c r="Q63" s="138">
        <f t="shared" si="11"/>
        <v>0</v>
      </c>
      <c r="R63" s="138">
        <f t="shared" si="12"/>
        <v>0</v>
      </c>
    </row>
    <row r="64" spans="1:18" ht="15.6" customHeight="1" x14ac:dyDescent="0.2">
      <c r="A64" s="339">
        <v>58</v>
      </c>
      <c r="B64" s="133" t="s">
        <v>60</v>
      </c>
      <c r="C64" s="340">
        <f>'8_2.1.20 SIS'!BG64</f>
        <v>0</v>
      </c>
      <c r="D64" s="341">
        <f>'9_Per Pupil Summary'!Q64</f>
        <v>8601.041609080703</v>
      </c>
      <c r="E64" s="342">
        <f t="shared" si="5"/>
        <v>0</v>
      </c>
      <c r="F64" s="342">
        <f>'9_Per Pupil Summary'!G64</f>
        <v>697.04</v>
      </c>
      <c r="G64" s="342">
        <f t="shared" si="6"/>
        <v>0</v>
      </c>
      <c r="H64" s="343">
        <f t="shared" si="7"/>
        <v>0</v>
      </c>
      <c r="I64" s="135">
        <v>0</v>
      </c>
      <c r="J64" s="135">
        <v>0</v>
      </c>
      <c r="K64" s="139">
        <f t="shared" si="10"/>
        <v>0</v>
      </c>
      <c r="L64" s="343">
        <f t="shared" si="2"/>
        <v>0</v>
      </c>
      <c r="M64" s="341">
        <v>0</v>
      </c>
      <c r="N64" s="138">
        <f t="shared" si="8"/>
        <v>0</v>
      </c>
      <c r="O64" s="135">
        <v>0</v>
      </c>
      <c r="P64" s="135">
        <f t="shared" si="9"/>
        <v>0</v>
      </c>
      <c r="Q64" s="138">
        <f t="shared" si="11"/>
        <v>0</v>
      </c>
      <c r="R64" s="138">
        <f t="shared" si="12"/>
        <v>0</v>
      </c>
    </row>
    <row r="65" spans="1:18" ht="15.6" customHeight="1" x14ac:dyDescent="0.2">
      <c r="A65" s="339">
        <v>59</v>
      </c>
      <c r="B65" s="133" t="s">
        <v>61</v>
      </c>
      <c r="C65" s="340">
        <f>'8_2.1.20 SIS'!BG65</f>
        <v>0</v>
      </c>
      <c r="D65" s="341">
        <f>'9_Per Pupil Summary'!Q65</f>
        <v>8298.6085085085087</v>
      </c>
      <c r="E65" s="342">
        <f t="shared" si="5"/>
        <v>0</v>
      </c>
      <c r="F65" s="342">
        <f>'9_Per Pupil Summary'!G65</f>
        <v>689.52</v>
      </c>
      <c r="G65" s="342">
        <f t="shared" si="6"/>
        <v>0</v>
      </c>
      <c r="H65" s="343">
        <f t="shared" si="7"/>
        <v>0</v>
      </c>
      <c r="I65" s="135">
        <v>0</v>
      </c>
      <c r="J65" s="135">
        <v>0</v>
      </c>
      <c r="K65" s="139">
        <f t="shared" si="10"/>
        <v>0</v>
      </c>
      <c r="L65" s="343">
        <f t="shared" si="2"/>
        <v>0</v>
      </c>
      <c r="M65" s="341">
        <v>0</v>
      </c>
      <c r="N65" s="138">
        <f t="shared" si="8"/>
        <v>0</v>
      </c>
      <c r="O65" s="135">
        <v>0</v>
      </c>
      <c r="P65" s="135">
        <f t="shared" si="9"/>
        <v>0</v>
      </c>
      <c r="Q65" s="138">
        <f t="shared" si="11"/>
        <v>0</v>
      </c>
      <c r="R65" s="138">
        <f t="shared" si="12"/>
        <v>0</v>
      </c>
    </row>
    <row r="66" spans="1:18" ht="15.6" customHeight="1" x14ac:dyDescent="0.2">
      <c r="A66" s="344">
        <v>60</v>
      </c>
      <c r="B66" s="147" t="s">
        <v>62</v>
      </c>
      <c r="C66" s="345">
        <f>'8_2.1.20 SIS'!BG66</f>
        <v>0</v>
      </c>
      <c r="D66" s="346">
        <f>'9_Per Pupil Summary'!Q66</f>
        <v>9372.658072247903</v>
      </c>
      <c r="E66" s="347">
        <f t="shared" si="5"/>
        <v>0</v>
      </c>
      <c r="F66" s="347">
        <f>'9_Per Pupil Summary'!G66</f>
        <v>594.04</v>
      </c>
      <c r="G66" s="347">
        <f t="shared" si="6"/>
        <v>0</v>
      </c>
      <c r="H66" s="348">
        <f t="shared" si="7"/>
        <v>0</v>
      </c>
      <c r="I66" s="149">
        <v>0</v>
      </c>
      <c r="J66" s="149">
        <v>0</v>
      </c>
      <c r="K66" s="153">
        <f t="shared" si="10"/>
        <v>0</v>
      </c>
      <c r="L66" s="348">
        <f t="shared" si="2"/>
        <v>0</v>
      </c>
      <c r="M66" s="346">
        <v>0</v>
      </c>
      <c r="N66" s="152">
        <f t="shared" si="8"/>
        <v>0</v>
      </c>
      <c r="O66" s="155">
        <v>0</v>
      </c>
      <c r="P66" s="149">
        <f t="shared" si="9"/>
        <v>0</v>
      </c>
      <c r="Q66" s="156">
        <f t="shared" si="11"/>
        <v>0</v>
      </c>
      <c r="R66" s="156">
        <f t="shared" si="12"/>
        <v>0</v>
      </c>
    </row>
    <row r="67" spans="1:18" ht="15.6" customHeight="1" x14ac:dyDescent="0.2">
      <c r="A67" s="334">
        <v>61</v>
      </c>
      <c r="B67" s="115" t="s">
        <v>63</v>
      </c>
      <c r="C67" s="335">
        <f>'8_2.1.20 SIS'!BG67</f>
        <v>0</v>
      </c>
      <c r="D67" s="336">
        <f>'9_Per Pupil Summary'!Q67</f>
        <v>8459.4492364990692</v>
      </c>
      <c r="E67" s="337">
        <f t="shared" si="5"/>
        <v>0</v>
      </c>
      <c r="F67" s="337">
        <f>'9_Per Pupil Summary'!G67</f>
        <v>833.70999999999992</v>
      </c>
      <c r="G67" s="337">
        <f t="shared" si="6"/>
        <v>0</v>
      </c>
      <c r="H67" s="338">
        <f t="shared" si="7"/>
        <v>0</v>
      </c>
      <c r="I67" s="117">
        <v>0</v>
      </c>
      <c r="J67" s="117">
        <v>0</v>
      </c>
      <c r="K67" s="121">
        <f t="shared" si="10"/>
        <v>0</v>
      </c>
      <c r="L67" s="338">
        <f t="shared" si="2"/>
        <v>0</v>
      </c>
      <c r="M67" s="336">
        <v>0</v>
      </c>
      <c r="N67" s="120">
        <f t="shared" si="8"/>
        <v>0</v>
      </c>
      <c r="O67" s="117">
        <v>0</v>
      </c>
      <c r="P67" s="117">
        <f t="shared" si="9"/>
        <v>0</v>
      </c>
      <c r="Q67" s="120">
        <f t="shared" si="11"/>
        <v>0</v>
      </c>
      <c r="R67" s="122">
        <f t="shared" si="12"/>
        <v>0</v>
      </c>
    </row>
    <row r="68" spans="1:18" ht="15.6" customHeight="1" x14ac:dyDescent="0.2">
      <c r="A68" s="339">
        <v>62</v>
      </c>
      <c r="B68" s="133" t="s">
        <v>64</v>
      </c>
      <c r="C68" s="340">
        <f>'8_2.1.20 SIS'!BG68</f>
        <v>0</v>
      </c>
      <c r="D68" s="341">
        <f>'9_Per Pupil Summary'!Q68</f>
        <v>8654.1952201257864</v>
      </c>
      <c r="E68" s="342">
        <f t="shared" si="5"/>
        <v>0</v>
      </c>
      <c r="F68" s="342">
        <f>'9_Per Pupil Summary'!G68</f>
        <v>516.08000000000004</v>
      </c>
      <c r="G68" s="342">
        <f t="shared" si="6"/>
        <v>0</v>
      </c>
      <c r="H68" s="343">
        <f t="shared" si="7"/>
        <v>0</v>
      </c>
      <c r="I68" s="135">
        <v>0</v>
      </c>
      <c r="J68" s="135">
        <v>0</v>
      </c>
      <c r="K68" s="139">
        <f t="shared" si="10"/>
        <v>0</v>
      </c>
      <c r="L68" s="343">
        <f t="shared" si="2"/>
        <v>0</v>
      </c>
      <c r="M68" s="341">
        <v>0</v>
      </c>
      <c r="N68" s="138">
        <f t="shared" si="8"/>
        <v>0</v>
      </c>
      <c r="O68" s="135">
        <v>0</v>
      </c>
      <c r="P68" s="135">
        <f t="shared" si="9"/>
        <v>0</v>
      </c>
      <c r="Q68" s="138">
        <f t="shared" si="11"/>
        <v>0</v>
      </c>
      <c r="R68" s="138">
        <f t="shared" si="12"/>
        <v>0</v>
      </c>
    </row>
    <row r="69" spans="1:18" ht="15.6" customHeight="1" x14ac:dyDescent="0.2">
      <c r="A69" s="339">
        <v>63</v>
      </c>
      <c r="B69" s="133" t="s">
        <v>65</v>
      </c>
      <c r="C69" s="340">
        <f>'8_2.1.20 SIS'!BG69</f>
        <v>0</v>
      </c>
      <c r="D69" s="341">
        <f>'9_Per Pupil Summary'!Q69</f>
        <v>8941.0284557081941</v>
      </c>
      <c r="E69" s="342">
        <f t="shared" si="5"/>
        <v>0</v>
      </c>
      <c r="F69" s="342">
        <f>'9_Per Pupil Summary'!G69</f>
        <v>756.79</v>
      </c>
      <c r="G69" s="342">
        <f t="shared" si="6"/>
        <v>0</v>
      </c>
      <c r="H69" s="343">
        <f t="shared" si="7"/>
        <v>0</v>
      </c>
      <c r="I69" s="135">
        <v>0</v>
      </c>
      <c r="J69" s="135">
        <v>0</v>
      </c>
      <c r="K69" s="139">
        <f t="shared" si="10"/>
        <v>0</v>
      </c>
      <c r="L69" s="343">
        <f t="shared" si="2"/>
        <v>0</v>
      </c>
      <c r="M69" s="341">
        <v>0</v>
      </c>
      <c r="N69" s="138">
        <f t="shared" si="8"/>
        <v>0</v>
      </c>
      <c r="O69" s="135">
        <v>0</v>
      </c>
      <c r="P69" s="135">
        <f t="shared" si="9"/>
        <v>0</v>
      </c>
      <c r="Q69" s="138">
        <f t="shared" si="11"/>
        <v>0</v>
      </c>
      <c r="R69" s="138">
        <f t="shared" si="12"/>
        <v>0</v>
      </c>
    </row>
    <row r="70" spans="1:18" ht="15.6" customHeight="1" x14ac:dyDescent="0.2">
      <c r="A70" s="339">
        <v>64</v>
      </c>
      <c r="B70" s="133" t="s">
        <v>66</v>
      </c>
      <c r="C70" s="340">
        <f>'8_2.1.20 SIS'!BG70</f>
        <v>0</v>
      </c>
      <c r="D70" s="341">
        <f>'9_Per Pupil Summary'!Q70</f>
        <v>10269.903842364532</v>
      </c>
      <c r="E70" s="342">
        <f t="shared" si="5"/>
        <v>0</v>
      </c>
      <c r="F70" s="342">
        <f>'9_Per Pupil Summary'!G70</f>
        <v>592.66</v>
      </c>
      <c r="G70" s="342">
        <f t="shared" si="6"/>
        <v>0</v>
      </c>
      <c r="H70" s="343">
        <f t="shared" si="7"/>
        <v>0</v>
      </c>
      <c r="I70" s="135">
        <v>0</v>
      </c>
      <c r="J70" s="135">
        <v>0</v>
      </c>
      <c r="K70" s="139">
        <f t="shared" si="10"/>
        <v>0</v>
      </c>
      <c r="L70" s="343">
        <f t="shared" si="2"/>
        <v>0</v>
      </c>
      <c r="M70" s="341">
        <v>0</v>
      </c>
      <c r="N70" s="138">
        <f t="shared" si="8"/>
        <v>0</v>
      </c>
      <c r="O70" s="135">
        <v>0</v>
      </c>
      <c r="P70" s="135">
        <f t="shared" si="9"/>
        <v>0</v>
      </c>
      <c r="Q70" s="138">
        <f t="shared" si="11"/>
        <v>0</v>
      </c>
      <c r="R70" s="138">
        <f t="shared" si="12"/>
        <v>0</v>
      </c>
    </row>
    <row r="71" spans="1:18" ht="15.6" customHeight="1" x14ac:dyDescent="0.2">
      <c r="A71" s="344">
        <v>65</v>
      </c>
      <c r="B71" s="147" t="s">
        <v>67</v>
      </c>
      <c r="C71" s="345">
        <f>'8_2.1.20 SIS'!BG71</f>
        <v>0</v>
      </c>
      <c r="D71" s="346">
        <f>'9_Per Pupil Summary'!Q71</f>
        <v>9153.3326415094343</v>
      </c>
      <c r="E71" s="347">
        <f t="shared" si="5"/>
        <v>0</v>
      </c>
      <c r="F71" s="347">
        <f>'9_Per Pupil Summary'!G71</f>
        <v>829.12</v>
      </c>
      <c r="G71" s="347">
        <f t="shared" si="6"/>
        <v>0</v>
      </c>
      <c r="H71" s="348">
        <f t="shared" si="7"/>
        <v>0</v>
      </c>
      <c r="I71" s="149">
        <v>0</v>
      </c>
      <c r="J71" s="149">
        <v>0</v>
      </c>
      <c r="K71" s="153">
        <f>I71+J71</f>
        <v>0</v>
      </c>
      <c r="L71" s="348">
        <f>K71+H71</f>
        <v>0</v>
      </c>
      <c r="M71" s="346">
        <v>0</v>
      </c>
      <c r="N71" s="152">
        <f t="shared" si="8"/>
        <v>0</v>
      </c>
      <c r="O71" s="155">
        <v>0</v>
      </c>
      <c r="P71" s="149">
        <f t="shared" si="9"/>
        <v>0</v>
      </c>
      <c r="Q71" s="156">
        <f>ROUND(P71/$Q$86,0)</f>
        <v>0</v>
      </c>
      <c r="R71" s="156">
        <f t="shared" si="12"/>
        <v>0</v>
      </c>
    </row>
    <row r="72" spans="1:18" ht="15.6" customHeight="1" x14ac:dyDescent="0.2">
      <c r="A72" s="339">
        <v>66</v>
      </c>
      <c r="B72" s="133" t="s">
        <v>68</v>
      </c>
      <c r="C72" s="349">
        <f>'8_2.1.20 SIS'!BG72</f>
        <v>0</v>
      </c>
      <c r="D72" s="350">
        <f>'9_Per Pupil Summary'!Q72</f>
        <v>10780.923745298227</v>
      </c>
      <c r="E72" s="351">
        <f>C72*D72</f>
        <v>0</v>
      </c>
      <c r="F72" s="351">
        <f>'9_Per Pupil Summary'!G72</f>
        <v>730.06</v>
      </c>
      <c r="G72" s="351">
        <f>C72*F72</f>
        <v>0</v>
      </c>
      <c r="H72" s="352">
        <f>ROUND(E72+G72,0)</f>
        <v>0</v>
      </c>
      <c r="I72" s="353">
        <v>0</v>
      </c>
      <c r="J72" s="353">
        <v>0</v>
      </c>
      <c r="K72" s="354">
        <f>I72+J72</f>
        <v>0</v>
      </c>
      <c r="L72" s="352">
        <f>K72+H72</f>
        <v>0</v>
      </c>
      <c r="M72" s="350">
        <v>0</v>
      </c>
      <c r="N72" s="355">
        <f>ROUND(SUM(L72:M72),0)</f>
        <v>0</v>
      </c>
      <c r="O72" s="135">
        <v>0</v>
      </c>
      <c r="P72" s="353">
        <f>N72-O72</f>
        <v>0</v>
      </c>
      <c r="Q72" s="138">
        <f>ROUND(P72/$Q$86,0)</f>
        <v>0</v>
      </c>
      <c r="R72" s="138">
        <f t="shared" si="12"/>
        <v>0</v>
      </c>
    </row>
    <row r="73" spans="1:18" ht="15.6" customHeight="1" x14ac:dyDescent="0.2">
      <c r="A73" s="339">
        <v>67</v>
      </c>
      <c r="B73" s="133" t="s">
        <v>2</v>
      </c>
      <c r="C73" s="349">
        <f>'8_2.1.20 SIS'!BG73</f>
        <v>0</v>
      </c>
      <c r="D73" s="350">
        <f>'9_Per Pupil Summary'!Q73</f>
        <v>8759.3020486555706</v>
      </c>
      <c r="E73" s="351">
        <f>C73*D73</f>
        <v>0</v>
      </c>
      <c r="F73" s="351">
        <f>'9_Per Pupil Summary'!G73</f>
        <v>715.61</v>
      </c>
      <c r="G73" s="351">
        <f>C73*F73</f>
        <v>0</v>
      </c>
      <c r="H73" s="352">
        <f>ROUND(E73+G73,0)</f>
        <v>0</v>
      </c>
      <c r="I73" s="353">
        <v>0</v>
      </c>
      <c r="J73" s="353">
        <v>0</v>
      </c>
      <c r="K73" s="354">
        <f>I73+J73</f>
        <v>0</v>
      </c>
      <c r="L73" s="352">
        <f>K73+H73</f>
        <v>0</v>
      </c>
      <c r="M73" s="350">
        <v>0</v>
      </c>
      <c r="N73" s="355">
        <f>ROUND(SUM(L73:M73),0)</f>
        <v>0</v>
      </c>
      <c r="O73" s="135">
        <v>0</v>
      </c>
      <c r="P73" s="353">
        <f>N73-O73</f>
        <v>0</v>
      </c>
      <c r="Q73" s="138">
        <f>ROUND(P73/$Q$86,0)</f>
        <v>0</v>
      </c>
      <c r="R73" s="138">
        <f t="shared" si="12"/>
        <v>0</v>
      </c>
    </row>
    <row r="74" spans="1:18" ht="15.6" customHeight="1" x14ac:dyDescent="0.2">
      <c r="A74" s="339">
        <v>68</v>
      </c>
      <c r="B74" s="133" t="s">
        <v>1</v>
      </c>
      <c r="C74" s="349">
        <f>'8_2.1.20 SIS'!BG74</f>
        <v>0</v>
      </c>
      <c r="D74" s="350">
        <f>'9_Per Pupil Summary'!Q74</f>
        <v>9934.1260321100926</v>
      </c>
      <c r="E74" s="351">
        <f>C74*D74</f>
        <v>0</v>
      </c>
      <c r="F74" s="351">
        <f>'9_Per Pupil Summary'!G74</f>
        <v>798.7</v>
      </c>
      <c r="G74" s="351">
        <f>C74*F74</f>
        <v>0</v>
      </c>
      <c r="H74" s="352">
        <f>ROUND(E74+G74,0)</f>
        <v>0</v>
      </c>
      <c r="I74" s="353">
        <v>0</v>
      </c>
      <c r="J74" s="353">
        <v>0</v>
      </c>
      <c r="K74" s="354">
        <f>I74+J74</f>
        <v>0</v>
      </c>
      <c r="L74" s="352">
        <f>K74+H74</f>
        <v>0</v>
      </c>
      <c r="M74" s="350">
        <v>0</v>
      </c>
      <c r="N74" s="355">
        <f>ROUND(SUM(L74:M74),0)</f>
        <v>0</v>
      </c>
      <c r="O74" s="135">
        <v>0</v>
      </c>
      <c r="P74" s="353">
        <f>N74-O74</f>
        <v>0</v>
      </c>
      <c r="Q74" s="138">
        <f>ROUND(P74/$Q$86,0)</f>
        <v>0</v>
      </c>
      <c r="R74" s="138">
        <f t="shared" si="12"/>
        <v>0</v>
      </c>
    </row>
    <row r="75" spans="1:18" ht="15.6" customHeight="1" x14ac:dyDescent="0.2">
      <c r="A75" s="356">
        <v>69</v>
      </c>
      <c r="B75" s="357" t="s">
        <v>74</v>
      </c>
      <c r="C75" s="358">
        <f>'8_2.1.20 SIS'!BG75</f>
        <v>0</v>
      </c>
      <c r="D75" s="359">
        <f>'9_Per Pupil Summary'!Q75</f>
        <v>9063.7347276868913</v>
      </c>
      <c r="E75" s="360">
        <f>C75*D75</f>
        <v>0</v>
      </c>
      <c r="F75" s="360">
        <f>'9_Per Pupil Summary'!G75</f>
        <v>705.67</v>
      </c>
      <c r="G75" s="360">
        <f>C75*F75</f>
        <v>0</v>
      </c>
      <c r="H75" s="361">
        <f>ROUND(E75+G75,0)</f>
        <v>0</v>
      </c>
      <c r="I75" s="362">
        <v>0</v>
      </c>
      <c r="J75" s="362">
        <v>0</v>
      </c>
      <c r="K75" s="363">
        <f>I75+J75</f>
        <v>0</v>
      </c>
      <c r="L75" s="361">
        <f>K75+H75</f>
        <v>0</v>
      </c>
      <c r="M75" s="359">
        <v>0</v>
      </c>
      <c r="N75" s="364">
        <f>ROUND(SUM(L75:M75),0)</f>
        <v>0</v>
      </c>
      <c r="O75" s="365">
        <v>0</v>
      </c>
      <c r="P75" s="362">
        <f>N75-O75</f>
        <v>0</v>
      </c>
      <c r="Q75" s="366">
        <f>ROUND(P75/$Q$86,0)</f>
        <v>0</v>
      </c>
      <c r="R75" s="366">
        <f t="shared" si="12"/>
        <v>0</v>
      </c>
    </row>
    <row r="76" spans="1:18" s="33" customFormat="1" ht="15.6" customHeight="1" thickBot="1" x14ac:dyDescent="0.25">
      <c r="A76" s="1404" t="s">
        <v>365</v>
      </c>
      <c r="B76" s="1405"/>
      <c r="C76" s="367">
        <f>SUM(C7:C75)</f>
        <v>229</v>
      </c>
      <c r="D76" s="368">
        <f>'9_Per Pupil Summary'!Q76</f>
        <v>8579.7368128734415</v>
      </c>
      <c r="E76" s="369">
        <f>SUM(E7:E75)</f>
        <v>1953124.4095206326</v>
      </c>
      <c r="F76" s="369">
        <f>'9_Per Pupil Summary'!G76</f>
        <v>706.51</v>
      </c>
      <c r="G76" s="369">
        <f t="shared" ref="G76:O76" si="13">SUM(G7:G75)</f>
        <v>171327.27999999997</v>
      </c>
      <c r="H76" s="370">
        <f t="shared" si="13"/>
        <v>2124451</v>
      </c>
      <c r="I76" s="371">
        <f t="shared" si="13"/>
        <v>105704</v>
      </c>
      <c r="J76" s="371">
        <f>SUM(J7:J75)</f>
        <v>-18145</v>
      </c>
      <c r="K76" s="372">
        <f t="shared" si="13"/>
        <v>87559</v>
      </c>
      <c r="L76" s="373">
        <f>SUM(L7:L75)</f>
        <v>2212010</v>
      </c>
      <c r="M76" s="374">
        <f t="shared" si="13"/>
        <v>4477</v>
      </c>
      <c r="N76" s="370">
        <f t="shared" si="13"/>
        <v>2216487</v>
      </c>
      <c r="O76" s="374">
        <f t="shared" si="13"/>
        <v>1451480</v>
      </c>
      <c r="P76" s="374">
        <f>SUM(P7:P75)</f>
        <v>765007</v>
      </c>
      <c r="Q76" s="375">
        <f>SUM(Q7:Q75)</f>
        <v>191253</v>
      </c>
      <c r="R76" s="375">
        <f>SUM(R7:R75)</f>
        <v>2216487</v>
      </c>
    </row>
    <row r="77" spans="1:18" s="33" customFormat="1" ht="15.6" customHeight="1" thickTop="1" x14ac:dyDescent="0.2">
      <c r="A77" s="1463" t="s">
        <v>1109</v>
      </c>
      <c r="B77" s="1464"/>
      <c r="C77" s="855"/>
      <c r="D77" s="856"/>
      <c r="E77" s="856"/>
      <c r="F77" s="856"/>
      <c r="G77" s="856"/>
      <c r="H77" s="857">
        <v>88951</v>
      </c>
      <c r="I77" s="858"/>
      <c r="J77" s="858"/>
      <c r="K77" s="858"/>
      <c r="L77" s="857">
        <f>K77+H77</f>
        <v>88951</v>
      </c>
      <c r="M77" s="856"/>
      <c r="N77" s="859">
        <f>ROUND(SUM(L77:M77),0)</f>
        <v>88951</v>
      </c>
      <c r="O77" s="860">
        <v>59822</v>
      </c>
      <c r="P77" s="858">
        <f>N77-O77</f>
        <v>29129</v>
      </c>
      <c r="Q77" s="861">
        <f>ROUND(P77/$Q$86,0)</f>
        <v>7282</v>
      </c>
      <c r="R77" s="861">
        <f>N77</f>
        <v>88951</v>
      </c>
    </row>
    <row r="78" spans="1:18" ht="15.6" customHeight="1" x14ac:dyDescent="0.2">
      <c r="A78" s="1424" t="s">
        <v>333</v>
      </c>
      <c r="B78" s="1458"/>
      <c r="C78" s="854"/>
      <c r="D78" s="377"/>
      <c r="E78" s="377"/>
      <c r="F78" s="377"/>
      <c r="G78" s="377"/>
      <c r="H78" s="377"/>
      <c r="I78" s="379"/>
      <c r="J78" s="379"/>
      <c r="K78" s="379"/>
      <c r="L78" s="379"/>
      <c r="M78" s="379"/>
      <c r="N78" s="705"/>
      <c r="O78" s="705"/>
      <c r="P78" s="704"/>
      <c r="Q78" s="705"/>
      <c r="R78" s="705"/>
    </row>
    <row r="79" spans="1:18" ht="15.6" customHeight="1" x14ac:dyDescent="0.2">
      <c r="A79" s="1422" t="s">
        <v>334</v>
      </c>
      <c r="B79" s="1423"/>
      <c r="C79" s="376"/>
      <c r="D79" s="377"/>
      <c r="E79" s="378"/>
      <c r="F79" s="378"/>
      <c r="G79" s="378"/>
      <c r="H79" s="378"/>
      <c r="I79" s="379"/>
      <c r="J79" s="379"/>
      <c r="K79" s="379"/>
      <c r="L79" s="379"/>
      <c r="M79" s="379"/>
      <c r="N79" s="141">
        <v>0</v>
      </c>
      <c r="O79" s="705">
        <v>0</v>
      </c>
      <c r="P79" s="704">
        <f>N79-O79</f>
        <v>0</v>
      </c>
      <c r="Q79" s="141">
        <f>ROUND(P79/$Q$86,0)</f>
        <v>0</v>
      </c>
      <c r="R79" s="141">
        <v>0</v>
      </c>
    </row>
    <row r="80" spans="1:18" ht="15.6" customHeight="1" x14ac:dyDescent="0.2">
      <c r="A80" s="1420" t="s">
        <v>345</v>
      </c>
      <c r="B80" s="1421"/>
      <c r="C80" s="380"/>
      <c r="D80" s="381"/>
      <c r="E80" s="382"/>
      <c r="F80" s="382"/>
      <c r="G80" s="382"/>
      <c r="H80" s="382"/>
      <c r="I80" s="383"/>
      <c r="J80" s="383"/>
      <c r="K80" s="383"/>
      <c r="L80" s="383"/>
      <c r="M80" s="383"/>
      <c r="N80" s="707"/>
      <c r="O80" s="705"/>
      <c r="P80" s="704"/>
      <c r="Q80" s="707"/>
      <c r="R80" s="141">
        <v>0</v>
      </c>
    </row>
    <row r="81" spans="1:18" ht="15.6" customHeight="1" x14ac:dyDescent="0.2">
      <c r="A81" s="1416" t="s">
        <v>1192</v>
      </c>
      <c r="B81" s="1417"/>
      <c r="C81" s="380"/>
      <c r="D81" s="381"/>
      <c r="E81" s="382"/>
      <c r="F81" s="382"/>
      <c r="G81" s="382"/>
      <c r="H81" s="382"/>
      <c r="I81" s="383"/>
      <c r="J81" s="383"/>
      <c r="K81" s="383"/>
      <c r="L81" s="383"/>
      <c r="M81" s="383"/>
      <c r="N81" s="705"/>
      <c r="O81" s="705"/>
      <c r="P81" s="704"/>
      <c r="Q81" s="705"/>
      <c r="R81" s="141">
        <v>10000</v>
      </c>
    </row>
    <row r="82" spans="1:18" ht="15.6" customHeight="1" x14ac:dyDescent="0.2">
      <c r="A82" s="1416" t="s">
        <v>344</v>
      </c>
      <c r="B82" s="1417"/>
      <c r="C82" s="380"/>
      <c r="D82" s="381"/>
      <c r="E82" s="382"/>
      <c r="F82" s="382"/>
      <c r="G82" s="382"/>
      <c r="H82" s="382"/>
      <c r="I82" s="383"/>
      <c r="J82" s="383"/>
      <c r="K82" s="383"/>
      <c r="L82" s="383"/>
      <c r="M82" s="383"/>
      <c r="N82" s="707"/>
      <c r="O82" s="705"/>
      <c r="P82" s="704"/>
      <c r="Q82" s="707"/>
      <c r="R82" s="141">
        <v>0</v>
      </c>
    </row>
    <row r="83" spans="1:18" ht="15.6" customHeight="1" x14ac:dyDescent="0.2">
      <c r="A83" s="1414" t="s">
        <v>242</v>
      </c>
      <c r="B83" s="1415"/>
      <c r="C83" s="384"/>
      <c r="D83" s="385"/>
      <c r="E83" s="386"/>
      <c r="F83" s="386"/>
      <c r="G83" s="386"/>
      <c r="H83" s="386"/>
      <c r="I83" s="387"/>
      <c r="J83" s="387"/>
      <c r="K83" s="387"/>
      <c r="L83" s="387"/>
      <c r="M83" s="387"/>
      <c r="N83" s="156">
        <v>13511</v>
      </c>
      <c r="O83" s="155">
        <v>9008</v>
      </c>
      <c r="P83" s="709">
        <f>N83-O83</f>
        <v>4503</v>
      </c>
      <c r="Q83" s="156">
        <f>ROUND(P83/$Q$86,0)</f>
        <v>1126</v>
      </c>
      <c r="R83" s="156">
        <v>13511</v>
      </c>
    </row>
    <row r="84" spans="1:18" s="33" customFormat="1" ht="15.6" customHeight="1" thickBot="1" x14ac:dyDescent="0.25">
      <c r="A84" s="1404" t="s">
        <v>366</v>
      </c>
      <c r="B84" s="1457"/>
      <c r="C84" s="367">
        <f>SUM(C76)</f>
        <v>229</v>
      </c>
      <c r="D84" s="368">
        <f>D76</f>
        <v>8579.7368128734415</v>
      </c>
      <c r="E84" s="369">
        <f>SUM(E76:E83)</f>
        <v>1953124.4095206326</v>
      </c>
      <c r="F84" s="369">
        <f>F76</f>
        <v>706.51</v>
      </c>
      <c r="G84" s="369">
        <f t="shared" ref="G84:R84" si="14">SUM(G76:G83)</f>
        <v>171327.27999999997</v>
      </c>
      <c r="H84" s="370">
        <f t="shared" si="14"/>
        <v>2213402</v>
      </c>
      <c r="I84" s="371">
        <f t="shared" si="14"/>
        <v>105704</v>
      </c>
      <c r="J84" s="371">
        <f t="shared" si="14"/>
        <v>-18145</v>
      </c>
      <c r="K84" s="372">
        <f t="shared" si="14"/>
        <v>87559</v>
      </c>
      <c r="L84" s="373">
        <f t="shared" si="14"/>
        <v>2300961</v>
      </c>
      <c r="M84" s="388">
        <f t="shared" si="14"/>
        <v>4477</v>
      </c>
      <c r="N84" s="375">
        <f t="shared" si="14"/>
        <v>2318949</v>
      </c>
      <c r="O84" s="374">
        <f t="shared" si="14"/>
        <v>1520310</v>
      </c>
      <c r="P84" s="374">
        <f t="shared" si="14"/>
        <v>798639</v>
      </c>
      <c r="Q84" s="375">
        <f t="shared" si="14"/>
        <v>199661</v>
      </c>
      <c r="R84" s="375">
        <f t="shared" si="14"/>
        <v>2328949</v>
      </c>
    </row>
    <row r="85" spans="1:18" ht="13.5" thickTop="1" x14ac:dyDescent="0.2"/>
    <row r="86" spans="1:18" x14ac:dyDescent="0.2">
      <c r="G86" s="778"/>
      <c r="Q86" s="8">
        <v>4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&amp;L&amp;"Arial,Bold"&amp;20&amp;K000000FY2020-21 Budget Letter
March 2021&amp;R&amp;"Arial,Bold"&amp;12&amp;KFF0000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77"/>
  <sheetViews>
    <sheetView tabSelected="1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33" bestFit="1" customWidth="1"/>
    <col min="2" max="2" width="17.5703125" style="33" bestFit="1" customWidth="1"/>
    <col min="3" max="3" width="15.85546875" style="33" customWidth="1"/>
    <col min="4" max="39" width="15.28515625" style="33" customWidth="1"/>
    <col min="40" max="41" width="15.7109375" style="33" customWidth="1"/>
    <col min="42" max="42" width="16.42578125" style="33" customWidth="1"/>
    <col min="43" max="44" width="13.85546875" style="33" customWidth="1"/>
    <col min="45" max="47" width="15.5703125" style="33" customWidth="1"/>
    <col min="48" max="48" width="18" style="33" customWidth="1"/>
    <col min="49" max="50" width="17.5703125" style="33" customWidth="1"/>
    <col min="51" max="51" width="19" style="33" customWidth="1"/>
    <col min="52" max="54" width="16.7109375" style="33" customWidth="1"/>
    <col min="55" max="57" width="17.5703125" style="33" customWidth="1"/>
    <col min="58" max="58" width="19.28515625" style="33" customWidth="1"/>
    <col min="59" max="16384" width="8.85546875" style="33"/>
  </cols>
  <sheetData>
    <row r="1" spans="1:58" s="277" customFormat="1" ht="30" customHeight="1" x14ac:dyDescent="0.2">
      <c r="A1" s="1284" t="s">
        <v>1297</v>
      </c>
      <c r="B1" s="1284"/>
      <c r="C1" s="1272" t="s">
        <v>404</v>
      </c>
      <c r="D1" s="1281" t="s">
        <v>405</v>
      </c>
      <c r="E1" s="1282"/>
      <c r="F1" s="1282"/>
      <c r="G1" s="1282"/>
      <c r="H1" s="1283"/>
      <c r="I1" s="1281" t="s">
        <v>405</v>
      </c>
      <c r="J1" s="1282"/>
      <c r="K1" s="1282"/>
      <c r="L1" s="1282"/>
      <c r="M1" s="1282"/>
      <c r="N1" s="1282"/>
      <c r="O1" s="1283"/>
      <c r="P1" s="1281" t="s">
        <v>405</v>
      </c>
      <c r="Q1" s="1282"/>
      <c r="R1" s="1282"/>
      <c r="S1" s="1282"/>
      <c r="T1" s="1282"/>
      <c r="U1" s="1283"/>
      <c r="V1" s="1281" t="s">
        <v>405</v>
      </c>
      <c r="W1" s="1282"/>
      <c r="X1" s="1282"/>
      <c r="Y1" s="1282"/>
      <c r="Z1" s="1282"/>
      <c r="AA1" s="1282"/>
      <c r="AB1" s="1283"/>
      <c r="AC1" s="1281" t="s">
        <v>405</v>
      </c>
      <c r="AD1" s="1282"/>
      <c r="AE1" s="1282"/>
      <c r="AF1" s="1282"/>
      <c r="AG1" s="1282"/>
      <c r="AH1" s="1283"/>
      <c r="AI1" s="1278" t="s">
        <v>405</v>
      </c>
      <c r="AJ1" s="1279"/>
      <c r="AK1" s="1279"/>
      <c r="AL1" s="1280"/>
      <c r="AM1" s="1272" t="s">
        <v>1303</v>
      </c>
      <c r="AN1" s="1272" t="s">
        <v>1011</v>
      </c>
      <c r="AO1" s="1272" t="s">
        <v>1304</v>
      </c>
      <c r="AP1" s="1273" t="s">
        <v>1024</v>
      </c>
      <c r="AQ1" s="1273"/>
      <c r="AR1" s="1273"/>
      <c r="AS1" s="1276" t="s">
        <v>223</v>
      </c>
      <c r="AT1" s="1276"/>
      <c r="AU1" s="1276"/>
      <c r="AV1" s="1272" t="s">
        <v>1314</v>
      </c>
      <c r="AW1" s="1274" t="s">
        <v>288</v>
      </c>
      <c r="AX1" s="1275"/>
      <c r="AY1" s="1272" t="s">
        <v>1315</v>
      </c>
      <c r="AZ1" s="1272" t="s">
        <v>264</v>
      </c>
      <c r="BA1" s="1272" t="s">
        <v>265</v>
      </c>
      <c r="BB1" s="1272" t="s">
        <v>257</v>
      </c>
      <c r="BC1" s="1274" t="s">
        <v>290</v>
      </c>
      <c r="BD1" s="1277"/>
      <c r="BE1" s="1275"/>
      <c r="BF1" s="1272" t="s">
        <v>1316</v>
      </c>
    </row>
    <row r="2" spans="1:58" s="277" customFormat="1" ht="103.5" customHeight="1" x14ac:dyDescent="0.2">
      <c r="A2" s="1284"/>
      <c r="B2" s="1284"/>
      <c r="C2" s="1272"/>
      <c r="D2" s="1119" t="s">
        <v>1156</v>
      </c>
      <c r="E2" s="1119" t="s">
        <v>1065</v>
      </c>
      <c r="F2" s="1119" t="s">
        <v>1066</v>
      </c>
      <c r="G2" s="1119" t="s">
        <v>1067</v>
      </c>
      <c r="H2" s="1119" t="s">
        <v>1068</v>
      </c>
      <c r="I2" s="1119" t="s">
        <v>1069</v>
      </c>
      <c r="J2" s="1119" t="s">
        <v>1070</v>
      </c>
      <c r="K2" s="1119" t="s">
        <v>1071</v>
      </c>
      <c r="L2" s="1119" t="s">
        <v>1072</v>
      </c>
      <c r="M2" s="1119" t="s">
        <v>1073</v>
      </c>
      <c r="N2" s="1119" t="s">
        <v>1074</v>
      </c>
      <c r="O2" s="1119" t="s">
        <v>1075</v>
      </c>
      <c r="P2" s="1119" t="s">
        <v>1076</v>
      </c>
      <c r="Q2" s="1119" t="s">
        <v>1077</v>
      </c>
      <c r="R2" s="1119" t="s">
        <v>1078</v>
      </c>
      <c r="S2" s="1119" t="s">
        <v>1079</v>
      </c>
      <c r="T2" s="1119" t="s">
        <v>1080</v>
      </c>
      <c r="U2" s="1119" t="s">
        <v>1081</v>
      </c>
      <c r="V2" s="1119" t="s">
        <v>1082</v>
      </c>
      <c r="W2" s="1119" t="s">
        <v>1083</v>
      </c>
      <c r="X2" s="1119" t="s">
        <v>1084</v>
      </c>
      <c r="Y2" s="1119" t="s">
        <v>1085</v>
      </c>
      <c r="Z2" s="1119" t="s">
        <v>1086</v>
      </c>
      <c r="AA2" s="1119" t="s">
        <v>1274</v>
      </c>
      <c r="AB2" s="1119" t="s">
        <v>1088</v>
      </c>
      <c r="AC2" s="1119" t="s">
        <v>1089</v>
      </c>
      <c r="AD2" s="1119" t="s">
        <v>1090</v>
      </c>
      <c r="AE2" s="774" t="s">
        <v>1091</v>
      </c>
      <c r="AF2" s="774" t="s">
        <v>1092</v>
      </c>
      <c r="AG2" s="1082" t="s">
        <v>1254</v>
      </c>
      <c r="AH2" s="1082" t="s">
        <v>1207</v>
      </c>
      <c r="AI2" s="1119" t="s">
        <v>1093</v>
      </c>
      <c r="AJ2" s="1119" t="s">
        <v>1094</v>
      </c>
      <c r="AK2" s="1119" t="s">
        <v>1298</v>
      </c>
      <c r="AL2" s="1119" t="s">
        <v>402</v>
      </c>
      <c r="AM2" s="1272"/>
      <c r="AN2" s="1272"/>
      <c r="AO2" s="1272"/>
      <c r="AP2" s="1117" t="s">
        <v>1299</v>
      </c>
      <c r="AQ2" s="534" t="s">
        <v>456</v>
      </c>
      <c r="AR2" s="534" t="s">
        <v>457</v>
      </c>
      <c r="AS2" s="1118" t="s">
        <v>1290</v>
      </c>
      <c r="AT2" s="1118" t="s">
        <v>1291</v>
      </c>
      <c r="AU2" s="1118" t="s">
        <v>224</v>
      </c>
      <c r="AV2" s="1272"/>
      <c r="AW2" s="26" t="s">
        <v>286</v>
      </c>
      <c r="AX2" s="26" t="s">
        <v>1214</v>
      </c>
      <c r="AY2" s="1272"/>
      <c r="AZ2" s="1272"/>
      <c r="BA2" s="1272"/>
      <c r="BB2" s="1272"/>
      <c r="BC2" s="174" t="s">
        <v>1213</v>
      </c>
      <c r="BD2" s="174" t="s">
        <v>1048</v>
      </c>
      <c r="BE2" s="174" t="s">
        <v>339</v>
      </c>
      <c r="BF2" s="1272"/>
    </row>
    <row r="3" spans="1:58" s="277" customFormat="1" ht="12.75" hidden="1" customHeight="1" x14ac:dyDescent="0.2">
      <c r="A3" s="465"/>
      <c r="B3" s="465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1119"/>
      <c r="AB3" s="1119"/>
      <c r="AC3" s="1119"/>
      <c r="AD3" s="1119"/>
      <c r="AE3" s="774"/>
      <c r="AF3" s="774"/>
      <c r="AG3" s="1082"/>
      <c r="AH3" s="1082"/>
      <c r="AI3" s="468"/>
      <c r="AJ3" s="468"/>
      <c r="AK3" s="468"/>
      <c r="AL3" s="468"/>
      <c r="AM3" s="468"/>
      <c r="AN3" s="468"/>
      <c r="AO3" s="950"/>
      <c r="AP3" s="301"/>
      <c r="AQ3" s="302"/>
      <c r="AR3" s="302"/>
      <c r="AS3" s="301"/>
      <c r="AT3" s="301"/>
      <c r="AU3" s="301"/>
      <c r="AV3" s="468"/>
      <c r="AW3" s="466"/>
      <c r="AX3" s="466"/>
      <c r="AY3" s="468"/>
      <c r="AZ3" s="468"/>
      <c r="BA3" s="468"/>
      <c r="BB3" s="468"/>
      <c r="BC3" s="466"/>
      <c r="BD3" s="466"/>
      <c r="BE3" s="466"/>
      <c r="BF3" s="468"/>
    </row>
    <row r="4" spans="1:58" s="267" customFormat="1" x14ac:dyDescent="0.2">
      <c r="A4" s="278"/>
      <c r="B4" s="279"/>
      <c r="C4" s="280">
        <f t="shared" ref="C4:M4" si="0">B4+1</f>
        <v>1</v>
      </c>
      <c r="D4" s="280">
        <f t="shared" si="0"/>
        <v>2</v>
      </c>
      <c r="E4" s="280">
        <f t="shared" si="0"/>
        <v>3</v>
      </c>
      <c r="F4" s="280">
        <f t="shared" si="0"/>
        <v>4</v>
      </c>
      <c r="G4" s="280">
        <f t="shared" si="0"/>
        <v>5</v>
      </c>
      <c r="H4" s="280">
        <f t="shared" si="0"/>
        <v>6</v>
      </c>
      <c r="I4" s="280">
        <f t="shared" si="0"/>
        <v>7</v>
      </c>
      <c r="J4" s="280">
        <f t="shared" si="0"/>
        <v>8</v>
      </c>
      <c r="K4" s="280">
        <f t="shared" si="0"/>
        <v>9</v>
      </c>
      <c r="L4" s="280">
        <f>K4+1</f>
        <v>10</v>
      </c>
      <c r="M4" s="280">
        <f t="shared" si="0"/>
        <v>11</v>
      </c>
      <c r="N4" s="280">
        <f t="shared" ref="N4:AP4" si="1">M4+1</f>
        <v>12</v>
      </c>
      <c r="O4" s="280">
        <f t="shared" si="1"/>
        <v>13</v>
      </c>
      <c r="P4" s="280">
        <f t="shared" si="1"/>
        <v>14</v>
      </c>
      <c r="Q4" s="280">
        <f t="shared" si="1"/>
        <v>15</v>
      </c>
      <c r="R4" s="280">
        <f t="shared" si="1"/>
        <v>16</v>
      </c>
      <c r="S4" s="280">
        <f t="shared" si="1"/>
        <v>17</v>
      </c>
      <c r="T4" s="280">
        <f t="shared" si="1"/>
        <v>18</v>
      </c>
      <c r="U4" s="280">
        <f t="shared" si="1"/>
        <v>19</v>
      </c>
      <c r="V4" s="280">
        <f t="shared" si="1"/>
        <v>20</v>
      </c>
      <c r="W4" s="280">
        <f t="shared" si="1"/>
        <v>21</v>
      </c>
      <c r="X4" s="280">
        <f t="shared" si="1"/>
        <v>22</v>
      </c>
      <c r="Y4" s="280">
        <f t="shared" si="1"/>
        <v>23</v>
      </c>
      <c r="Z4" s="280">
        <f t="shared" si="1"/>
        <v>24</v>
      </c>
      <c r="AA4" s="280">
        <f t="shared" ref="AA4:AL4" si="2">Z4+1</f>
        <v>25</v>
      </c>
      <c r="AB4" s="280">
        <f t="shared" si="2"/>
        <v>26</v>
      </c>
      <c r="AC4" s="280">
        <f t="shared" si="2"/>
        <v>27</v>
      </c>
      <c r="AD4" s="280">
        <f t="shared" si="2"/>
        <v>28</v>
      </c>
      <c r="AE4" s="280">
        <f t="shared" si="2"/>
        <v>29</v>
      </c>
      <c r="AF4" s="280">
        <f t="shared" si="2"/>
        <v>30</v>
      </c>
      <c r="AG4" s="280">
        <f t="shared" si="2"/>
        <v>31</v>
      </c>
      <c r="AH4" s="280">
        <f t="shared" si="2"/>
        <v>32</v>
      </c>
      <c r="AI4" s="280">
        <f t="shared" si="2"/>
        <v>33</v>
      </c>
      <c r="AJ4" s="280">
        <f t="shared" si="2"/>
        <v>34</v>
      </c>
      <c r="AK4" s="280">
        <f t="shared" si="2"/>
        <v>35</v>
      </c>
      <c r="AL4" s="280">
        <f t="shared" si="2"/>
        <v>36</v>
      </c>
      <c r="AM4" s="280">
        <f t="shared" si="1"/>
        <v>37</v>
      </c>
      <c r="AN4" s="280">
        <f t="shared" si="1"/>
        <v>38</v>
      </c>
      <c r="AO4" s="280">
        <f t="shared" si="1"/>
        <v>39</v>
      </c>
      <c r="AP4" s="280">
        <f t="shared" si="1"/>
        <v>40</v>
      </c>
      <c r="AQ4" s="280">
        <f t="shared" ref="AQ4:BF4" si="3">AP4+1</f>
        <v>41</v>
      </c>
      <c r="AR4" s="280">
        <f t="shared" si="3"/>
        <v>42</v>
      </c>
      <c r="AS4" s="280">
        <f t="shared" si="3"/>
        <v>43</v>
      </c>
      <c r="AT4" s="280">
        <f t="shared" si="3"/>
        <v>44</v>
      </c>
      <c r="AU4" s="280">
        <f t="shared" si="3"/>
        <v>45</v>
      </c>
      <c r="AV4" s="280">
        <f t="shared" si="3"/>
        <v>46</v>
      </c>
      <c r="AW4" s="280">
        <f t="shared" si="3"/>
        <v>47</v>
      </c>
      <c r="AX4" s="280">
        <f t="shared" si="3"/>
        <v>48</v>
      </c>
      <c r="AY4" s="280">
        <f t="shared" si="3"/>
        <v>49</v>
      </c>
      <c r="AZ4" s="280">
        <f t="shared" si="3"/>
        <v>50</v>
      </c>
      <c r="BA4" s="280">
        <f t="shared" si="3"/>
        <v>51</v>
      </c>
      <c r="BB4" s="280">
        <f t="shared" si="3"/>
        <v>52</v>
      </c>
      <c r="BC4" s="280">
        <f t="shared" si="3"/>
        <v>53</v>
      </c>
      <c r="BD4" s="280">
        <f t="shared" si="3"/>
        <v>54</v>
      </c>
      <c r="BE4" s="280">
        <f t="shared" si="3"/>
        <v>55</v>
      </c>
      <c r="BF4" s="280">
        <f t="shared" si="3"/>
        <v>56</v>
      </c>
    </row>
    <row r="5" spans="1:58" s="267" customFormat="1" ht="25.5" hidden="1" x14ac:dyDescent="0.2">
      <c r="A5" s="278"/>
      <c r="B5" s="278"/>
      <c r="C5" s="1121" t="s">
        <v>554</v>
      </c>
      <c r="D5" s="1121" t="s">
        <v>554</v>
      </c>
      <c r="E5" s="1121" t="s">
        <v>554</v>
      </c>
      <c r="F5" s="1121" t="s">
        <v>554</v>
      </c>
      <c r="G5" s="1121" t="s">
        <v>554</v>
      </c>
      <c r="H5" s="1121" t="s">
        <v>554</v>
      </c>
      <c r="I5" s="1121" t="s">
        <v>554</v>
      </c>
      <c r="J5" s="1121" t="s">
        <v>554</v>
      </c>
      <c r="K5" s="1121" t="s">
        <v>554</v>
      </c>
      <c r="L5" s="1121" t="s">
        <v>554</v>
      </c>
      <c r="M5" s="1121" t="s">
        <v>554</v>
      </c>
      <c r="N5" s="1121" t="s">
        <v>554</v>
      </c>
      <c r="O5" s="1121" t="s">
        <v>554</v>
      </c>
      <c r="P5" s="1121" t="s">
        <v>554</v>
      </c>
      <c r="Q5" s="1121" t="s">
        <v>554</v>
      </c>
      <c r="R5" s="1121" t="s">
        <v>554</v>
      </c>
      <c r="S5" s="1121" t="s">
        <v>554</v>
      </c>
      <c r="T5" s="1121" t="s">
        <v>554</v>
      </c>
      <c r="U5" s="1121" t="s">
        <v>554</v>
      </c>
      <c r="V5" s="1121" t="s">
        <v>554</v>
      </c>
      <c r="W5" s="1121" t="s">
        <v>554</v>
      </c>
      <c r="X5" s="1121" t="s">
        <v>554</v>
      </c>
      <c r="Y5" s="1121" t="s">
        <v>554</v>
      </c>
      <c r="Z5" s="1121" t="s">
        <v>554</v>
      </c>
      <c r="AA5" s="1121" t="s">
        <v>554</v>
      </c>
      <c r="AB5" s="1121" t="s">
        <v>554</v>
      </c>
      <c r="AC5" s="1121" t="s">
        <v>554</v>
      </c>
      <c r="AD5" s="1121" t="s">
        <v>554</v>
      </c>
      <c r="AE5" s="1121" t="s">
        <v>554</v>
      </c>
      <c r="AF5" s="1121" t="s">
        <v>554</v>
      </c>
      <c r="AG5" s="1122" t="s">
        <v>554</v>
      </c>
      <c r="AH5" s="1122" t="s">
        <v>554</v>
      </c>
      <c r="AI5" s="1121" t="s">
        <v>554</v>
      </c>
      <c r="AJ5" s="1121" t="s">
        <v>554</v>
      </c>
      <c r="AK5" s="1121" t="s">
        <v>554</v>
      </c>
      <c r="AL5" s="1121" t="s">
        <v>555</v>
      </c>
      <c r="AM5" s="1121" t="s">
        <v>555</v>
      </c>
      <c r="AN5" s="1121" t="s">
        <v>555</v>
      </c>
      <c r="AO5" s="1121"/>
      <c r="AP5" s="1121" t="s">
        <v>845</v>
      </c>
      <c r="AQ5" s="1121" t="s">
        <v>555</v>
      </c>
      <c r="AR5" s="1121" t="s">
        <v>555</v>
      </c>
      <c r="AS5" s="1121" t="s">
        <v>845</v>
      </c>
      <c r="AT5" s="1121" t="s">
        <v>845</v>
      </c>
      <c r="AU5" s="1121" t="s">
        <v>555</v>
      </c>
      <c r="AV5" s="1121" t="s">
        <v>555</v>
      </c>
      <c r="AW5" s="1121" t="s">
        <v>554</v>
      </c>
      <c r="AX5" s="1121" t="s">
        <v>554</v>
      </c>
      <c r="AY5" s="1121" t="s">
        <v>555</v>
      </c>
      <c r="AZ5" s="1121" t="s">
        <v>555</v>
      </c>
      <c r="BA5" s="1121" t="s">
        <v>555</v>
      </c>
      <c r="BB5" s="1121" t="s">
        <v>555</v>
      </c>
      <c r="BC5" s="1121" t="s">
        <v>554</v>
      </c>
      <c r="BD5" s="1121" t="s">
        <v>554</v>
      </c>
      <c r="BE5" s="1121" t="s">
        <v>554</v>
      </c>
      <c r="BF5" s="1121" t="s">
        <v>555</v>
      </c>
    </row>
    <row r="6" spans="1:58" s="540" customFormat="1" ht="22.5" x14ac:dyDescent="0.2">
      <c r="A6" s="537"/>
      <c r="B6" s="537"/>
      <c r="C6" s="952" t="s">
        <v>259</v>
      </c>
      <c r="D6" s="952" t="s">
        <v>1159</v>
      </c>
      <c r="E6" s="952" t="s">
        <v>526</v>
      </c>
      <c r="F6" s="952" t="s">
        <v>527</v>
      </c>
      <c r="G6" s="952" t="s">
        <v>528</v>
      </c>
      <c r="H6" s="952" t="s">
        <v>529</v>
      </c>
      <c r="I6" s="952" t="s">
        <v>530</v>
      </c>
      <c r="J6" s="952" t="s">
        <v>531</v>
      </c>
      <c r="K6" s="952" t="s">
        <v>532</v>
      </c>
      <c r="L6" s="952" t="s">
        <v>533</v>
      </c>
      <c r="M6" s="952" t="s">
        <v>534</v>
      </c>
      <c r="N6" s="952" t="s">
        <v>535</v>
      </c>
      <c r="O6" s="952" t="s">
        <v>536</v>
      </c>
      <c r="P6" s="952" t="s">
        <v>537</v>
      </c>
      <c r="Q6" s="952" t="s">
        <v>538</v>
      </c>
      <c r="R6" s="952" t="s">
        <v>539</v>
      </c>
      <c r="S6" s="952" t="s">
        <v>540</v>
      </c>
      <c r="T6" s="952" t="s">
        <v>541</v>
      </c>
      <c r="U6" s="952" t="s">
        <v>542</v>
      </c>
      <c r="V6" s="952" t="s">
        <v>543</v>
      </c>
      <c r="W6" s="952" t="s">
        <v>544</v>
      </c>
      <c r="X6" s="952" t="s">
        <v>545</v>
      </c>
      <c r="Y6" s="952" t="s">
        <v>546</v>
      </c>
      <c r="Z6" s="952" t="s">
        <v>547</v>
      </c>
      <c r="AA6" s="952" t="s">
        <v>1006</v>
      </c>
      <c r="AB6" s="952" t="s">
        <v>1007</v>
      </c>
      <c r="AC6" s="952" t="s">
        <v>1008</v>
      </c>
      <c r="AD6" s="952" t="s">
        <v>844</v>
      </c>
      <c r="AE6" s="952" t="s">
        <v>1054</v>
      </c>
      <c r="AF6" s="952" t="s">
        <v>1055</v>
      </c>
      <c r="AG6" s="1083" t="s">
        <v>1252</v>
      </c>
      <c r="AH6" s="1083" t="s">
        <v>1253</v>
      </c>
      <c r="AI6" s="952" t="s">
        <v>549</v>
      </c>
      <c r="AJ6" s="952" t="s">
        <v>550</v>
      </c>
      <c r="AK6" s="952" t="s">
        <v>548</v>
      </c>
      <c r="AL6" s="952" t="s">
        <v>1300</v>
      </c>
      <c r="AM6" s="952" t="s">
        <v>1301</v>
      </c>
      <c r="AN6" s="952" t="s">
        <v>1302</v>
      </c>
      <c r="AO6" s="952" t="s">
        <v>1108</v>
      </c>
      <c r="AP6" s="956" t="s">
        <v>765</v>
      </c>
      <c r="AQ6" s="956" t="s">
        <v>1305</v>
      </c>
      <c r="AR6" s="956" t="s">
        <v>1306</v>
      </c>
      <c r="AS6" s="956" t="s">
        <v>889</v>
      </c>
      <c r="AT6" s="956" t="s">
        <v>890</v>
      </c>
      <c r="AU6" s="952" t="s">
        <v>1307</v>
      </c>
      <c r="AV6" s="952" t="s">
        <v>1308</v>
      </c>
      <c r="AW6" s="952" t="s">
        <v>234</v>
      </c>
      <c r="AX6" s="952" t="s">
        <v>370</v>
      </c>
      <c r="AY6" s="952" t="s">
        <v>1309</v>
      </c>
      <c r="AZ6" s="768" t="s">
        <v>1310</v>
      </c>
      <c r="BA6" s="952" t="s">
        <v>1311</v>
      </c>
      <c r="BB6" s="952" t="s">
        <v>1312</v>
      </c>
      <c r="BC6" s="952" t="s">
        <v>260</v>
      </c>
      <c r="BD6" s="952" t="s">
        <v>274</v>
      </c>
      <c r="BE6" s="952" t="s">
        <v>336</v>
      </c>
      <c r="BF6" s="952" t="s">
        <v>1313</v>
      </c>
    </row>
    <row r="7" spans="1:58" ht="15.6" customHeight="1" x14ac:dyDescent="0.2">
      <c r="A7" s="281">
        <v>1</v>
      </c>
      <c r="B7" s="282" t="s">
        <v>4</v>
      </c>
      <c r="C7" s="36">
        <f>'3_Levels 1&amp;2'!AP7</f>
        <v>55413530</v>
      </c>
      <c r="D7" s="36">
        <v>0</v>
      </c>
      <c r="E7" s="36">
        <f>-'5C1A_Madison'!$R7</f>
        <v>0</v>
      </c>
      <c r="F7" s="36">
        <f>-'5C1B_DArbonne'!$R7</f>
        <v>0</v>
      </c>
      <c r="G7" s="36">
        <f>-'5C1C_Intl High'!$R7</f>
        <v>0</v>
      </c>
      <c r="H7" s="36">
        <f>-'5C1D_NOMMA'!$R7</f>
        <v>0</v>
      </c>
      <c r="I7" s="36">
        <f>-'5C1E_LFNO'!$R7</f>
        <v>0</v>
      </c>
      <c r="J7" s="36">
        <f>-'5C1F_L.C. Charter'!$R7</f>
        <v>0</v>
      </c>
      <c r="K7" s="36">
        <f>-'5C1G_JS Clark'!$R7</f>
        <v>0</v>
      </c>
      <c r="L7" s="36">
        <f>-'5C1H_Southwest'!$R7</f>
        <v>0</v>
      </c>
      <c r="M7" s="36">
        <f>-'5C1I_LA Key'!$R7</f>
        <v>0</v>
      </c>
      <c r="N7" s="36">
        <f>-'5C1J_JCFA-East'!$R7</f>
        <v>0</v>
      </c>
      <c r="O7" s="36">
        <f>-'5C1M_GEO Mid'!$R7</f>
        <v>0</v>
      </c>
      <c r="P7" s="36">
        <f>-'5C1N_Delta'!$R7</f>
        <v>0</v>
      </c>
      <c r="Q7" s="36">
        <f>-'5C1O_Impact'!$R7</f>
        <v>0</v>
      </c>
      <c r="R7" s="36">
        <f>-'5C1Q_Advantage'!$R7</f>
        <v>0</v>
      </c>
      <c r="S7" s="36">
        <f>-'5C1R_Iberville'!$R7</f>
        <v>0</v>
      </c>
      <c r="T7" s="36">
        <f>-'5C1S_LC Col Prep'!$R7</f>
        <v>0</v>
      </c>
      <c r="U7" s="36">
        <f>-'5C1T_Northeast'!$R7</f>
        <v>0</v>
      </c>
      <c r="V7" s="36">
        <f>-'5C1U_Acadiana Ren'!$R7</f>
        <v>-4954</v>
      </c>
      <c r="W7" s="36">
        <f>-'5C1V_Laf Ren'!$R7</f>
        <v>-116314</v>
      </c>
      <c r="X7" s="36">
        <f>-'5C1W_Willow'!$R7</f>
        <v>-21956</v>
      </c>
      <c r="Y7" s="36">
        <f>-'5C1Y_GEO'!$R7</f>
        <v>0</v>
      </c>
      <c r="Z7" s="36">
        <f>-'5C1Z_Lincoln Prep'!$R7</f>
        <v>0</v>
      </c>
      <c r="AA7" s="36">
        <f>-'5C1AE_Noble Minds'!$R7</f>
        <v>0</v>
      </c>
      <c r="AB7" s="36">
        <f>-'5C1AF_JCFA-Laf'!$R7</f>
        <v>-15470</v>
      </c>
      <c r="AC7" s="36">
        <f>-'5C1AG_Collegiate'!$R7</f>
        <v>0</v>
      </c>
      <c r="AD7" s="36">
        <f>-'5C1AH_BRUP'!$R7</f>
        <v>0</v>
      </c>
      <c r="AE7" s="36">
        <f>-'5C1AI_Harmony'!$R7</f>
        <v>0</v>
      </c>
      <c r="AF7" s="36">
        <f>-'5C1AJ_Athlos'!$R7</f>
        <v>0</v>
      </c>
      <c r="AG7" s="36">
        <f>-'5C1AK_NxtGen'!$R7</f>
        <v>0</v>
      </c>
      <c r="AH7" s="36">
        <f>-'5C1AL_Red River'!$R7</f>
        <v>0</v>
      </c>
      <c r="AI7" s="36">
        <f>-('5C2_LAVCA'!$R7+'5C2_LAVCA'!$S7)</f>
        <v>-131796</v>
      </c>
      <c r="AJ7" s="36">
        <f>-('5C3_UnvView'!$R7+'5C3_UnvView'!$S7)</f>
        <v>-227797</v>
      </c>
      <c r="AK7" s="36">
        <f>-Placeholder_Greater!$R7</f>
        <v>0</v>
      </c>
      <c r="AL7" s="35">
        <f t="shared" ref="AL7:AL38" si="4">SUM(D7:AK7)</f>
        <v>-518287</v>
      </c>
      <c r="AM7" s="35">
        <f>SUM(C7:AK7)</f>
        <v>54895243</v>
      </c>
      <c r="AN7" s="35">
        <f>ROUND(AM7/'8_2.1.20 SIS'!C7,0)</f>
        <v>5874</v>
      </c>
      <c r="AO7" s="35">
        <f>'3B_Pay Raise'!O7</f>
        <v>1227974</v>
      </c>
      <c r="AP7" s="37">
        <v>-10132</v>
      </c>
      <c r="AQ7" s="36">
        <f>IF(AP7&gt;0,AP7,0)</f>
        <v>0</v>
      </c>
      <c r="AR7" s="36">
        <f>IF(AP7&lt;0,AP7,0)</f>
        <v>-10132</v>
      </c>
      <c r="AS7" s="36">
        <v>-93984</v>
      </c>
      <c r="AT7" s="36">
        <v>-375936</v>
      </c>
      <c r="AU7" s="37">
        <f>SUM(AS7:AT7)</f>
        <v>-469920</v>
      </c>
      <c r="AV7" s="35">
        <f>AM7+AO7+AP7+AU7</f>
        <v>55643165</v>
      </c>
      <c r="AW7" s="36">
        <f>'4_Level 4'!E7</f>
        <v>0</v>
      </c>
      <c r="AX7" s="36">
        <f>'4_Level 4'!Q7</f>
        <v>234702</v>
      </c>
      <c r="AY7" s="35">
        <f t="shared" ref="AY7:AY38" si="5">ROUND(SUM(AV7:AX7),0)</f>
        <v>55877867</v>
      </c>
      <c r="AZ7" s="36">
        <v>37535612</v>
      </c>
      <c r="BA7" s="36">
        <f>AY7-AZ7</f>
        <v>18342255</v>
      </c>
      <c r="BB7" s="36">
        <f t="shared" ref="BB7:BB38" si="6">ROUND(BA7/$BB$77,0)</f>
        <v>4585564</v>
      </c>
      <c r="BC7" s="36">
        <f>'4_Level 4'!J7</f>
        <v>0</v>
      </c>
      <c r="BD7" s="36">
        <f>'4_Level 4'!L7</f>
        <v>253773</v>
      </c>
      <c r="BE7" s="36">
        <f>'4_Level 4'!M7</f>
        <v>0</v>
      </c>
      <c r="BF7" s="35">
        <f t="shared" ref="BF7:BF38" si="7">AY7+BC7+BD7+BE7</f>
        <v>56131640</v>
      </c>
    </row>
    <row r="8" spans="1:58" ht="15.6" customHeight="1" x14ac:dyDescent="0.2">
      <c r="A8" s="283">
        <v>2</v>
      </c>
      <c r="B8" s="284" t="s">
        <v>5</v>
      </c>
      <c r="C8" s="285">
        <f>'3_Levels 1&amp;2'!AP8</f>
        <v>28778072</v>
      </c>
      <c r="D8" s="285">
        <v>0</v>
      </c>
      <c r="E8" s="285">
        <f>-'5C1A_Madison'!$R8</f>
        <v>0</v>
      </c>
      <c r="F8" s="285">
        <f>-'5C1B_DArbonne'!$R8</f>
        <v>0</v>
      </c>
      <c r="G8" s="285">
        <f>-'5C1C_Intl High'!$R8</f>
        <v>0</v>
      </c>
      <c r="H8" s="285">
        <f>-'5C1D_NOMMA'!$R8</f>
        <v>0</v>
      </c>
      <c r="I8" s="285">
        <f>-'5C1E_LFNO'!$R8</f>
        <v>0</v>
      </c>
      <c r="J8" s="285">
        <f>-'5C1F_L.C. Charter'!$R8</f>
        <v>-6540</v>
      </c>
      <c r="K8" s="285">
        <f>-'5C1G_JS Clark'!$R8</f>
        <v>0</v>
      </c>
      <c r="L8" s="285">
        <f>-'5C1H_Southwest'!$R8</f>
        <v>0</v>
      </c>
      <c r="M8" s="285">
        <f>-'5C1I_LA Key'!$R8</f>
        <v>0</v>
      </c>
      <c r="N8" s="285">
        <f>-'5C1J_JCFA-East'!$R8</f>
        <v>0</v>
      </c>
      <c r="O8" s="285">
        <f>-'5C1M_GEO Mid'!$R8</f>
        <v>0</v>
      </c>
      <c r="P8" s="285">
        <f>-'5C1N_Delta'!$R8</f>
        <v>0</v>
      </c>
      <c r="Q8" s="285">
        <f>-'5C1O_Impact'!$R8</f>
        <v>0</v>
      </c>
      <c r="R8" s="285">
        <f>-'5C1Q_Advantage'!$R8</f>
        <v>0</v>
      </c>
      <c r="S8" s="285">
        <f>-'5C1R_Iberville'!$R8</f>
        <v>0</v>
      </c>
      <c r="T8" s="285">
        <f>-'5C1S_LC Col Prep'!$R8</f>
        <v>-6405</v>
      </c>
      <c r="U8" s="285">
        <f>-'5C1T_Northeast'!$R8</f>
        <v>0</v>
      </c>
      <c r="V8" s="285">
        <f>-'5C1U_Acadiana Ren'!$R8</f>
        <v>0</v>
      </c>
      <c r="W8" s="285">
        <f>-'5C1V_Laf Ren'!$R8</f>
        <v>0</v>
      </c>
      <c r="X8" s="285">
        <f>-'5C1W_Willow'!$R8</f>
        <v>0</v>
      </c>
      <c r="Y8" s="285">
        <f>-'5C1Y_GEO'!$R8</f>
        <v>0</v>
      </c>
      <c r="Z8" s="285">
        <f>-'5C1Z_Lincoln Prep'!$R8</f>
        <v>0</v>
      </c>
      <c r="AA8" s="285">
        <f>-'5C1AE_Noble Minds'!$R8</f>
        <v>0</v>
      </c>
      <c r="AB8" s="285">
        <f>-'5C1AF_JCFA-Laf'!$R8</f>
        <v>0</v>
      </c>
      <c r="AC8" s="285">
        <f>-'5C1AG_Collegiate'!$R8</f>
        <v>0</v>
      </c>
      <c r="AD8" s="285">
        <f>-'5C1AH_BRUP'!$R8</f>
        <v>0</v>
      </c>
      <c r="AE8" s="285">
        <f>-'5C1AI_Harmony'!$R8</f>
        <v>0</v>
      </c>
      <c r="AF8" s="285">
        <f>-'5C1AJ_Athlos'!$R8</f>
        <v>0</v>
      </c>
      <c r="AG8" s="285">
        <f>-'5C1AK_NxtGen'!$R8</f>
        <v>0</v>
      </c>
      <c r="AH8" s="285">
        <f>-'5C1AL_Red River'!$R8</f>
        <v>0</v>
      </c>
      <c r="AI8" s="285">
        <f>-('5C2_LAVCA'!$R8+'5C2_LAVCA'!$S8)</f>
        <v>-80118</v>
      </c>
      <c r="AJ8" s="285">
        <f>-('5C3_UnvView'!$R8+'5C3_UnvView'!$S8)</f>
        <v>-115678</v>
      </c>
      <c r="AK8" s="285">
        <f>-Placeholder_Greater!$R8</f>
        <v>0</v>
      </c>
      <c r="AL8" s="286">
        <f t="shared" si="4"/>
        <v>-208741</v>
      </c>
      <c r="AM8" s="286">
        <f t="shared" ref="AM8:AM71" si="8">SUM(C8:AK8)</f>
        <v>28569331</v>
      </c>
      <c r="AN8" s="286">
        <f>ROUND(AM8/'8_2.1.20 SIS'!C8,0)</f>
        <v>7292</v>
      </c>
      <c r="AO8" s="286">
        <f>'3B_Pay Raise'!O8</f>
        <v>632105</v>
      </c>
      <c r="AP8" s="287">
        <v>87226</v>
      </c>
      <c r="AQ8" s="285">
        <f t="shared" ref="AQ8:AQ71" si="9">IF(AP8&gt;0,AP8,0)</f>
        <v>87226</v>
      </c>
      <c r="AR8" s="285">
        <f t="shared" ref="AR8:AR71" si="10">IF(AP8&lt;0,AP8,0)</f>
        <v>0</v>
      </c>
      <c r="AS8" s="285">
        <v>36460</v>
      </c>
      <c r="AT8" s="285">
        <v>-291680</v>
      </c>
      <c r="AU8" s="287">
        <f t="shared" ref="AU8:AU71" si="11">SUM(AS8:AT8)</f>
        <v>-255220</v>
      </c>
      <c r="AV8" s="286">
        <f t="shared" ref="AV8:AV71" si="12">AM8+AO8+AP8+AU8</f>
        <v>29033442</v>
      </c>
      <c r="AW8" s="285">
        <f>'4_Level 4'!E8</f>
        <v>0</v>
      </c>
      <c r="AX8" s="285">
        <f>'4_Level 4'!Q8</f>
        <v>102896</v>
      </c>
      <c r="AY8" s="286">
        <f t="shared" si="5"/>
        <v>29136338</v>
      </c>
      <c r="AZ8" s="285">
        <v>19608352</v>
      </c>
      <c r="BA8" s="285">
        <f t="shared" ref="BA8:BA71" si="13">AY8-AZ8</f>
        <v>9527986</v>
      </c>
      <c r="BB8" s="285">
        <f t="shared" si="6"/>
        <v>2381997</v>
      </c>
      <c r="BC8" s="285">
        <f>'4_Level 4'!J8</f>
        <v>0</v>
      </c>
      <c r="BD8" s="285">
        <f>'4_Level 4'!L8</f>
        <v>84832</v>
      </c>
      <c r="BE8" s="285">
        <f>'4_Level 4'!M8</f>
        <v>0</v>
      </c>
      <c r="BF8" s="286">
        <f t="shared" si="7"/>
        <v>29221170</v>
      </c>
    </row>
    <row r="9" spans="1:58" ht="15.6" customHeight="1" x14ac:dyDescent="0.2">
      <c r="A9" s="283">
        <v>3</v>
      </c>
      <c r="B9" s="284" t="s">
        <v>6</v>
      </c>
      <c r="C9" s="285">
        <f>'3_Levels 1&amp;2'!AP9</f>
        <v>107615221</v>
      </c>
      <c r="D9" s="285">
        <v>0</v>
      </c>
      <c r="E9" s="285">
        <f>-'5C1A_Madison'!$R9</f>
        <v>-8299</v>
      </c>
      <c r="F9" s="285">
        <f>-'5C1B_DArbonne'!$R9</f>
        <v>0</v>
      </c>
      <c r="G9" s="285">
        <f>-'5C1C_Intl High'!$R9</f>
        <v>0</v>
      </c>
      <c r="H9" s="285">
        <f>-'5C1D_NOMMA'!$R9</f>
        <v>0</v>
      </c>
      <c r="I9" s="285">
        <f>-'5C1E_LFNO'!$R9</f>
        <v>0</v>
      </c>
      <c r="J9" s="285">
        <f>-'5C1F_L.C. Charter'!$R9</f>
        <v>0</v>
      </c>
      <c r="K9" s="285">
        <f>-'5C1G_JS Clark'!$R9</f>
        <v>0</v>
      </c>
      <c r="L9" s="285">
        <f>-'5C1H_Southwest'!$R9</f>
        <v>0</v>
      </c>
      <c r="M9" s="285">
        <f>-'5C1I_LA Key'!$R9</f>
        <v>-101068</v>
      </c>
      <c r="N9" s="285">
        <f>-'5C1J_JCFA-East'!$R9</f>
        <v>0</v>
      </c>
      <c r="O9" s="285">
        <f>-'5C1M_GEO Mid'!$R9</f>
        <v>-20169</v>
      </c>
      <c r="P9" s="285">
        <f>-'5C1N_Delta'!$R9</f>
        <v>0</v>
      </c>
      <c r="Q9" s="285">
        <f>-'5C1O_Impact'!$R9</f>
        <v>0</v>
      </c>
      <c r="R9" s="285">
        <f>-'5C1Q_Advantage'!$R9</f>
        <v>0</v>
      </c>
      <c r="S9" s="285">
        <f>-'5C1R_Iberville'!$R9</f>
        <v>-64826</v>
      </c>
      <c r="T9" s="285">
        <f>-'5C1S_LC Col Prep'!$R9</f>
        <v>0</v>
      </c>
      <c r="U9" s="285">
        <f>-'5C1T_Northeast'!$R9</f>
        <v>0</v>
      </c>
      <c r="V9" s="285">
        <f>-'5C1U_Acadiana Ren'!$R9</f>
        <v>0</v>
      </c>
      <c r="W9" s="285">
        <f>-'5C1V_Laf Ren'!$R9</f>
        <v>0</v>
      </c>
      <c r="X9" s="285">
        <f>-'5C1W_Willow'!$R9</f>
        <v>0</v>
      </c>
      <c r="Y9" s="285">
        <f>-'5C1Y_GEO'!$R9</f>
        <v>0</v>
      </c>
      <c r="Z9" s="285">
        <f>-'5C1Z_Lincoln Prep'!$R9</f>
        <v>0</v>
      </c>
      <c r="AA9" s="285">
        <f>-'5C1AE_Noble Minds'!$R9</f>
        <v>0</v>
      </c>
      <c r="AB9" s="285">
        <f>-'5C1AF_JCFA-Laf'!$R9</f>
        <v>0</v>
      </c>
      <c r="AC9" s="285">
        <f>-'5C1AG_Collegiate'!$R9</f>
        <v>0</v>
      </c>
      <c r="AD9" s="285">
        <f>-'5C1AH_BRUP'!$R9</f>
        <v>0</v>
      </c>
      <c r="AE9" s="285">
        <f>-'5C1AI_Harmony'!$R9</f>
        <v>0</v>
      </c>
      <c r="AF9" s="285">
        <f>-'5C1AJ_Athlos'!$R9</f>
        <v>0</v>
      </c>
      <c r="AG9" s="285">
        <f>-'5C1AK_NxtGen'!$R9</f>
        <v>0</v>
      </c>
      <c r="AH9" s="285">
        <f>-'5C1AL_Red River'!$R9</f>
        <v>0</v>
      </c>
      <c r="AI9" s="285">
        <f>-('5C2_LAVCA'!$R9+'5C2_LAVCA'!$S9)</f>
        <v>-157616</v>
      </c>
      <c r="AJ9" s="285">
        <f>-('5C3_UnvView'!$R9+'5C3_UnvView'!$S9)</f>
        <v>-388460</v>
      </c>
      <c r="AK9" s="285">
        <f>-Placeholder_Greater!$R9</f>
        <v>-8245</v>
      </c>
      <c r="AL9" s="286">
        <f t="shared" si="4"/>
        <v>-748683</v>
      </c>
      <c r="AM9" s="286">
        <f t="shared" si="8"/>
        <v>106866538</v>
      </c>
      <c r="AN9" s="286">
        <f>ROUND(AM9/'8_2.1.20 SIS'!C9,0)</f>
        <v>4738</v>
      </c>
      <c r="AO9" s="286">
        <f>'3B_Pay Raise'!O9</f>
        <v>3106955</v>
      </c>
      <c r="AP9" s="287">
        <v>-114730</v>
      </c>
      <c r="AQ9" s="285">
        <f t="shared" si="9"/>
        <v>0</v>
      </c>
      <c r="AR9" s="285">
        <f t="shared" si="10"/>
        <v>-114730</v>
      </c>
      <c r="AS9" s="285">
        <v>1231880</v>
      </c>
      <c r="AT9" s="285">
        <v>9476</v>
      </c>
      <c r="AU9" s="287">
        <f t="shared" si="11"/>
        <v>1241356</v>
      </c>
      <c r="AV9" s="286">
        <f t="shared" si="12"/>
        <v>111100119</v>
      </c>
      <c r="AW9" s="285">
        <f>'4_Level 4'!E9</f>
        <v>0</v>
      </c>
      <c r="AX9" s="285">
        <f>'4_Level 4'!Q9</f>
        <v>605045</v>
      </c>
      <c r="AY9" s="286">
        <f t="shared" si="5"/>
        <v>111705164</v>
      </c>
      <c r="AZ9" s="285">
        <v>74028988</v>
      </c>
      <c r="BA9" s="285">
        <f t="shared" si="13"/>
        <v>37676176</v>
      </c>
      <c r="BB9" s="285">
        <f t="shared" si="6"/>
        <v>9419044</v>
      </c>
      <c r="BC9" s="285">
        <f>'4_Level 4'!J9</f>
        <v>0</v>
      </c>
      <c r="BD9" s="285">
        <f>'4_Level 4'!L9</f>
        <v>1065461</v>
      </c>
      <c r="BE9" s="285">
        <f>'4_Level 4'!M9</f>
        <v>368845</v>
      </c>
      <c r="BF9" s="286">
        <f t="shared" si="7"/>
        <v>113139470</v>
      </c>
    </row>
    <row r="10" spans="1:58" ht="15.6" customHeight="1" x14ac:dyDescent="0.2">
      <c r="A10" s="283">
        <v>4</v>
      </c>
      <c r="B10" s="284" t="s">
        <v>7</v>
      </c>
      <c r="C10" s="285">
        <f>'3_Levels 1&amp;2'!AP10</f>
        <v>20052883</v>
      </c>
      <c r="D10" s="285">
        <v>0</v>
      </c>
      <c r="E10" s="285">
        <f>-'5C1A_Madison'!$R10</f>
        <v>0</v>
      </c>
      <c r="F10" s="285">
        <f>-'5C1B_DArbonne'!$R10</f>
        <v>0</v>
      </c>
      <c r="G10" s="285">
        <f>-'5C1C_Intl High'!$R10</f>
        <v>0</v>
      </c>
      <c r="H10" s="285">
        <f>-'5C1D_NOMMA'!$R10</f>
        <v>0</v>
      </c>
      <c r="I10" s="285">
        <f>-'5C1E_LFNO'!$R10</f>
        <v>0</v>
      </c>
      <c r="J10" s="285">
        <f>-'5C1F_L.C. Charter'!$R10</f>
        <v>0</v>
      </c>
      <c r="K10" s="285">
        <f>-'5C1G_JS Clark'!$R10</f>
        <v>0</v>
      </c>
      <c r="L10" s="285">
        <f>-'5C1H_Southwest'!$R10</f>
        <v>0</v>
      </c>
      <c r="M10" s="285">
        <f>-'5C1I_LA Key'!$R10</f>
        <v>0</v>
      </c>
      <c r="N10" s="285">
        <f>-'5C1J_JCFA-East'!$R10</f>
        <v>0</v>
      </c>
      <c r="O10" s="285">
        <f>-'5C1M_GEO Mid'!$R10</f>
        <v>0</v>
      </c>
      <c r="P10" s="285">
        <f>-'5C1N_Delta'!$R10</f>
        <v>0</v>
      </c>
      <c r="Q10" s="285">
        <f>-'5C1O_Impact'!$R10</f>
        <v>0</v>
      </c>
      <c r="R10" s="285">
        <f>-'5C1Q_Advantage'!$R10</f>
        <v>0</v>
      </c>
      <c r="S10" s="285">
        <f>-'5C1R_Iberville'!$R10</f>
        <v>-30880</v>
      </c>
      <c r="T10" s="285">
        <f>-'5C1S_LC Col Prep'!$R10</f>
        <v>0</v>
      </c>
      <c r="U10" s="285">
        <f>-'5C1T_Northeast'!$R10</f>
        <v>0</v>
      </c>
      <c r="V10" s="285">
        <f>-'5C1U_Acadiana Ren'!$R10</f>
        <v>0</v>
      </c>
      <c r="W10" s="285">
        <f>-'5C1V_Laf Ren'!$R10</f>
        <v>0</v>
      </c>
      <c r="X10" s="285">
        <f>-'5C1W_Willow'!$R10</f>
        <v>0</v>
      </c>
      <c r="Y10" s="285">
        <f>-'5C1Y_GEO'!$R10</f>
        <v>0</v>
      </c>
      <c r="Z10" s="285">
        <f>-'5C1Z_Lincoln Prep'!$R10</f>
        <v>0</v>
      </c>
      <c r="AA10" s="285">
        <f>-'5C1AE_Noble Minds'!$R10</f>
        <v>0</v>
      </c>
      <c r="AB10" s="285">
        <f>-'5C1AF_JCFA-Laf'!$R10</f>
        <v>0</v>
      </c>
      <c r="AC10" s="285">
        <f>-'5C1AG_Collegiate'!$R10</f>
        <v>0</v>
      </c>
      <c r="AD10" s="285">
        <f>-'5C1AH_BRUP'!$R10</f>
        <v>0</v>
      </c>
      <c r="AE10" s="285">
        <f>-'5C1AI_Harmony'!$R10</f>
        <v>0</v>
      </c>
      <c r="AF10" s="285">
        <f>-'5C1AJ_Athlos'!$R10</f>
        <v>0</v>
      </c>
      <c r="AG10" s="285">
        <f>-'5C1AK_NxtGen'!$R10</f>
        <v>0</v>
      </c>
      <c r="AH10" s="285">
        <f>-'5C1AL_Red River'!$R10</f>
        <v>0</v>
      </c>
      <c r="AI10" s="285">
        <f>-('5C2_LAVCA'!$R10+'5C2_LAVCA'!$S10)</f>
        <v>-49640</v>
      </c>
      <c r="AJ10" s="285">
        <f>-('5C3_UnvView'!$R10+'5C3_UnvView'!$S10)</f>
        <v>-40532</v>
      </c>
      <c r="AK10" s="285">
        <f>-Placeholder_Greater!$R10</f>
        <v>0</v>
      </c>
      <c r="AL10" s="286">
        <f t="shared" si="4"/>
        <v>-121052</v>
      </c>
      <c r="AM10" s="286">
        <f t="shared" si="8"/>
        <v>19931831</v>
      </c>
      <c r="AN10" s="286">
        <f>ROUND(AM10/'8_2.1.20 SIS'!C10,0)</f>
        <v>6559</v>
      </c>
      <c r="AO10" s="286">
        <f>'3B_Pay Raise'!O10</f>
        <v>444314</v>
      </c>
      <c r="AP10" s="287">
        <v>-1787</v>
      </c>
      <c r="AQ10" s="285">
        <f t="shared" si="9"/>
        <v>0</v>
      </c>
      <c r="AR10" s="285">
        <f t="shared" si="10"/>
        <v>-1787</v>
      </c>
      <c r="AS10" s="285">
        <v>-498484</v>
      </c>
      <c r="AT10" s="285">
        <v>-127901</v>
      </c>
      <c r="AU10" s="287">
        <f t="shared" si="11"/>
        <v>-626385</v>
      </c>
      <c r="AV10" s="286">
        <f t="shared" si="12"/>
        <v>19747973</v>
      </c>
      <c r="AW10" s="285">
        <f>'4_Level 4'!E10</f>
        <v>42000</v>
      </c>
      <c r="AX10" s="285">
        <f>'4_Level 4'!Q10</f>
        <v>84075</v>
      </c>
      <c r="AY10" s="286">
        <f t="shared" si="5"/>
        <v>19874048</v>
      </c>
      <c r="AZ10" s="285">
        <v>13500244</v>
      </c>
      <c r="BA10" s="285">
        <f t="shared" si="13"/>
        <v>6373804</v>
      </c>
      <c r="BB10" s="285">
        <f t="shared" si="6"/>
        <v>1593451</v>
      </c>
      <c r="BC10" s="285">
        <f>'4_Level 4'!J10</f>
        <v>0</v>
      </c>
      <c r="BD10" s="285">
        <f>'4_Level 4'!L10</f>
        <v>54948</v>
      </c>
      <c r="BE10" s="285">
        <f>'4_Level 4'!M10</f>
        <v>571383</v>
      </c>
      <c r="BF10" s="286">
        <f t="shared" si="7"/>
        <v>20500379</v>
      </c>
    </row>
    <row r="11" spans="1:58" ht="15.6" customHeight="1" x14ac:dyDescent="0.2">
      <c r="A11" s="288">
        <v>5</v>
      </c>
      <c r="B11" s="289" t="s">
        <v>8</v>
      </c>
      <c r="C11" s="290">
        <f>'3_Levels 1&amp;2'!AP11</f>
        <v>32088112</v>
      </c>
      <c r="D11" s="290">
        <v>0</v>
      </c>
      <c r="E11" s="290">
        <f>-'5C1A_Madison'!$R11</f>
        <v>0</v>
      </c>
      <c r="F11" s="290">
        <f>-'5C1B_DArbonne'!$R11</f>
        <v>0</v>
      </c>
      <c r="G11" s="290">
        <f>-'5C1C_Intl High'!$R11</f>
        <v>0</v>
      </c>
      <c r="H11" s="290">
        <f>-'5C1D_NOMMA'!$R11</f>
        <v>0</v>
      </c>
      <c r="I11" s="290">
        <f>-'5C1E_LFNO'!$R11</f>
        <v>0</v>
      </c>
      <c r="J11" s="290">
        <f>-'5C1F_L.C. Charter'!$R11</f>
        <v>0</v>
      </c>
      <c r="K11" s="290">
        <f>-'5C1G_JS Clark'!$R11</f>
        <v>0</v>
      </c>
      <c r="L11" s="290">
        <f>-'5C1H_Southwest'!$R11</f>
        <v>0</v>
      </c>
      <c r="M11" s="290">
        <f>-'5C1I_LA Key'!$R11</f>
        <v>0</v>
      </c>
      <c r="N11" s="290">
        <f>-'5C1J_JCFA-East'!$R11</f>
        <v>0</v>
      </c>
      <c r="O11" s="290">
        <f>-'5C1M_GEO Mid'!$R11</f>
        <v>0</v>
      </c>
      <c r="P11" s="290">
        <f>-'5C1N_Delta'!$R11</f>
        <v>0</v>
      </c>
      <c r="Q11" s="290">
        <f>-'5C1O_Impact'!$R11</f>
        <v>0</v>
      </c>
      <c r="R11" s="290">
        <f>-'5C1Q_Advantage'!$R11</f>
        <v>0</v>
      </c>
      <c r="S11" s="290">
        <f>-'5C1R_Iberville'!$R11</f>
        <v>0</v>
      </c>
      <c r="T11" s="290">
        <f>-'5C1S_LC Col Prep'!$R11</f>
        <v>0</v>
      </c>
      <c r="U11" s="290">
        <f>-'5C1T_Northeast'!$R11</f>
        <v>0</v>
      </c>
      <c r="V11" s="290">
        <f>-'5C1U_Acadiana Ren'!$R11</f>
        <v>0</v>
      </c>
      <c r="W11" s="290">
        <f>-'5C1V_Laf Ren'!$R11</f>
        <v>0</v>
      </c>
      <c r="X11" s="290">
        <f>-'5C1W_Willow'!$R11</f>
        <v>0</v>
      </c>
      <c r="Y11" s="290">
        <f>-'5C1Y_GEO'!$R11</f>
        <v>0</v>
      </c>
      <c r="Z11" s="290">
        <f>-'5C1Z_Lincoln Prep'!$R11</f>
        <v>0</v>
      </c>
      <c r="AA11" s="546">
        <f>-'5C1AE_Noble Minds'!$R11</f>
        <v>0</v>
      </c>
      <c r="AB11" s="546">
        <f>-'5C1AF_JCFA-Laf'!$R11</f>
        <v>0</v>
      </c>
      <c r="AC11" s="546">
        <f>-'5C1AG_Collegiate'!$R11</f>
        <v>0</v>
      </c>
      <c r="AD11" s="290">
        <f>-'5C1AH_BRUP'!$R11</f>
        <v>0</v>
      </c>
      <c r="AE11" s="775">
        <f>-'5C1AI_Harmony'!$R11</f>
        <v>0</v>
      </c>
      <c r="AF11" s="775">
        <f>-'5C1AJ_Athlos'!$R11</f>
        <v>0</v>
      </c>
      <c r="AG11" s="1080">
        <f>-'5C1AK_NxtGen'!$R11</f>
        <v>0</v>
      </c>
      <c r="AH11" s="1080">
        <f>-'5C1AL_Red River'!$R11</f>
        <v>-1074178</v>
      </c>
      <c r="AI11" s="290">
        <f>-('5C2_LAVCA'!$R11+'5C2_LAVCA'!$S11)</f>
        <v>-135104</v>
      </c>
      <c r="AJ11" s="290">
        <f>-('5C3_UnvView'!$R11+'5C3_UnvView'!$S11)</f>
        <v>-260628</v>
      </c>
      <c r="AK11" s="290">
        <f>-Placeholder_Greater!$R11</f>
        <v>0</v>
      </c>
      <c r="AL11" s="291">
        <f t="shared" si="4"/>
        <v>-1469910</v>
      </c>
      <c r="AM11" s="291">
        <f t="shared" si="8"/>
        <v>30618202</v>
      </c>
      <c r="AN11" s="291">
        <f>ROUND(AM11/'8_2.1.20 SIS'!C11,0)</f>
        <v>6244</v>
      </c>
      <c r="AO11" s="953">
        <f>'3B_Pay Raise'!O11</f>
        <v>601538</v>
      </c>
      <c r="AP11" s="292">
        <v>-12086</v>
      </c>
      <c r="AQ11" s="290">
        <f t="shared" si="9"/>
        <v>0</v>
      </c>
      <c r="AR11" s="290">
        <f t="shared" si="10"/>
        <v>-12086</v>
      </c>
      <c r="AS11" s="290">
        <v>-106148</v>
      </c>
      <c r="AT11" s="290">
        <v>15610</v>
      </c>
      <c r="AU11" s="292">
        <f t="shared" si="11"/>
        <v>-90538</v>
      </c>
      <c r="AV11" s="291">
        <f t="shared" si="12"/>
        <v>31117116</v>
      </c>
      <c r="AW11" s="290">
        <f>'4_Level 4'!E11</f>
        <v>0</v>
      </c>
      <c r="AX11" s="290">
        <f>'4_Level 4'!Q11</f>
        <v>130744</v>
      </c>
      <c r="AY11" s="291">
        <f t="shared" si="5"/>
        <v>31247860</v>
      </c>
      <c r="AZ11" s="290">
        <v>20856612</v>
      </c>
      <c r="BA11" s="290">
        <f t="shared" si="13"/>
        <v>10391248</v>
      </c>
      <c r="BB11" s="290">
        <f t="shared" si="6"/>
        <v>2597812</v>
      </c>
      <c r="BC11" s="290">
        <f>'4_Level 4'!J11</f>
        <v>0</v>
      </c>
      <c r="BD11" s="290">
        <f>'4_Level 4'!L11</f>
        <v>203163</v>
      </c>
      <c r="BE11" s="290">
        <f>'4_Level 4'!M11</f>
        <v>102834</v>
      </c>
      <c r="BF11" s="291">
        <f t="shared" si="7"/>
        <v>31553857</v>
      </c>
    </row>
    <row r="12" spans="1:58" ht="15.6" customHeight="1" x14ac:dyDescent="0.2">
      <c r="A12" s="281">
        <v>6</v>
      </c>
      <c r="B12" s="282" t="s">
        <v>9</v>
      </c>
      <c r="C12" s="36">
        <f>'3_Levels 1&amp;2'!AP12</f>
        <v>36671505</v>
      </c>
      <c r="D12" s="36">
        <v>0</v>
      </c>
      <c r="E12" s="36">
        <f>-'5C1A_Madison'!$R12</f>
        <v>0</v>
      </c>
      <c r="F12" s="36">
        <f>-'5C1B_DArbonne'!$R12</f>
        <v>0</v>
      </c>
      <c r="G12" s="36">
        <f>-'5C1C_Intl High'!$R12</f>
        <v>0</v>
      </c>
      <c r="H12" s="36">
        <f>-'5C1D_NOMMA'!$R12</f>
        <v>0</v>
      </c>
      <c r="I12" s="36">
        <f>-'5C1E_LFNO'!$R12</f>
        <v>0</v>
      </c>
      <c r="J12" s="36">
        <f>-'5C1F_L.C. Charter'!$R12</f>
        <v>0</v>
      </c>
      <c r="K12" s="36">
        <f>-'5C1G_JS Clark'!$R12</f>
        <v>0</v>
      </c>
      <c r="L12" s="36">
        <f>-'5C1H_Southwest'!$R12</f>
        <v>0</v>
      </c>
      <c r="M12" s="36">
        <f>-'5C1I_LA Key'!$R12</f>
        <v>0</v>
      </c>
      <c r="N12" s="36">
        <f>-'5C1J_JCFA-East'!$R12</f>
        <v>0</v>
      </c>
      <c r="O12" s="36">
        <f>-'5C1M_GEO Mid'!$R12</f>
        <v>0</v>
      </c>
      <c r="P12" s="36">
        <f>-'5C1N_Delta'!$R12</f>
        <v>0</v>
      </c>
      <c r="Q12" s="36">
        <f>-'5C1O_Impact'!$R12</f>
        <v>0</v>
      </c>
      <c r="R12" s="36">
        <f>-'5C1Q_Advantage'!$R12</f>
        <v>0</v>
      </c>
      <c r="S12" s="36">
        <f>-'5C1R_Iberville'!$R12</f>
        <v>0</v>
      </c>
      <c r="T12" s="36">
        <f>-'5C1S_LC Col Prep'!$R12</f>
        <v>0</v>
      </c>
      <c r="U12" s="36">
        <f>-'5C1T_Northeast'!$R12</f>
        <v>0</v>
      </c>
      <c r="V12" s="36">
        <f>-'5C1U_Acadiana Ren'!$R12</f>
        <v>0</v>
      </c>
      <c r="W12" s="36">
        <f>-'5C1V_Laf Ren'!$R12</f>
        <v>0</v>
      </c>
      <c r="X12" s="36">
        <f>-'5C1W_Willow'!$R12</f>
        <v>0</v>
      </c>
      <c r="Y12" s="36">
        <f>-'5C1Y_GEO'!$R12</f>
        <v>0</v>
      </c>
      <c r="Z12" s="36">
        <f>-'5C1Z_Lincoln Prep'!$R12</f>
        <v>0</v>
      </c>
      <c r="AA12" s="36">
        <f>-'5C1AE_Noble Minds'!$R12</f>
        <v>0</v>
      </c>
      <c r="AB12" s="36">
        <f>-'5C1AF_JCFA-Laf'!$R12</f>
        <v>0</v>
      </c>
      <c r="AC12" s="36">
        <f>-'5C1AG_Collegiate'!$R12</f>
        <v>0</v>
      </c>
      <c r="AD12" s="36">
        <f>-'5C1AH_BRUP'!$R12</f>
        <v>0</v>
      </c>
      <c r="AE12" s="36">
        <f>-'5C1AI_Harmony'!$R12</f>
        <v>0</v>
      </c>
      <c r="AF12" s="36">
        <f>-'5C1AJ_Athlos'!$R12</f>
        <v>0</v>
      </c>
      <c r="AG12" s="36">
        <f>-'5C1AK_NxtGen'!$R12</f>
        <v>0</v>
      </c>
      <c r="AH12" s="36">
        <f>-'5C1AL_Red River'!$R12</f>
        <v>0</v>
      </c>
      <c r="AI12" s="36">
        <f>-('5C2_LAVCA'!$R12+'5C2_LAVCA'!$S12)</f>
        <v>-166787</v>
      </c>
      <c r="AJ12" s="36">
        <f>-('5C3_UnvView'!$R12+'5C3_UnvView'!$S12)</f>
        <v>-76061</v>
      </c>
      <c r="AK12" s="36">
        <f>-Placeholder_Greater!$R12</f>
        <v>0</v>
      </c>
      <c r="AL12" s="35">
        <f t="shared" si="4"/>
        <v>-242848</v>
      </c>
      <c r="AM12" s="35">
        <f t="shared" si="8"/>
        <v>36428657</v>
      </c>
      <c r="AN12" s="35">
        <f>ROUND(AM12/'8_2.1.20 SIS'!C12,0)</f>
        <v>6340</v>
      </c>
      <c r="AO12" s="35">
        <f>'3B_Pay Raise'!O12</f>
        <v>799435</v>
      </c>
      <c r="AP12" s="37">
        <v>24970</v>
      </c>
      <c r="AQ12" s="36">
        <f t="shared" si="9"/>
        <v>24970</v>
      </c>
      <c r="AR12" s="36">
        <f t="shared" si="10"/>
        <v>0</v>
      </c>
      <c r="AS12" s="36">
        <v>-963680</v>
      </c>
      <c r="AT12" s="36">
        <v>19020</v>
      </c>
      <c r="AU12" s="37">
        <f t="shared" si="11"/>
        <v>-944660</v>
      </c>
      <c r="AV12" s="35">
        <f t="shared" si="12"/>
        <v>36308402</v>
      </c>
      <c r="AW12" s="36">
        <f>'4_Level 4'!E12</f>
        <v>0</v>
      </c>
      <c r="AX12" s="36">
        <f>'4_Level 4'!Q12</f>
        <v>150273</v>
      </c>
      <c r="AY12" s="35">
        <f t="shared" si="5"/>
        <v>36458675</v>
      </c>
      <c r="AZ12" s="36">
        <v>24632512</v>
      </c>
      <c r="BA12" s="36">
        <f t="shared" si="13"/>
        <v>11826163</v>
      </c>
      <c r="BB12" s="36">
        <f t="shared" si="6"/>
        <v>2956541</v>
      </c>
      <c r="BC12" s="36">
        <f>'4_Level 4'!J12</f>
        <v>0</v>
      </c>
      <c r="BD12" s="36">
        <f>'4_Level 4'!L12</f>
        <v>97846</v>
      </c>
      <c r="BE12" s="36">
        <f>'4_Level 4'!M12</f>
        <v>0</v>
      </c>
      <c r="BF12" s="35">
        <f t="shared" si="7"/>
        <v>36556521</v>
      </c>
    </row>
    <row r="13" spans="1:58" ht="15.6" customHeight="1" x14ac:dyDescent="0.2">
      <c r="A13" s="283">
        <v>7</v>
      </c>
      <c r="B13" s="284" t="s">
        <v>10</v>
      </c>
      <c r="C13" s="285">
        <f>'3_Levels 1&amp;2'!AP13</f>
        <v>8662027</v>
      </c>
      <c r="D13" s="285">
        <v>0</v>
      </c>
      <c r="E13" s="285">
        <f>-'5C1A_Madison'!$R13</f>
        <v>0</v>
      </c>
      <c r="F13" s="285">
        <f>-'5C1B_DArbonne'!$R13</f>
        <v>-7005</v>
      </c>
      <c r="G13" s="285">
        <f>-'5C1C_Intl High'!$R13</f>
        <v>0</v>
      </c>
      <c r="H13" s="285">
        <f>-'5C1D_NOMMA'!$R13</f>
        <v>0</v>
      </c>
      <c r="I13" s="285">
        <f>-'5C1E_LFNO'!$R13</f>
        <v>0</v>
      </c>
      <c r="J13" s="285">
        <f>-'5C1F_L.C. Charter'!$R13</f>
        <v>0</v>
      </c>
      <c r="K13" s="285">
        <f>-'5C1G_JS Clark'!$R13</f>
        <v>0</v>
      </c>
      <c r="L13" s="285">
        <f>-'5C1H_Southwest'!$R13</f>
        <v>0</v>
      </c>
      <c r="M13" s="285">
        <f>-'5C1I_LA Key'!$R13</f>
        <v>0</v>
      </c>
      <c r="N13" s="285">
        <f>-'5C1J_JCFA-East'!$R13</f>
        <v>0</v>
      </c>
      <c r="O13" s="285">
        <f>-'5C1M_GEO Mid'!$R13</f>
        <v>0</v>
      </c>
      <c r="P13" s="285">
        <f>-'5C1N_Delta'!$R13</f>
        <v>0</v>
      </c>
      <c r="Q13" s="285">
        <f>-'5C1O_Impact'!$R13</f>
        <v>0</v>
      </c>
      <c r="R13" s="285">
        <f>-'5C1Q_Advantage'!$R13</f>
        <v>0</v>
      </c>
      <c r="S13" s="285">
        <f>-'5C1R_Iberville'!$R13</f>
        <v>0</v>
      </c>
      <c r="T13" s="285">
        <f>-'5C1S_LC Col Prep'!$R13</f>
        <v>0</v>
      </c>
      <c r="U13" s="285">
        <f>-'5C1T_Northeast'!$R13</f>
        <v>0</v>
      </c>
      <c r="V13" s="285">
        <f>-'5C1U_Acadiana Ren'!$R13</f>
        <v>0</v>
      </c>
      <c r="W13" s="285">
        <f>-'5C1V_Laf Ren'!$R13</f>
        <v>0</v>
      </c>
      <c r="X13" s="285">
        <f>-'5C1W_Willow'!$R13</f>
        <v>0</v>
      </c>
      <c r="Y13" s="285">
        <f>-'5C1Y_GEO'!$R13</f>
        <v>0</v>
      </c>
      <c r="Z13" s="285">
        <f>-'5C1Z_Lincoln Prep'!$R13</f>
        <v>-164995</v>
      </c>
      <c r="AA13" s="285">
        <f>-'5C1AE_Noble Minds'!$R13</f>
        <v>0</v>
      </c>
      <c r="AB13" s="285">
        <f>-'5C1AF_JCFA-Laf'!$R13</f>
        <v>0</v>
      </c>
      <c r="AC13" s="285">
        <f>-'5C1AG_Collegiate'!$R13</f>
        <v>0</v>
      </c>
      <c r="AD13" s="285">
        <f>-'5C1AH_BRUP'!$R13</f>
        <v>0</v>
      </c>
      <c r="AE13" s="285">
        <f>-'5C1AI_Harmony'!$R13</f>
        <v>0</v>
      </c>
      <c r="AF13" s="285">
        <f>-'5C1AJ_Athlos'!$R13</f>
        <v>0</v>
      </c>
      <c r="AG13" s="285">
        <f>-'5C1AK_NxtGen'!$R13</f>
        <v>0</v>
      </c>
      <c r="AH13" s="285">
        <f>-'5C1AL_Red River'!$R13</f>
        <v>0</v>
      </c>
      <c r="AI13" s="285">
        <f>-('5C2_LAVCA'!$R13+'5C2_LAVCA'!$S13)</f>
        <v>-31371</v>
      </c>
      <c r="AJ13" s="285">
        <f>-('5C3_UnvView'!$R13+'5C3_UnvView'!$S13)</f>
        <v>-17666</v>
      </c>
      <c r="AK13" s="285">
        <f>-Placeholder_Greater!$R13</f>
        <v>0</v>
      </c>
      <c r="AL13" s="286">
        <f t="shared" si="4"/>
        <v>-221037</v>
      </c>
      <c r="AM13" s="286">
        <f t="shared" si="8"/>
        <v>8440990</v>
      </c>
      <c r="AN13" s="286">
        <f>ROUND(AM13/'8_2.1.20 SIS'!C13,0)</f>
        <v>4160</v>
      </c>
      <c r="AO13" s="286">
        <f>'3B_Pay Raise'!O13</f>
        <v>397151</v>
      </c>
      <c r="AP13" s="287">
        <v>-1209</v>
      </c>
      <c r="AQ13" s="285">
        <f t="shared" si="9"/>
        <v>0</v>
      </c>
      <c r="AR13" s="285">
        <f t="shared" si="10"/>
        <v>-1209</v>
      </c>
      <c r="AS13" s="285">
        <v>-378560</v>
      </c>
      <c r="AT13" s="285">
        <v>-22880</v>
      </c>
      <c r="AU13" s="287">
        <f t="shared" si="11"/>
        <v>-401440</v>
      </c>
      <c r="AV13" s="286">
        <f t="shared" si="12"/>
        <v>8435492</v>
      </c>
      <c r="AW13" s="285">
        <f>'4_Level 4'!E13</f>
        <v>0</v>
      </c>
      <c r="AX13" s="285">
        <f>'4_Level 4'!Q13</f>
        <v>53985</v>
      </c>
      <c r="AY13" s="286">
        <f t="shared" si="5"/>
        <v>8489477</v>
      </c>
      <c r="AZ13" s="285">
        <v>5798962</v>
      </c>
      <c r="BA13" s="285">
        <f t="shared" si="13"/>
        <v>2690515</v>
      </c>
      <c r="BB13" s="285">
        <f t="shared" si="6"/>
        <v>672629</v>
      </c>
      <c r="BC13" s="285">
        <f>'4_Level 4'!J13</f>
        <v>0</v>
      </c>
      <c r="BD13" s="285">
        <f>'4_Level 4'!L13</f>
        <v>44103</v>
      </c>
      <c r="BE13" s="285">
        <f>'4_Level 4'!M13</f>
        <v>0</v>
      </c>
      <c r="BF13" s="286">
        <f t="shared" si="7"/>
        <v>8533580</v>
      </c>
    </row>
    <row r="14" spans="1:58" ht="15.6" customHeight="1" x14ac:dyDescent="0.2">
      <c r="A14" s="283">
        <v>8</v>
      </c>
      <c r="B14" s="284" t="s">
        <v>11</v>
      </c>
      <c r="C14" s="285">
        <f>'3_Levels 1&amp;2'!AP14</f>
        <v>132767957</v>
      </c>
      <c r="D14" s="285">
        <v>0</v>
      </c>
      <c r="E14" s="285">
        <f>-'5C1A_Madison'!$R14</f>
        <v>0</v>
      </c>
      <c r="F14" s="285">
        <f>-'5C1B_DArbonne'!$R14</f>
        <v>0</v>
      </c>
      <c r="G14" s="285">
        <f>-'5C1C_Intl High'!$R14</f>
        <v>0</v>
      </c>
      <c r="H14" s="285">
        <f>-'5C1D_NOMMA'!$R14</f>
        <v>0</v>
      </c>
      <c r="I14" s="285">
        <f>-'5C1E_LFNO'!$R14</f>
        <v>0</v>
      </c>
      <c r="J14" s="285">
        <f>-'5C1F_L.C. Charter'!$R14</f>
        <v>0</v>
      </c>
      <c r="K14" s="285">
        <f>-'5C1G_JS Clark'!$R14</f>
        <v>0</v>
      </c>
      <c r="L14" s="285">
        <f>-'5C1H_Southwest'!$R14</f>
        <v>0</v>
      </c>
      <c r="M14" s="285">
        <f>-'5C1I_LA Key'!$R14</f>
        <v>0</v>
      </c>
      <c r="N14" s="285">
        <f>-'5C1J_JCFA-East'!$R14</f>
        <v>0</v>
      </c>
      <c r="O14" s="285">
        <f>-'5C1M_GEO Mid'!$R14</f>
        <v>0</v>
      </c>
      <c r="P14" s="285">
        <f>-'5C1N_Delta'!$R14</f>
        <v>0</v>
      </c>
      <c r="Q14" s="285">
        <f>-'5C1O_Impact'!$R14</f>
        <v>0</v>
      </c>
      <c r="R14" s="285">
        <f>-'5C1Q_Advantage'!$R14</f>
        <v>0</v>
      </c>
      <c r="S14" s="285">
        <f>-'5C1R_Iberville'!$R14</f>
        <v>0</v>
      </c>
      <c r="T14" s="285">
        <f>-'5C1S_LC Col Prep'!$R14</f>
        <v>0</v>
      </c>
      <c r="U14" s="285">
        <f>-'5C1T_Northeast'!$R14</f>
        <v>0</v>
      </c>
      <c r="V14" s="285">
        <f>-'5C1U_Acadiana Ren'!$R14</f>
        <v>0</v>
      </c>
      <c r="W14" s="285">
        <f>-'5C1V_Laf Ren'!$R14</f>
        <v>0</v>
      </c>
      <c r="X14" s="285">
        <f>-'5C1W_Willow'!$R14</f>
        <v>0</v>
      </c>
      <c r="Y14" s="285">
        <f>-'5C1Y_GEO'!$R14</f>
        <v>0</v>
      </c>
      <c r="Z14" s="285">
        <f>-'5C1Z_Lincoln Prep'!$R14</f>
        <v>0</v>
      </c>
      <c r="AA14" s="285">
        <f>-'5C1AE_Noble Minds'!$R14</f>
        <v>0</v>
      </c>
      <c r="AB14" s="285">
        <f>-'5C1AF_JCFA-Laf'!$R14</f>
        <v>0</v>
      </c>
      <c r="AC14" s="285">
        <f>-'5C1AG_Collegiate'!$R14</f>
        <v>0</v>
      </c>
      <c r="AD14" s="285">
        <f>-'5C1AH_BRUP'!$R14</f>
        <v>0</v>
      </c>
      <c r="AE14" s="285">
        <f>-'5C1AI_Harmony'!$R14</f>
        <v>0</v>
      </c>
      <c r="AF14" s="285">
        <f>-'5C1AJ_Athlos'!$R14</f>
        <v>0</v>
      </c>
      <c r="AG14" s="285">
        <f>-'5C1AK_NxtGen'!$R14</f>
        <v>0</v>
      </c>
      <c r="AH14" s="285">
        <f>-'5C1AL_Red River'!$R14</f>
        <v>0</v>
      </c>
      <c r="AI14" s="285">
        <f>-('5C2_LAVCA'!$R14+'5C2_LAVCA'!$S14)</f>
        <v>-426293</v>
      </c>
      <c r="AJ14" s="285">
        <f>-('5C3_UnvView'!$R14+'5C3_UnvView'!$S14)</f>
        <v>-223821</v>
      </c>
      <c r="AK14" s="285">
        <f>-Placeholder_Greater!$R14</f>
        <v>0</v>
      </c>
      <c r="AL14" s="286">
        <f t="shared" si="4"/>
        <v>-650114</v>
      </c>
      <c r="AM14" s="286">
        <f t="shared" si="8"/>
        <v>132117843</v>
      </c>
      <c r="AN14" s="286">
        <f>ROUND(AM14/'8_2.1.20 SIS'!C14,0)</f>
        <v>5934</v>
      </c>
      <c r="AO14" s="286">
        <f>'3B_Pay Raise'!O14</f>
        <v>3231322</v>
      </c>
      <c r="AP14" s="287">
        <v>-27312</v>
      </c>
      <c r="AQ14" s="285">
        <f t="shared" si="9"/>
        <v>0</v>
      </c>
      <c r="AR14" s="285">
        <f t="shared" si="10"/>
        <v>-27312</v>
      </c>
      <c r="AS14" s="285">
        <v>-712080</v>
      </c>
      <c r="AT14" s="285">
        <v>-611202</v>
      </c>
      <c r="AU14" s="287">
        <f t="shared" si="11"/>
        <v>-1323282</v>
      </c>
      <c r="AV14" s="286">
        <f t="shared" si="12"/>
        <v>133998571</v>
      </c>
      <c r="AW14" s="285">
        <f>'4_Level 4'!E14</f>
        <v>63000</v>
      </c>
      <c r="AX14" s="285">
        <f>'4_Level 4'!Q14</f>
        <v>576371</v>
      </c>
      <c r="AY14" s="286">
        <f t="shared" si="5"/>
        <v>134637942</v>
      </c>
      <c r="AZ14" s="285">
        <v>90384408</v>
      </c>
      <c r="BA14" s="285">
        <f t="shared" si="13"/>
        <v>44253534</v>
      </c>
      <c r="BB14" s="285">
        <f t="shared" si="6"/>
        <v>11063384</v>
      </c>
      <c r="BC14" s="285">
        <f>'4_Level 4'!J14</f>
        <v>24000</v>
      </c>
      <c r="BD14" s="285">
        <f>'4_Level 4'!L14</f>
        <v>297153</v>
      </c>
      <c r="BE14" s="285">
        <f>'4_Level 4'!M14</f>
        <v>0</v>
      </c>
      <c r="BF14" s="286">
        <f t="shared" si="7"/>
        <v>134959095</v>
      </c>
    </row>
    <row r="15" spans="1:58" ht="15.6" customHeight="1" x14ac:dyDescent="0.2">
      <c r="A15" s="283">
        <v>9</v>
      </c>
      <c r="B15" s="284" t="s">
        <v>12</v>
      </c>
      <c r="C15" s="285">
        <f>'3_Levels 1&amp;2'!AP15</f>
        <v>211074148</v>
      </c>
      <c r="D15" s="285">
        <f>-('5B2_RSD LA'!J7-'5B2_RSD LA'!I7)</f>
        <v>-5300796</v>
      </c>
      <c r="E15" s="285">
        <f>-'5C1A_Madison'!$R15</f>
        <v>0</v>
      </c>
      <c r="F15" s="285">
        <f>-'5C1B_DArbonne'!$R15</f>
        <v>0</v>
      </c>
      <c r="G15" s="285">
        <f>-'5C1C_Intl High'!$R15</f>
        <v>0</v>
      </c>
      <c r="H15" s="285">
        <f>-'5C1D_NOMMA'!$R15</f>
        <v>0</v>
      </c>
      <c r="I15" s="285">
        <f>-'5C1E_LFNO'!$R15</f>
        <v>0</v>
      </c>
      <c r="J15" s="285">
        <f>-'5C1F_L.C. Charter'!$R15</f>
        <v>0</v>
      </c>
      <c r="K15" s="285">
        <f>-'5C1G_JS Clark'!$R15</f>
        <v>0</v>
      </c>
      <c r="L15" s="285">
        <f>-'5C1H_Southwest'!$R15</f>
        <v>0</v>
      </c>
      <c r="M15" s="285">
        <f>-'5C1I_LA Key'!$R15</f>
        <v>0</v>
      </c>
      <c r="N15" s="285">
        <f>-'5C1J_JCFA-East'!$R15</f>
        <v>0</v>
      </c>
      <c r="O15" s="285">
        <f>-'5C1M_GEO Mid'!$R15</f>
        <v>0</v>
      </c>
      <c r="P15" s="285">
        <f>-'5C1N_Delta'!$R15</f>
        <v>0</v>
      </c>
      <c r="Q15" s="285">
        <f>-'5C1O_Impact'!$R15</f>
        <v>0</v>
      </c>
      <c r="R15" s="285">
        <f>-'5C1Q_Advantage'!$R15</f>
        <v>0</v>
      </c>
      <c r="S15" s="285">
        <f>-'5C1R_Iberville'!$R15</f>
        <v>0</v>
      </c>
      <c r="T15" s="285">
        <f>-'5C1S_LC Col Prep'!$R15</f>
        <v>0</v>
      </c>
      <c r="U15" s="285">
        <f>-'5C1T_Northeast'!$R15</f>
        <v>0</v>
      </c>
      <c r="V15" s="285">
        <f>-'5C1U_Acadiana Ren'!$R15</f>
        <v>0</v>
      </c>
      <c r="W15" s="285">
        <f>-'5C1V_Laf Ren'!$R15</f>
        <v>0</v>
      </c>
      <c r="X15" s="285">
        <f>-'5C1W_Willow'!$R15</f>
        <v>0</v>
      </c>
      <c r="Y15" s="285">
        <f>-'5C1Y_GEO'!$R15</f>
        <v>0</v>
      </c>
      <c r="Z15" s="285">
        <f>-'5C1Z_Lincoln Prep'!$R15</f>
        <v>0</v>
      </c>
      <c r="AA15" s="285">
        <f>-'5C1AE_Noble Minds'!$R15</f>
        <v>0</v>
      </c>
      <c r="AB15" s="285">
        <f>-'5C1AF_JCFA-Laf'!$R15</f>
        <v>0</v>
      </c>
      <c r="AC15" s="285">
        <f>-'5C1AG_Collegiate'!$R15</f>
        <v>0</v>
      </c>
      <c r="AD15" s="285">
        <f>-'5C1AH_BRUP'!$R15</f>
        <v>0</v>
      </c>
      <c r="AE15" s="285">
        <f>-'5C1AI_Harmony'!$R15</f>
        <v>0</v>
      </c>
      <c r="AF15" s="285">
        <f>-'5C1AJ_Athlos'!$R15</f>
        <v>0</v>
      </c>
      <c r="AG15" s="285">
        <f>-'5C1AK_NxtGen'!$R15</f>
        <v>0</v>
      </c>
      <c r="AH15" s="285">
        <f>-'5C1AL_Red River'!$R15</f>
        <v>0</v>
      </c>
      <c r="AI15" s="285">
        <f>-('5C2_LAVCA'!$R15+'5C2_LAVCA'!$S15)</f>
        <v>-687708</v>
      </c>
      <c r="AJ15" s="285">
        <f>-('5C3_UnvView'!$R15+'5C3_UnvView'!$S15)</f>
        <v>-445652</v>
      </c>
      <c r="AK15" s="285">
        <f>-Placeholder_Greater!$R15</f>
        <v>0</v>
      </c>
      <c r="AL15" s="286">
        <f t="shared" si="4"/>
        <v>-6434156</v>
      </c>
      <c r="AM15" s="286">
        <f t="shared" si="8"/>
        <v>204639992</v>
      </c>
      <c r="AN15" s="286">
        <f>ROUND(AM15/'8_2.1.20 SIS'!C15,0)</f>
        <v>5568</v>
      </c>
      <c r="AO15" s="286">
        <f>'3B_Pay Raise'!O15</f>
        <v>4853826</v>
      </c>
      <c r="AP15" s="287">
        <v>-215919</v>
      </c>
      <c r="AQ15" s="285">
        <f t="shared" si="9"/>
        <v>0</v>
      </c>
      <c r="AR15" s="285">
        <f t="shared" si="10"/>
        <v>-215919</v>
      </c>
      <c r="AS15" s="285">
        <v>-6030144</v>
      </c>
      <c r="AT15" s="285">
        <v>-604128</v>
      </c>
      <c r="AU15" s="287">
        <f t="shared" si="11"/>
        <v>-6634272</v>
      </c>
      <c r="AV15" s="286">
        <f t="shared" si="12"/>
        <v>202643627</v>
      </c>
      <c r="AW15" s="285">
        <f>'4_Level 4'!E15</f>
        <v>210000</v>
      </c>
      <c r="AX15" s="285">
        <f>'4_Level 4'!Q15</f>
        <v>976745</v>
      </c>
      <c r="AY15" s="286">
        <f t="shared" si="5"/>
        <v>203830372</v>
      </c>
      <c r="AZ15" s="285">
        <v>138383774</v>
      </c>
      <c r="BA15" s="285">
        <f t="shared" si="13"/>
        <v>65446598</v>
      </c>
      <c r="BB15" s="285">
        <f t="shared" si="6"/>
        <v>16361650</v>
      </c>
      <c r="BC15" s="285">
        <f>'4_Level 4'!J15</f>
        <v>0</v>
      </c>
      <c r="BD15" s="285">
        <f>'4_Level 4'!L15</f>
        <v>989787</v>
      </c>
      <c r="BE15" s="285">
        <f>'4_Level 4'!M15</f>
        <v>0</v>
      </c>
      <c r="BF15" s="286">
        <f t="shared" si="7"/>
        <v>204820159</v>
      </c>
    </row>
    <row r="16" spans="1:58" ht="15.6" customHeight="1" x14ac:dyDescent="0.2">
      <c r="A16" s="288">
        <v>10</v>
      </c>
      <c r="B16" s="289" t="s">
        <v>13</v>
      </c>
      <c r="C16" s="290">
        <f>'3_Levels 1&amp;2'!AP16</f>
        <v>141363294</v>
      </c>
      <c r="D16" s="290">
        <v>0</v>
      </c>
      <c r="E16" s="290">
        <f>-'5C1A_Madison'!$R16</f>
        <v>0</v>
      </c>
      <c r="F16" s="290">
        <f>-'5C1B_DArbonne'!$R16</f>
        <v>0</v>
      </c>
      <c r="G16" s="290">
        <f>-'5C1C_Intl High'!$R16</f>
        <v>0</v>
      </c>
      <c r="H16" s="290">
        <f>-'5C1D_NOMMA'!$R16</f>
        <v>0</v>
      </c>
      <c r="I16" s="290">
        <f>-'5C1E_LFNO'!$R16</f>
        <v>0</v>
      </c>
      <c r="J16" s="290">
        <f>-'5C1F_L.C. Charter'!$R16</f>
        <v>-3879664</v>
      </c>
      <c r="K16" s="290">
        <f>-'5C1G_JS Clark'!$R16</f>
        <v>0</v>
      </c>
      <c r="L16" s="290">
        <f>-'5C1H_Southwest'!$R16</f>
        <v>-2855328</v>
      </c>
      <c r="M16" s="290">
        <f>-'5C1I_LA Key'!$R16</f>
        <v>0</v>
      </c>
      <c r="N16" s="290">
        <f>-'5C1J_JCFA-East'!$R16</f>
        <v>0</v>
      </c>
      <c r="O16" s="290">
        <f>-'5C1M_GEO Mid'!$R16</f>
        <v>0</v>
      </c>
      <c r="P16" s="290">
        <f>-'5C1N_Delta'!$R16</f>
        <v>0</v>
      </c>
      <c r="Q16" s="290">
        <f>-'5C1O_Impact'!$R16</f>
        <v>0</v>
      </c>
      <c r="R16" s="290">
        <f>-'5C1Q_Advantage'!$R16</f>
        <v>0</v>
      </c>
      <c r="S16" s="290">
        <f>-'5C1R_Iberville'!$R16</f>
        <v>-7135</v>
      </c>
      <c r="T16" s="290">
        <f>-'5C1S_LC Col Prep'!$R16</f>
        <v>-2101488</v>
      </c>
      <c r="U16" s="290">
        <f>-'5C1T_Northeast'!$R16</f>
        <v>0</v>
      </c>
      <c r="V16" s="290">
        <f>-'5C1U_Acadiana Ren'!$R16</f>
        <v>0</v>
      </c>
      <c r="W16" s="290">
        <f>-'5C1V_Laf Ren'!$R16</f>
        <v>0</v>
      </c>
      <c r="X16" s="290">
        <f>-'5C1W_Willow'!$R16</f>
        <v>0</v>
      </c>
      <c r="Y16" s="290">
        <f>-'5C1Y_GEO'!$R16</f>
        <v>0</v>
      </c>
      <c r="Z16" s="290">
        <f>-'5C1Z_Lincoln Prep'!$R16</f>
        <v>0</v>
      </c>
      <c r="AA16" s="546">
        <f>-'5C1AE_Noble Minds'!$R16</f>
        <v>0</v>
      </c>
      <c r="AB16" s="546">
        <f>-'5C1AF_JCFA-Laf'!$R16</f>
        <v>0</v>
      </c>
      <c r="AC16" s="546">
        <f>-'5C1AG_Collegiate'!$R16</f>
        <v>0</v>
      </c>
      <c r="AD16" s="290">
        <f>-'5C1AH_BRUP'!$R16</f>
        <v>0</v>
      </c>
      <c r="AE16" s="775">
        <f>-'5C1AI_Harmony'!$R16</f>
        <v>0</v>
      </c>
      <c r="AF16" s="775">
        <f>-'5C1AJ_Athlos'!$R16</f>
        <v>0</v>
      </c>
      <c r="AG16" s="1080">
        <f>-'5C1AK_NxtGen'!$R16</f>
        <v>0</v>
      </c>
      <c r="AH16" s="1080">
        <f>-'5C1AL_Red River'!$R16</f>
        <v>0</v>
      </c>
      <c r="AI16" s="290">
        <f>-('5C2_LAVCA'!$R16+'5C2_LAVCA'!$S16)</f>
        <v>-277958</v>
      </c>
      <c r="AJ16" s="290">
        <f>-('5C3_UnvView'!$R16+'5C3_UnvView'!$S16)</f>
        <v>-388998</v>
      </c>
      <c r="AK16" s="290">
        <f>-Placeholder_Greater!$R16</f>
        <v>0</v>
      </c>
      <c r="AL16" s="291">
        <f t="shared" si="4"/>
        <v>-9510571</v>
      </c>
      <c r="AM16" s="291">
        <f t="shared" si="8"/>
        <v>131852723</v>
      </c>
      <c r="AN16" s="291">
        <f>ROUND(AM16/'8_2.1.20 SIS'!C16,0)</f>
        <v>4326</v>
      </c>
      <c r="AO16" s="953">
        <f>'3B_Pay Raise'!O16</f>
        <v>4905283</v>
      </c>
      <c r="AP16" s="292">
        <v>-53625</v>
      </c>
      <c r="AQ16" s="290">
        <f t="shared" si="9"/>
        <v>0</v>
      </c>
      <c r="AR16" s="290">
        <f t="shared" si="10"/>
        <v>-53625</v>
      </c>
      <c r="AS16" s="290">
        <v>-12952044</v>
      </c>
      <c r="AT16" s="290">
        <v>-1563849</v>
      </c>
      <c r="AU16" s="292">
        <f t="shared" si="11"/>
        <v>-14515893</v>
      </c>
      <c r="AV16" s="291">
        <f t="shared" si="12"/>
        <v>122188488</v>
      </c>
      <c r="AW16" s="290">
        <f>'4_Level 4'!E16</f>
        <v>777000</v>
      </c>
      <c r="AX16" s="290">
        <f>'4_Level 4'!Q16</f>
        <v>796382</v>
      </c>
      <c r="AY16" s="291">
        <f t="shared" si="5"/>
        <v>123761870</v>
      </c>
      <c r="AZ16" s="290">
        <v>87911464</v>
      </c>
      <c r="BA16" s="290">
        <f t="shared" si="13"/>
        <v>35850406</v>
      </c>
      <c r="BB16" s="290">
        <f t="shared" si="6"/>
        <v>8962602</v>
      </c>
      <c r="BC16" s="290">
        <f>'4_Level 4'!J16</f>
        <v>0</v>
      </c>
      <c r="BD16" s="290">
        <f>'4_Level 4'!L16</f>
        <v>644916</v>
      </c>
      <c r="BE16" s="290">
        <f>'4_Level 4'!M16</f>
        <v>1511907</v>
      </c>
      <c r="BF16" s="291">
        <f t="shared" si="7"/>
        <v>125918693</v>
      </c>
    </row>
    <row r="17" spans="1:58" ht="15.6" customHeight="1" x14ac:dyDescent="0.2">
      <c r="A17" s="281">
        <v>11</v>
      </c>
      <c r="B17" s="282" t="s">
        <v>14</v>
      </c>
      <c r="C17" s="36">
        <f>'3_Levels 1&amp;2'!AP17</f>
        <v>12163231</v>
      </c>
      <c r="D17" s="36">
        <v>0</v>
      </c>
      <c r="E17" s="36">
        <f>-'5C1A_Madison'!$R17</f>
        <v>0</v>
      </c>
      <c r="F17" s="36">
        <f>-'5C1B_DArbonne'!$R17</f>
        <v>0</v>
      </c>
      <c r="G17" s="36">
        <f>-'5C1C_Intl High'!$R17</f>
        <v>0</v>
      </c>
      <c r="H17" s="36">
        <f>-'5C1D_NOMMA'!$R17</f>
        <v>0</v>
      </c>
      <c r="I17" s="36">
        <f>-'5C1E_LFNO'!$R17</f>
        <v>0</v>
      </c>
      <c r="J17" s="36">
        <f>-'5C1F_L.C. Charter'!$R17</f>
        <v>0</v>
      </c>
      <c r="K17" s="36">
        <f>-'5C1G_JS Clark'!$R17</f>
        <v>0</v>
      </c>
      <c r="L17" s="36">
        <f>-'5C1H_Southwest'!$R17</f>
        <v>0</v>
      </c>
      <c r="M17" s="36">
        <f>-'5C1I_LA Key'!$R17</f>
        <v>0</v>
      </c>
      <c r="N17" s="36">
        <f>-'5C1J_JCFA-East'!$R17</f>
        <v>0</v>
      </c>
      <c r="O17" s="36">
        <f>-'5C1M_GEO Mid'!$R17</f>
        <v>0</v>
      </c>
      <c r="P17" s="36">
        <f>-'5C1N_Delta'!$R17</f>
        <v>0</v>
      </c>
      <c r="Q17" s="36">
        <f>-'5C1O_Impact'!$R17</f>
        <v>0</v>
      </c>
      <c r="R17" s="36">
        <f>-'5C1Q_Advantage'!$R17</f>
        <v>0</v>
      </c>
      <c r="S17" s="36">
        <f>-'5C1R_Iberville'!$R17</f>
        <v>0</v>
      </c>
      <c r="T17" s="36">
        <f>-'5C1S_LC Col Prep'!$R17</f>
        <v>0</v>
      </c>
      <c r="U17" s="36">
        <f>-'5C1T_Northeast'!$R17</f>
        <v>0</v>
      </c>
      <c r="V17" s="36">
        <f>-'5C1U_Acadiana Ren'!$R17</f>
        <v>0</v>
      </c>
      <c r="W17" s="36">
        <f>-'5C1V_Laf Ren'!$R17</f>
        <v>0</v>
      </c>
      <c r="X17" s="36">
        <f>-'5C1W_Willow'!$R17</f>
        <v>0</v>
      </c>
      <c r="Y17" s="36">
        <f>-'5C1Y_GEO'!$R17</f>
        <v>0</v>
      </c>
      <c r="Z17" s="36">
        <f>-'5C1Z_Lincoln Prep'!$R17</f>
        <v>0</v>
      </c>
      <c r="AA17" s="36">
        <f>-'5C1AE_Noble Minds'!$R17</f>
        <v>0</v>
      </c>
      <c r="AB17" s="36">
        <f>-'5C1AF_JCFA-Laf'!$R17</f>
        <v>0</v>
      </c>
      <c r="AC17" s="36">
        <f>-'5C1AG_Collegiate'!$R17</f>
        <v>0</v>
      </c>
      <c r="AD17" s="36">
        <f>-'5C1AH_BRUP'!$R17</f>
        <v>0</v>
      </c>
      <c r="AE17" s="36">
        <f>-'5C1AI_Harmony'!$R17</f>
        <v>0</v>
      </c>
      <c r="AF17" s="36">
        <f>-'5C1AJ_Athlos'!$R17</f>
        <v>0</v>
      </c>
      <c r="AG17" s="36">
        <f>-'5C1AK_NxtGen'!$R17</f>
        <v>0</v>
      </c>
      <c r="AH17" s="36">
        <f>-'5C1AL_Red River'!$R17</f>
        <v>0</v>
      </c>
      <c r="AI17" s="36">
        <f>-('5C2_LAVCA'!$R17+'5C2_LAVCA'!$S17)</f>
        <v>-12398</v>
      </c>
      <c r="AJ17" s="36">
        <f>-('5C3_UnvView'!$R17+'5C3_UnvView'!$S17)</f>
        <v>-41610</v>
      </c>
      <c r="AK17" s="36">
        <f>-Placeholder_Greater!$R17</f>
        <v>0</v>
      </c>
      <c r="AL17" s="35">
        <f t="shared" si="4"/>
        <v>-54008</v>
      </c>
      <c r="AM17" s="35">
        <f t="shared" si="8"/>
        <v>12109223</v>
      </c>
      <c r="AN17" s="35">
        <f>ROUND(AM17/'8_2.1.20 SIS'!C17,0)</f>
        <v>7884</v>
      </c>
      <c r="AO17" s="35">
        <f>'3B_Pay Raise'!O17</f>
        <v>269347</v>
      </c>
      <c r="AP17" s="37">
        <v>-6744</v>
      </c>
      <c r="AQ17" s="36">
        <f t="shared" si="9"/>
        <v>0</v>
      </c>
      <c r="AR17" s="36">
        <f t="shared" si="10"/>
        <v>-6744</v>
      </c>
      <c r="AS17" s="36">
        <v>-583416</v>
      </c>
      <c r="AT17" s="36">
        <v>90666</v>
      </c>
      <c r="AU17" s="37">
        <f t="shared" si="11"/>
        <v>-492750</v>
      </c>
      <c r="AV17" s="35">
        <f t="shared" si="12"/>
        <v>11879076</v>
      </c>
      <c r="AW17" s="36">
        <f>'4_Level 4'!E17</f>
        <v>0</v>
      </c>
      <c r="AX17" s="36">
        <f>'4_Level 4'!Q17</f>
        <v>39943</v>
      </c>
      <c r="AY17" s="35">
        <f t="shared" si="5"/>
        <v>11919019</v>
      </c>
      <c r="AZ17" s="36">
        <v>8079416</v>
      </c>
      <c r="BA17" s="36">
        <f t="shared" si="13"/>
        <v>3839603</v>
      </c>
      <c r="BB17" s="36">
        <f t="shared" si="6"/>
        <v>959901</v>
      </c>
      <c r="BC17" s="36">
        <f>'4_Level 4'!J17</f>
        <v>0</v>
      </c>
      <c r="BD17" s="36">
        <f>'4_Level 4'!L17</f>
        <v>71818</v>
      </c>
      <c r="BE17" s="36">
        <f>'4_Level 4'!M17</f>
        <v>0</v>
      </c>
      <c r="BF17" s="35">
        <f t="shared" si="7"/>
        <v>11990837</v>
      </c>
    </row>
    <row r="18" spans="1:58" ht="15.6" customHeight="1" x14ac:dyDescent="0.2">
      <c r="A18" s="283">
        <v>12</v>
      </c>
      <c r="B18" s="284" t="s">
        <v>15</v>
      </c>
      <c r="C18" s="285">
        <f>'3_Levels 1&amp;2'!AP18</f>
        <v>3664856</v>
      </c>
      <c r="D18" s="285">
        <v>0</v>
      </c>
      <c r="E18" s="285">
        <f>-'5C1A_Madison'!$R18</f>
        <v>0</v>
      </c>
      <c r="F18" s="285">
        <f>-'5C1B_DArbonne'!$R18</f>
        <v>0</v>
      </c>
      <c r="G18" s="285">
        <f>-'5C1C_Intl High'!$R18</f>
        <v>0</v>
      </c>
      <c r="H18" s="285">
        <f>-'5C1D_NOMMA'!$R18</f>
        <v>0</v>
      </c>
      <c r="I18" s="285">
        <f>-'5C1E_LFNO'!$R18</f>
        <v>0</v>
      </c>
      <c r="J18" s="285">
        <f>-'5C1F_L.C. Charter'!$R18</f>
        <v>0</v>
      </c>
      <c r="K18" s="285">
        <f>-'5C1G_JS Clark'!$R18</f>
        <v>0</v>
      </c>
      <c r="L18" s="285">
        <f>-'5C1H_Southwest'!$R18</f>
        <v>-6517</v>
      </c>
      <c r="M18" s="285">
        <f>-'5C1I_LA Key'!$R18</f>
        <v>0</v>
      </c>
      <c r="N18" s="285">
        <f>-'5C1J_JCFA-East'!$R18</f>
        <v>0</v>
      </c>
      <c r="O18" s="285">
        <f>-'5C1M_GEO Mid'!$R18</f>
        <v>0</v>
      </c>
      <c r="P18" s="285">
        <f>-'5C1N_Delta'!$R18</f>
        <v>0</v>
      </c>
      <c r="Q18" s="285">
        <f>-'5C1O_Impact'!$R18</f>
        <v>0</v>
      </c>
      <c r="R18" s="285">
        <f>-'5C1Q_Advantage'!$R18</f>
        <v>0</v>
      </c>
      <c r="S18" s="285">
        <f>-'5C1R_Iberville'!$R18</f>
        <v>0</v>
      </c>
      <c r="T18" s="285">
        <f>-'5C1S_LC Col Prep'!$R18</f>
        <v>0</v>
      </c>
      <c r="U18" s="285">
        <f>-'5C1T_Northeast'!$R18</f>
        <v>0</v>
      </c>
      <c r="V18" s="285">
        <f>-'5C1U_Acadiana Ren'!$R18</f>
        <v>0</v>
      </c>
      <c r="W18" s="285">
        <f>-'5C1V_Laf Ren'!$R18</f>
        <v>0</v>
      </c>
      <c r="X18" s="285">
        <f>-'5C1W_Willow'!$R18</f>
        <v>0</v>
      </c>
      <c r="Y18" s="285">
        <f>-'5C1Y_GEO'!$R18</f>
        <v>0</v>
      </c>
      <c r="Z18" s="285">
        <f>-'5C1Z_Lincoln Prep'!$R18</f>
        <v>0</v>
      </c>
      <c r="AA18" s="285">
        <f>-'5C1AE_Noble Minds'!$R18</f>
        <v>0</v>
      </c>
      <c r="AB18" s="285">
        <f>-'5C1AF_JCFA-Laf'!$R18</f>
        <v>0</v>
      </c>
      <c r="AC18" s="285">
        <f>-'5C1AG_Collegiate'!$R18</f>
        <v>0</v>
      </c>
      <c r="AD18" s="285">
        <f>-'5C1AH_BRUP'!$R18</f>
        <v>0</v>
      </c>
      <c r="AE18" s="285">
        <f>-'5C1AI_Harmony'!$R18</f>
        <v>0</v>
      </c>
      <c r="AF18" s="285">
        <f>-'5C1AJ_Athlos'!$R18</f>
        <v>0</v>
      </c>
      <c r="AG18" s="285">
        <f>-'5C1AK_NxtGen'!$R18</f>
        <v>0</v>
      </c>
      <c r="AH18" s="285">
        <f>-'5C1AL_Red River'!$R18</f>
        <v>0</v>
      </c>
      <c r="AI18" s="285">
        <f>-('5C2_LAVCA'!$R18+'5C2_LAVCA'!$S18)</f>
        <v>0</v>
      </c>
      <c r="AJ18" s="285">
        <f>-('5C3_UnvView'!$R18+'5C3_UnvView'!$S18)</f>
        <v>-4748</v>
      </c>
      <c r="AK18" s="285">
        <f>-Placeholder_Greater!$R18</f>
        <v>0</v>
      </c>
      <c r="AL18" s="286">
        <f t="shared" si="4"/>
        <v>-11265</v>
      </c>
      <c r="AM18" s="286">
        <f t="shared" si="8"/>
        <v>3653591</v>
      </c>
      <c r="AN18" s="286">
        <f>ROUND(AM18/'8_2.1.20 SIS'!C18,0)</f>
        <v>2859</v>
      </c>
      <c r="AO18" s="286">
        <f>'3B_Pay Raise'!O18</f>
        <v>270754</v>
      </c>
      <c r="AP18" s="287">
        <v>27516</v>
      </c>
      <c r="AQ18" s="285">
        <f t="shared" si="9"/>
        <v>27516</v>
      </c>
      <c r="AR18" s="285">
        <f t="shared" si="10"/>
        <v>0</v>
      </c>
      <c r="AS18" s="285">
        <v>-394542</v>
      </c>
      <c r="AT18" s="285">
        <v>-14295</v>
      </c>
      <c r="AU18" s="287">
        <f t="shared" si="11"/>
        <v>-408837</v>
      </c>
      <c r="AV18" s="286">
        <f t="shared" si="12"/>
        <v>3543024</v>
      </c>
      <c r="AW18" s="285">
        <f>'4_Level 4'!E18</f>
        <v>0</v>
      </c>
      <c r="AX18" s="285">
        <f>'4_Level 4'!Q18</f>
        <v>33453</v>
      </c>
      <c r="AY18" s="286">
        <f t="shared" si="5"/>
        <v>3576477</v>
      </c>
      <c r="AZ18" s="285">
        <v>2525536</v>
      </c>
      <c r="BA18" s="285">
        <f t="shared" si="13"/>
        <v>1050941</v>
      </c>
      <c r="BB18" s="285">
        <f t="shared" si="6"/>
        <v>262735</v>
      </c>
      <c r="BC18" s="285">
        <f>'4_Level 4'!J18</f>
        <v>0</v>
      </c>
      <c r="BD18" s="285">
        <f>'4_Level 4'!L18</f>
        <v>25000</v>
      </c>
      <c r="BE18" s="285">
        <f>'4_Level 4'!M18</f>
        <v>0</v>
      </c>
      <c r="BF18" s="286">
        <f t="shared" si="7"/>
        <v>3601477</v>
      </c>
    </row>
    <row r="19" spans="1:58" ht="15.6" customHeight="1" x14ac:dyDescent="0.2">
      <c r="A19" s="283">
        <v>13</v>
      </c>
      <c r="B19" s="284" t="s">
        <v>16</v>
      </c>
      <c r="C19" s="285">
        <f>'3_Levels 1&amp;2'!AP19</f>
        <v>9029936</v>
      </c>
      <c r="D19" s="285">
        <v>0</v>
      </c>
      <c r="E19" s="285">
        <f>-'5C1A_Madison'!$R19</f>
        <v>0</v>
      </c>
      <c r="F19" s="285">
        <f>-'5C1B_DArbonne'!$R19</f>
        <v>0</v>
      </c>
      <c r="G19" s="285">
        <f>-'5C1C_Intl High'!$R19</f>
        <v>0</v>
      </c>
      <c r="H19" s="285">
        <f>-'5C1D_NOMMA'!$R19</f>
        <v>0</v>
      </c>
      <c r="I19" s="285">
        <f>-'5C1E_LFNO'!$R19</f>
        <v>0</v>
      </c>
      <c r="J19" s="285">
        <f>-'5C1F_L.C. Charter'!$R19</f>
        <v>0</v>
      </c>
      <c r="K19" s="285">
        <f>-'5C1G_JS Clark'!$R19</f>
        <v>0</v>
      </c>
      <c r="L19" s="285">
        <f>-'5C1H_Southwest'!$R19</f>
        <v>0</v>
      </c>
      <c r="M19" s="285">
        <f>-'5C1I_LA Key'!$R19</f>
        <v>0</v>
      </c>
      <c r="N19" s="285">
        <f>-'5C1J_JCFA-East'!$R19</f>
        <v>0</v>
      </c>
      <c r="O19" s="285">
        <f>-'5C1M_GEO Mid'!$R19</f>
        <v>0</v>
      </c>
      <c r="P19" s="285">
        <f>-'5C1N_Delta'!$R19</f>
        <v>-563609</v>
      </c>
      <c r="Q19" s="285">
        <f>-'5C1O_Impact'!$R19</f>
        <v>0</v>
      </c>
      <c r="R19" s="285">
        <f>-'5C1Q_Advantage'!$R19</f>
        <v>0</v>
      </c>
      <c r="S19" s="285">
        <f>-'5C1R_Iberville'!$R19</f>
        <v>0</v>
      </c>
      <c r="T19" s="285">
        <f>-'5C1S_LC Col Prep'!$R19</f>
        <v>0</v>
      </c>
      <c r="U19" s="285">
        <f>-'5C1T_Northeast'!$R19</f>
        <v>0</v>
      </c>
      <c r="V19" s="285">
        <f>-'5C1U_Acadiana Ren'!$R19</f>
        <v>0</v>
      </c>
      <c r="W19" s="285">
        <f>-'5C1V_Laf Ren'!$R19</f>
        <v>0</v>
      </c>
      <c r="X19" s="285">
        <f>-'5C1W_Willow'!$R19</f>
        <v>0</v>
      </c>
      <c r="Y19" s="285">
        <f>-'5C1Y_GEO'!$R19</f>
        <v>0</v>
      </c>
      <c r="Z19" s="285">
        <f>-'5C1Z_Lincoln Prep'!$R19</f>
        <v>0</v>
      </c>
      <c r="AA19" s="285">
        <f>-'5C1AE_Noble Minds'!$R19</f>
        <v>0</v>
      </c>
      <c r="AB19" s="285">
        <f>-'5C1AF_JCFA-Laf'!$R19</f>
        <v>0</v>
      </c>
      <c r="AC19" s="285">
        <f>-'5C1AG_Collegiate'!$R19</f>
        <v>0</v>
      </c>
      <c r="AD19" s="285">
        <f>-'5C1AH_BRUP'!$R19</f>
        <v>0</v>
      </c>
      <c r="AE19" s="285">
        <f>-'5C1AI_Harmony'!$R19</f>
        <v>0</v>
      </c>
      <c r="AF19" s="285">
        <f>-'5C1AJ_Athlos'!$R19</f>
        <v>0</v>
      </c>
      <c r="AG19" s="285">
        <f>-'5C1AK_NxtGen'!$R19</f>
        <v>0</v>
      </c>
      <c r="AH19" s="285">
        <f>-'5C1AL_Red River'!$R19</f>
        <v>0</v>
      </c>
      <c r="AI19" s="285">
        <f>-('5C2_LAVCA'!$R19+'5C2_LAVCA'!$S19)</f>
        <v>-51846</v>
      </c>
      <c r="AJ19" s="285">
        <f>-('5C3_UnvView'!$R19+'5C3_UnvView'!$S19)</f>
        <v>-48423</v>
      </c>
      <c r="AK19" s="285">
        <f>-Placeholder_Greater!$R19</f>
        <v>0</v>
      </c>
      <c r="AL19" s="286">
        <f t="shared" si="4"/>
        <v>-663878</v>
      </c>
      <c r="AM19" s="286">
        <f t="shared" si="8"/>
        <v>8366058</v>
      </c>
      <c r="AN19" s="286">
        <f>ROUND(AM19/'8_2.1.20 SIS'!C19,0)</f>
        <v>7599</v>
      </c>
      <c r="AO19" s="286">
        <f>'3B_Pay Raise'!O19</f>
        <v>176653</v>
      </c>
      <c r="AP19" s="287">
        <v>-13684</v>
      </c>
      <c r="AQ19" s="285">
        <f t="shared" si="9"/>
        <v>0</v>
      </c>
      <c r="AR19" s="285">
        <f t="shared" si="10"/>
        <v>-13684</v>
      </c>
      <c r="AS19" s="285">
        <v>-281163</v>
      </c>
      <c r="AT19" s="285">
        <v>34196</v>
      </c>
      <c r="AU19" s="287">
        <f t="shared" si="11"/>
        <v>-246967</v>
      </c>
      <c r="AV19" s="286">
        <f t="shared" si="12"/>
        <v>8282060</v>
      </c>
      <c r="AW19" s="285">
        <f>'4_Level 4'!E19</f>
        <v>0</v>
      </c>
      <c r="AX19" s="285">
        <f>'4_Level 4'!Q19</f>
        <v>28025</v>
      </c>
      <c r="AY19" s="286">
        <f t="shared" si="5"/>
        <v>8310085</v>
      </c>
      <c r="AZ19" s="285">
        <v>5617958</v>
      </c>
      <c r="BA19" s="285">
        <f t="shared" si="13"/>
        <v>2692127</v>
      </c>
      <c r="BB19" s="285">
        <f t="shared" si="6"/>
        <v>673032</v>
      </c>
      <c r="BC19" s="285">
        <f>'4_Level 4'!J19</f>
        <v>0</v>
      </c>
      <c r="BD19" s="285">
        <f>'4_Level 4'!L19</f>
        <v>35427</v>
      </c>
      <c r="BE19" s="285">
        <f>'4_Level 4'!M19</f>
        <v>0</v>
      </c>
      <c r="BF19" s="286">
        <f t="shared" si="7"/>
        <v>8345512</v>
      </c>
    </row>
    <row r="20" spans="1:58" ht="15.6" customHeight="1" x14ac:dyDescent="0.2">
      <c r="A20" s="283">
        <v>14</v>
      </c>
      <c r="B20" s="284" t="s">
        <v>17</v>
      </c>
      <c r="C20" s="285">
        <f>'3_Levels 1&amp;2'!AP20</f>
        <v>13162818</v>
      </c>
      <c r="D20" s="285">
        <v>0</v>
      </c>
      <c r="E20" s="285">
        <f>-'5C1A_Madison'!$R20</f>
        <v>0</v>
      </c>
      <c r="F20" s="285">
        <f>-'5C1B_DArbonne'!$R20</f>
        <v>-6591</v>
      </c>
      <c r="G20" s="285">
        <f>-'5C1C_Intl High'!$R20</f>
        <v>0</v>
      </c>
      <c r="H20" s="285">
        <f>-'5C1D_NOMMA'!$R20</f>
        <v>0</v>
      </c>
      <c r="I20" s="285">
        <f>-'5C1E_LFNO'!$R20</f>
        <v>0</v>
      </c>
      <c r="J20" s="285">
        <f>-'5C1F_L.C. Charter'!$R20</f>
        <v>0</v>
      </c>
      <c r="K20" s="285">
        <f>-'5C1G_JS Clark'!$R20</f>
        <v>0</v>
      </c>
      <c r="L20" s="285">
        <f>-'5C1H_Southwest'!$R20</f>
        <v>0</v>
      </c>
      <c r="M20" s="285">
        <f>-'5C1I_LA Key'!$R20</f>
        <v>0</v>
      </c>
      <c r="N20" s="285">
        <f>-'5C1J_JCFA-East'!$R20</f>
        <v>0</v>
      </c>
      <c r="O20" s="285">
        <f>-'5C1M_GEO Mid'!$R20</f>
        <v>0</v>
      </c>
      <c r="P20" s="285">
        <f>-'5C1N_Delta'!$R20</f>
        <v>0</v>
      </c>
      <c r="Q20" s="285">
        <f>-'5C1O_Impact'!$R20</f>
        <v>0</v>
      </c>
      <c r="R20" s="285">
        <f>-'5C1Q_Advantage'!$R20</f>
        <v>0</v>
      </c>
      <c r="S20" s="285">
        <f>-'5C1R_Iberville'!$R20</f>
        <v>0</v>
      </c>
      <c r="T20" s="285">
        <f>-'5C1S_LC Col Prep'!$R20</f>
        <v>0</v>
      </c>
      <c r="U20" s="285">
        <f>-'5C1T_Northeast'!$R20</f>
        <v>-310196</v>
      </c>
      <c r="V20" s="285">
        <f>-'5C1U_Acadiana Ren'!$R20</f>
        <v>0</v>
      </c>
      <c r="W20" s="285">
        <f>-'5C1V_Laf Ren'!$R20</f>
        <v>0</v>
      </c>
      <c r="X20" s="285">
        <f>-'5C1W_Willow'!$R20</f>
        <v>0</v>
      </c>
      <c r="Y20" s="285">
        <f>-'5C1Y_GEO'!$R20</f>
        <v>0</v>
      </c>
      <c r="Z20" s="285">
        <f>-'5C1Z_Lincoln Prep'!$R20</f>
        <v>-353515</v>
      </c>
      <c r="AA20" s="285">
        <f>-'5C1AE_Noble Minds'!$R20</f>
        <v>0</v>
      </c>
      <c r="AB20" s="285">
        <f>-'5C1AF_JCFA-Laf'!$R20</f>
        <v>0</v>
      </c>
      <c r="AC20" s="285">
        <f>-'5C1AG_Collegiate'!$R20</f>
        <v>0</v>
      </c>
      <c r="AD20" s="285">
        <f>-'5C1AH_BRUP'!$R20</f>
        <v>0</v>
      </c>
      <c r="AE20" s="285">
        <f>-'5C1AI_Harmony'!$R20</f>
        <v>0</v>
      </c>
      <c r="AF20" s="285">
        <f>-'5C1AJ_Athlos'!$R20</f>
        <v>0</v>
      </c>
      <c r="AG20" s="285">
        <f>-'5C1AK_NxtGen'!$R20</f>
        <v>0</v>
      </c>
      <c r="AH20" s="285">
        <f>-'5C1AL_Red River'!$R20</f>
        <v>0</v>
      </c>
      <c r="AI20" s="285">
        <f>-('5C2_LAVCA'!$R20+'5C2_LAVCA'!$S20)</f>
        <v>-25698</v>
      </c>
      <c r="AJ20" s="285">
        <f>-('5C3_UnvView'!$R20+'5C3_UnvView'!$S20)</f>
        <v>-38321</v>
      </c>
      <c r="AK20" s="285">
        <f>-Placeholder_Greater!$R20</f>
        <v>0</v>
      </c>
      <c r="AL20" s="286">
        <f t="shared" si="4"/>
        <v>-734321</v>
      </c>
      <c r="AM20" s="286">
        <f t="shared" si="8"/>
        <v>12428497</v>
      </c>
      <c r="AN20" s="286">
        <f>ROUND(AM20/'8_2.1.20 SIS'!C20,0)</f>
        <v>7753</v>
      </c>
      <c r="AO20" s="286">
        <f>'3B_Pay Raise'!O20</f>
        <v>261262</v>
      </c>
      <c r="AP20" s="287">
        <v>-5826</v>
      </c>
      <c r="AQ20" s="285">
        <f t="shared" si="9"/>
        <v>0</v>
      </c>
      <c r="AR20" s="285">
        <f t="shared" si="10"/>
        <v>-5826</v>
      </c>
      <c r="AS20" s="285">
        <v>-116295</v>
      </c>
      <c r="AT20" s="285">
        <v>112419</v>
      </c>
      <c r="AU20" s="287">
        <f t="shared" si="11"/>
        <v>-3876</v>
      </c>
      <c r="AV20" s="286">
        <f t="shared" si="12"/>
        <v>12680057</v>
      </c>
      <c r="AW20" s="285">
        <f>'4_Level 4'!E20</f>
        <v>0</v>
      </c>
      <c r="AX20" s="285">
        <f>'4_Level 4'!Q20</f>
        <v>39176</v>
      </c>
      <c r="AY20" s="286">
        <f t="shared" si="5"/>
        <v>12719233</v>
      </c>
      <c r="AZ20" s="285">
        <v>8445268</v>
      </c>
      <c r="BA20" s="285">
        <f t="shared" si="13"/>
        <v>4273965</v>
      </c>
      <c r="BB20" s="285">
        <f t="shared" si="6"/>
        <v>1068491</v>
      </c>
      <c r="BC20" s="285">
        <f>'4_Level 4'!J20</f>
        <v>0</v>
      </c>
      <c r="BD20" s="285">
        <f>'4_Level 4'!L20</f>
        <v>74710</v>
      </c>
      <c r="BE20" s="285">
        <f>'4_Level 4'!M20</f>
        <v>0</v>
      </c>
      <c r="BF20" s="286">
        <f t="shared" si="7"/>
        <v>12793943</v>
      </c>
    </row>
    <row r="21" spans="1:58" ht="15.6" customHeight="1" x14ac:dyDescent="0.2">
      <c r="A21" s="288">
        <v>15</v>
      </c>
      <c r="B21" s="289" t="s">
        <v>18</v>
      </c>
      <c r="C21" s="290">
        <f>'3_Levels 1&amp;2'!AP21</f>
        <v>24295654</v>
      </c>
      <c r="D21" s="290">
        <v>0</v>
      </c>
      <c r="E21" s="290">
        <f>-'5C1A_Madison'!$R21</f>
        <v>0</v>
      </c>
      <c r="F21" s="290">
        <f>-'5C1B_DArbonne'!$R21</f>
        <v>0</v>
      </c>
      <c r="G21" s="290">
        <f>-'5C1C_Intl High'!$R21</f>
        <v>0</v>
      </c>
      <c r="H21" s="290">
        <f>-'5C1D_NOMMA'!$R21</f>
        <v>0</v>
      </c>
      <c r="I21" s="290">
        <f>-'5C1E_LFNO'!$R21</f>
        <v>0</v>
      </c>
      <c r="J21" s="290">
        <f>-'5C1F_L.C. Charter'!$R21</f>
        <v>0</v>
      </c>
      <c r="K21" s="290">
        <f>-'5C1G_JS Clark'!$R21</f>
        <v>0</v>
      </c>
      <c r="L21" s="290">
        <f>-'5C1H_Southwest'!$R21</f>
        <v>0</v>
      </c>
      <c r="M21" s="290">
        <f>-'5C1I_LA Key'!$R21</f>
        <v>0</v>
      </c>
      <c r="N21" s="290">
        <f>-'5C1J_JCFA-East'!$R21</f>
        <v>0</v>
      </c>
      <c r="O21" s="290">
        <f>-'5C1M_GEO Mid'!$R21</f>
        <v>0</v>
      </c>
      <c r="P21" s="290">
        <f>-'5C1N_Delta'!$R21</f>
        <v>-2068924</v>
      </c>
      <c r="Q21" s="290">
        <f>-'5C1O_Impact'!$R21</f>
        <v>0</v>
      </c>
      <c r="R21" s="290">
        <f>-'5C1Q_Advantage'!$R21</f>
        <v>0</v>
      </c>
      <c r="S21" s="290">
        <f>-'5C1R_Iberville'!$R21</f>
        <v>0</v>
      </c>
      <c r="T21" s="290">
        <f>-'5C1S_LC Col Prep'!$R21</f>
        <v>0</v>
      </c>
      <c r="U21" s="290">
        <f>-'5C1T_Northeast'!$R21</f>
        <v>0</v>
      </c>
      <c r="V21" s="290">
        <f>-'5C1U_Acadiana Ren'!$R21</f>
        <v>0</v>
      </c>
      <c r="W21" s="290">
        <f>-'5C1V_Laf Ren'!$R21</f>
        <v>0</v>
      </c>
      <c r="X21" s="290">
        <f>-'5C1W_Willow'!$R21</f>
        <v>0</v>
      </c>
      <c r="Y21" s="290">
        <f>-'5C1Y_GEO'!$R21</f>
        <v>0</v>
      </c>
      <c r="Z21" s="290">
        <f>-'5C1Z_Lincoln Prep'!$R21</f>
        <v>0</v>
      </c>
      <c r="AA21" s="546">
        <f>-'5C1AE_Noble Minds'!$R21</f>
        <v>0</v>
      </c>
      <c r="AB21" s="546">
        <f>-'5C1AF_JCFA-Laf'!$R21</f>
        <v>0</v>
      </c>
      <c r="AC21" s="546">
        <f>-'5C1AG_Collegiate'!$R21</f>
        <v>0</v>
      </c>
      <c r="AD21" s="290">
        <f>-'5C1AH_BRUP'!$R21</f>
        <v>0</v>
      </c>
      <c r="AE21" s="775">
        <f>-'5C1AI_Harmony'!$R21</f>
        <v>0</v>
      </c>
      <c r="AF21" s="775">
        <f>-'5C1AJ_Athlos'!$R21</f>
        <v>0</v>
      </c>
      <c r="AG21" s="1080">
        <f>-'5C1AK_NxtGen'!$R21</f>
        <v>0</v>
      </c>
      <c r="AH21" s="1080">
        <f>-'5C1AL_Red River'!$R21</f>
        <v>0</v>
      </c>
      <c r="AI21" s="290">
        <f>-('5C2_LAVCA'!$R21+'5C2_LAVCA'!$S21)</f>
        <v>-47672</v>
      </c>
      <c r="AJ21" s="290">
        <f>-('5C3_UnvView'!$R21+'5C3_UnvView'!$S21)</f>
        <v>-41302</v>
      </c>
      <c r="AK21" s="290">
        <f>-Placeholder_Greater!$R21</f>
        <v>0</v>
      </c>
      <c r="AL21" s="291">
        <f t="shared" si="4"/>
        <v>-2157898</v>
      </c>
      <c r="AM21" s="291">
        <f t="shared" si="8"/>
        <v>22137756</v>
      </c>
      <c r="AN21" s="291">
        <f>ROUND(AM21/'8_2.1.20 SIS'!C21,0)</f>
        <v>6968</v>
      </c>
      <c r="AO21" s="953">
        <f>'3B_Pay Raise'!O21</f>
        <v>509418</v>
      </c>
      <c r="AP21" s="292">
        <v>-23902</v>
      </c>
      <c r="AQ21" s="290">
        <f t="shared" si="9"/>
        <v>0</v>
      </c>
      <c r="AR21" s="290">
        <f t="shared" si="10"/>
        <v>-23902</v>
      </c>
      <c r="AS21" s="290">
        <v>-341432</v>
      </c>
      <c r="AT21" s="290">
        <v>-3484</v>
      </c>
      <c r="AU21" s="292">
        <f t="shared" si="11"/>
        <v>-344916</v>
      </c>
      <c r="AV21" s="291">
        <f t="shared" si="12"/>
        <v>22278356</v>
      </c>
      <c r="AW21" s="290">
        <f>'4_Level 4'!E21</f>
        <v>42000</v>
      </c>
      <c r="AX21" s="290">
        <f>'4_Level 4'!Q21</f>
        <v>82128</v>
      </c>
      <c r="AY21" s="291">
        <f t="shared" si="5"/>
        <v>22402484</v>
      </c>
      <c r="AZ21" s="290">
        <v>15055320</v>
      </c>
      <c r="BA21" s="290">
        <f t="shared" si="13"/>
        <v>7347164</v>
      </c>
      <c r="BB21" s="290">
        <f t="shared" si="6"/>
        <v>1836791</v>
      </c>
      <c r="BC21" s="290">
        <f>'4_Level 4'!J21</f>
        <v>0</v>
      </c>
      <c r="BD21" s="290">
        <f>'4_Level 4'!L21</f>
        <v>104594</v>
      </c>
      <c r="BE21" s="290">
        <f>'4_Level 4'!M21</f>
        <v>0</v>
      </c>
      <c r="BF21" s="291">
        <f t="shared" si="7"/>
        <v>22507078</v>
      </c>
    </row>
    <row r="22" spans="1:58" ht="15.6" customHeight="1" x14ac:dyDescent="0.2">
      <c r="A22" s="281">
        <v>16</v>
      </c>
      <c r="B22" s="282" t="s">
        <v>19</v>
      </c>
      <c r="C22" s="36">
        <f>'3_Levels 1&amp;2'!AP22</f>
        <v>12565865</v>
      </c>
      <c r="D22" s="36">
        <v>0</v>
      </c>
      <c r="E22" s="36">
        <f>-'5C1A_Madison'!$R22</f>
        <v>0</v>
      </c>
      <c r="F22" s="36">
        <f>-'5C1B_DArbonne'!$R22</f>
        <v>0</v>
      </c>
      <c r="G22" s="36">
        <f>-'5C1C_Intl High'!$R22</f>
        <v>0</v>
      </c>
      <c r="H22" s="36">
        <f>-'5C1D_NOMMA'!$R22</f>
        <v>0</v>
      </c>
      <c r="I22" s="36">
        <f>-'5C1E_LFNO'!$R22</f>
        <v>0</v>
      </c>
      <c r="J22" s="36">
        <f>-'5C1F_L.C. Charter'!$R22</f>
        <v>0</v>
      </c>
      <c r="K22" s="36">
        <f>-'5C1G_JS Clark'!$R22</f>
        <v>0</v>
      </c>
      <c r="L22" s="36">
        <f>-'5C1H_Southwest'!$R22</f>
        <v>0</v>
      </c>
      <c r="M22" s="36">
        <f>-'5C1I_LA Key'!$R22</f>
        <v>0</v>
      </c>
      <c r="N22" s="36">
        <f>-'5C1J_JCFA-East'!$R22</f>
        <v>0</v>
      </c>
      <c r="O22" s="36">
        <f>-'5C1M_GEO Mid'!$R22</f>
        <v>0</v>
      </c>
      <c r="P22" s="36">
        <f>-'5C1N_Delta'!$R22</f>
        <v>0</v>
      </c>
      <c r="Q22" s="36">
        <f>-'5C1O_Impact'!$R22</f>
        <v>0</v>
      </c>
      <c r="R22" s="36">
        <f>-'5C1Q_Advantage'!$R22</f>
        <v>0</v>
      </c>
      <c r="S22" s="36">
        <f>-'5C1R_Iberville'!$R22</f>
        <v>0</v>
      </c>
      <c r="T22" s="36">
        <f>-'5C1S_LC Col Prep'!$R22</f>
        <v>0</v>
      </c>
      <c r="U22" s="36">
        <f>-'5C1T_Northeast'!$R22</f>
        <v>0</v>
      </c>
      <c r="V22" s="36">
        <f>-'5C1U_Acadiana Ren'!$R22</f>
        <v>0</v>
      </c>
      <c r="W22" s="36">
        <f>-'5C1V_Laf Ren'!$R22</f>
        <v>0</v>
      </c>
      <c r="X22" s="36">
        <f>-'5C1W_Willow'!$R22</f>
        <v>0</v>
      </c>
      <c r="Y22" s="36">
        <f>-'5C1Y_GEO'!$R22</f>
        <v>0</v>
      </c>
      <c r="Z22" s="36">
        <f>-'5C1Z_Lincoln Prep'!$R22</f>
        <v>0</v>
      </c>
      <c r="AA22" s="36">
        <f>-'5C1AE_Noble Minds'!$R22</f>
        <v>0</v>
      </c>
      <c r="AB22" s="36">
        <f>-'5C1AF_JCFA-Laf'!$R22</f>
        <v>0</v>
      </c>
      <c r="AC22" s="36">
        <f>-'5C1AG_Collegiate'!$R22</f>
        <v>0</v>
      </c>
      <c r="AD22" s="36">
        <f>-'5C1AH_BRUP'!$R22</f>
        <v>0</v>
      </c>
      <c r="AE22" s="36">
        <f>-'5C1AI_Harmony'!$R22</f>
        <v>0</v>
      </c>
      <c r="AF22" s="36">
        <f>-'5C1AJ_Athlos'!$R22</f>
        <v>0</v>
      </c>
      <c r="AG22" s="36">
        <f>-'5C1AK_NxtGen'!$R22</f>
        <v>0</v>
      </c>
      <c r="AH22" s="36">
        <f>-'5C1AL_Red River'!$R22</f>
        <v>0</v>
      </c>
      <c r="AI22" s="36">
        <f>-('5C2_LAVCA'!$R22+'5C2_LAVCA'!$S22)</f>
        <v>-41617</v>
      </c>
      <c r="AJ22" s="36">
        <f>-('5C3_UnvView'!$R22+'5C3_UnvView'!$S22)</f>
        <v>-18698</v>
      </c>
      <c r="AK22" s="36">
        <f>-Placeholder_Greater!$R22</f>
        <v>0</v>
      </c>
      <c r="AL22" s="35">
        <f t="shared" si="4"/>
        <v>-60315</v>
      </c>
      <c r="AM22" s="35">
        <f t="shared" si="8"/>
        <v>12505550</v>
      </c>
      <c r="AN22" s="35">
        <f>ROUND(AM22/'8_2.1.20 SIS'!C22,0)</f>
        <v>2615</v>
      </c>
      <c r="AO22" s="35">
        <f>'3B_Pay Raise'!O22</f>
        <v>720950</v>
      </c>
      <c r="AP22" s="37">
        <v>-6274</v>
      </c>
      <c r="AQ22" s="36">
        <f t="shared" si="9"/>
        <v>0</v>
      </c>
      <c r="AR22" s="36">
        <f t="shared" si="10"/>
        <v>-6274</v>
      </c>
      <c r="AS22" s="36">
        <v>-355640</v>
      </c>
      <c r="AT22" s="36">
        <v>14383</v>
      </c>
      <c r="AU22" s="37">
        <f t="shared" si="11"/>
        <v>-341257</v>
      </c>
      <c r="AV22" s="35">
        <f t="shared" si="12"/>
        <v>12878969</v>
      </c>
      <c r="AW22" s="36">
        <f>'4_Level 4'!E22</f>
        <v>0</v>
      </c>
      <c r="AX22" s="36">
        <f>'4_Level 4'!Q22</f>
        <v>128561</v>
      </c>
      <c r="AY22" s="35">
        <f t="shared" si="5"/>
        <v>13007530</v>
      </c>
      <c r="AZ22" s="36">
        <v>8786014</v>
      </c>
      <c r="BA22" s="36">
        <f t="shared" si="13"/>
        <v>4221516</v>
      </c>
      <c r="BB22" s="36">
        <f t="shared" si="6"/>
        <v>1055379</v>
      </c>
      <c r="BC22" s="36">
        <f>'4_Level 4'!J22</f>
        <v>0</v>
      </c>
      <c r="BD22" s="36">
        <f>'4_Level 4'!L22</f>
        <v>260039</v>
      </c>
      <c r="BE22" s="36">
        <f>'4_Level 4'!M22</f>
        <v>617017</v>
      </c>
      <c r="BF22" s="35">
        <f t="shared" si="7"/>
        <v>13884586</v>
      </c>
    </row>
    <row r="23" spans="1:58" ht="15.6" customHeight="1" x14ac:dyDescent="0.2">
      <c r="A23" s="283">
        <v>17</v>
      </c>
      <c r="B23" s="284" t="s">
        <v>20</v>
      </c>
      <c r="C23" s="285">
        <f>'3_Levels 1&amp;2'!AP23</f>
        <v>194903268</v>
      </c>
      <c r="D23" s="285">
        <f>-('5B2_RSD LA'!J18-'5B2_RSD LA'!I18)</f>
        <v>-8924300</v>
      </c>
      <c r="E23" s="285">
        <f>-'5C1A_Madison'!$R23</f>
        <v>-2206898</v>
      </c>
      <c r="F23" s="285">
        <f>-'5C1B_DArbonne'!$R23</f>
        <v>0</v>
      </c>
      <c r="G23" s="285">
        <f>-'5C1C_Intl High'!$R23</f>
        <v>0</v>
      </c>
      <c r="H23" s="285">
        <f>-'5C1D_NOMMA'!$R23</f>
        <v>0</v>
      </c>
      <c r="I23" s="285">
        <f>-'5C1E_LFNO'!$R23</f>
        <v>0</v>
      </c>
      <c r="J23" s="285">
        <f>-'5C1F_L.C. Charter'!$R23</f>
        <v>0</v>
      </c>
      <c r="K23" s="285">
        <f>-'5C1G_JS Clark'!$R23</f>
        <v>0</v>
      </c>
      <c r="L23" s="285">
        <f>-'5C1H_Southwest'!$R23</f>
        <v>-3504</v>
      </c>
      <c r="M23" s="285">
        <f>-'5C1I_LA Key'!$R23</f>
        <v>-1479074</v>
      </c>
      <c r="N23" s="285">
        <f>-'5C1J_JCFA-East'!$R23</f>
        <v>0</v>
      </c>
      <c r="O23" s="285">
        <f>-'5C1M_GEO Mid'!$R23</f>
        <v>-2910683</v>
      </c>
      <c r="P23" s="285">
        <f>-'5C1N_Delta'!$R23</f>
        <v>0</v>
      </c>
      <c r="Q23" s="285">
        <f>-'5C1O_Impact'!$R23</f>
        <v>-874210</v>
      </c>
      <c r="R23" s="285">
        <f>-'5C1Q_Advantage'!$R23</f>
        <v>-717704</v>
      </c>
      <c r="S23" s="285">
        <f>-'5C1R_Iberville'!$R23</f>
        <v>-3949</v>
      </c>
      <c r="T23" s="285">
        <f>-'5C1S_LC Col Prep'!$R23</f>
        <v>0</v>
      </c>
      <c r="U23" s="285">
        <f>-'5C1T_Northeast'!$R23</f>
        <v>0</v>
      </c>
      <c r="V23" s="285">
        <f>-'5C1U_Acadiana Ren'!$R23</f>
        <v>0</v>
      </c>
      <c r="W23" s="285">
        <f>-'5C1V_Laf Ren'!$R23</f>
        <v>0</v>
      </c>
      <c r="X23" s="285">
        <f>-'5C1W_Willow'!$R23</f>
        <v>0</v>
      </c>
      <c r="Y23" s="285">
        <f>-'5C1Y_GEO'!$R23</f>
        <v>-2666191</v>
      </c>
      <c r="Z23" s="285">
        <f>-'5C1Z_Lincoln Prep'!$R23</f>
        <v>0</v>
      </c>
      <c r="AA23" s="285">
        <f>-'5C1AE_Noble Minds'!$R23</f>
        <v>0</v>
      </c>
      <c r="AB23" s="285">
        <f>-'5C1AF_JCFA-Laf'!$R23</f>
        <v>0</v>
      </c>
      <c r="AC23" s="285">
        <f>-'5C1AG_Collegiate'!$R23</f>
        <v>-1733682</v>
      </c>
      <c r="AD23" s="285">
        <f>-'5C1AH_BRUP'!$R23</f>
        <v>-1472233</v>
      </c>
      <c r="AE23" s="285">
        <f>-'5C1AI_Harmony'!$R23</f>
        <v>0</v>
      </c>
      <c r="AF23" s="285">
        <f>-'5C1AJ_Athlos'!$R23</f>
        <v>0</v>
      </c>
      <c r="AG23" s="285">
        <f>-'5C1AK_NxtGen'!$R23</f>
        <v>-372728</v>
      </c>
      <c r="AH23" s="285">
        <f>-'5C1AL_Red River'!$R23</f>
        <v>0</v>
      </c>
      <c r="AI23" s="285">
        <f>-('5C2_LAVCA'!$R23+'5C2_LAVCA'!$S23)</f>
        <v>-416241</v>
      </c>
      <c r="AJ23" s="285">
        <f>-('5C3_UnvView'!$R23+'5C3_UnvView'!$S23)</f>
        <v>-1213620</v>
      </c>
      <c r="AK23" s="285">
        <f>-Placeholder_Greater!$R23</f>
        <v>0</v>
      </c>
      <c r="AL23" s="286">
        <f t="shared" si="4"/>
        <v>-24995017</v>
      </c>
      <c r="AM23" s="286">
        <f t="shared" si="8"/>
        <v>169908251</v>
      </c>
      <c r="AN23" s="286">
        <f>ROUND(AM23/'8_2.1.20 SIS'!C23,0)</f>
        <v>4306</v>
      </c>
      <c r="AO23" s="286">
        <f>'3B_Pay Raise'!O23</f>
        <v>6176946</v>
      </c>
      <c r="AP23" s="287">
        <v>-129488</v>
      </c>
      <c r="AQ23" s="285">
        <f t="shared" si="9"/>
        <v>0</v>
      </c>
      <c r="AR23" s="285">
        <f t="shared" si="10"/>
        <v>-129488</v>
      </c>
      <c r="AS23" s="285">
        <v>-1752542</v>
      </c>
      <c r="AT23" s="285">
        <v>73202</v>
      </c>
      <c r="AU23" s="287">
        <f t="shared" si="11"/>
        <v>-1679340</v>
      </c>
      <c r="AV23" s="286">
        <f t="shared" si="12"/>
        <v>174276369</v>
      </c>
      <c r="AW23" s="285">
        <f>'4_Level 4'!E23</f>
        <v>441000</v>
      </c>
      <c r="AX23" s="285">
        <f>'4_Level 4'!Q23</f>
        <v>969724</v>
      </c>
      <c r="AY23" s="286">
        <f t="shared" si="5"/>
        <v>175687093</v>
      </c>
      <c r="AZ23" s="285">
        <v>117655098</v>
      </c>
      <c r="BA23" s="285">
        <f t="shared" si="13"/>
        <v>58031995</v>
      </c>
      <c r="BB23" s="285">
        <f t="shared" si="6"/>
        <v>14507999</v>
      </c>
      <c r="BC23" s="285">
        <f>'4_Level 4'!J23</f>
        <v>42000</v>
      </c>
      <c r="BD23" s="285">
        <f>'4_Level 4'!L23</f>
        <v>1045217</v>
      </c>
      <c r="BE23" s="285">
        <f>'4_Level 4'!M23</f>
        <v>29576</v>
      </c>
      <c r="BF23" s="286">
        <f t="shared" si="7"/>
        <v>176803886</v>
      </c>
    </row>
    <row r="24" spans="1:58" ht="15.6" customHeight="1" x14ac:dyDescent="0.2">
      <c r="A24" s="283">
        <v>18</v>
      </c>
      <c r="B24" s="284" t="s">
        <v>21</v>
      </c>
      <c r="C24" s="285">
        <f>'3_Levels 1&amp;2'!AP24</f>
        <v>6129841</v>
      </c>
      <c r="D24" s="285">
        <v>0</v>
      </c>
      <c r="E24" s="285">
        <f>-'5C1A_Madison'!$R24</f>
        <v>0</v>
      </c>
      <c r="F24" s="285">
        <f>-'5C1B_DArbonne'!$R24</f>
        <v>0</v>
      </c>
      <c r="G24" s="285">
        <f>-'5C1C_Intl High'!$R24</f>
        <v>0</v>
      </c>
      <c r="H24" s="285">
        <f>-'5C1D_NOMMA'!$R24</f>
        <v>0</v>
      </c>
      <c r="I24" s="285">
        <f>-'5C1E_LFNO'!$R24</f>
        <v>0</v>
      </c>
      <c r="J24" s="285">
        <f>-'5C1F_L.C. Charter'!$R24</f>
        <v>0</v>
      </c>
      <c r="K24" s="285">
        <f>-'5C1G_JS Clark'!$R24</f>
        <v>0</v>
      </c>
      <c r="L24" s="285">
        <f>-'5C1H_Southwest'!$R24</f>
        <v>0</v>
      </c>
      <c r="M24" s="285">
        <f>-'5C1I_LA Key'!$R24</f>
        <v>0</v>
      </c>
      <c r="N24" s="285">
        <f>-'5C1J_JCFA-East'!$R24</f>
        <v>0</v>
      </c>
      <c r="O24" s="285">
        <f>-'5C1M_GEO Mid'!$R24</f>
        <v>0</v>
      </c>
      <c r="P24" s="285">
        <f>-'5C1N_Delta'!$R24</f>
        <v>0</v>
      </c>
      <c r="Q24" s="285">
        <f>-'5C1O_Impact'!$R24</f>
        <v>0</v>
      </c>
      <c r="R24" s="285">
        <f>-'5C1Q_Advantage'!$R24</f>
        <v>0</v>
      </c>
      <c r="S24" s="285">
        <f>-'5C1R_Iberville'!$R24</f>
        <v>0</v>
      </c>
      <c r="T24" s="285">
        <f>-'5C1S_LC Col Prep'!$R24</f>
        <v>0</v>
      </c>
      <c r="U24" s="285">
        <f>-'5C1T_Northeast'!$R24</f>
        <v>0</v>
      </c>
      <c r="V24" s="285">
        <f>-'5C1U_Acadiana Ren'!$R24</f>
        <v>0</v>
      </c>
      <c r="W24" s="285">
        <f>-'5C1V_Laf Ren'!$R24</f>
        <v>0</v>
      </c>
      <c r="X24" s="285">
        <f>-'5C1W_Willow'!$R24</f>
        <v>0</v>
      </c>
      <c r="Y24" s="285">
        <f>-'5C1Y_GEO'!$R24</f>
        <v>0</v>
      </c>
      <c r="Z24" s="285">
        <f>-'5C1Z_Lincoln Prep'!$R24</f>
        <v>0</v>
      </c>
      <c r="AA24" s="285">
        <f>-'5C1AE_Noble Minds'!$R24</f>
        <v>0</v>
      </c>
      <c r="AB24" s="285">
        <f>-'5C1AF_JCFA-Laf'!$R24</f>
        <v>0</v>
      </c>
      <c r="AC24" s="285">
        <f>-'5C1AG_Collegiate'!$R24</f>
        <v>0</v>
      </c>
      <c r="AD24" s="285">
        <f>-'5C1AH_BRUP'!$R24</f>
        <v>0</v>
      </c>
      <c r="AE24" s="285">
        <f>-'5C1AI_Harmony'!$R24</f>
        <v>0</v>
      </c>
      <c r="AF24" s="285">
        <f>-'5C1AJ_Athlos'!$R24</f>
        <v>0</v>
      </c>
      <c r="AG24" s="285">
        <f>-'5C1AK_NxtGen'!$R24</f>
        <v>0</v>
      </c>
      <c r="AH24" s="285">
        <f>-'5C1AL_Red River'!$R24</f>
        <v>0</v>
      </c>
      <c r="AI24" s="285">
        <f>-('5C2_LAVCA'!$R24+'5C2_LAVCA'!$S24)</f>
        <v>-31936</v>
      </c>
      <c r="AJ24" s="285">
        <f>-('5C3_UnvView'!$R24+'5C3_UnvView'!$S24)</f>
        <v>-15543</v>
      </c>
      <c r="AK24" s="285">
        <f>-Placeholder_Greater!$R24</f>
        <v>0</v>
      </c>
      <c r="AL24" s="286">
        <f t="shared" si="4"/>
        <v>-47479</v>
      </c>
      <c r="AM24" s="286">
        <f t="shared" si="8"/>
        <v>6082362</v>
      </c>
      <c r="AN24" s="286">
        <f>ROUND(AM24/'8_2.1.20 SIS'!C24,0)</f>
        <v>6983</v>
      </c>
      <c r="AO24" s="286">
        <f>'3B_Pay Raise'!O24</f>
        <v>138074</v>
      </c>
      <c r="AP24" s="287">
        <v>10362</v>
      </c>
      <c r="AQ24" s="285">
        <f t="shared" si="9"/>
        <v>10362</v>
      </c>
      <c r="AR24" s="285">
        <f t="shared" si="10"/>
        <v>0</v>
      </c>
      <c r="AS24" s="285">
        <v>-460878</v>
      </c>
      <c r="AT24" s="285">
        <v>-27932</v>
      </c>
      <c r="AU24" s="287">
        <f t="shared" si="11"/>
        <v>-488810</v>
      </c>
      <c r="AV24" s="286">
        <f t="shared" si="12"/>
        <v>5741988</v>
      </c>
      <c r="AW24" s="285">
        <f>'4_Level 4'!E24</f>
        <v>42000</v>
      </c>
      <c r="AX24" s="285">
        <f>'4_Level 4'!Q24</f>
        <v>24013</v>
      </c>
      <c r="AY24" s="286">
        <f t="shared" si="5"/>
        <v>5808001</v>
      </c>
      <c r="AZ24" s="285">
        <v>4045388</v>
      </c>
      <c r="BA24" s="285">
        <f t="shared" si="13"/>
        <v>1762613</v>
      </c>
      <c r="BB24" s="285">
        <f t="shared" si="6"/>
        <v>440653</v>
      </c>
      <c r="BC24" s="285">
        <f>'4_Level 4'!J24</f>
        <v>0</v>
      </c>
      <c r="BD24" s="285">
        <f>'4_Level 4'!L24</f>
        <v>48200</v>
      </c>
      <c r="BE24" s="285">
        <f>'4_Level 4'!M24</f>
        <v>0</v>
      </c>
      <c r="BF24" s="286">
        <f t="shared" si="7"/>
        <v>5856201</v>
      </c>
    </row>
    <row r="25" spans="1:58" ht="15.6" customHeight="1" x14ac:dyDescent="0.2">
      <c r="A25" s="283">
        <v>19</v>
      </c>
      <c r="B25" s="284" t="s">
        <v>22</v>
      </c>
      <c r="C25" s="285">
        <f>'3_Levels 1&amp;2'!AP25</f>
        <v>10782480</v>
      </c>
      <c r="D25" s="285">
        <v>0</v>
      </c>
      <c r="E25" s="285">
        <f>-'5C1A_Madison'!$R25</f>
        <v>0</v>
      </c>
      <c r="F25" s="285">
        <f>-'5C1B_DArbonne'!$R25</f>
        <v>0</v>
      </c>
      <c r="G25" s="285">
        <f>-'5C1C_Intl High'!$R25</f>
        <v>0</v>
      </c>
      <c r="H25" s="285">
        <f>-'5C1D_NOMMA'!$R25</f>
        <v>0</v>
      </c>
      <c r="I25" s="285">
        <f>-'5C1E_LFNO'!$R25</f>
        <v>0</v>
      </c>
      <c r="J25" s="285">
        <f>-'5C1F_L.C. Charter'!$R25</f>
        <v>0</v>
      </c>
      <c r="K25" s="285">
        <f>-'5C1G_JS Clark'!$R25</f>
        <v>0</v>
      </c>
      <c r="L25" s="285">
        <f>-'5C1H_Southwest'!$R25</f>
        <v>0</v>
      </c>
      <c r="M25" s="285">
        <f>-'5C1I_LA Key'!$R25</f>
        <v>-40412</v>
      </c>
      <c r="N25" s="285">
        <f>-'5C1J_JCFA-East'!$R25</f>
        <v>0</v>
      </c>
      <c r="O25" s="285">
        <f>-'5C1M_GEO Mid'!$R25</f>
        <v>0</v>
      </c>
      <c r="P25" s="285">
        <f>-'5C1N_Delta'!$R25</f>
        <v>0</v>
      </c>
      <c r="Q25" s="285">
        <f>-'5C1O_Impact'!$R25</f>
        <v>0</v>
      </c>
      <c r="R25" s="285">
        <f>-'5C1Q_Advantage'!$R25</f>
        <v>-112832</v>
      </c>
      <c r="S25" s="285">
        <f>-'5C1R_Iberville'!$R25</f>
        <v>0</v>
      </c>
      <c r="T25" s="285">
        <f>-'5C1S_LC Col Prep'!$R25</f>
        <v>0</v>
      </c>
      <c r="U25" s="285">
        <f>-'5C1T_Northeast'!$R25</f>
        <v>0</v>
      </c>
      <c r="V25" s="285">
        <f>-'5C1U_Acadiana Ren'!$R25</f>
        <v>0</v>
      </c>
      <c r="W25" s="285">
        <f>-'5C1V_Laf Ren'!$R25</f>
        <v>0</v>
      </c>
      <c r="X25" s="285">
        <f>-'5C1W_Willow'!$R25</f>
        <v>0</v>
      </c>
      <c r="Y25" s="285">
        <f>-'5C1Y_GEO'!$R25</f>
        <v>-5101</v>
      </c>
      <c r="Z25" s="285">
        <f>-'5C1Z_Lincoln Prep'!$R25</f>
        <v>0</v>
      </c>
      <c r="AA25" s="285">
        <f>-'5C1AE_Noble Minds'!$R25</f>
        <v>0</v>
      </c>
      <c r="AB25" s="285">
        <f>-'5C1AF_JCFA-Laf'!$R25</f>
        <v>0</v>
      </c>
      <c r="AC25" s="285">
        <f>-'5C1AG_Collegiate'!$R25</f>
        <v>0</v>
      </c>
      <c r="AD25" s="285">
        <f>-'5C1AH_BRUP'!$R25</f>
        <v>0</v>
      </c>
      <c r="AE25" s="285">
        <f>-'5C1AI_Harmony'!$R25</f>
        <v>0</v>
      </c>
      <c r="AF25" s="285">
        <f>-'5C1AJ_Athlos'!$R25</f>
        <v>0</v>
      </c>
      <c r="AG25" s="285">
        <f>-'5C1AK_NxtGen'!$R25</f>
        <v>0</v>
      </c>
      <c r="AH25" s="285">
        <f>-'5C1AL_Red River'!$R25</f>
        <v>0</v>
      </c>
      <c r="AI25" s="285">
        <f>-('5C2_LAVCA'!$R25+'5C2_LAVCA'!$S25)</f>
        <v>-66363</v>
      </c>
      <c r="AJ25" s="285">
        <f>-('5C3_UnvView'!$R25+'5C3_UnvView'!$S25)</f>
        <v>-169520</v>
      </c>
      <c r="AK25" s="285">
        <f>-Placeholder_Greater!$R25</f>
        <v>0</v>
      </c>
      <c r="AL25" s="286">
        <f t="shared" si="4"/>
        <v>-394228</v>
      </c>
      <c r="AM25" s="286">
        <f t="shared" si="8"/>
        <v>10388252</v>
      </c>
      <c r="AN25" s="286">
        <f>ROUND(AM25/'8_2.1.20 SIS'!C25,0)</f>
        <v>6026</v>
      </c>
      <c r="AO25" s="286">
        <f>'3B_Pay Raise'!O25</f>
        <v>277844</v>
      </c>
      <c r="AP25" s="287">
        <v>18167</v>
      </c>
      <c r="AQ25" s="285">
        <f t="shared" si="9"/>
        <v>18167</v>
      </c>
      <c r="AR25" s="285">
        <f t="shared" si="10"/>
        <v>0</v>
      </c>
      <c r="AS25" s="285">
        <v>-590548</v>
      </c>
      <c r="AT25" s="285">
        <v>18078</v>
      </c>
      <c r="AU25" s="287">
        <f t="shared" si="11"/>
        <v>-572470</v>
      </c>
      <c r="AV25" s="286">
        <f t="shared" si="12"/>
        <v>10111793</v>
      </c>
      <c r="AW25" s="285">
        <f>'4_Level 4'!E25</f>
        <v>0</v>
      </c>
      <c r="AX25" s="285">
        <f>'4_Level 4'!Q25</f>
        <v>46964</v>
      </c>
      <c r="AY25" s="286">
        <f t="shared" si="5"/>
        <v>10158757</v>
      </c>
      <c r="AZ25" s="285">
        <v>6960818</v>
      </c>
      <c r="BA25" s="285">
        <f t="shared" si="13"/>
        <v>3197939</v>
      </c>
      <c r="BB25" s="285">
        <f t="shared" si="6"/>
        <v>799485</v>
      </c>
      <c r="BC25" s="285">
        <f>'4_Level 4'!J25</f>
        <v>0</v>
      </c>
      <c r="BD25" s="285">
        <f>'4_Level 4'!L25</f>
        <v>25000</v>
      </c>
      <c r="BE25" s="285">
        <f>'4_Level 4'!M25</f>
        <v>0</v>
      </c>
      <c r="BF25" s="286">
        <f t="shared" si="7"/>
        <v>10183757</v>
      </c>
    </row>
    <row r="26" spans="1:58" ht="15.6" customHeight="1" x14ac:dyDescent="0.2">
      <c r="A26" s="288">
        <v>20</v>
      </c>
      <c r="B26" s="289" t="s">
        <v>23</v>
      </c>
      <c r="C26" s="290">
        <f>'3_Levels 1&amp;2'!AP26</f>
        <v>35842663</v>
      </c>
      <c r="D26" s="290">
        <v>0</v>
      </c>
      <c r="E26" s="290">
        <f>-'5C1A_Madison'!$R26</f>
        <v>0</v>
      </c>
      <c r="F26" s="290">
        <f>-'5C1B_DArbonne'!$R26</f>
        <v>0</v>
      </c>
      <c r="G26" s="290">
        <f>-'5C1C_Intl High'!$R26</f>
        <v>0</v>
      </c>
      <c r="H26" s="290">
        <f>-'5C1D_NOMMA'!$R26</f>
        <v>0</v>
      </c>
      <c r="I26" s="290">
        <f>-'5C1E_LFNO'!$R26</f>
        <v>0</v>
      </c>
      <c r="J26" s="290">
        <f>-'5C1F_L.C. Charter'!$R26</f>
        <v>0</v>
      </c>
      <c r="K26" s="290">
        <f>-'5C1G_JS Clark'!$R26</f>
        <v>-18481</v>
      </c>
      <c r="L26" s="290">
        <f>-'5C1H_Southwest'!$R26</f>
        <v>0</v>
      </c>
      <c r="M26" s="290">
        <f>-'5C1I_LA Key'!$R26</f>
        <v>0</v>
      </c>
      <c r="N26" s="290">
        <f>-'5C1J_JCFA-East'!$R26</f>
        <v>0</v>
      </c>
      <c r="O26" s="290">
        <f>-'5C1M_GEO Mid'!$R26</f>
        <v>0</v>
      </c>
      <c r="P26" s="290">
        <f>-'5C1N_Delta'!$R26</f>
        <v>0</v>
      </c>
      <c r="Q26" s="290">
        <f>-'5C1O_Impact'!$R26</f>
        <v>0</v>
      </c>
      <c r="R26" s="290">
        <f>-'5C1Q_Advantage'!$R26</f>
        <v>0</v>
      </c>
      <c r="S26" s="290">
        <f>-'5C1R_Iberville'!$R26</f>
        <v>0</v>
      </c>
      <c r="T26" s="290">
        <f>-'5C1S_LC Col Prep'!$R26</f>
        <v>0</v>
      </c>
      <c r="U26" s="290">
        <f>-'5C1T_Northeast'!$R26</f>
        <v>0</v>
      </c>
      <c r="V26" s="290">
        <f>-'5C1U_Acadiana Ren'!$R26</f>
        <v>0</v>
      </c>
      <c r="W26" s="290">
        <f>-'5C1V_Laf Ren'!$R26</f>
        <v>0</v>
      </c>
      <c r="X26" s="290">
        <f>-'5C1W_Willow'!$R26</f>
        <v>0</v>
      </c>
      <c r="Y26" s="290">
        <f>-'5C1Y_GEO'!$R26</f>
        <v>0</v>
      </c>
      <c r="Z26" s="290">
        <f>-'5C1Z_Lincoln Prep'!$R26</f>
        <v>0</v>
      </c>
      <c r="AA26" s="546">
        <f>-'5C1AE_Noble Minds'!$R26</f>
        <v>0</v>
      </c>
      <c r="AB26" s="546">
        <f>-'5C1AF_JCFA-Laf'!$R26</f>
        <v>0</v>
      </c>
      <c r="AC26" s="546">
        <f>-'5C1AG_Collegiate'!$R26</f>
        <v>0</v>
      </c>
      <c r="AD26" s="290">
        <f>-'5C1AH_BRUP'!$R26</f>
        <v>0</v>
      </c>
      <c r="AE26" s="775">
        <f>-'5C1AI_Harmony'!$R26</f>
        <v>0</v>
      </c>
      <c r="AF26" s="775">
        <f>-'5C1AJ_Athlos'!$R26</f>
        <v>0</v>
      </c>
      <c r="AG26" s="1080">
        <f>-'5C1AK_NxtGen'!$R26</f>
        <v>0</v>
      </c>
      <c r="AH26" s="1080">
        <f>-'5C1AL_Red River'!$R26</f>
        <v>0</v>
      </c>
      <c r="AI26" s="290">
        <f>-('5C2_LAVCA'!$R26+'5C2_LAVCA'!$S26)</f>
        <v>-136874</v>
      </c>
      <c r="AJ26" s="290">
        <f>-('5C3_UnvView'!$R26+'5C3_UnvView'!$S26)</f>
        <v>-150612</v>
      </c>
      <c r="AK26" s="290">
        <f>-Placeholder_Greater!$R26</f>
        <v>0</v>
      </c>
      <c r="AL26" s="291">
        <f t="shared" si="4"/>
        <v>-305967</v>
      </c>
      <c r="AM26" s="291">
        <f t="shared" si="8"/>
        <v>35536696</v>
      </c>
      <c r="AN26" s="291">
        <f>ROUND(AM26/'8_2.1.20 SIS'!C26,0)</f>
        <v>6442</v>
      </c>
      <c r="AO26" s="953">
        <f>'3B_Pay Raise'!O26</f>
        <v>775346</v>
      </c>
      <c r="AP26" s="292">
        <v>-65824</v>
      </c>
      <c r="AQ26" s="290">
        <f t="shared" si="9"/>
        <v>0</v>
      </c>
      <c r="AR26" s="290">
        <f t="shared" si="10"/>
        <v>-65824</v>
      </c>
      <c r="AS26" s="290">
        <v>83746</v>
      </c>
      <c r="AT26" s="290">
        <v>-161050</v>
      </c>
      <c r="AU26" s="292">
        <f t="shared" si="11"/>
        <v>-77304</v>
      </c>
      <c r="AV26" s="291">
        <f t="shared" si="12"/>
        <v>36168914</v>
      </c>
      <c r="AW26" s="290">
        <f>'4_Level 4'!E26</f>
        <v>126000</v>
      </c>
      <c r="AX26" s="290">
        <f>'4_Level 4'!Q26</f>
        <v>138709</v>
      </c>
      <c r="AY26" s="291">
        <f t="shared" si="5"/>
        <v>36433623</v>
      </c>
      <c r="AZ26" s="290">
        <v>24362212</v>
      </c>
      <c r="BA26" s="290">
        <f t="shared" si="13"/>
        <v>12071411</v>
      </c>
      <c r="BB26" s="290">
        <f t="shared" si="6"/>
        <v>3017853</v>
      </c>
      <c r="BC26" s="290">
        <f>'4_Level 4'!J26</f>
        <v>42000</v>
      </c>
      <c r="BD26" s="290">
        <f>'4_Level 4'!L26</f>
        <v>235939</v>
      </c>
      <c r="BE26" s="290">
        <f>'4_Level 4'!M26</f>
        <v>443748</v>
      </c>
      <c r="BF26" s="291">
        <f t="shared" si="7"/>
        <v>37155310</v>
      </c>
    </row>
    <row r="27" spans="1:58" ht="15.6" customHeight="1" x14ac:dyDescent="0.2">
      <c r="A27" s="281">
        <v>21</v>
      </c>
      <c r="B27" s="282" t="s">
        <v>24</v>
      </c>
      <c r="C27" s="36">
        <f>'3_Levels 1&amp;2'!AP27</f>
        <v>20436601</v>
      </c>
      <c r="D27" s="36">
        <v>0</v>
      </c>
      <c r="E27" s="36">
        <f>-'5C1A_Madison'!$R27</f>
        <v>0</v>
      </c>
      <c r="F27" s="36">
        <f>-'5C1B_DArbonne'!$R27</f>
        <v>0</v>
      </c>
      <c r="G27" s="36">
        <f>-'5C1C_Intl High'!$R27</f>
        <v>0</v>
      </c>
      <c r="H27" s="36">
        <f>-'5C1D_NOMMA'!$R27</f>
        <v>0</v>
      </c>
      <c r="I27" s="36">
        <f>-'5C1E_LFNO'!$R27</f>
        <v>0</v>
      </c>
      <c r="J27" s="36">
        <f>-'5C1F_L.C. Charter'!$R27</f>
        <v>0</v>
      </c>
      <c r="K27" s="36">
        <f>-'5C1G_JS Clark'!$R27</f>
        <v>0</v>
      </c>
      <c r="L27" s="36">
        <f>-'5C1H_Southwest'!$R27</f>
        <v>0</v>
      </c>
      <c r="M27" s="36">
        <f>-'5C1I_LA Key'!$R27</f>
        <v>0</v>
      </c>
      <c r="N27" s="36">
        <f>-'5C1J_JCFA-East'!$R27</f>
        <v>0</v>
      </c>
      <c r="O27" s="36">
        <f>-'5C1M_GEO Mid'!$R27</f>
        <v>0</v>
      </c>
      <c r="P27" s="36">
        <f>-'5C1N_Delta'!$R27</f>
        <v>-11719</v>
      </c>
      <c r="Q27" s="36">
        <f>-'5C1O_Impact'!$R27</f>
        <v>0</v>
      </c>
      <c r="R27" s="36">
        <f>-'5C1Q_Advantage'!$R27</f>
        <v>0</v>
      </c>
      <c r="S27" s="36">
        <f>-'5C1R_Iberville'!$R27</f>
        <v>0</v>
      </c>
      <c r="T27" s="36">
        <f>-'5C1S_LC Col Prep'!$R27</f>
        <v>0</v>
      </c>
      <c r="U27" s="36">
        <f>-'5C1T_Northeast'!$R27</f>
        <v>0</v>
      </c>
      <c r="V27" s="36">
        <f>-'5C1U_Acadiana Ren'!$R27</f>
        <v>0</v>
      </c>
      <c r="W27" s="36">
        <f>-'5C1V_Laf Ren'!$R27</f>
        <v>0</v>
      </c>
      <c r="X27" s="36">
        <f>-'5C1W_Willow'!$R27</f>
        <v>0</v>
      </c>
      <c r="Y27" s="36">
        <f>-'5C1Y_GEO'!$R27</f>
        <v>0</v>
      </c>
      <c r="Z27" s="36">
        <f>-'5C1Z_Lincoln Prep'!$R27</f>
        <v>0</v>
      </c>
      <c r="AA27" s="36">
        <f>-'5C1AE_Noble Minds'!$R27</f>
        <v>0</v>
      </c>
      <c r="AB27" s="36">
        <f>-'5C1AF_JCFA-Laf'!$R27</f>
        <v>0</v>
      </c>
      <c r="AC27" s="36">
        <f>-'5C1AG_Collegiate'!$R27</f>
        <v>0</v>
      </c>
      <c r="AD27" s="36">
        <f>-'5C1AH_BRUP'!$R27</f>
        <v>0</v>
      </c>
      <c r="AE27" s="36">
        <f>-'5C1AI_Harmony'!$R27</f>
        <v>0</v>
      </c>
      <c r="AF27" s="36">
        <f>-'5C1AJ_Athlos'!$R27</f>
        <v>0</v>
      </c>
      <c r="AG27" s="36">
        <f>-'5C1AK_NxtGen'!$R27</f>
        <v>0</v>
      </c>
      <c r="AH27" s="36">
        <f>-'5C1AL_Red River'!$R27</f>
        <v>0</v>
      </c>
      <c r="AI27" s="36">
        <f>-('5C2_LAVCA'!$R27+'5C2_LAVCA'!$S27)</f>
        <v>-40103</v>
      </c>
      <c r="AJ27" s="36">
        <f>-('5C3_UnvView'!$R27+'5C3_UnvView'!$S27)</f>
        <v>-59376</v>
      </c>
      <c r="AK27" s="36">
        <f>-Placeholder_Greater!$R27</f>
        <v>0</v>
      </c>
      <c r="AL27" s="35">
        <f t="shared" si="4"/>
        <v>-111198</v>
      </c>
      <c r="AM27" s="35">
        <f t="shared" si="8"/>
        <v>20325403</v>
      </c>
      <c r="AN27" s="35">
        <f>ROUND(AM27/'8_2.1.20 SIS'!C27,0)</f>
        <v>7109</v>
      </c>
      <c r="AO27" s="35">
        <f>'3B_Pay Raise'!O27</f>
        <v>447515</v>
      </c>
      <c r="AP27" s="37">
        <v>-8281</v>
      </c>
      <c r="AQ27" s="36">
        <f t="shared" si="9"/>
        <v>0</v>
      </c>
      <c r="AR27" s="36">
        <f t="shared" si="10"/>
        <v>-8281</v>
      </c>
      <c r="AS27" s="36">
        <v>-654028</v>
      </c>
      <c r="AT27" s="36">
        <v>-14218</v>
      </c>
      <c r="AU27" s="37">
        <f t="shared" si="11"/>
        <v>-668246</v>
      </c>
      <c r="AV27" s="35">
        <f t="shared" si="12"/>
        <v>20096391</v>
      </c>
      <c r="AW27" s="36">
        <f>'4_Level 4'!E27</f>
        <v>0</v>
      </c>
      <c r="AX27" s="36">
        <f>'4_Level 4'!Q27</f>
        <v>70328</v>
      </c>
      <c r="AY27" s="35">
        <f t="shared" si="5"/>
        <v>20166719</v>
      </c>
      <c r="AZ27" s="36">
        <v>13674112</v>
      </c>
      <c r="BA27" s="36">
        <f t="shared" si="13"/>
        <v>6492607</v>
      </c>
      <c r="BB27" s="36">
        <f t="shared" si="6"/>
        <v>1623152</v>
      </c>
      <c r="BC27" s="36">
        <f>'4_Level 4'!J27</f>
        <v>0</v>
      </c>
      <c r="BD27" s="36">
        <f>'4_Level 4'!L27</f>
        <v>25000</v>
      </c>
      <c r="BE27" s="36">
        <f>'4_Level 4'!M27</f>
        <v>0</v>
      </c>
      <c r="BF27" s="35">
        <f t="shared" si="7"/>
        <v>20191719</v>
      </c>
    </row>
    <row r="28" spans="1:58" ht="15.6" customHeight="1" x14ac:dyDescent="0.2">
      <c r="A28" s="283">
        <v>22</v>
      </c>
      <c r="B28" s="284" t="s">
        <v>25</v>
      </c>
      <c r="C28" s="285">
        <f>'3_Levels 1&amp;2'!AP28</f>
        <v>21604604</v>
      </c>
      <c r="D28" s="285">
        <v>0</v>
      </c>
      <c r="E28" s="285">
        <f>-'5C1A_Madison'!$R28</f>
        <v>0</v>
      </c>
      <c r="F28" s="285">
        <f>-'5C1B_DArbonne'!$R28</f>
        <v>0</v>
      </c>
      <c r="G28" s="285">
        <f>-'5C1C_Intl High'!$R28</f>
        <v>0</v>
      </c>
      <c r="H28" s="285">
        <f>-'5C1D_NOMMA'!$R28</f>
        <v>0</v>
      </c>
      <c r="I28" s="285">
        <f>-'5C1E_LFNO'!$R28</f>
        <v>0</v>
      </c>
      <c r="J28" s="285">
        <f>-'5C1F_L.C. Charter'!$R28</f>
        <v>0</v>
      </c>
      <c r="K28" s="285">
        <f>-'5C1G_JS Clark'!$R28</f>
        <v>0</v>
      </c>
      <c r="L28" s="285">
        <f>-'5C1H_Southwest'!$R28</f>
        <v>0</v>
      </c>
      <c r="M28" s="285">
        <f>-'5C1I_LA Key'!$R28</f>
        <v>0</v>
      </c>
      <c r="N28" s="285">
        <f>-'5C1J_JCFA-East'!$R28</f>
        <v>0</v>
      </c>
      <c r="O28" s="285">
        <f>-'5C1M_GEO Mid'!$R28</f>
        <v>0</v>
      </c>
      <c r="P28" s="285">
        <f>-'5C1N_Delta'!$R28</f>
        <v>0</v>
      </c>
      <c r="Q28" s="285">
        <f>-'5C1O_Impact'!$R28</f>
        <v>0</v>
      </c>
      <c r="R28" s="285">
        <f>-'5C1Q_Advantage'!$R28</f>
        <v>0</v>
      </c>
      <c r="S28" s="285">
        <f>-'5C1R_Iberville'!$R28</f>
        <v>0</v>
      </c>
      <c r="T28" s="285">
        <f>-'5C1S_LC Col Prep'!$R28</f>
        <v>0</v>
      </c>
      <c r="U28" s="285">
        <f>-'5C1T_Northeast'!$R28</f>
        <v>0</v>
      </c>
      <c r="V28" s="285">
        <f>-'5C1U_Acadiana Ren'!$R28</f>
        <v>0</v>
      </c>
      <c r="W28" s="285">
        <f>-'5C1V_Laf Ren'!$R28</f>
        <v>0</v>
      </c>
      <c r="X28" s="285">
        <f>-'5C1W_Willow'!$R28</f>
        <v>0</v>
      </c>
      <c r="Y28" s="285">
        <f>-'5C1Y_GEO'!$R28</f>
        <v>0</v>
      </c>
      <c r="Z28" s="285">
        <f>-'5C1Z_Lincoln Prep'!$R28</f>
        <v>0</v>
      </c>
      <c r="AA28" s="285">
        <f>-'5C1AE_Noble Minds'!$R28</f>
        <v>0</v>
      </c>
      <c r="AB28" s="285">
        <f>-'5C1AF_JCFA-Laf'!$R28</f>
        <v>0</v>
      </c>
      <c r="AC28" s="285">
        <f>-'5C1AG_Collegiate'!$R28</f>
        <v>0</v>
      </c>
      <c r="AD28" s="285">
        <f>-'5C1AH_BRUP'!$R28</f>
        <v>0</v>
      </c>
      <c r="AE28" s="285">
        <f>-'5C1AI_Harmony'!$R28</f>
        <v>0</v>
      </c>
      <c r="AF28" s="285">
        <f>-'5C1AJ_Athlos'!$R28</f>
        <v>0</v>
      </c>
      <c r="AG28" s="285">
        <f>-'5C1AK_NxtGen'!$R28</f>
        <v>0</v>
      </c>
      <c r="AH28" s="285">
        <f>-'5C1AL_Red River'!$R28</f>
        <v>0</v>
      </c>
      <c r="AI28" s="285">
        <f>-('5C2_LAVCA'!$R28+'5C2_LAVCA'!$S28)</f>
        <v>-72180</v>
      </c>
      <c r="AJ28" s="285">
        <f>-('5C3_UnvView'!$R28+'5C3_UnvView'!$S28)</f>
        <v>-127302</v>
      </c>
      <c r="AK28" s="285">
        <f>-Placeholder_Greater!$R28</f>
        <v>0</v>
      </c>
      <c r="AL28" s="286">
        <f t="shared" si="4"/>
        <v>-199482</v>
      </c>
      <c r="AM28" s="286">
        <f t="shared" si="8"/>
        <v>21405122</v>
      </c>
      <c r="AN28" s="286">
        <f>ROUND(AM28/'8_2.1.20 SIS'!C28,0)</f>
        <v>7609</v>
      </c>
      <c r="AO28" s="286">
        <f>'3B_Pay Raise'!O28</f>
        <v>425163</v>
      </c>
      <c r="AP28" s="287">
        <v>5380</v>
      </c>
      <c r="AQ28" s="285">
        <f t="shared" si="9"/>
        <v>5380</v>
      </c>
      <c r="AR28" s="285">
        <f t="shared" si="10"/>
        <v>0</v>
      </c>
      <c r="AS28" s="285">
        <v>106526</v>
      </c>
      <c r="AT28" s="285">
        <v>-98917</v>
      </c>
      <c r="AU28" s="287">
        <f t="shared" si="11"/>
        <v>7609</v>
      </c>
      <c r="AV28" s="286">
        <f t="shared" si="12"/>
        <v>21843274</v>
      </c>
      <c r="AW28" s="285">
        <f>'4_Level 4'!E28</f>
        <v>0</v>
      </c>
      <c r="AX28" s="285">
        <f>'4_Level 4'!Q28</f>
        <v>72039</v>
      </c>
      <c r="AY28" s="286">
        <f t="shared" si="5"/>
        <v>21915313</v>
      </c>
      <c r="AZ28" s="285">
        <v>14640188</v>
      </c>
      <c r="BA28" s="285">
        <f t="shared" si="13"/>
        <v>7275125</v>
      </c>
      <c r="BB28" s="285">
        <f t="shared" si="6"/>
        <v>1818781</v>
      </c>
      <c r="BC28" s="285">
        <f>'4_Level 4'!J28</f>
        <v>0</v>
      </c>
      <c r="BD28" s="285">
        <f>'4_Level 4'!L28</f>
        <v>114475</v>
      </c>
      <c r="BE28" s="285">
        <f>'4_Level 4'!M28</f>
        <v>0</v>
      </c>
      <c r="BF28" s="286">
        <f t="shared" si="7"/>
        <v>22029788</v>
      </c>
    </row>
    <row r="29" spans="1:58" ht="15.6" customHeight="1" x14ac:dyDescent="0.2">
      <c r="A29" s="283">
        <v>23</v>
      </c>
      <c r="B29" s="284" t="s">
        <v>26</v>
      </c>
      <c r="C29" s="285">
        <f>'3_Levels 1&amp;2'!AP29</f>
        <v>73348072</v>
      </c>
      <c r="D29" s="285">
        <v>0</v>
      </c>
      <c r="E29" s="285">
        <f>-'5C1A_Madison'!$R29</f>
        <v>0</v>
      </c>
      <c r="F29" s="285">
        <f>-'5C1B_DArbonne'!$R29</f>
        <v>0</v>
      </c>
      <c r="G29" s="285">
        <f>-'5C1C_Intl High'!$R29</f>
        <v>0</v>
      </c>
      <c r="H29" s="285">
        <f>-'5C1D_NOMMA'!$R29</f>
        <v>0</v>
      </c>
      <c r="I29" s="285">
        <f>-'5C1E_LFNO'!$R29</f>
        <v>0</v>
      </c>
      <c r="J29" s="285">
        <f>-'5C1F_L.C. Charter'!$R29</f>
        <v>0</v>
      </c>
      <c r="K29" s="285">
        <f>-'5C1G_JS Clark'!$R29</f>
        <v>0</v>
      </c>
      <c r="L29" s="285">
        <f>-'5C1H_Southwest'!$R29</f>
        <v>0</v>
      </c>
      <c r="M29" s="285">
        <f>-'5C1I_LA Key'!$R29</f>
        <v>0</v>
      </c>
      <c r="N29" s="285">
        <f>-'5C1J_JCFA-East'!$R29</f>
        <v>0</v>
      </c>
      <c r="O29" s="285">
        <f>-'5C1M_GEO Mid'!$R29</f>
        <v>0</v>
      </c>
      <c r="P29" s="285">
        <f>-'5C1N_Delta'!$R29</f>
        <v>0</v>
      </c>
      <c r="Q29" s="285">
        <f>-'5C1O_Impact'!$R29</f>
        <v>0</v>
      </c>
      <c r="R29" s="285">
        <f>-'5C1Q_Advantage'!$R29</f>
        <v>0</v>
      </c>
      <c r="S29" s="285">
        <f>-'5C1R_Iberville'!$R29</f>
        <v>0</v>
      </c>
      <c r="T29" s="285">
        <f>-'5C1S_LC Col Prep'!$R29</f>
        <v>0</v>
      </c>
      <c r="U29" s="285">
        <f>-'5C1T_Northeast'!$R29</f>
        <v>0</v>
      </c>
      <c r="V29" s="285">
        <f>-'5C1U_Acadiana Ren'!$R29</f>
        <v>-382584</v>
      </c>
      <c r="W29" s="285">
        <f>-'5C1V_Laf Ren'!$R29</f>
        <v>-25146</v>
      </c>
      <c r="X29" s="285">
        <f>-'5C1W_Willow'!$R29</f>
        <v>0</v>
      </c>
      <c r="Y29" s="285">
        <f>-'5C1Y_GEO'!$R29</f>
        <v>0</v>
      </c>
      <c r="Z29" s="285">
        <f>-'5C1Z_Lincoln Prep'!$R29</f>
        <v>0</v>
      </c>
      <c r="AA29" s="285">
        <f>-'5C1AE_Noble Minds'!$R29</f>
        <v>0</v>
      </c>
      <c r="AB29" s="285">
        <f>-'5C1AF_JCFA-Laf'!$R29</f>
        <v>-9375</v>
      </c>
      <c r="AC29" s="285">
        <f>-'5C1AG_Collegiate'!$R29</f>
        <v>0</v>
      </c>
      <c r="AD29" s="285">
        <f>-'5C1AH_BRUP'!$R29</f>
        <v>0</v>
      </c>
      <c r="AE29" s="285">
        <f>-'5C1AI_Harmony'!$R29</f>
        <v>0</v>
      </c>
      <c r="AF29" s="285">
        <f>-'5C1AJ_Athlos'!$R29</f>
        <v>0</v>
      </c>
      <c r="AG29" s="285">
        <f>-'5C1AK_NxtGen'!$R29</f>
        <v>0</v>
      </c>
      <c r="AH29" s="285">
        <f>-'5C1AL_Red River'!$R29</f>
        <v>0</v>
      </c>
      <c r="AI29" s="285">
        <f>-('5C2_LAVCA'!$R29+'5C2_LAVCA'!$S29)</f>
        <v>-192373</v>
      </c>
      <c r="AJ29" s="285">
        <f>-('5C3_UnvView'!$R29+'5C3_UnvView'!$S29)</f>
        <v>-264276</v>
      </c>
      <c r="AK29" s="285">
        <f>-Placeholder_Greater!$R29</f>
        <v>0</v>
      </c>
      <c r="AL29" s="286">
        <f t="shared" si="4"/>
        <v>-873754</v>
      </c>
      <c r="AM29" s="286">
        <f t="shared" si="8"/>
        <v>72474318</v>
      </c>
      <c r="AN29" s="286">
        <f>ROUND(AM29/'8_2.1.20 SIS'!C29,0)</f>
        <v>6089</v>
      </c>
      <c r="AO29" s="286">
        <f>'3B_Pay Raise'!O29</f>
        <v>1669291</v>
      </c>
      <c r="AP29" s="287">
        <v>-11540</v>
      </c>
      <c r="AQ29" s="285">
        <f t="shared" si="9"/>
        <v>0</v>
      </c>
      <c r="AR29" s="285">
        <f t="shared" si="10"/>
        <v>-11540</v>
      </c>
      <c r="AS29" s="285">
        <v>-2137239</v>
      </c>
      <c r="AT29" s="285">
        <v>-179626</v>
      </c>
      <c r="AU29" s="287">
        <f t="shared" si="11"/>
        <v>-2316865</v>
      </c>
      <c r="AV29" s="286">
        <f t="shared" si="12"/>
        <v>71815204</v>
      </c>
      <c r="AW29" s="285">
        <f>'4_Level 4'!E29</f>
        <v>273000</v>
      </c>
      <c r="AX29" s="285">
        <f>'4_Level 4'!Q29</f>
        <v>305266</v>
      </c>
      <c r="AY29" s="286">
        <f t="shared" si="5"/>
        <v>72393470</v>
      </c>
      <c r="AZ29" s="285">
        <v>49107196</v>
      </c>
      <c r="BA29" s="285">
        <f t="shared" si="13"/>
        <v>23286274</v>
      </c>
      <c r="BB29" s="285">
        <f t="shared" si="6"/>
        <v>5821569</v>
      </c>
      <c r="BC29" s="285">
        <f>'4_Level 4'!J29</f>
        <v>18000</v>
      </c>
      <c r="BD29" s="285">
        <f>'4_Level 4'!L29</f>
        <v>419340</v>
      </c>
      <c r="BE29" s="285">
        <f>'4_Level 4'!M29</f>
        <v>173550</v>
      </c>
      <c r="BF29" s="286">
        <f t="shared" si="7"/>
        <v>73004360</v>
      </c>
    </row>
    <row r="30" spans="1:58" ht="15.6" customHeight="1" x14ac:dyDescent="0.2">
      <c r="A30" s="283">
        <v>24</v>
      </c>
      <c r="B30" s="284" t="s">
        <v>27</v>
      </c>
      <c r="C30" s="285">
        <f>'3_Levels 1&amp;2'!AP30</f>
        <v>13188458</v>
      </c>
      <c r="D30" s="285">
        <v>0</v>
      </c>
      <c r="E30" s="285">
        <f>-'5C1A_Madison'!$R30</f>
        <v>-5743</v>
      </c>
      <c r="F30" s="285">
        <f>-'5C1B_DArbonne'!$R30</f>
        <v>0</v>
      </c>
      <c r="G30" s="285">
        <f>-'5C1C_Intl High'!$R30</f>
        <v>0</v>
      </c>
      <c r="H30" s="285">
        <f>-'5C1D_NOMMA'!$R30</f>
        <v>0</v>
      </c>
      <c r="I30" s="285">
        <f>-'5C1E_LFNO'!$R30</f>
        <v>0</v>
      </c>
      <c r="J30" s="285">
        <f>-'5C1F_L.C. Charter'!$R30</f>
        <v>0</v>
      </c>
      <c r="K30" s="285">
        <f>-'5C1G_JS Clark'!$R30</f>
        <v>0</v>
      </c>
      <c r="L30" s="285">
        <f>-'5C1H_Southwest'!$R30</f>
        <v>0</v>
      </c>
      <c r="M30" s="285">
        <f>-'5C1I_LA Key'!$R30</f>
        <v>-68854</v>
      </c>
      <c r="N30" s="285">
        <f>-'5C1J_JCFA-East'!$R30</f>
        <v>0</v>
      </c>
      <c r="O30" s="285">
        <f>-'5C1M_GEO Mid'!$R30</f>
        <v>0</v>
      </c>
      <c r="P30" s="285">
        <f>-'5C1N_Delta'!$R30</f>
        <v>0</v>
      </c>
      <c r="Q30" s="285">
        <f>-'5C1O_Impact'!$R30</f>
        <v>-2481</v>
      </c>
      <c r="R30" s="285">
        <f>-'5C1Q_Advantage'!$R30</f>
        <v>-5467</v>
      </c>
      <c r="S30" s="285">
        <f>-'5C1R_Iberville'!$R30</f>
        <v>-589006</v>
      </c>
      <c r="T30" s="285">
        <f>-'5C1S_LC Col Prep'!$R30</f>
        <v>0</v>
      </c>
      <c r="U30" s="285">
        <f>-'5C1T_Northeast'!$R30</f>
        <v>0</v>
      </c>
      <c r="V30" s="285">
        <f>-'5C1U_Acadiana Ren'!$R30</f>
        <v>0</v>
      </c>
      <c r="W30" s="285">
        <f>-'5C1V_Laf Ren'!$R30</f>
        <v>0</v>
      </c>
      <c r="X30" s="285">
        <f>-'5C1W_Willow'!$R30</f>
        <v>0</v>
      </c>
      <c r="Y30" s="285">
        <f>-'5C1Y_GEO'!$R30</f>
        <v>0</v>
      </c>
      <c r="Z30" s="285">
        <f>-'5C1Z_Lincoln Prep'!$R30</f>
        <v>0</v>
      </c>
      <c r="AA30" s="285">
        <f>-'5C1AE_Noble Minds'!$R30</f>
        <v>0</v>
      </c>
      <c r="AB30" s="285">
        <f>-'5C1AF_JCFA-Laf'!$R30</f>
        <v>0</v>
      </c>
      <c r="AC30" s="285">
        <f>-'5C1AG_Collegiate'!$R30</f>
        <v>0</v>
      </c>
      <c r="AD30" s="285">
        <f>-'5C1AH_BRUP'!$R30</f>
        <v>0</v>
      </c>
      <c r="AE30" s="285">
        <f>-'5C1AI_Harmony'!$R30</f>
        <v>0</v>
      </c>
      <c r="AF30" s="285">
        <f>-'5C1AJ_Athlos'!$R30</f>
        <v>0</v>
      </c>
      <c r="AG30" s="285">
        <f>-'5C1AK_NxtGen'!$R30</f>
        <v>0</v>
      </c>
      <c r="AH30" s="285">
        <f>-'5C1AL_Red River'!$R30</f>
        <v>0</v>
      </c>
      <c r="AI30" s="285">
        <f>-('5C2_LAVCA'!$R30+'5C2_LAVCA'!$S30)</f>
        <v>-25853</v>
      </c>
      <c r="AJ30" s="285">
        <f>-('5C3_UnvView'!$R30+'5C3_UnvView'!$S30)</f>
        <v>-37282</v>
      </c>
      <c r="AK30" s="285">
        <f>-Placeholder_Greater!$R30</f>
        <v>0</v>
      </c>
      <c r="AL30" s="286">
        <f t="shared" si="4"/>
        <v>-734686</v>
      </c>
      <c r="AM30" s="286">
        <f t="shared" si="8"/>
        <v>12453772</v>
      </c>
      <c r="AN30" s="286">
        <f>ROUND(AM30/'8_2.1.20 SIS'!C30,0)</f>
        <v>3023</v>
      </c>
      <c r="AO30" s="286">
        <f>'3B_Pay Raise'!O30</f>
        <v>789096</v>
      </c>
      <c r="AP30" s="287">
        <v>-3737</v>
      </c>
      <c r="AQ30" s="285">
        <f t="shared" si="9"/>
        <v>0</v>
      </c>
      <c r="AR30" s="285">
        <f t="shared" si="10"/>
        <v>-3737</v>
      </c>
      <c r="AS30" s="285">
        <v>-220679</v>
      </c>
      <c r="AT30" s="285">
        <v>-99759</v>
      </c>
      <c r="AU30" s="287">
        <f t="shared" si="11"/>
        <v>-320438</v>
      </c>
      <c r="AV30" s="286">
        <f t="shared" si="12"/>
        <v>12918693</v>
      </c>
      <c r="AW30" s="285">
        <f>'4_Level 4'!E30</f>
        <v>0</v>
      </c>
      <c r="AX30" s="285">
        <f>'4_Level 4'!Q30</f>
        <v>110625</v>
      </c>
      <c r="AY30" s="286">
        <f t="shared" si="5"/>
        <v>13029318</v>
      </c>
      <c r="AZ30" s="285">
        <v>8819636</v>
      </c>
      <c r="BA30" s="285">
        <f t="shared" si="13"/>
        <v>4209682</v>
      </c>
      <c r="BB30" s="285">
        <f t="shared" si="6"/>
        <v>1052421</v>
      </c>
      <c r="BC30" s="285">
        <f>'4_Level 4'!J30</f>
        <v>0</v>
      </c>
      <c r="BD30" s="285">
        <f>'4_Level 4'!L30</f>
        <v>136165</v>
      </c>
      <c r="BE30" s="285">
        <f>'4_Level 4'!M30</f>
        <v>192464</v>
      </c>
      <c r="BF30" s="286">
        <f t="shared" si="7"/>
        <v>13357947</v>
      </c>
    </row>
    <row r="31" spans="1:58" ht="15.6" customHeight="1" x14ac:dyDescent="0.2">
      <c r="A31" s="288">
        <v>25</v>
      </c>
      <c r="B31" s="289" t="s">
        <v>28</v>
      </c>
      <c r="C31" s="290">
        <f>'3_Levels 1&amp;2'!AP31</f>
        <v>12704873</v>
      </c>
      <c r="D31" s="290">
        <v>0</v>
      </c>
      <c r="E31" s="290">
        <f>-'5C1A_Madison'!$R31</f>
        <v>0</v>
      </c>
      <c r="F31" s="290">
        <f>-'5C1B_DArbonne'!$R31</f>
        <v>0</v>
      </c>
      <c r="G31" s="290">
        <f>-'5C1C_Intl High'!$R31</f>
        <v>0</v>
      </c>
      <c r="H31" s="290">
        <f>-'5C1D_NOMMA'!$R31</f>
        <v>0</v>
      </c>
      <c r="I31" s="290">
        <f>-'5C1E_LFNO'!$R31</f>
        <v>0</v>
      </c>
      <c r="J31" s="290">
        <f>-'5C1F_L.C. Charter'!$R31</f>
        <v>0</v>
      </c>
      <c r="K31" s="290">
        <f>-'5C1G_JS Clark'!$R31</f>
        <v>0</v>
      </c>
      <c r="L31" s="290">
        <f>-'5C1H_Southwest'!$R31</f>
        <v>0</v>
      </c>
      <c r="M31" s="290">
        <f>-'5C1I_LA Key'!$R31</f>
        <v>0</v>
      </c>
      <c r="N31" s="290">
        <f>-'5C1J_JCFA-East'!$R31</f>
        <v>0</v>
      </c>
      <c r="O31" s="290">
        <f>-'5C1M_GEO Mid'!$R31</f>
        <v>0</v>
      </c>
      <c r="P31" s="290">
        <f>-'5C1N_Delta'!$R31</f>
        <v>0</v>
      </c>
      <c r="Q31" s="290">
        <f>-'5C1O_Impact'!$R31</f>
        <v>0</v>
      </c>
      <c r="R31" s="290">
        <f>-'5C1Q_Advantage'!$R31</f>
        <v>0</v>
      </c>
      <c r="S31" s="290">
        <f>-'5C1R_Iberville'!$R31</f>
        <v>0</v>
      </c>
      <c r="T31" s="290">
        <f>-'5C1S_LC Col Prep'!$R31</f>
        <v>0</v>
      </c>
      <c r="U31" s="290">
        <f>-'5C1T_Northeast'!$R31</f>
        <v>0</v>
      </c>
      <c r="V31" s="290">
        <f>-'5C1U_Acadiana Ren'!$R31</f>
        <v>0</v>
      </c>
      <c r="W31" s="290">
        <f>-'5C1V_Laf Ren'!$R31</f>
        <v>0</v>
      </c>
      <c r="X31" s="290">
        <f>-'5C1W_Willow'!$R31</f>
        <v>0</v>
      </c>
      <c r="Y31" s="290">
        <f>-'5C1Y_GEO'!$R31</f>
        <v>0</v>
      </c>
      <c r="Z31" s="290">
        <f>-'5C1Z_Lincoln Prep'!$R31</f>
        <v>-123947</v>
      </c>
      <c r="AA31" s="546">
        <f>-'5C1AE_Noble Minds'!$R31</f>
        <v>0</v>
      </c>
      <c r="AB31" s="546">
        <f>-'5C1AF_JCFA-Laf'!$R31</f>
        <v>0</v>
      </c>
      <c r="AC31" s="546">
        <f>-'5C1AG_Collegiate'!$R31</f>
        <v>0</v>
      </c>
      <c r="AD31" s="290">
        <f>-'5C1AH_BRUP'!$R31</f>
        <v>0</v>
      </c>
      <c r="AE31" s="775">
        <f>-'5C1AI_Harmony'!$R31</f>
        <v>0</v>
      </c>
      <c r="AF31" s="775">
        <f>-'5C1AJ_Athlos'!$R31</f>
        <v>0</v>
      </c>
      <c r="AG31" s="1080">
        <f>-'5C1AK_NxtGen'!$R31</f>
        <v>0</v>
      </c>
      <c r="AH31" s="1080">
        <f>-'5C1AL_Red River'!$R31</f>
        <v>0</v>
      </c>
      <c r="AI31" s="290">
        <f>-('5C2_LAVCA'!$R31+'5C2_LAVCA'!$S31)</f>
        <v>-77964</v>
      </c>
      <c r="AJ31" s="290">
        <f>-('5C3_UnvView'!$R31+'5C3_UnvView'!$S31)</f>
        <v>-30490</v>
      </c>
      <c r="AK31" s="290">
        <f>-Placeholder_Greater!$R31</f>
        <v>0</v>
      </c>
      <c r="AL31" s="291">
        <f t="shared" si="4"/>
        <v>-232401</v>
      </c>
      <c r="AM31" s="291">
        <f t="shared" si="8"/>
        <v>12472472</v>
      </c>
      <c r="AN31" s="291">
        <f>ROUND(AM31/'8_2.1.20 SIS'!C31,0)</f>
        <v>5753</v>
      </c>
      <c r="AO31" s="953">
        <f>'3B_Pay Raise'!O31</f>
        <v>337532</v>
      </c>
      <c r="AP31" s="292">
        <v>1893</v>
      </c>
      <c r="AQ31" s="290">
        <f t="shared" si="9"/>
        <v>1893</v>
      </c>
      <c r="AR31" s="290">
        <f t="shared" si="10"/>
        <v>0</v>
      </c>
      <c r="AS31" s="290">
        <v>-483252</v>
      </c>
      <c r="AT31" s="290">
        <v>34518</v>
      </c>
      <c r="AU31" s="292">
        <f t="shared" si="11"/>
        <v>-448734</v>
      </c>
      <c r="AV31" s="291">
        <f t="shared" si="12"/>
        <v>12363163</v>
      </c>
      <c r="AW31" s="290">
        <f>'4_Level 4'!E31</f>
        <v>0</v>
      </c>
      <c r="AX31" s="290">
        <f>'4_Level 4'!Q31</f>
        <v>57171</v>
      </c>
      <c r="AY31" s="291">
        <f t="shared" si="5"/>
        <v>12420334</v>
      </c>
      <c r="AZ31" s="290">
        <v>8416674</v>
      </c>
      <c r="BA31" s="290">
        <f t="shared" si="13"/>
        <v>4003660</v>
      </c>
      <c r="BB31" s="290">
        <f t="shared" si="6"/>
        <v>1000915</v>
      </c>
      <c r="BC31" s="290">
        <f>'4_Level 4'!J31</f>
        <v>0</v>
      </c>
      <c r="BD31" s="290">
        <f>'4_Level 4'!L31</f>
        <v>83627</v>
      </c>
      <c r="BE31" s="290">
        <f>'4_Level 4'!M31</f>
        <v>0</v>
      </c>
      <c r="BF31" s="291">
        <f t="shared" si="7"/>
        <v>12503961</v>
      </c>
    </row>
    <row r="32" spans="1:58" ht="15.6" customHeight="1" x14ac:dyDescent="0.2">
      <c r="A32" s="281">
        <v>26</v>
      </c>
      <c r="B32" s="282" t="s">
        <v>29</v>
      </c>
      <c r="C32" s="36">
        <f>'3_Levels 1&amp;2'!AP32</f>
        <v>247347788</v>
      </c>
      <c r="D32" s="36">
        <v>0</v>
      </c>
      <c r="E32" s="36">
        <f>-'5C1A_Madison'!$R32</f>
        <v>0</v>
      </c>
      <c r="F32" s="36">
        <f>-'5C1B_DArbonne'!$R32</f>
        <v>0</v>
      </c>
      <c r="G32" s="36">
        <f>-'5C1C_Intl High'!$R32</f>
        <v>-187857</v>
      </c>
      <c r="H32" s="36">
        <f>-'5C1D_NOMMA'!$R32</f>
        <v>-3266952</v>
      </c>
      <c r="I32" s="36">
        <f>-'5C1E_LFNO'!$R32</f>
        <v>-1073376</v>
      </c>
      <c r="J32" s="36">
        <f>-'5C1F_L.C. Charter'!$R32</f>
        <v>0</v>
      </c>
      <c r="K32" s="36">
        <f>-'5C1G_JS Clark'!$R32</f>
        <v>0</v>
      </c>
      <c r="L32" s="36">
        <f>-'5C1H_Southwest'!$R32</f>
        <v>0</v>
      </c>
      <c r="M32" s="36">
        <f>-'5C1I_LA Key'!$R32</f>
        <v>-7710</v>
      </c>
      <c r="N32" s="36">
        <f>-'5C1J_JCFA-East'!$R32</f>
        <v>-835407</v>
      </c>
      <c r="O32" s="36">
        <f>-'5C1M_GEO Mid'!$R32</f>
        <v>0</v>
      </c>
      <c r="P32" s="36">
        <f>-'5C1N_Delta'!$R32</f>
        <v>0</v>
      </c>
      <c r="Q32" s="36">
        <f>-'5C1O_Impact'!$R32</f>
        <v>0</v>
      </c>
      <c r="R32" s="36">
        <f>-'5C1Q_Advantage'!$R32</f>
        <v>0</v>
      </c>
      <c r="S32" s="36">
        <f>-'5C1R_Iberville'!$R32</f>
        <v>-31172</v>
      </c>
      <c r="T32" s="36">
        <f>-'5C1S_LC Col Prep'!$R32</f>
        <v>0</v>
      </c>
      <c r="U32" s="36">
        <f>-'5C1T_Northeast'!$R32</f>
        <v>0</v>
      </c>
      <c r="V32" s="36">
        <f>-'5C1U_Acadiana Ren'!$R32</f>
        <v>0</v>
      </c>
      <c r="W32" s="36">
        <f>-'5C1V_Laf Ren'!$R32</f>
        <v>0</v>
      </c>
      <c r="X32" s="36">
        <f>-'5C1W_Willow'!$R32</f>
        <v>0</v>
      </c>
      <c r="Y32" s="36">
        <f>-'5C1Y_GEO'!$R32</f>
        <v>0</v>
      </c>
      <c r="Z32" s="36">
        <f>-'5C1Z_Lincoln Prep'!$R32</f>
        <v>0</v>
      </c>
      <c r="AA32" s="36">
        <f>-'5C1AE_Noble Minds'!$R32</f>
        <v>-58202</v>
      </c>
      <c r="AB32" s="36">
        <f>-'5C1AF_JCFA-Laf'!$R32</f>
        <v>0</v>
      </c>
      <c r="AC32" s="36">
        <f>-'5C1AG_Collegiate'!$R32</f>
        <v>0</v>
      </c>
      <c r="AD32" s="36">
        <f>-'5C1AH_BRUP'!$R32</f>
        <v>0</v>
      </c>
      <c r="AE32" s="36">
        <f>-'5C1AI_Harmony'!$R32</f>
        <v>-37030</v>
      </c>
      <c r="AF32" s="36">
        <f>-'5C1AJ_Athlos'!$R32</f>
        <v>-4813855</v>
      </c>
      <c r="AG32" s="36">
        <f>-'5C1AK_NxtGen'!$R32</f>
        <v>0</v>
      </c>
      <c r="AH32" s="36">
        <f>-'5C1AL_Red River'!$R32</f>
        <v>0</v>
      </c>
      <c r="AI32" s="36">
        <f>-('5C2_LAVCA'!$R32+'5C2_LAVCA'!$S32)</f>
        <v>-848193</v>
      </c>
      <c r="AJ32" s="36">
        <f>-('5C3_UnvView'!$R32+'5C3_UnvView'!$S32)</f>
        <v>-940391</v>
      </c>
      <c r="AK32" s="36">
        <f>-Placeholder_Greater!$R32</f>
        <v>0</v>
      </c>
      <c r="AL32" s="35">
        <f t="shared" si="4"/>
        <v>-12100145</v>
      </c>
      <c r="AM32" s="35">
        <f t="shared" si="8"/>
        <v>235247643</v>
      </c>
      <c r="AN32" s="35">
        <f>ROUND(AM32/'8_2.1.20 SIS'!C32,0)</f>
        <v>4869</v>
      </c>
      <c r="AO32" s="35">
        <f>'3B_Pay Raise'!O32</f>
        <v>6684043</v>
      </c>
      <c r="AP32" s="37">
        <v>-175446</v>
      </c>
      <c r="AQ32" s="36">
        <f t="shared" si="9"/>
        <v>0</v>
      </c>
      <c r="AR32" s="36">
        <f t="shared" si="10"/>
        <v>-175446</v>
      </c>
      <c r="AS32" s="36">
        <v>-4537908</v>
      </c>
      <c r="AT32" s="36">
        <v>-579411</v>
      </c>
      <c r="AU32" s="37">
        <f t="shared" si="11"/>
        <v>-5117319</v>
      </c>
      <c r="AV32" s="35">
        <f t="shared" si="12"/>
        <v>236638921</v>
      </c>
      <c r="AW32" s="36">
        <f>'4_Level 4'!E32</f>
        <v>483000</v>
      </c>
      <c r="AX32" s="36">
        <f>'4_Level 4'!Q32</f>
        <v>1194750</v>
      </c>
      <c r="AY32" s="35">
        <f t="shared" si="5"/>
        <v>238316671</v>
      </c>
      <c r="AZ32" s="36">
        <v>160865672</v>
      </c>
      <c r="BA32" s="36">
        <f t="shared" si="13"/>
        <v>77450999</v>
      </c>
      <c r="BB32" s="36">
        <f t="shared" si="6"/>
        <v>19362750</v>
      </c>
      <c r="BC32" s="36">
        <f>'4_Level 4'!J32</f>
        <v>24000</v>
      </c>
      <c r="BD32" s="36">
        <f>'4_Level 4'!L32</f>
        <v>1269347</v>
      </c>
      <c r="BE32" s="36">
        <f>'4_Level 4'!M32</f>
        <v>301384</v>
      </c>
      <c r="BF32" s="35">
        <f t="shared" si="7"/>
        <v>239911402</v>
      </c>
    </row>
    <row r="33" spans="1:58" ht="15.6" customHeight="1" x14ac:dyDescent="0.2">
      <c r="A33" s="283">
        <v>27</v>
      </c>
      <c r="B33" s="284" t="s">
        <v>30</v>
      </c>
      <c r="C33" s="285">
        <f>'3_Levels 1&amp;2'!AP33</f>
        <v>36827471</v>
      </c>
      <c r="D33" s="285">
        <v>0</v>
      </c>
      <c r="E33" s="285">
        <f>-'5C1A_Madison'!$R33</f>
        <v>0</v>
      </c>
      <c r="F33" s="285">
        <f>-'5C1B_DArbonne'!$R33</f>
        <v>0</v>
      </c>
      <c r="G33" s="285">
        <f>-'5C1C_Intl High'!$R33</f>
        <v>0</v>
      </c>
      <c r="H33" s="285">
        <f>-'5C1D_NOMMA'!$R33</f>
        <v>0</v>
      </c>
      <c r="I33" s="285">
        <f>-'5C1E_LFNO'!$R33</f>
        <v>0</v>
      </c>
      <c r="J33" s="285">
        <f>-'5C1F_L.C. Charter'!$R33</f>
        <v>-28582</v>
      </c>
      <c r="K33" s="285">
        <f>-'5C1G_JS Clark'!$R33</f>
        <v>0</v>
      </c>
      <c r="L33" s="285">
        <f>-'5C1H_Southwest'!$R33</f>
        <v>-21385</v>
      </c>
      <c r="M33" s="285">
        <f>-'5C1I_LA Key'!$R33</f>
        <v>0</v>
      </c>
      <c r="N33" s="285">
        <f>-'5C1J_JCFA-East'!$R33</f>
        <v>0</v>
      </c>
      <c r="O33" s="285">
        <f>-'5C1M_GEO Mid'!$R33</f>
        <v>0</v>
      </c>
      <c r="P33" s="285">
        <f>-'5C1N_Delta'!$R33</f>
        <v>0</v>
      </c>
      <c r="Q33" s="285">
        <f>-'5C1O_Impact'!$R33</f>
        <v>0</v>
      </c>
      <c r="R33" s="285">
        <f>-'5C1Q_Advantage'!$R33</f>
        <v>0</v>
      </c>
      <c r="S33" s="285">
        <f>-'5C1R_Iberville'!$R33</f>
        <v>0</v>
      </c>
      <c r="T33" s="285">
        <f>-'5C1S_LC Col Prep'!$R33</f>
        <v>0</v>
      </c>
      <c r="U33" s="285">
        <f>-'5C1T_Northeast'!$R33</f>
        <v>0</v>
      </c>
      <c r="V33" s="285">
        <f>-'5C1U_Acadiana Ren'!$R33</f>
        <v>0</v>
      </c>
      <c r="W33" s="285">
        <f>-'5C1V_Laf Ren'!$R33</f>
        <v>0</v>
      </c>
      <c r="X33" s="285">
        <f>-'5C1W_Willow'!$R33</f>
        <v>0</v>
      </c>
      <c r="Y33" s="285">
        <f>-'5C1Y_GEO'!$R33</f>
        <v>0</v>
      </c>
      <c r="Z33" s="285">
        <f>-'5C1Z_Lincoln Prep'!$R33</f>
        <v>0</v>
      </c>
      <c r="AA33" s="285">
        <f>-'5C1AE_Noble Minds'!$R33</f>
        <v>0</v>
      </c>
      <c r="AB33" s="285">
        <f>-'5C1AF_JCFA-Laf'!$R33</f>
        <v>-5963</v>
      </c>
      <c r="AC33" s="285">
        <f>-'5C1AG_Collegiate'!$R33</f>
        <v>0</v>
      </c>
      <c r="AD33" s="285">
        <f>-'5C1AH_BRUP'!$R33</f>
        <v>0</v>
      </c>
      <c r="AE33" s="285">
        <f>-'5C1AI_Harmony'!$R33</f>
        <v>0</v>
      </c>
      <c r="AF33" s="285">
        <f>-'5C1AJ_Athlos'!$R33</f>
        <v>0</v>
      </c>
      <c r="AG33" s="285">
        <f>-'5C1AK_NxtGen'!$R33</f>
        <v>0</v>
      </c>
      <c r="AH33" s="285">
        <f>-'5C1AL_Red River'!$R33</f>
        <v>0</v>
      </c>
      <c r="AI33" s="285">
        <f>-('5C2_LAVCA'!$R33+'5C2_LAVCA'!$S33)</f>
        <v>-90673</v>
      </c>
      <c r="AJ33" s="285">
        <f>-('5C3_UnvView'!$R33+'5C3_UnvView'!$S33)</f>
        <v>-11611</v>
      </c>
      <c r="AK33" s="285">
        <f>-Placeholder_Greater!$R33</f>
        <v>0</v>
      </c>
      <c r="AL33" s="286">
        <f t="shared" si="4"/>
        <v>-158214</v>
      </c>
      <c r="AM33" s="286">
        <f t="shared" si="8"/>
        <v>36669257</v>
      </c>
      <c r="AN33" s="286">
        <f>ROUND(AM33/'8_2.1.20 SIS'!C33,0)</f>
        <v>6709</v>
      </c>
      <c r="AO33" s="286">
        <f>'3B_Pay Raise'!O33</f>
        <v>764238</v>
      </c>
      <c r="AP33" s="287">
        <v>1885</v>
      </c>
      <c r="AQ33" s="285">
        <f t="shared" si="9"/>
        <v>1885</v>
      </c>
      <c r="AR33" s="285">
        <f t="shared" si="10"/>
        <v>0</v>
      </c>
      <c r="AS33" s="285">
        <v>-275069</v>
      </c>
      <c r="AT33" s="285">
        <v>-194561</v>
      </c>
      <c r="AU33" s="287">
        <f t="shared" si="11"/>
        <v>-469630</v>
      </c>
      <c r="AV33" s="286">
        <f t="shared" si="12"/>
        <v>36965750</v>
      </c>
      <c r="AW33" s="285">
        <f>'4_Level 4'!E33</f>
        <v>0</v>
      </c>
      <c r="AX33" s="285">
        <f>'4_Level 4'!Q33</f>
        <v>146261</v>
      </c>
      <c r="AY33" s="286">
        <f t="shared" si="5"/>
        <v>37112011</v>
      </c>
      <c r="AZ33" s="285">
        <v>24959600</v>
      </c>
      <c r="BA33" s="285">
        <f t="shared" si="13"/>
        <v>12152411</v>
      </c>
      <c r="BB33" s="285">
        <f t="shared" si="6"/>
        <v>3038103</v>
      </c>
      <c r="BC33" s="285">
        <f>'4_Level 4'!J33</f>
        <v>0</v>
      </c>
      <c r="BD33" s="285">
        <f>'4_Level 4'!L33</f>
        <v>156650</v>
      </c>
      <c r="BE33" s="285">
        <f>'4_Level 4'!M33</f>
        <v>0</v>
      </c>
      <c r="BF33" s="286">
        <f t="shared" si="7"/>
        <v>37268661</v>
      </c>
    </row>
    <row r="34" spans="1:58" ht="15.6" customHeight="1" x14ac:dyDescent="0.2">
      <c r="A34" s="283">
        <v>28</v>
      </c>
      <c r="B34" s="284" t="s">
        <v>31</v>
      </c>
      <c r="C34" s="285">
        <f>'3_Levels 1&amp;2'!AP34</f>
        <v>146305508</v>
      </c>
      <c r="D34" s="285">
        <v>0</v>
      </c>
      <c r="E34" s="285">
        <f>-'5C1A_Madison'!$R34</f>
        <v>0</v>
      </c>
      <c r="F34" s="285">
        <f>-'5C1B_DArbonne'!$R34</f>
        <v>0</v>
      </c>
      <c r="G34" s="285">
        <f>-'5C1C_Intl High'!$R34</f>
        <v>0</v>
      </c>
      <c r="H34" s="285">
        <f>-'5C1D_NOMMA'!$R34</f>
        <v>0</v>
      </c>
      <c r="I34" s="285">
        <f>-'5C1E_LFNO'!$R34</f>
        <v>0</v>
      </c>
      <c r="J34" s="285">
        <f>-'5C1F_L.C. Charter'!$R34</f>
        <v>0</v>
      </c>
      <c r="K34" s="285">
        <f>-'5C1G_JS Clark'!$R34</f>
        <v>0</v>
      </c>
      <c r="L34" s="285">
        <f>-'5C1H_Southwest'!$R34</f>
        <v>0</v>
      </c>
      <c r="M34" s="285">
        <f>-'5C1I_LA Key'!$R34</f>
        <v>0</v>
      </c>
      <c r="N34" s="285">
        <f>-'5C1J_JCFA-East'!$R34</f>
        <v>0</v>
      </c>
      <c r="O34" s="285">
        <f>-'5C1M_GEO Mid'!$R34</f>
        <v>0</v>
      </c>
      <c r="P34" s="285">
        <f>-'5C1N_Delta'!$R34</f>
        <v>0</v>
      </c>
      <c r="Q34" s="285">
        <f>-'5C1O_Impact'!$R34</f>
        <v>0</v>
      </c>
      <c r="R34" s="285">
        <f>-'5C1Q_Advantage'!$R34</f>
        <v>0</v>
      </c>
      <c r="S34" s="285">
        <f>-'5C1R_Iberville'!$R34</f>
        <v>0</v>
      </c>
      <c r="T34" s="285">
        <f>-'5C1S_LC Col Prep'!$R34</f>
        <v>0</v>
      </c>
      <c r="U34" s="285">
        <f>-'5C1T_Northeast'!$R34</f>
        <v>0</v>
      </c>
      <c r="V34" s="285">
        <f>-'5C1U_Acadiana Ren'!$R34</f>
        <v>-3050188</v>
      </c>
      <c r="W34" s="285">
        <f>-'5C1V_Laf Ren'!$R34</f>
        <v>-3503395</v>
      </c>
      <c r="X34" s="285">
        <f>-'5C1W_Willow'!$R34</f>
        <v>-2449400</v>
      </c>
      <c r="Y34" s="285">
        <f>-'5C1Y_GEO'!$R34</f>
        <v>0</v>
      </c>
      <c r="Z34" s="285">
        <f>-'5C1Z_Lincoln Prep'!$R34</f>
        <v>0</v>
      </c>
      <c r="AA34" s="285">
        <f>-'5C1AE_Noble Minds'!$R34</f>
        <v>0</v>
      </c>
      <c r="AB34" s="285">
        <f>-'5C1AF_JCFA-Laf'!$R34</f>
        <v>-278417</v>
      </c>
      <c r="AC34" s="285">
        <f>-'5C1AG_Collegiate'!$R34</f>
        <v>0</v>
      </c>
      <c r="AD34" s="285">
        <f>-'5C1AH_BRUP'!$R34</f>
        <v>0</v>
      </c>
      <c r="AE34" s="285">
        <f>-'5C1AI_Harmony'!$R34</f>
        <v>0</v>
      </c>
      <c r="AF34" s="285">
        <f>-'5C1AJ_Athlos'!$R34</f>
        <v>0</v>
      </c>
      <c r="AG34" s="285">
        <f>-'5C1AK_NxtGen'!$R34</f>
        <v>0</v>
      </c>
      <c r="AH34" s="285">
        <f>-'5C1AL_Red River'!$R34</f>
        <v>0</v>
      </c>
      <c r="AI34" s="285">
        <f>-('5C2_LAVCA'!$R34+'5C2_LAVCA'!$S34)</f>
        <v>-287399</v>
      </c>
      <c r="AJ34" s="285">
        <f>-('5C3_UnvView'!$R34+'5C3_UnvView'!$S34)</f>
        <v>-489557</v>
      </c>
      <c r="AK34" s="285">
        <f>-Placeholder_Greater!$R34</f>
        <v>0</v>
      </c>
      <c r="AL34" s="286">
        <f t="shared" si="4"/>
        <v>-10058356</v>
      </c>
      <c r="AM34" s="286">
        <f t="shared" si="8"/>
        <v>136247152</v>
      </c>
      <c r="AN34" s="286">
        <f>ROUND(AM34/'8_2.1.20 SIS'!C34,0)</f>
        <v>4396</v>
      </c>
      <c r="AO34" s="286">
        <f>'3B_Pay Raise'!O34</f>
        <v>4265741</v>
      </c>
      <c r="AP34" s="287">
        <v>-47226</v>
      </c>
      <c r="AQ34" s="285">
        <f t="shared" si="9"/>
        <v>0</v>
      </c>
      <c r="AR34" s="285">
        <f t="shared" si="10"/>
        <v>-47226</v>
      </c>
      <c r="AS34" s="285">
        <v>-1235276</v>
      </c>
      <c r="AT34" s="285">
        <v>74732</v>
      </c>
      <c r="AU34" s="287">
        <f t="shared" si="11"/>
        <v>-1160544</v>
      </c>
      <c r="AV34" s="286">
        <f t="shared" si="12"/>
        <v>139305123</v>
      </c>
      <c r="AW34" s="285">
        <f>'4_Level 4'!E34</f>
        <v>840000</v>
      </c>
      <c r="AX34" s="285">
        <f>'4_Level 4'!Q34</f>
        <v>821044</v>
      </c>
      <c r="AY34" s="286">
        <f t="shared" si="5"/>
        <v>140966167</v>
      </c>
      <c r="AZ34" s="285">
        <v>94330978</v>
      </c>
      <c r="BA34" s="285">
        <f t="shared" si="13"/>
        <v>46635189</v>
      </c>
      <c r="BB34" s="285">
        <f t="shared" si="6"/>
        <v>11658797</v>
      </c>
      <c r="BC34" s="285">
        <f>'4_Level 4'!J34</f>
        <v>18000</v>
      </c>
      <c r="BD34" s="285">
        <f>'4_Level 4'!L34</f>
        <v>836993</v>
      </c>
      <c r="BE34" s="285">
        <f>'4_Level 4'!M34</f>
        <v>0</v>
      </c>
      <c r="BF34" s="286">
        <f t="shared" si="7"/>
        <v>141821160</v>
      </c>
    </row>
    <row r="35" spans="1:58" ht="15.6" customHeight="1" x14ac:dyDescent="0.2">
      <c r="A35" s="283">
        <v>29</v>
      </c>
      <c r="B35" s="284" t="s">
        <v>32</v>
      </c>
      <c r="C35" s="285">
        <f>'3_Levels 1&amp;2'!AP35</f>
        <v>73809358</v>
      </c>
      <c r="D35" s="285">
        <v>0</v>
      </c>
      <c r="E35" s="285">
        <f>-'5C1A_Madison'!$R35</f>
        <v>0</v>
      </c>
      <c r="F35" s="285">
        <f>-'5C1B_DArbonne'!$R35</f>
        <v>0</v>
      </c>
      <c r="G35" s="285">
        <f>-'5C1C_Intl High'!$R35</f>
        <v>-4328</v>
      </c>
      <c r="H35" s="285">
        <f>-'5C1D_NOMMA'!$R35</f>
        <v>0</v>
      </c>
      <c r="I35" s="285">
        <f>-'5C1E_LFNO'!$R35</f>
        <v>0</v>
      </c>
      <c r="J35" s="285">
        <f>-'5C1F_L.C. Charter'!$R35</f>
        <v>0</v>
      </c>
      <c r="K35" s="285">
        <f>-'5C1G_JS Clark'!$R35</f>
        <v>0</v>
      </c>
      <c r="L35" s="285">
        <f>-'5C1H_Southwest'!$R35</f>
        <v>0</v>
      </c>
      <c r="M35" s="285">
        <f>-'5C1I_LA Key'!$R35</f>
        <v>0</v>
      </c>
      <c r="N35" s="285">
        <f>-'5C1J_JCFA-East'!$R35</f>
        <v>0</v>
      </c>
      <c r="O35" s="285">
        <f>-'5C1M_GEO Mid'!$R35</f>
        <v>0</v>
      </c>
      <c r="P35" s="285">
        <f>-'5C1N_Delta'!$R35</f>
        <v>0</v>
      </c>
      <c r="Q35" s="285">
        <f>-'5C1O_Impact'!$R35</f>
        <v>0</v>
      </c>
      <c r="R35" s="285">
        <f>-'5C1Q_Advantage'!$R35</f>
        <v>0</v>
      </c>
      <c r="S35" s="285">
        <f>-'5C1R_Iberville'!$R35</f>
        <v>-308333</v>
      </c>
      <c r="T35" s="285">
        <f>-'5C1S_LC Col Prep'!$R35</f>
        <v>0</v>
      </c>
      <c r="U35" s="285">
        <f>-'5C1T_Northeast'!$R35</f>
        <v>0</v>
      </c>
      <c r="V35" s="285">
        <f>-'5C1U_Acadiana Ren'!$R35</f>
        <v>-8655</v>
      </c>
      <c r="W35" s="285">
        <f>-'5C1V_Laf Ren'!$R35</f>
        <v>0</v>
      </c>
      <c r="X35" s="285">
        <f>-'5C1W_Willow'!$R35</f>
        <v>0</v>
      </c>
      <c r="Y35" s="285">
        <f>-'5C1Y_GEO'!$R35</f>
        <v>0</v>
      </c>
      <c r="Z35" s="285">
        <f>-'5C1Z_Lincoln Prep'!$R35</f>
        <v>0</v>
      </c>
      <c r="AA35" s="285">
        <f>-'5C1AE_Noble Minds'!$R35</f>
        <v>0</v>
      </c>
      <c r="AB35" s="285">
        <f>-'5C1AF_JCFA-Laf'!$R35</f>
        <v>0</v>
      </c>
      <c r="AC35" s="285">
        <f>-'5C1AG_Collegiate'!$R35</f>
        <v>0</v>
      </c>
      <c r="AD35" s="285">
        <f>-'5C1AH_BRUP'!$R35</f>
        <v>0</v>
      </c>
      <c r="AE35" s="285">
        <f>-'5C1AI_Harmony'!$R35</f>
        <v>0</v>
      </c>
      <c r="AF35" s="285">
        <f>-'5C1AJ_Athlos'!$R35</f>
        <v>0</v>
      </c>
      <c r="AG35" s="285">
        <f>-'5C1AK_NxtGen'!$R35</f>
        <v>0</v>
      </c>
      <c r="AH35" s="285">
        <f>-'5C1AL_Red River'!$R35</f>
        <v>0</v>
      </c>
      <c r="AI35" s="285">
        <f>-('5C2_LAVCA'!$R35+'5C2_LAVCA'!$S35)</f>
        <v>-145611</v>
      </c>
      <c r="AJ35" s="285">
        <f>-('5C3_UnvView'!$R35+'5C3_UnvView'!$S35)</f>
        <v>-344459</v>
      </c>
      <c r="AK35" s="285">
        <f>-Placeholder_Greater!$R35</f>
        <v>-4910</v>
      </c>
      <c r="AL35" s="286">
        <f t="shared" si="4"/>
        <v>-816296</v>
      </c>
      <c r="AM35" s="286">
        <f t="shared" si="8"/>
        <v>72993062</v>
      </c>
      <c r="AN35" s="286">
        <f>ROUND(AM35/'8_2.1.20 SIS'!C35,0)</f>
        <v>5234</v>
      </c>
      <c r="AO35" s="286">
        <f>'3B_Pay Raise'!O35</f>
        <v>1865288</v>
      </c>
      <c r="AP35" s="287">
        <v>0</v>
      </c>
      <c r="AQ35" s="285">
        <f t="shared" si="9"/>
        <v>0</v>
      </c>
      <c r="AR35" s="285">
        <f t="shared" si="10"/>
        <v>0</v>
      </c>
      <c r="AS35" s="285">
        <v>-272168</v>
      </c>
      <c r="AT35" s="285">
        <v>-94212</v>
      </c>
      <c r="AU35" s="287">
        <f t="shared" si="11"/>
        <v>-366380</v>
      </c>
      <c r="AV35" s="286">
        <f t="shared" si="12"/>
        <v>74491970</v>
      </c>
      <c r="AW35" s="285">
        <f>'4_Level 4'!E35</f>
        <v>273000</v>
      </c>
      <c r="AX35" s="285">
        <f>'4_Level 4'!Q35</f>
        <v>362201</v>
      </c>
      <c r="AY35" s="286">
        <f t="shared" si="5"/>
        <v>75127171</v>
      </c>
      <c r="AZ35" s="285">
        <v>50234566</v>
      </c>
      <c r="BA35" s="285">
        <f t="shared" si="13"/>
        <v>24892605</v>
      </c>
      <c r="BB35" s="285">
        <f t="shared" si="6"/>
        <v>6223151</v>
      </c>
      <c r="BC35" s="285">
        <f>'4_Level 4'!J35</f>
        <v>18000</v>
      </c>
      <c r="BD35" s="285">
        <f>'4_Level 4'!L35</f>
        <v>617683</v>
      </c>
      <c r="BE35" s="285">
        <f>'4_Level 4'!M35</f>
        <v>61702</v>
      </c>
      <c r="BF35" s="286">
        <f t="shared" si="7"/>
        <v>75824556</v>
      </c>
    </row>
    <row r="36" spans="1:58" ht="15.6" customHeight="1" x14ac:dyDescent="0.2">
      <c r="A36" s="288">
        <v>30</v>
      </c>
      <c r="B36" s="289" t="s">
        <v>33</v>
      </c>
      <c r="C36" s="290">
        <f>'3_Levels 1&amp;2'!AP36</f>
        <v>16847972</v>
      </c>
      <c r="D36" s="290">
        <v>0</v>
      </c>
      <c r="E36" s="290">
        <f>-'5C1A_Madison'!$R36</f>
        <v>0</v>
      </c>
      <c r="F36" s="290">
        <f>-'5C1B_DArbonne'!$R36</f>
        <v>0</v>
      </c>
      <c r="G36" s="290">
        <f>-'5C1C_Intl High'!$R36</f>
        <v>0</v>
      </c>
      <c r="H36" s="290">
        <f>-'5C1D_NOMMA'!$R36</f>
        <v>0</v>
      </c>
      <c r="I36" s="290">
        <f>-'5C1E_LFNO'!$R36</f>
        <v>0</v>
      </c>
      <c r="J36" s="290">
        <f>-'5C1F_L.C. Charter'!$R36</f>
        <v>0</v>
      </c>
      <c r="K36" s="290">
        <f>-'5C1G_JS Clark'!$R36</f>
        <v>0</v>
      </c>
      <c r="L36" s="290">
        <f>-'5C1H_Southwest'!$R36</f>
        <v>0</v>
      </c>
      <c r="M36" s="290">
        <f>-'5C1I_LA Key'!$R36</f>
        <v>0</v>
      </c>
      <c r="N36" s="290">
        <f>-'5C1J_JCFA-East'!$R36</f>
        <v>0</v>
      </c>
      <c r="O36" s="290">
        <f>-'5C1M_GEO Mid'!$R36</f>
        <v>0</v>
      </c>
      <c r="P36" s="290">
        <f>-'5C1N_Delta'!$R36</f>
        <v>0</v>
      </c>
      <c r="Q36" s="290">
        <f>-'5C1O_Impact'!$R36</f>
        <v>0</v>
      </c>
      <c r="R36" s="290">
        <f>-'5C1Q_Advantage'!$R36</f>
        <v>0</v>
      </c>
      <c r="S36" s="290">
        <f>-'5C1R_Iberville'!$R36</f>
        <v>0</v>
      </c>
      <c r="T36" s="290">
        <f>-'5C1S_LC Col Prep'!$R36</f>
        <v>0</v>
      </c>
      <c r="U36" s="290">
        <f>-'5C1T_Northeast'!$R36</f>
        <v>0</v>
      </c>
      <c r="V36" s="290">
        <f>-'5C1U_Acadiana Ren'!$R36</f>
        <v>-5267</v>
      </c>
      <c r="W36" s="290">
        <f>-'5C1V_Laf Ren'!$R36</f>
        <v>0</v>
      </c>
      <c r="X36" s="290">
        <f>-'5C1W_Willow'!$R36</f>
        <v>0</v>
      </c>
      <c r="Y36" s="290">
        <f>-'5C1Y_GEO'!$R36</f>
        <v>0</v>
      </c>
      <c r="Z36" s="290">
        <f>-'5C1Z_Lincoln Prep'!$R36</f>
        <v>0</v>
      </c>
      <c r="AA36" s="546">
        <f>-'5C1AE_Noble Minds'!$R36</f>
        <v>0</v>
      </c>
      <c r="AB36" s="546">
        <f>-'5C1AF_JCFA-Laf'!$R36</f>
        <v>0</v>
      </c>
      <c r="AC36" s="546">
        <f>-'5C1AG_Collegiate'!$R36</f>
        <v>0</v>
      </c>
      <c r="AD36" s="290">
        <f>-'5C1AH_BRUP'!$R36</f>
        <v>0</v>
      </c>
      <c r="AE36" s="775">
        <f>-'5C1AI_Harmony'!$R36</f>
        <v>0</v>
      </c>
      <c r="AF36" s="775">
        <f>-'5C1AJ_Athlos'!$R36</f>
        <v>0</v>
      </c>
      <c r="AG36" s="1080">
        <f>-'5C1AK_NxtGen'!$R36</f>
        <v>0</v>
      </c>
      <c r="AH36" s="1080">
        <f>-'5C1AL_Red River'!$R36</f>
        <v>0</v>
      </c>
      <c r="AI36" s="290">
        <f>-('5C2_LAVCA'!$R36+'5C2_LAVCA'!$S36)</f>
        <v>-17868</v>
      </c>
      <c r="AJ36" s="290">
        <f>-('5C3_UnvView'!$R36+'5C3_UnvView'!$S36)</f>
        <v>-49658</v>
      </c>
      <c r="AK36" s="290">
        <f>-Placeholder_Greater!$R36</f>
        <v>0</v>
      </c>
      <c r="AL36" s="291">
        <f t="shared" si="4"/>
        <v>-72793</v>
      </c>
      <c r="AM36" s="291">
        <f t="shared" si="8"/>
        <v>16775179</v>
      </c>
      <c r="AN36" s="291">
        <f>ROUND(AM36/'8_2.1.20 SIS'!C36,0)</f>
        <v>6713</v>
      </c>
      <c r="AO36" s="953">
        <f>'3B_Pay Raise'!O36</f>
        <v>381099</v>
      </c>
      <c r="AP36" s="292">
        <v>-10939</v>
      </c>
      <c r="AQ36" s="290">
        <f t="shared" si="9"/>
        <v>0</v>
      </c>
      <c r="AR36" s="290">
        <f t="shared" si="10"/>
        <v>-10939</v>
      </c>
      <c r="AS36" s="290">
        <v>-187964</v>
      </c>
      <c r="AT36" s="290">
        <v>-161112</v>
      </c>
      <c r="AU36" s="292">
        <f t="shared" si="11"/>
        <v>-349076</v>
      </c>
      <c r="AV36" s="291">
        <f t="shared" si="12"/>
        <v>16796263</v>
      </c>
      <c r="AW36" s="290">
        <f>'4_Level 4'!E36</f>
        <v>0</v>
      </c>
      <c r="AX36" s="290">
        <f>'4_Level 4'!Q36</f>
        <v>65785</v>
      </c>
      <c r="AY36" s="291">
        <f t="shared" si="5"/>
        <v>16862048</v>
      </c>
      <c r="AZ36" s="290">
        <v>11409062</v>
      </c>
      <c r="BA36" s="290">
        <f t="shared" si="13"/>
        <v>5452986</v>
      </c>
      <c r="BB36" s="290">
        <f t="shared" si="6"/>
        <v>1363247</v>
      </c>
      <c r="BC36" s="290">
        <f>'4_Level 4'!J36</f>
        <v>0</v>
      </c>
      <c r="BD36" s="290">
        <f>'4_Level 4'!L36</f>
        <v>77361</v>
      </c>
      <c r="BE36" s="290">
        <f>'4_Level 4'!M36</f>
        <v>0</v>
      </c>
      <c r="BF36" s="291">
        <f t="shared" si="7"/>
        <v>16939409</v>
      </c>
    </row>
    <row r="37" spans="1:58" ht="15.6" customHeight="1" x14ac:dyDescent="0.2">
      <c r="A37" s="281">
        <v>31</v>
      </c>
      <c r="B37" s="282" t="s">
        <v>34</v>
      </c>
      <c r="C37" s="36">
        <f>'3_Levels 1&amp;2'!AP37</f>
        <v>32953630</v>
      </c>
      <c r="D37" s="36">
        <v>0</v>
      </c>
      <c r="E37" s="36">
        <f>-'5C1A_Madison'!$R37</f>
        <v>0</v>
      </c>
      <c r="F37" s="36">
        <f>-'5C1B_DArbonne'!$R37</f>
        <v>-265676</v>
      </c>
      <c r="G37" s="36">
        <f>-'5C1C_Intl High'!$R37</f>
        <v>0</v>
      </c>
      <c r="H37" s="36">
        <f>-'5C1D_NOMMA'!$R37</f>
        <v>0</v>
      </c>
      <c r="I37" s="36">
        <f>-'5C1E_LFNO'!$R37</f>
        <v>0</v>
      </c>
      <c r="J37" s="36">
        <f>-'5C1F_L.C. Charter'!$R37</f>
        <v>0</v>
      </c>
      <c r="K37" s="36">
        <f>-'5C1G_JS Clark'!$R37</f>
        <v>0</v>
      </c>
      <c r="L37" s="36">
        <f>-'5C1H_Southwest'!$R37</f>
        <v>0</v>
      </c>
      <c r="M37" s="36">
        <f>-'5C1I_LA Key'!$R37</f>
        <v>0</v>
      </c>
      <c r="N37" s="36">
        <f>-'5C1J_JCFA-East'!$R37</f>
        <v>0</v>
      </c>
      <c r="O37" s="36">
        <f>-'5C1M_GEO Mid'!$R37</f>
        <v>0</v>
      </c>
      <c r="P37" s="36">
        <f>-'5C1N_Delta'!$R37</f>
        <v>0</v>
      </c>
      <c r="Q37" s="36">
        <f>-'5C1O_Impact'!$R37</f>
        <v>0</v>
      </c>
      <c r="R37" s="36">
        <f>-'5C1Q_Advantage'!$R37</f>
        <v>0</v>
      </c>
      <c r="S37" s="36">
        <f>-'5C1R_Iberville'!$R37</f>
        <v>0</v>
      </c>
      <c r="T37" s="36">
        <f>-'5C1S_LC Col Prep'!$R37</f>
        <v>0</v>
      </c>
      <c r="U37" s="36">
        <f>-'5C1T_Northeast'!$R37</f>
        <v>-27908</v>
      </c>
      <c r="V37" s="36">
        <f>-'5C1U_Acadiana Ren'!$R37</f>
        <v>0</v>
      </c>
      <c r="W37" s="36">
        <f>-'5C1V_Laf Ren'!$R37</f>
        <v>0</v>
      </c>
      <c r="X37" s="36">
        <f>-'5C1W_Willow'!$R37</f>
        <v>0</v>
      </c>
      <c r="Y37" s="36">
        <f>-'5C1Y_GEO'!$R37</f>
        <v>0</v>
      </c>
      <c r="Z37" s="36">
        <f>-'5C1Z_Lincoln Prep'!$R37</f>
        <v>-1754763</v>
      </c>
      <c r="AA37" s="36">
        <f>-'5C1AE_Noble Minds'!$R37</f>
        <v>0</v>
      </c>
      <c r="AB37" s="36">
        <f>-'5C1AF_JCFA-Laf'!$R37</f>
        <v>0</v>
      </c>
      <c r="AC37" s="36">
        <f>-'5C1AG_Collegiate'!$R37</f>
        <v>0</v>
      </c>
      <c r="AD37" s="36">
        <f>-'5C1AH_BRUP'!$R37</f>
        <v>0</v>
      </c>
      <c r="AE37" s="36">
        <f>-'5C1AI_Harmony'!$R37</f>
        <v>0</v>
      </c>
      <c r="AF37" s="36">
        <f>-'5C1AJ_Athlos'!$R37</f>
        <v>0</v>
      </c>
      <c r="AG37" s="36">
        <f>-'5C1AK_NxtGen'!$R37</f>
        <v>0</v>
      </c>
      <c r="AH37" s="36">
        <f>-'5C1AL_Red River'!$R37</f>
        <v>0</v>
      </c>
      <c r="AI37" s="36">
        <f>-('5C2_LAVCA'!$R37+'5C2_LAVCA'!$S37)</f>
        <v>-67058</v>
      </c>
      <c r="AJ37" s="36">
        <f>-('5C3_UnvView'!$R37+'5C3_UnvView'!$S37)</f>
        <v>-27427</v>
      </c>
      <c r="AK37" s="36">
        <f>-Placeholder_Greater!$R37</f>
        <v>0</v>
      </c>
      <c r="AL37" s="35">
        <f t="shared" si="4"/>
        <v>-2142832</v>
      </c>
      <c r="AM37" s="35">
        <f t="shared" si="8"/>
        <v>30810798</v>
      </c>
      <c r="AN37" s="35">
        <f>ROUND(AM37/'8_2.1.20 SIS'!C37,0)</f>
        <v>5343</v>
      </c>
      <c r="AO37" s="35">
        <f>'3B_Pay Raise'!O37</f>
        <v>918087</v>
      </c>
      <c r="AP37" s="37">
        <v>-8620</v>
      </c>
      <c r="AQ37" s="36">
        <f t="shared" si="9"/>
        <v>0</v>
      </c>
      <c r="AR37" s="36">
        <f t="shared" si="10"/>
        <v>-8620</v>
      </c>
      <c r="AS37" s="36">
        <v>-673218</v>
      </c>
      <c r="AT37" s="36">
        <v>-136247</v>
      </c>
      <c r="AU37" s="37">
        <f t="shared" si="11"/>
        <v>-809465</v>
      </c>
      <c r="AV37" s="35">
        <f t="shared" si="12"/>
        <v>30910800</v>
      </c>
      <c r="AW37" s="36">
        <f>'4_Level 4'!E37</f>
        <v>84000</v>
      </c>
      <c r="AX37" s="36">
        <f>'4_Level 4'!Q37</f>
        <v>152456</v>
      </c>
      <c r="AY37" s="35">
        <f t="shared" si="5"/>
        <v>31147256</v>
      </c>
      <c r="AZ37" s="36">
        <v>21059826</v>
      </c>
      <c r="BA37" s="36">
        <f t="shared" si="13"/>
        <v>10087430</v>
      </c>
      <c r="BB37" s="36">
        <f t="shared" si="6"/>
        <v>2521858</v>
      </c>
      <c r="BC37" s="36">
        <f>'4_Level 4'!J37</f>
        <v>0</v>
      </c>
      <c r="BD37" s="36">
        <f>'4_Level 4'!L37</f>
        <v>135683</v>
      </c>
      <c r="BE37" s="36">
        <f>'4_Level 4'!M37</f>
        <v>0</v>
      </c>
      <c r="BF37" s="35">
        <f t="shared" si="7"/>
        <v>31282939</v>
      </c>
    </row>
    <row r="38" spans="1:58" ht="15.6" customHeight="1" x14ac:dyDescent="0.2">
      <c r="A38" s="283">
        <v>32</v>
      </c>
      <c r="B38" s="284" t="s">
        <v>35</v>
      </c>
      <c r="C38" s="285">
        <f>'3_Levels 1&amp;2'!AP38</f>
        <v>170493429</v>
      </c>
      <c r="D38" s="285">
        <v>0</v>
      </c>
      <c r="E38" s="285">
        <f>-'5C1A_Madison'!$R38</f>
        <v>-40770</v>
      </c>
      <c r="F38" s="285">
        <f>-'5C1B_DArbonne'!$R38</f>
        <v>0</v>
      </c>
      <c r="G38" s="285">
        <f>-'5C1C_Intl High'!$R38</f>
        <v>0</v>
      </c>
      <c r="H38" s="285">
        <f>-'5C1D_NOMMA'!$R38</f>
        <v>0</v>
      </c>
      <c r="I38" s="285">
        <f>-'5C1E_LFNO'!$R38</f>
        <v>0</v>
      </c>
      <c r="J38" s="285">
        <f>-'5C1F_L.C. Charter'!$R38</f>
        <v>0</v>
      </c>
      <c r="K38" s="285">
        <f>-'5C1G_JS Clark'!$R38</f>
        <v>0</v>
      </c>
      <c r="L38" s="285">
        <f>-'5C1H_Southwest'!$R38</f>
        <v>0</v>
      </c>
      <c r="M38" s="285">
        <f>-'5C1I_LA Key'!$R38</f>
        <v>-171336</v>
      </c>
      <c r="N38" s="285">
        <f>-'5C1J_JCFA-East'!$R38</f>
        <v>0</v>
      </c>
      <c r="O38" s="285">
        <f>-'5C1M_GEO Mid'!$R38</f>
        <v>-24179</v>
      </c>
      <c r="P38" s="285">
        <f>-'5C1N_Delta'!$R38</f>
        <v>0</v>
      </c>
      <c r="Q38" s="285">
        <f>-'5C1O_Impact'!$R38</f>
        <v>0</v>
      </c>
      <c r="R38" s="285">
        <f>-'5C1Q_Advantage'!$R38</f>
        <v>0</v>
      </c>
      <c r="S38" s="285">
        <f>-'5C1R_Iberville'!$R38</f>
        <v>-6045</v>
      </c>
      <c r="T38" s="285">
        <f>-'5C1S_LC Col Prep'!$R38</f>
        <v>0</v>
      </c>
      <c r="U38" s="285">
        <f>-'5C1T_Northeast'!$R38</f>
        <v>0</v>
      </c>
      <c r="V38" s="285">
        <f>-'5C1U_Acadiana Ren'!$R38</f>
        <v>0</v>
      </c>
      <c r="W38" s="285">
        <f>-'5C1V_Laf Ren'!$R38</f>
        <v>0</v>
      </c>
      <c r="X38" s="285">
        <f>-'5C1W_Willow'!$R38</f>
        <v>0</v>
      </c>
      <c r="Y38" s="285">
        <f>-'5C1Y_GEO'!$R38</f>
        <v>-33779</v>
      </c>
      <c r="Z38" s="285">
        <f>-'5C1Z_Lincoln Prep'!$R38</f>
        <v>0</v>
      </c>
      <c r="AA38" s="285">
        <f>-'5C1AE_Noble Minds'!$R38</f>
        <v>0</v>
      </c>
      <c r="AB38" s="285">
        <f>-'5C1AF_JCFA-Laf'!$R38</f>
        <v>0</v>
      </c>
      <c r="AC38" s="285">
        <f>-'5C1AG_Collegiate'!$R38</f>
        <v>0</v>
      </c>
      <c r="AD38" s="285">
        <f>-'5C1AH_BRUP'!$R38</f>
        <v>0</v>
      </c>
      <c r="AE38" s="285">
        <f>-'5C1AI_Harmony'!$R38</f>
        <v>0</v>
      </c>
      <c r="AF38" s="285">
        <f>-'5C1AJ_Athlos'!$R38</f>
        <v>0</v>
      </c>
      <c r="AG38" s="285">
        <f>-'5C1AK_NxtGen'!$R38</f>
        <v>0</v>
      </c>
      <c r="AH38" s="285">
        <f>-'5C1AL_Red River'!$R38</f>
        <v>0</v>
      </c>
      <c r="AI38" s="285">
        <f>-('5C2_LAVCA'!$R38+'5C2_LAVCA'!$S38)</f>
        <v>-581621</v>
      </c>
      <c r="AJ38" s="285">
        <f>-('5C3_UnvView'!$R38+'5C3_UnvView'!$S38)</f>
        <v>-1641080</v>
      </c>
      <c r="AK38" s="285">
        <f>-Placeholder_Greater!$R38</f>
        <v>0</v>
      </c>
      <c r="AL38" s="286">
        <f t="shared" si="4"/>
        <v>-2498810</v>
      </c>
      <c r="AM38" s="286">
        <f t="shared" si="8"/>
        <v>167994619</v>
      </c>
      <c r="AN38" s="286">
        <f>ROUND(AM38/'8_2.1.20 SIS'!C38,0)</f>
        <v>6576</v>
      </c>
      <c r="AO38" s="286">
        <f>'3B_Pay Raise'!O38</f>
        <v>3617579</v>
      </c>
      <c r="AP38" s="287">
        <v>-45149</v>
      </c>
      <c r="AQ38" s="285">
        <f t="shared" si="9"/>
        <v>0</v>
      </c>
      <c r="AR38" s="285">
        <f t="shared" si="10"/>
        <v>-45149</v>
      </c>
      <c r="AS38" s="285">
        <v>-335376</v>
      </c>
      <c r="AT38" s="285">
        <v>-447168</v>
      </c>
      <c r="AU38" s="287">
        <f t="shared" si="11"/>
        <v>-782544</v>
      </c>
      <c r="AV38" s="286">
        <f t="shared" si="12"/>
        <v>170784505</v>
      </c>
      <c r="AW38" s="285">
        <f>'4_Level 4'!E38</f>
        <v>0</v>
      </c>
      <c r="AX38" s="285">
        <f>'4_Level 4'!Q38</f>
        <v>662983</v>
      </c>
      <c r="AY38" s="286">
        <f t="shared" si="5"/>
        <v>171447488</v>
      </c>
      <c r="AZ38" s="285">
        <v>114668198</v>
      </c>
      <c r="BA38" s="285">
        <f t="shared" si="13"/>
        <v>56779290</v>
      </c>
      <c r="BB38" s="285">
        <f t="shared" si="6"/>
        <v>14194823</v>
      </c>
      <c r="BC38" s="285">
        <f>'4_Level 4'!J38</f>
        <v>0</v>
      </c>
      <c r="BD38" s="285">
        <f>'4_Level 4'!L38</f>
        <v>1317788</v>
      </c>
      <c r="BE38" s="285">
        <f>'4_Level 4'!M38</f>
        <v>107430</v>
      </c>
      <c r="BF38" s="286">
        <f t="shared" si="7"/>
        <v>172872706</v>
      </c>
    </row>
    <row r="39" spans="1:58" ht="15.6" customHeight="1" x14ac:dyDescent="0.2">
      <c r="A39" s="283">
        <v>33</v>
      </c>
      <c r="B39" s="284" t="s">
        <v>36</v>
      </c>
      <c r="C39" s="285">
        <f>'3_Levels 1&amp;2'!AP39</f>
        <v>9385404</v>
      </c>
      <c r="D39" s="285">
        <v>0</v>
      </c>
      <c r="E39" s="285">
        <f>-'5C1A_Madison'!$R39</f>
        <v>0</v>
      </c>
      <c r="F39" s="285">
        <f>-'5C1B_DArbonne'!$R39</f>
        <v>0</v>
      </c>
      <c r="G39" s="285">
        <f>-'5C1C_Intl High'!$R39</f>
        <v>0</v>
      </c>
      <c r="H39" s="285">
        <f>-'5C1D_NOMMA'!$R39</f>
        <v>0</v>
      </c>
      <c r="I39" s="285">
        <f>-'5C1E_LFNO'!$R39</f>
        <v>0</v>
      </c>
      <c r="J39" s="285">
        <f>-'5C1F_L.C. Charter'!$R39</f>
        <v>0</v>
      </c>
      <c r="K39" s="285">
        <f>-'5C1G_JS Clark'!$R39</f>
        <v>0</v>
      </c>
      <c r="L39" s="285">
        <f>-'5C1H_Southwest'!$R39</f>
        <v>0</v>
      </c>
      <c r="M39" s="285">
        <f>-'5C1I_LA Key'!$R39</f>
        <v>0</v>
      </c>
      <c r="N39" s="285">
        <f>-'5C1J_JCFA-East'!$R39</f>
        <v>0</v>
      </c>
      <c r="O39" s="285">
        <f>-'5C1M_GEO Mid'!$R39</f>
        <v>0</v>
      </c>
      <c r="P39" s="285">
        <f>-'5C1N_Delta'!$R39</f>
        <v>0</v>
      </c>
      <c r="Q39" s="285">
        <f>-'5C1O_Impact'!$R39</f>
        <v>0</v>
      </c>
      <c r="R39" s="285">
        <f>-'5C1Q_Advantage'!$R39</f>
        <v>0</v>
      </c>
      <c r="S39" s="285">
        <f>-'5C1R_Iberville'!$R39</f>
        <v>0</v>
      </c>
      <c r="T39" s="285">
        <f>-'5C1S_LC Col Prep'!$R39</f>
        <v>0</v>
      </c>
      <c r="U39" s="285">
        <f>-'5C1T_Northeast'!$R39</f>
        <v>0</v>
      </c>
      <c r="V39" s="285">
        <f>-'5C1U_Acadiana Ren'!$R39</f>
        <v>0</v>
      </c>
      <c r="W39" s="285">
        <f>-'5C1V_Laf Ren'!$R39</f>
        <v>0</v>
      </c>
      <c r="X39" s="285">
        <f>-'5C1W_Willow'!$R39</f>
        <v>0</v>
      </c>
      <c r="Y39" s="285">
        <f>-'5C1Y_GEO'!$R39</f>
        <v>0</v>
      </c>
      <c r="Z39" s="285">
        <f>-'5C1Z_Lincoln Prep'!$R39</f>
        <v>0</v>
      </c>
      <c r="AA39" s="285">
        <f>-'5C1AE_Noble Minds'!$R39</f>
        <v>0</v>
      </c>
      <c r="AB39" s="285">
        <f>-'5C1AF_JCFA-Laf'!$R39</f>
        <v>0</v>
      </c>
      <c r="AC39" s="285">
        <f>-'5C1AG_Collegiate'!$R39</f>
        <v>0</v>
      </c>
      <c r="AD39" s="285">
        <f>-'5C1AH_BRUP'!$R39</f>
        <v>0</v>
      </c>
      <c r="AE39" s="285">
        <f>-'5C1AI_Harmony'!$R39</f>
        <v>0</v>
      </c>
      <c r="AF39" s="285">
        <f>-'5C1AJ_Athlos'!$R39</f>
        <v>0</v>
      </c>
      <c r="AG39" s="285">
        <f>-'5C1AK_NxtGen'!$R39</f>
        <v>0</v>
      </c>
      <c r="AH39" s="285">
        <f>-'5C1AL_Red River'!$R39</f>
        <v>0</v>
      </c>
      <c r="AI39" s="285">
        <f>-('5C2_LAVCA'!$R39+'5C2_LAVCA'!$S39)</f>
        <v>-15308</v>
      </c>
      <c r="AJ39" s="285">
        <f>-('5C3_UnvView'!$R39+'5C3_UnvView'!$S39)</f>
        <v>-1898663</v>
      </c>
      <c r="AK39" s="285">
        <f>-Placeholder_Greater!$R39</f>
        <v>0</v>
      </c>
      <c r="AL39" s="286">
        <f t="shared" ref="AL39:AL70" si="14">SUM(D39:AK39)</f>
        <v>-1913971</v>
      </c>
      <c r="AM39" s="286">
        <f t="shared" si="8"/>
        <v>7471433</v>
      </c>
      <c r="AN39" s="286">
        <f>ROUND(AM39/'8_2.1.20 SIS'!C39,0)</f>
        <v>6743</v>
      </c>
      <c r="AO39" s="286">
        <f>'3B_Pay Raise'!O39</f>
        <v>192692</v>
      </c>
      <c r="AP39" s="287">
        <v>-13724</v>
      </c>
      <c r="AQ39" s="285">
        <f t="shared" si="9"/>
        <v>0</v>
      </c>
      <c r="AR39" s="285">
        <f t="shared" si="10"/>
        <v>-13724</v>
      </c>
      <c r="AS39" s="285">
        <v>-316921</v>
      </c>
      <c r="AT39" s="285">
        <v>141603</v>
      </c>
      <c r="AU39" s="287">
        <f t="shared" si="11"/>
        <v>-175318</v>
      </c>
      <c r="AV39" s="286">
        <f t="shared" si="12"/>
        <v>7475083</v>
      </c>
      <c r="AW39" s="285">
        <f>'4_Level 4'!E39</f>
        <v>0</v>
      </c>
      <c r="AX39" s="285">
        <f>'4_Level 4'!Q39</f>
        <v>32096</v>
      </c>
      <c r="AY39" s="286">
        <f t="shared" ref="AY39:AY70" si="15">ROUND(SUM(AV39:AX39),0)</f>
        <v>7507179</v>
      </c>
      <c r="AZ39" s="285">
        <v>5006174</v>
      </c>
      <c r="BA39" s="285">
        <f t="shared" si="13"/>
        <v>2501005</v>
      </c>
      <c r="BB39" s="285">
        <f t="shared" ref="BB39:BB70" si="16">ROUND(BA39/$BB$77,0)</f>
        <v>625251</v>
      </c>
      <c r="BC39" s="285">
        <f>'4_Level 4'!J39</f>
        <v>0</v>
      </c>
      <c r="BD39" s="285">
        <f>'4_Level 4'!L39</f>
        <v>51815</v>
      </c>
      <c r="BE39" s="285">
        <f>'4_Level 4'!M39</f>
        <v>0</v>
      </c>
      <c r="BF39" s="286">
        <f t="shared" ref="BF39:BF70" si="17">AY39+BC39+BD39+BE39</f>
        <v>7558994</v>
      </c>
    </row>
    <row r="40" spans="1:58" ht="15.6" customHeight="1" x14ac:dyDescent="0.2">
      <c r="A40" s="283">
        <v>34</v>
      </c>
      <c r="B40" s="284" t="s">
        <v>37</v>
      </c>
      <c r="C40" s="285">
        <f>'3_Levels 1&amp;2'!AP40</f>
        <v>25953621</v>
      </c>
      <c r="D40" s="285">
        <v>0</v>
      </c>
      <c r="E40" s="285">
        <f>-'5C1A_Madison'!$R40</f>
        <v>0</v>
      </c>
      <c r="F40" s="285">
        <f>-'5C1B_DArbonne'!$R40</f>
        <v>-6062</v>
      </c>
      <c r="G40" s="285">
        <f>-'5C1C_Intl High'!$R40</f>
        <v>0</v>
      </c>
      <c r="H40" s="285">
        <f>-'5C1D_NOMMA'!$R40</f>
        <v>0</v>
      </c>
      <c r="I40" s="285">
        <f>-'5C1E_LFNO'!$R40</f>
        <v>0</v>
      </c>
      <c r="J40" s="285">
        <f>-'5C1F_L.C. Charter'!$R40</f>
        <v>0</v>
      </c>
      <c r="K40" s="285">
        <f>-'5C1G_JS Clark'!$R40</f>
        <v>0</v>
      </c>
      <c r="L40" s="285">
        <f>-'5C1H_Southwest'!$R40</f>
        <v>0</v>
      </c>
      <c r="M40" s="285">
        <f>-'5C1I_LA Key'!$R40</f>
        <v>0</v>
      </c>
      <c r="N40" s="285">
        <f>-'5C1J_JCFA-East'!$R40</f>
        <v>0</v>
      </c>
      <c r="O40" s="285">
        <f>-'5C1M_GEO Mid'!$R40</f>
        <v>0</v>
      </c>
      <c r="P40" s="285">
        <f>-'5C1N_Delta'!$R40</f>
        <v>0</v>
      </c>
      <c r="Q40" s="285">
        <f>-'5C1O_Impact'!$R40</f>
        <v>0</v>
      </c>
      <c r="R40" s="285">
        <f>-'5C1Q_Advantage'!$R40</f>
        <v>0</v>
      </c>
      <c r="S40" s="285">
        <f>-'5C1R_Iberville'!$R40</f>
        <v>0</v>
      </c>
      <c r="T40" s="285">
        <f>-'5C1S_LC Col Prep'!$R40</f>
        <v>0</v>
      </c>
      <c r="U40" s="285">
        <f>-'5C1T_Northeast'!$R40</f>
        <v>0</v>
      </c>
      <c r="V40" s="285">
        <f>-'5C1U_Acadiana Ren'!$R40</f>
        <v>0</v>
      </c>
      <c r="W40" s="285">
        <f>-'5C1V_Laf Ren'!$R40</f>
        <v>0</v>
      </c>
      <c r="X40" s="285">
        <f>-'5C1W_Willow'!$R40</f>
        <v>0</v>
      </c>
      <c r="Y40" s="285">
        <f>-'5C1Y_GEO'!$R40</f>
        <v>0</v>
      </c>
      <c r="Z40" s="285">
        <f>-'5C1Z_Lincoln Prep'!$R40</f>
        <v>0</v>
      </c>
      <c r="AA40" s="285">
        <f>-'5C1AE_Noble Minds'!$R40</f>
        <v>0</v>
      </c>
      <c r="AB40" s="285">
        <f>-'5C1AF_JCFA-Laf'!$R40</f>
        <v>0</v>
      </c>
      <c r="AC40" s="285">
        <f>-'5C1AG_Collegiate'!$R40</f>
        <v>0</v>
      </c>
      <c r="AD40" s="285">
        <f>-'5C1AH_BRUP'!$R40</f>
        <v>0</v>
      </c>
      <c r="AE40" s="285">
        <f>-'5C1AI_Harmony'!$R40</f>
        <v>0</v>
      </c>
      <c r="AF40" s="285">
        <f>-'5C1AJ_Athlos'!$R40</f>
        <v>0</v>
      </c>
      <c r="AG40" s="285">
        <f>-'5C1AK_NxtGen'!$R40</f>
        <v>0</v>
      </c>
      <c r="AH40" s="285">
        <f>-'5C1AL_Red River'!$R40</f>
        <v>0</v>
      </c>
      <c r="AI40" s="285">
        <f>-('5C2_LAVCA'!$R40+'5C2_LAVCA'!$S40)</f>
        <v>-289839</v>
      </c>
      <c r="AJ40" s="285">
        <f>-('5C3_UnvView'!$R40+'5C3_UnvView'!$S40)</f>
        <v>-154276</v>
      </c>
      <c r="AK40" s="285">
        <f>-Placeholder_Greater!$R40</f>
        <v>0</v>
      </c>
      <c r="AL40" s="286">
        <f t="shared" si="14"/>
        <v>-450177</v>
      </c>
      <c r="AM40" s="286">
        <f t="shared" si="8"/>
        <v>25503444</v>
      </c>
      <c r="AN40" s="286">
        <f>ROUND(AM40/'8_2.1.20 SIS'!C40,0)</f>
        <v>7229</v>
      </c>
      <c r="AO40" s="286">
        <f>'3B_Pay Raise'!O40</f>
        <v>470719</v>
      </c>
      <c r="AP40" s="287">
        <v>-9632</v>
      </c>
      <c r="AQ40" s="285">
        <f t="shared" si="9"/>
        <v>0</v>
      </c>
      <c r="AR40" s="285">
        <f t="shared" si="10"/>
        <v>-9632</v>
      </c>
      <c r="AS40" s="285">
        <v>-1597609</v>
      </c>
      <c r="AT40" s="285">
        <v>-108435</v>
      </c>
      <c r="AU40" s="287">
        <f t="shared" si="11"/>
        <v>-1706044</v>
      </c>
      <c r="AV40" s="286">
        <f t="shared" si="12"/>
        <v>24258487</v>
      </c>
      <c r="AW40" s="285">
        <f>'4_Level 4'!E40</f>
        <v>0</v>
      </c>
      <c r="AX40" s="285">
        <f>'4_Level 4'!Q40</f>
        <v>93102</v>
      </c>
      <c r="AY40" s="286">
        <f t="shared" si="15"/>
        <v>24351589</v>
      </c>
      <c r="AZ40" s="285">
        <v>16848314</v>
      </c>
      <c r="BA40" s="285">
        <f t="shared" si="13"/>
        <v>7503275</v>
      </c>
      <c r="BB40" s="285">
        <f t="shared" si="16"/>
        <v>1875819</v>
      </c>
      <c r="BC40" s="285">
        <f>'4_Level 4'!J40</f>
        <v>0</v>
      </c>
      <c r="BD40" s="285">
        <f>'4_Level 4'!L40</f>
        <v>164844</v>
      </c>
      <c r="BE40" s="285">
        <f>'4_Level 4'!M40</f>
        <v>0</v>
      </c>
      <c r="BF40" s="286">
        <f t="shared" si="17"/>
        <v>24516433</v>
      </c>
    </row>
    <row r="41" spans="1:58" ht="15.6" customHeight="1" x14ac:dyDescent="0.2">
      <c r="A41" s="288">
        <v>35</v>
      </c>
      <c r="B41" s="289" t="s">
        <v>38</v>
      </c>
      <c r="C41" s="290">
        <f>'3_Levels 1&amp;2'!AP41</f>
        <v>31074094</v>
      </c>
      <c r="D41" s="290">
        <v>0</v>
      </c>
      <c r="E41" s="290">
        <f>-'5C1A_Madison'!$R41</f>
        <v>0</v>
      </c>
      <c r="F41" s="290">
        <f>-'5C1B_DArbonne'!$R41</f>
        <v>0</v>
      </c>
      <c r="G41" s="290">
        <f>-'5C1C_Intl High'!$R41</f>
        <v>0</v>
      </c>
      <c r="H41" s="290">
        <f>-'5C1D_NOMMA'!$R41</f>
        <v>0</v>
      </c>
      <c r="I41" s="290">
        <f>-'5C1E_LFNO'!$R41</f>
        <v>0</v>
      </c>
      <c r="J41" s="290">
        <f>-'5C1F_L.C. Charter'!$R41</f>
        <v>0</v>
      </c>
      <c r="K41" s="290">
        <f>-'5C1G_JS Clark'!$R41</f>
        <v>0</v>
      </c>
      <c r="L41" s="290">
        <f>-'5C1H_Southwest'!$R41</f>
        <v>0</v>
      </c>
      <c r="M41" s="290">
        <f>-'5C1I_LA Key'!$R41</f>
        <v>0</v>
      </c>
      <c r="N41" s="290">
        <f>-'5C1J_JCFA-East'!$R41</f>
        <v>0</v>
      </c>
      <c r="O41" s="290">
        <f>-'5C1M_GEO Mid'!$R41</f>
        <v>0</v>
      </c>
      <c r="P41" s="290">
        <f>-'5C1N_Delta'!$R41</f>
        <v>0</v>
      </c>
      <c r="Q41" s="290">
        <f>-'5C1O_Impact'!$R41</f>
        <v>0</v>
      </c>
      <c r="R41" s="290">
        <f>-'5C1Q_Advantage'!$R41</f>
        <v>0</v>
      </c>
      <c r="S41" s="290">
        <f>-'5C1R_Iberville'!$R41</f>
        <v>0</v>
      </c>
      <c r="T41" s="290">
        <f>-'5C1S_LC Col Prep'!$R41</f>
        <v>0</v>
      </c>
      <c r="U41" s="290">
        <f>-'5C1T_Northeast'!$R41</f>
        <v>0</v>
      </c>
      <c r="V41" s="290">
        <f>-'5C1U_Acadiana Ren'!$R41</f>
        <v>0</v>
      </c>
      <c r="W41" s="290">
        <f>-'5C1V_Laf Ren'!$R41</f>
        <v>0</v>
      </c>
      <c r="X41" s="290">
        <f>-'5C1W_Willow'!$R41</f>
        <v>0</v>
      </c>
      <c r="Y41" s="290">
        <f>-'5C1Y_GEO'!$R41</f>
        <v>0</v>
      </c>
      <c r="Z41" s="290">
        <f>-'5C1Z_Lincoln Prep'!$R41</f>
        <v>0</v>
      </c>
      <c r="AA41" s="546">
        <f>-'5C1AE_Noble Minds'!$R41</f>
        <v>0</v>
      </c>
      <c r="AB41" s="546">
        <f>-'5C1AF_JCFA-Laf'!$R41</f>
        <v>0</v>
      </c>
      <c r="AC41" s="546">
        <f>-'5C1AG_Collegiate'!$R41</f>
        <v>0</v>
      </c>
      <c r="AD41" s="290">
        <f>-'5C1AH_BRUP'!$R41</f>
        <v>0</v>
      </c>
      <c r="AE41" s="775">
        <f>-'5C1AI_Harmony'!$R41</f>
        <v>0</v>
      </c>
      <c r="AF41" s="775">
        <f>-'5C1AJ_Athlos'!$R41</f>
        <v>0</v>
      </c>
      <c r="AG41" s="1080">
        <f>-'5C1AK_NxtGen'!$R41</f>
        <v>0</v>
      </c>
      <c r="AH41" s="1080">
        <f>-'5C1AL_Red River'!$R41</f>
        <v>0</v>
      </c>
      <c r="AI41" s="290">
        <f>-('5C2_LAVCA'!$R41+'5C2_LAVCA'!$S41)</f>
        <v>-102777</v>
      </c>
      <c r="AJ41" s="290">
        <f>-('5C3_UnvView'!$R41+'5C3_UnvView'!$S41)</f>
        <v>-65786</v>
      </c>
      <c r="AK41" s="290">
        <f>-Placeholder_Greater!$R41</f>
        <v>0</v>
      </c>
      <c r="AL41" s="291">
        <f t="shared" si="14"/>
        <v>-168563</v>
      </c>
      <c r="AM41" s="291">
        <f t="shared" si="8"/>
        <v>30905531</v>
      </c>
      <c r="AN41" s="291">
        <f>ROUND(AM41/'8_2.1.20 SIS'!C41,0)</f>
        <v>5534</v>
      </c>
      <c r="AO41" s="953">
        <f>'3B_Pay Raise'!O41</f>
        <v>833891</v>
      </c>
      <c r="AP41" s="292">
        <v>-13106</v>
      </c>
      <c r="AQ41" s="290">
        <f t="shared" si="9"/>
        <v>0</v>
      </c>
      <c r="AR41" s="290">
        <f t="shared" si="10"/>
        <v>-13106</v>
      </c>
      <c r="AS41" s="290">
        <v>-1128936</v>
      </c>
      <c r="AT41" s="290">
        <v>8301</v>
      </c>
      <c r="AU41" s="292">
        <f t="shared" si="11"/>
        <v>-1120635</v>
      </c>
      <c r="AV41" s="291">
        <f t="shared" si="12"/>
        <v>30605681</v>
      </c>
      <c r="AW41" s="290">
        <f>'4_Level 4'!E41</f>
        <v>0</v>
      </c>
      <c r="AX41" s="290">
        <f>'4_Level 4'!Q41</f>
        <v>152161</v>
      </c>
      <c r="AY41" s="291">
        <f t="shared" si="15"/>
        <v>30757842</v>
      </c>
      <c r="AZ41" s="290">
        <v>20875200</v>
      </c>
      <c r="BA41" s="290">
        <f t="shared" si="13"/>
        <v>9882642</v>
      </c>
      <c r="BB41" s="290">
        <f t="shared" si="16"/>
        <v>2470661</v>
      </c>
      <c r="BC41" s="290">
        <f>'4_Level 4'!J41</f>
        <v>0</v>
      </c>
      <c r="BD41" s="290">
        <f>'4_Level 4'!L41</f>
        <v>187257</v>
      </c>
      <c r="BE41" s="290">
        <f>'4_Level 4'!M41</f>
        <v>0</v>
      </c>
      <c r="BF41" s="291">
        <f t="shared" si="17"/>
        <v>30945099</v>
      </c>
    </row>
    <row r="42" spans="1:58" ht="15.6" customHeight="1" x14ac:dyDescent="0.2">
      <c r="A42" s="281">
        <v>36</v>
      </c>
      <c r="B42" s="282" t="s">
        <v>39</v>
      </c>
      <c r="C42" s="36">
        <f>'3_Levels 1&amp;2'!AP42</f>
        <v>200817353</v>
      </c>
      <c r="D42" s="36">
        <v>0</v>
      </c>
      <c r="E42" s="36">
        <f>-'5C1A_Madison'!$R42</f>
        <v>0</v>
      </c>
      <c r="F42" s="36">
        <f>-'5C1B_DArbonne'!$R42</f>
        <v>0</v>
      </c>
      <c r="G42" s="36">
        <f>-'5C1C_Intl High'!$R42</f>
        <v>-1573109</v>
      </c>
      <c r="H42" s="36">
        <f>-'5C1D_NOMMA'!$R42</f>
        <v>-1054535</v>
      </c>
      <c r="I42" s="36">
        <f>-'5C1E_LFNO'!$R42</f>
        <v>-2792337</v>
      </c>
      <c r="J42" s="36">
        <f>-'5C1F_L.C. Charter'!$R42</f>
        <v>0</v>
      </c>
      <c r="K42" s="36">
        <f>-'5C1G_JS Clark'!$R42</f>
        <v>0</v>
      </c>
      <c r="L42" s="36">
        <f>-'5C1H_Southwest'!$R42</f>
        <v>-7609</v>
      </c>
      <c r="M42" s="36">
        <f>-'5C1I_LA Key'!$R42</f>
        <v>0</v>
      </c>
      <c r="N42" s="36">
        <f>-'5C1J_JCFA-East'!$R42</f>
        <v>-171485</v>
      </c>
      <c r="O42" s="36">
        <f>-'5C1M_GEO Mid'!$R42</f>
        <v>0</v>
      </c>
      <c r="P42" s="36">
        <f>-'5C1N_Delta'!$R42</f>
        <v>0</v>
      </c>
      <c r="Q42" s="36">
        <f>-'5C1O_Impact'!$R42</f>
        <v>0</v>
      </c>
      <c r="R42" s="36">
        <f>-'5C1Q_Advantage'!$R42</f>
        <v>0</v>
      </c>
      <c r="S42" s="36">
        <f>-'5C1R_Iberville'!$R42</f>
        <v>-14300</v>
      </c>
      <c r="T42" s="36">
        <f>-'5C1S_LC Col Prep'!$R42</f>
        <v>0</v>
      </c>
      <c r="U42" s="36">
        <f>-'5C1T_Northeast'!$R42</f>
        <v>0</v>
      </c>
      <c r="V42" s="36">
        <f>-'5C1U_Acadiana Ren'!$R42</f>
        <v>0</v>
      </c>
      <c r="W42" s="36">
        <f>-'5C1V_Laf Ren'!$R42</f>
        <v>0</v>
      </c>
      <c r="X42" s="36">
        <f>-'5C1W_Willow'!$R42</f>
        <v>0</v>
      </c>
      <c r="Y42" s="36">
        <f>-'5C1Y_GEO'!$R42</f>
        <v>0</v>
      </c>
      <c r="Z42" s="36">
        <f>-'5C1Z_Lincoln Prep'!$R42</f>
        <v>0</v>
      </c>
      <c r="AA42" s="36">
        <f>-'5C1AE_Noble Minds'!$R42</f>
        <v>-365809</v>
      </c>
      <c r="AB42" s="36">
        <f>-'5C1AF_JCFA-Laf'!$R42</f>
        <v>0</v>
      </c>
      <c r="AC42" s="36">
        <f>-'5C1AG_Collegiate'!$R42</f>
        <v>0</v>
      </c>
      <c r="AD42" s="36">
        <f>-'5C1AH_BRUP'!$R42</f>
        <v>0</v>
      </c>
      <c r="AE42" s="36">
        <f>-'5C1AI_Harmony'!$R42</f>
        <v>-437900</v>
      </c>
      <c r="AF42" s="36">
        <f>-'5C1AJ_Athlos'!$R42</f>
        <v>-329987</v>
      </c>
      <c r="AG42" s="36">
        <f>-'5C1AK_NxtGen'!$R42</f>
        <v>0</v>
      </c>
      <c r="AH42" s="36">
        <f>-'5C1AL_Red River'!$R42</f>
        <v>0</v>
      </c>
      <c r="AI42" s="36">
        <f>-('5C2_LAVCA'!$R42+'5C2_LAVCA'!$S42)</f>
        <v>-365814</v>
      </c>
      <c r="AJ42" s="36">
        <f>-('5C3_UnvView'!$R42+'5C3_UnvView'!$S42)</f>
        <v>-255214</v>
      </c>
      <c r="AK42" s="36">
        <f>-Placeholder_Greater!$R42</f>
        <v>0</v>
      </c>
      <c r="AL42" s="35">
        <f t="shared" si="14"/>
        <v>-7368099</v>
      </c>
      <c r="AM42" s="35">
        <f t="shared" si="8"/>
        <v>193449254</v>
      </c>
      <c r="AN42" s="35">
        <f>ROUND(AM42/'8_2.1.20 SIS'!C42,0)</f>
        <v>4299</v>
      </c>
      <c r="AO42" s="35">
        <f>'3B_Pay Raise'!O42</f>
        <v>6415353</v>
      </c>
      <c r="AP42" s="37">
        <v>-301840</v>
      </c>
      <c r="AQ42" s="36">
        <f t="shared" si="9"/>
        <v>0</v>
      </c>
      <c r="AR42" s="36">
        <f t="shared" si="10"/>
        <v>-301840</v>
      </c>
      <c r="AS42" s="36">
        <v>-4758993</v>
      </c>
      <c r="AT42" s="36">
        <v>-139718</v>
      </c>
      <c r="AU42" s="37">
        <f t="shared" si="11"/>
        <v>-4898711</v>
      </c>
      <c r="AV42" s="35">
        <f t="shared" si="12"/>
        <v>194664056</v>
      </c>
      <c r="AW42" s="36">
        <f>'4_Level 4'!E42</f>
        <v>546000</v>
      </c>
      <c r="AX42" s="36">
        <f>'4_Level 4'!Q42</f>
        <v>1177168</v>
      </c>
      <c r="AY42" s="35">
        <f t="shared" si="15"/>
        <v>196387224</v>
      </c>
      <c r="AZ42" s="36">
        <v>132553374</v>
      </c>
      <c r="BA42" s="36">
        <f t="shared" si="13"/>
        <v>63833850</v>
      </c>
      <c r="BB42" s="36">
        <f t="shared" si="16"/>
        <v>15958463</v>
      </c>
      <c r="BC42" s="36">
        <f>'4_Level 4'!J42</f>
        <v>24000</v>
      </c>
      <c r="BD42" s="36">
        <f>'4_Level 4'!L42</f>
        <v>1120760</v>
      </c>
      <c r="BE42" s="36">
        <f>'4_Level 4'!M42</f>
        <v>4395210</v>
      </c>
      <c r="BF42" s="35">
        <f t="shared" si="17"/>
        <v>201927194</v>
      </c>
    </row>
    <row r="43" spans="1:58" ht="15.6" customHeight="1" x14ac:dyDescent="0.2">
      <c r="A43" s="283">
        <v>37</v>
      </c>
      <c r="B43" s="284" t="s">
        <v>40</v>
      </c>
      <c r="C43" s="285">
        <f>'3_Levels 1&amp;2'!AP43</f>
        <v>120726608</v>
      </c>
      <c r="D43" s="285">
        <v>0</v>
      </c>
      <c r="E43" s="285">
        <f>-'5C1A_Madison'!$R43</f>
        <v>0</v>
      </c>
      <c r="F43" s="285">
        <f>-'5C1B_DArbonne'!$R43</f>
        <v>-80796</v>
      </c>
      <c r="G43" s="285">
        <f>-'5C1C_Intl High'!$R43</f>
        <v>0</v>
      </c>
      <c r="H43" s="285">
        <f>-'5C1D_NOMMA'!$R43</f>
        <v>0</v>
      </c>
      <c r="I43" s="285">
        <f>-'5C1E_LFNO'!$R43</f>
        <v>0</v>
      </c>
      <c r="J43" s="285">
        <f>-'5C1F_L.C. Charter'!$R43</f>
        <v>0</v>
      </c>
      <c r="K43" s="285">
        <f>-'5C1G_JS Clark'!$R43</f>
        <v>0</v>
      </c>
      <c r="L43" s="285">
        <f>-'5C1H_Southwest'!$R43</f>
        <v>0</v>
      </c>
      <c r="M43" s="285">
        <f>-'5C1I_LA Key'!$R43</f>
        <v>0</v>
      </c>
      <c r="N43" s="285">
        <f>-'5C1J_JCFA-East'!$R43</f>
        <v>0</v>
      </c>
      <c r="O43" s="285">
        <f>-'5C1M_GEO Mid'!$R43</f>
        <v>0</v>
      </c>
      <c r="P43" s="285">
        <f>-'5C1N_Delta'!$R43</f>
        <v>-5890</v>
      </c>
      <c r="Q43" s="285">
        <f>-'5C1O_Impact'!$R43</f>
        <v>-11780</v>
      </c>
      <c r="R43" s="285">
        <f>-'5C1Q_Advantage'!$R43</f>
        <v>0</v>
      </c>
      <c r="S43" s="285">
        <f>-'5C1R_Iberville'!$R43</f>
        <v>0</v>
      </c>
      <c r="T43" s="285">
        <f>-'5C1S_LC Col Prep'!$R43</f>
        <v>0</v>
      </c>
      <c r="U43" s="285">
        <f>-'5C1T_Northeast'!$R43</f>
        <v>0</v>
      </c>
      <c r="V43" s="285">
        <f>-'5C1U_Acadiana Ren'!$R43</f>
        <v>0</v>
      </c>
      <c r="W43" s="285">
        <f>-'5C1V_Laf Ren'!$R43</f>
        <v>0</v>
      </c>
      <c r="X43" s="285">
        <f>-'5C1W_Willow'!$R43</f>
        <v>0</v>
      </c>
      <c r="Y43" s="285">
        <f>-'5C1Y_GEO'!$R43</f>
        <v>0</v>
      </c>
      <c r="Z43" s="285">
        <f>-'5C1Z_Lincoln Prep'!$R43</f>
        <v>-69124</v>
      </c>
      <c r="AA43" s="285">
        <f>-'5C1AE_Noble Minds'!$R43</f>
        <v>0</v>
      </c>
      <c r="AB43" s="285">
        <f>-'5C1AF_JCFA-Laf'!$R43</f>
        <v>0</v>
      </c>
      <c r="AC43" s="285">
        <f>-'5C1AG_Collegiate'!$R43</f>
        <v>0</v>
      </c>
      <c r="AD43" s="285">
        <f>-'5C1AH_BRUP'!$R43</f>
        <v>0</v>
      </c>
      <c r="AE43" s="285">
        <f>-'5C1AI_Harmony'!$R43</f>
        <v>0</v>
      </c>
      <c r="AF43" s="285">
        <f>-'5C1AJ_Athlos'!$R43</f>
        <v>0</v>
      </c>
      <c r="AG43" s="285">
        <f>-'5C1AK_NxtGen'!$R43</f>
        <v>0</v>
      </c>
      <c r="AH43" s="285">
        <f>-'5C1AL_Red River'!$R43</f>
        <v>0</v>
      </c>
      <c r="AI43" s="285">
        <f>-('5C2_LAVCA'!$R43+'5C2_LAVCA'!$S43)</f>
        <v>-347803</v>
      </c>
      <c r="AJ43" s="285">
        <f>-('5C3_UnvView'!$R43+'5C3_UnvView'!$S43)</f>
        <v>-406992</v>
      </c>
      <c r="AK43" s="285">
        <f>-Placeholder_Greater!$R43</f>
        <v>0</v>
      </c>
      <c r="AL43" s="286">
        <f t="shared" si="14"/>
        <v>-922385</v>
      </c>
      <c r="AM43" s="286">
        <f t="shared" si="8"/>
        <v>119804223</v>
      </c>
      <c r="AN43" s="286">
        <f>ROUND(AM43/'8_2.1.20 SIS'!C43,0)</f>
        <v>6486</v>
      </c>
      <c r="AO43" s="286">
        <f>'3B_Pay Raise'!O43</f>
        <v>2816473</v>
      </c>
      <c r="AP43" s="287">
        <v>-24205</v>
      </c>
      <c r="AQ43" s="285">
        <f t="shared" si="9"/>
        <v>0</v>
      </c>
      <c r="AR43" s="285">
        <f t="shared" si="10"/>
        <v>-24205</v>
      </c>
      <c r="AS43" s="285">
        <v>-3074364</v>
      </c>
      <c r="AT43" s="285">
        <v>-139449</v>
      </c>
      <c r="AU43" s="287">
        <f t="shared" si="11"/>
        <v>-3213813</v>
      </c>
      <c r="AV43" s="286">
        <f t="shared" si="12"/>
        <v>119382678</v>
      </c>
      <c r="AW43" s="285">
        <f>'4_Level 4'!E43</f>
        <v>0</v>
      </c>
      <c r="AX43" s="285">
        <f>'4_Level 4'!Q43</f>
        <v>489641</v>
      </c>
      <c r="AY43" s="286">
        <f t="shared" si="15"/>
        <v>119872319</v>
      </c>
      <c r="AZ43" s="285">
        <v>81043930</v>
      </c>
      <c r="BA43" s="285">
        <f t="shared" si="13"/>
        <v>38828389</v>
      </c>
      <c r="BB43" s="285">
        <f t="shared" si="16"/>
        <v>9707097</v>
      </c>
      <c r="BC43" s="285">
        <f>'4_Level 4'!J43</f>
        <v>0</v>
      </c>
      <c r="BD43" s="285">
        <f>'4_Level 4'!L43</f>
        <v>378129</v>
      </c>
      <c r="BE43" s="285">
        <f>'4_Level 4'!M43</f>
        <v>0</v>
      </c>
      <c r="BF43" s="286">
        <f t="shared" si="17"/>
        <v>120250448</v>
      </c>
    </row>
    <row r="44" spans="1:58" ht="15.6" customHeight="1" x14ac:dyDescent="0.2">
      <c r="A44" s="283">
        <v>38</v>
      </c>
      <c r="B44" s="284" t="s">
        <v>41</v>
      </c>
      <c r="C44" s="285">
        <f>'3_Levels 1&amp;2'!AP44</f>
        <v>10932999</v>
      </c>
      <c r="D44" s="285">
        <v>0</v>
      </c>
      <c r="E44" s="285">
        <f>-'5C1A_Madison'!$R44</f>
        <v>0</v>
      </c>
      <c r="F44" s="285">
        <f>-'5C1B_DArbonne'!$R44</f>
        <v>0</v>
      </c>
      <c r="G44" s="285">
        <f>-'5C1C_Intl High'!$R44</f>
        <v>0</v>
      </c>
      <c r="H44" s="285">
        <f>-'5C1D_NOMMA'!$R44</f>
        <v>-45091</v>
      </c>
      <c r="I44" s="285">
        <f>-'5C1E_LFNO'!$R44</f>
        <v>-11290</v>
      </c>
      <c r="J44" s="285">
        <f>-'5C1F_L.C. Charter'!$R44</f>
        <v>0</v>
      </c>
      <c r="K44" s="285">
        <f>-'5C1G_JS Clark'!$R44</f>
        <v>0</v>
      </c>
      <c r="L44" s="285">
        <f>-'5C1H_Southwest'!$R44</f>
        <v>0</v>
      </c>
      <c r="M44" s="285">
        <f>-'5C1I_LA Key'!$R44</f>
        <v>0</v>
      </c>
      <c r="N44" s="285">
        <f>-'5C1J_JCFA-East'!$R44</f>
        <v>0</v>
      </c>
      <c r="O44" s="285">
        <f>-'5C1M_GEO Mid'!$R44</f>
        <v>0</v>
      </c>
      <c r="P44" s="285">
        <f>-'5C1N_Delta'!$R44</f>
        <v>0</v>
      </c>
      <c r="Q44" s="285">
        <f>-'5C1O_Impact'!$R44</f>
        <v>0</v>
      </c>
      <c r="R44" s="285">
        <f>-'5C1Q_Advantage'!$R44</f>
        <v>0</v>
      </c>
      <c r="S44" s="285">
        <f>-'5C1R_Iberville'!$R44</f>
        <v>0</v>
      </c>
      <c r="T44" s="285">
        <f>-'5C1S_LC Col Prep'!$R44</f>
        <v>0</v>
      </c>
      <c r="U44" s="285">
        <f>-'5C1T_Northeast'!$R44</f>
        <v>0</v>
      </c>
      <c r="V44" s="285">
        <f>-'5C1U_Acadiana Ren'!$R44</f>
        <v>0</v>
      </c>
      <c r="W44" s="285">
        <f>-'5C1V_Laf Ren'!$R44</f>
        <v>0</v>
      </c>
      <c r="X44" s="285">
        <f>-'5C1W_Willow'!$R44</f>
        <v>0</v>
      </c>
      <c r="Y44" s="285">
        <f>-'5C1Y_GEO'!$R44</f>
        <v>0</v>
      </c>
      <c r="Z44" s="285">
        <f>-'5C1Z_Lincoln Prep'!$R44</f>
        <v>0</v>
      </c>
      <c r="AA44" s="285">
        <f>-'5C1AE_Noble Minds'!$R44</f>
        <v>0</v>
      </c>
      <c r="AB44" s="285">
        <f>-'5C1AF_JCFA-Laf'!$R44</f>
        <v>0</v>
      </c>
      <c r="AC44" s="285">
        <f>-'5C1AG_Collegiate'!$R44</f>
        <v>0</v>
      </c>
      <c r="AD44" s="285">
        <f>-'5C1AH_BRUP'!$R44</f>
        <v>0</v>
      </c>
      <c r="AE44" s="285">
        <f>-'5C1AI_Harmony'!$R44</f>
        <v>-2318</v>
      </c>
      <c r="AF44" s="285">
        <f>-'5C1AJ_Athlos'!$R44</f>
        <v>-16158</v>
      </c>
      <c r="AG44" s="285">
        <f>-'5C1AK_NxtGen'!$R44</f>
        <v>0</v>
      </c>
      <c r="AH44" s="285">
        <f>-'5C1AL_Red River'!$R44</f>
        <v>0</v>
      </c>
      <c r="AI44" s="285">
        <f>-('5C2_LAVCA'!$R44+'5C2_LAVCA'!$S44)</f>
        <v>-24397</v>
      </c>
      <c r="AJ44" s="285">
        <f>-('5C3_UnvView'!$R44+'5C3_UnvView'!$S44)</f>
        <v>-33168</v>
      </c>
      <c r="AK44" s="285">
        <f>-Placeholder_Greater!$R44</f>
        <v>0</v>
      </c>
      <c r="AL44" s="286">
        <f t="shared" si="14"/>
        <v>-132422</v>
      </c>
      <c r="AM44" s="286">
        <f t="shared" si="8"/>
        <v>10800577</v>
      </c>
      <c r="AN44" s="286">
        <f>ROUND(AM44/'8_2.1.20 SIS'!C44,0)</f>
        <v>2822</v>
      </c>
      <c r="AO44" s="286">
        <f>'3B_Pay Raise'!O44</f>
        <v>636629</v>
      </c>
      <c r="AP44" s="287">
        <v>-18778</v>
      </c>
      <c r="AQ44" s="285">
        <f t="shared" si="9"/>
        <v>0</v>
      </c>
      <c r="AR44" s="285">
        <f t="shared" si="10"/>
        <v>-18778</v>
      </c>
      <c r="AS44" s="285">
        <v>-14110</v>
      </c>
      <c r="AT44" s="285">
        <v>-94537</v>
      </c>
      <c r="AU44" s="287">
        <f t="shared" si="11"/>
        <v>-108647</v>
      </c>
      <c r="AV44" s="286">
        <f t="shared" si="12"/>
        <v>11309781</v>
      </c>
      <c r="AW44" s="285">
        <f>'4_Level 4'!E44</f>
        <v>0</v>
      </c>
      <c r="AX44" s="285">
        <f>'4_Level 4'!Q44</f>
        <v>110507</v>
      </c>
      <c r="AY44" s="286">
        <f t="shared" si="15"/>
        <v>11420288</v>
      </c>
      <c r="AZ44" s="285">
        <v>7669858</v>
      </c>
      <c r="BA44" s="285">
        <f t="shared" si="13"/>
        <v>3750430</v>
      </c>
      <c r="BB44" s="285">
        <f t="shared" si="16"/>
        <v>937608</v>
      </c>
      <c r="BC44" s="285">
        <f>'4_Level 4'!J44</f>
        <v>0</v>
      </c>
      <c r="BD44" s="285">
        <f>'4_Level 4'!L44</f>
        <v>72059</v>
      </c>
      <c r="BE44" s="285">
        <f>'4_Level 4'!M44</f>
        <v>63737</v>
      </c>
      <c r="BF44" s="286">
        <f t="shared" si="17"/>
        <v>11556084</v>
      </c>
    </row>
    <row r="45" spans="1:58" ht="15.6" customHeight="1" x14ac:dyDescent="0.2">
      <c r="A45" s="283">
        <v>39</v>
      </c>
      <c r="B45" s="284" t="s">
        <v>42</v>
      </c>
      <c r="C45" s="285">
        <f>'3_Levels 1&amp;2'!AP45</f>
        <v>9844386</v>
      </c>
      <c r="D45" s="285">
        <v>0</v>
      </c>
      <c r="E45" s="285">
        <f>-'5C1A_Madison'!$R45</f>
        <v>0</v>
      </c>
      <c r="F45" s="285">
        <f>-'5C1B_DArbonne'!$R45</f>
        <v>0</v>
      </c>
      <c r="G45" s="285">
        <f>-'5C1C_Intl High'!$R45</f>
        <v>0</v>
      </c>
      <c r="H45" s="285">
        <f>-'5C1D_NOMMA'!$R45</f>
        <v>0</v>
      </c>
      <c r="I45" s="285">
        <f>-'5C1E_LFNO'!$R45</f>
        <v>0</v>
      </c>
      <c r="J45" s="285">
        <f>-'5C1F_L.C. Charter'!$R45</f>
        <v>0</v>
      </c>
      <c r="K45" s="285">
        <f>-'5C1G_JS Clark'!$R45</f>
        <v>0</v>
      </c>
      <c r="L45" s="285">
        <f>-'5C1H_Southwest'!$R45</f>
        <v>0</v>
      </c>
      <c r="M45" s="285">
        <f>-'5C1I_LA Key'!$R45</f>
        <v>-33772</v>
      </c>
      <c r="N45" s="285">
        <f>-'5C1J_JCFA-East'!$R45</f>
        <v>0</v>
      </c>
      <c r="O45" s="285">
        <f>-'5C1M_GEO Mid'!$R45</f>
        <v>0</v>
      </c>
      <c r="P45" s="285">
        <f>-'5C1N_Delta'!$R45</f>
        <v>0</v>
      </c>
      <c r="Q45" s="285">
        <f>-'5C1O_Impact'!$R45</f>
        <v>0</v>
      </c>
      <c r="R45" s="285">
        <f>-'5C1Q_Advantage'!$R45</f>
        <v>-12375</v>
      </c>
      <c r="S45" s="285">
        <f>-'5C1R_Iberville'!$R45</f>
        <v>0</v>
      </c>
      <c r="T45" s="285">
        <f>-'5C1S_LC Col Prep'!$R45</f>
        <v>0</v>
      </c>
      <c r="U45" s="285">
        <f>-'5C1T_Northeast'!$R45</f>
        <v>0</v>
      </c>
      <c r="V45" s="285">
        <f>-'5C1U_Acadiana Ren'!$R45</f>
        <v>0</v>
      </c>
      <c r="W45" s="285">
        <f>-'5C1V_Laf Ren'!$R45</f>
        <v>0</v>
      </c>
      <c r="X45" s="285">
        <f>-'5C1W_Willow'!$R45</f>
        <v>0</v>
      </c>
      <c r="Y45" s="285">
        <f>-'5C1Y_GEO'!$R45</f>
        <v>0</v>
      </c>
      <c r="Z45" s="285">
        <f>-'5C1Z_Lincoln Prep'!$R45</f>
        <v>0</v>
      </c>
      <c r="AA45" s="285">
        <f>-'5C1AE_Noble Minds'!$R45</f>
        <v>0</v>
      </c>
      <c r="AB45" s="285">
        <f>-'5C1AF_JCFA-Laf'!$R45</f>
        <v>0</v>
      </c>
      <c r="AC45" s="285">
        <f>-'5C1AG_Collegiate'!$R45</f>
        <v>0</v>
      </c>
      <c r="AD45" s="285">
        <f>-'5C1AH_BRUP'!$R45</f>
        <v>0</v>
      </c>
      <c r="AE45" s="285">
        <f>-'5C1AI_Harmony'!$R45</f>
        <v>0</v>
      </c>
      <c r="AF45" s="285">
        <f>-'5C1AJ_Athlos'!$R45</f>
        <v>0</v>
      </c>
      <c r="AG45" s="285">
        <f>-'5C1AK_NxtGen'!$R45</f>
        <v>0</v>
      </c>
      <c r="AH45" s="285">
        <f>-'5C1AL_Red River'!$R45</f>
        <v>0</v>
      </c>
      <c r="AI45" s="285">
        <f>-('5C2_LAVCA'!$R45+'5C2_LAVCA'!$S45)</f>
        <v>-41896</v>
      </c>
      <c r="AJ45" s="285">
        <f>-('5C3_UnvView'!$R45+'5C3_UnvView'!$S45)</f>
        <v>-53053</v>
      </c>
      <c r="AK45" s="285">
        <f>-Placeholder_Greater!$R45</f>
        <v>0</v>
      </c>
      <c r="AL45" s="286">
        <f t="shared" si="14"/>
        <v>-141096</v>
      </c>
      <c r="AM45" s="286">
        <f t="shared" si="8"/>
        <v>9703290</v>
      </c>
      <c r="AN45" s="286">
        <f>ROUND(AM45/'8_2.1.20 SIS'!C45,0)</f>
        <v>3725</v>
      </c>
      <c r="AO45" s="286">
        <f>'3B_Pay Raise'!O45</f>
        <v>277713</v>
      </c>
      <c r="AP45" s="287">
        <v>-5849</v>
      </c>
      <c r="AQ45" s="285">
        <f t="shared" si="9"/>
        <v>0</v>
      </c>
      <c r="AR45" s="285">
        <f t="shared" si="10"/>
        <v>-5849</v>
      </c>
      <c r="AS45" s="285">
        <v>-186250</v>
      </c>
      <c r="AT45" s="285">
        <v>-63325</v>
      </c>
      <c r="AU45" s="287">
        <f t="shared" si="11"/>
        <v>-249575</v>
      </c>
      <c r="AV45" s="286">
        <f t="shared" si="12"/>
        <v>9725579</v>
      </c>
      <c r="AW45" s="285">
        <f>'4_Level 4'!E45</f>
        <v>84000</v>
      </c>
      <c r="AX45" s="285">
        <f>'4_Level 4'!Q45</f>
        <v>65844</v>
      </c>
      <c r="AY45" s="286">
        <f t="shared" si="15"/>
        <v>9875423</v>
      </c>
      <c r="AZ45" s="285">
        <v>6701296</v>
      </c>
      <c r="BA45" s="285">
        <f t="shared" si="13"/>
        <v>3174127</v>
      </c>
      <c r="BB45" s="285">
        <f t="shared" si="16"/>
        <v>793532</v>
      </c>
      <c r="BC45" s="285">
        <f>'4_Level 4'!J45</f>
        <v>6000</v>
      </c>
      <c r="BD45" s="285">
        <f>'4_Level 4'!L45</f>
        <v>170628</v>
      </c>
      <c r="BE45" s="285">
        <f>'4_Level 4'!M45</f>
        <v>0</v>
      </c>
      <c r="BF45" s="286">
        <f t="shared" si="17"/>
        <v>10052051</v>
      </c>
    </row>
    <row r="46" spans="1:58" ht="15.6" customHeight="1" x14ac:dyDescent="0.2">
      <c r="A46" s="288">
        <v>40</v>
      </c>
      <c r="B46" s="289" t="s">
        <v>43</v>
      </c>
      <c r="C46" s="290">
        <f>'3_Levels 1&amp;2'!AP46</f>
        <v>133262183</v>
      </c>
      <c r="D46" s="290">
        <v>0</v>
      </c>
      <c r="E46" s="290">
        <f>-'5C1A_Madison'!$R46</f>
        <v>0</v>
      </c>
      <c r="F46" s="290">
        <f>-'5C1B_DArbonne'!$R46</f>
        <v>0</v>
      </c>
      <c r="G46" s="290">
        <f>-'5C1C_Intl High'!$R46</f>
        <v>0</v>
      </c>
      <c r="H46" s="290">
        <f>-'5C1D_NOMMA'!$R46</f>
        <v>0</v>
      </c>
      <c r="I46" s="290">
        <f>-'5C1E_LFNO'!$R46</f>
        <v>0</v>
      </c>
      <c r="J46" s="290">
        <f>-'5C1F_L.C. Charter'!$R46</f>
        <v>0</v>
      </c>
      <c r="K46" s="290">
        <f>-'5C1G_JS Clark'!$R46</f>
        <v>0</v>
      </c>
      <c r="L46" s="290">
        <f>-'5C1H_Southwest'!$R46</f>
        <v>0</v>
      </c>
      <c r="M46" s="290">
        <f>-'5C1I_LA Key'!$R46</f>
        <v>0</v>
      </c>
      <c r="N46" s="290">
        <f>-'5C1J_JCFA-East'!$R46</f>
        <v>0</v>
      </c>
      <c r="O46" s="290">
        <f>-'5C1M_GEO Mid'!$R46</f>
        <v>0</v>
      </c>
      <c r="P46" s="290">
        <f>-'5C1N_Delta'!$R46</f>
        <v>0</v>
      </c>
      <c r="Q46" s="290">
        <f>-'5C1O_Impact'!$R46</f>
        <v>0</v>
      </c>
      <c r="R46" s="290">
        <f>-'5C1Q_Advantage'!$R46</f>
        <v>0</v>
      </c>
      <c r="S46" s="290">
        <f>-'5C1R_Iberville'!$R46</f>
        <v>0</v>
      </c>
      <c r="T46" s="290">
        <f>-'5C1S_LC Col Prep'!$R46</f>
        <v>0</v>
      </c>
      <c r="U46" s="290">
        <f>-'5C1T_Northeast'!$R46</f>
        <v>0</v>
      </c>
      <c r="V46" s="290">
        <f>-'5C1U_Acadiana Ren'!$R46</f>
        <v>-4889</v>
      </c>
      <c r="W46" s="290">
        <f>-'5C1V_Laf Ren'!$R46</f>
        <v>0</v>
      </c>
      <c r="X46" s="290">
        <f>-'5C1W_Willow'!$R46</f>
        <v>0</v>
      </c>
      <c r="Y46" s="290">
        <f>-'5C1Y_GEO'!$R46</f>
        <v>0</v>
      </c>
      <c r="Z46" s="290">
        <f>-'5C1Z_Lincoln Prep'!$R46</f>
        <v>0</v>
      </c>
      <c r="AA46" s="546">
        <f>-'5C1AE_Noble Minds'!$R46</f>
        <v>0</v>
      </c>
      <c r="AB46" s="546">
        <f>-'5C1AF_JCFA-Laf'!$R46</f>
        <v>0</v>
      </c>
      <c r="AC46" s="546">
        <f>-'5C1AG_Collegiate'!$R46</f>
        <v>0</v>
      </c>
      <c r="AD46" s="290">
        <f>-'5C1AH_BRUP'!$R46</f>
        <v>0</v>
      </c>
      <c r="AE46" s="775">
        <f>-'5C1AI_Harmony'!$R46</f>
        <v>0</v>
      </c>
      <c r="AF46" s="775">
        <f>-'5C1AJ_Athlos'!$R46</f>
        <v>0</v>
      </c>
      <c r="AG46" s="1080">
        <f>-'5C1AK_NxtGen'!$R46</f>
        <v>0</v>
      </c>
      <c r="AH46" s="1080">
        <f>-'5C1AL_Red River'!$R46</f>
        <v>0</v>
      </c>
      <c r="AI46" s="290">
        <f>-('5C2_LAVCA'!$R46+'5C2_LAVCA'!$S46)</f>
        <v>-339872</v>
      </c>
      <c r="AJ46" s="290">
        <f>-('5C3_UnvView'!$R46+'5C3_UnvView'!$S46)</f>
        <v>-508124</v>
      </c>
      <c r="AK46" s="290">
        <f>-Placeholder_Greater!$R46</f>
        <v>0</v>
      </c>
      <c r="AL46" s="291">
        <f t="shared" si="14"/>
        <v>-852885</v>
      </c>
      <c r="AM46" s="291">
        <f t="shared" si="8"/>
        <v>132409298</v>
      </c>
      <c r="AN46" s="291">
        <f>ROUND(AM46/'8_2.1.20 SIS'!C46,0)</f>
        <v>6102</v>
      </c>
      <c r="AO46" s="953">
        <f>'3B_Pay Raise'!O46</f>
        <v>3241212</v>
      </c>
      <c r="AP46" s="292">
        <v>-83758</v>
      </c>
      <c r="AQ46" s="290">
        <f t="shared" si="9"/>
        <v>0</v>
      </c>
      <c r="AR46" s="290">
        <f t="shared" si="10"/>
        <v>-83758</v>
      </c>
      <c r="AS46" s="290">
        <v>-2068578</v>
      </c>
      <c r="AT46" s="290">
        <v>-396630</v>
      </c>
      <c r="AU46" s="292">
        <f t="shared" si="11"/>
        <v>-2465208</v>
      </c>
      <c r="AV46" s="291">
        <f t="shared" si="12"/>
        <v>133101544</v>
      </c>
      <c r="AW46" s="290">
        <f>'4_Level 4'!E46</f>
        <v>0</v>
      </c>
      <c r="AX46" s="290">
        <f>'4_Level 4'!Q46</f>
        <v>585634</v>
      </c>
      <c r="AY46" s="291">
        <f t="shared" si="15"/>
        <v>133687178</v>
      </c>
      <c r="AZ46" s="290">
        <v>90051338</v>
      </c>
      <c r="BA46" s="290">
        <f t="shared" si="13"/>
        <v>43635840</v>
      </c>
      <c r="BB46" s="290">
        <f t="shared" si="16"/>
        <v>10908960</v>
      </c>
      <c r="BC46" s="290">
        <f>'4_Level 4'!J46</f>
        <v>0</v>
      </c>
      <c r="BD46" s="290">
        <f>'4_Level 4'!L46</f>
        <v>798915</v>
      </c>
      <c r="BE46" s="290">
        <f>'4_Level 4'!M46</f>
        <v>218094</v>
      </c>
      <c r="BF46" s="291">
        <f t="shared" si="17"/>
        <v>134704187</v>
      </c>
    </row>
    <row r="47" spans="1:58" ht="15.6" customHeight="1" x14ac:dyDescent="0.2">
      <c r="A47" s="281">
        <v>41</v>
      </c>
      <c r="B47" s="282" t="s">
        <v>44</v>
      </c>
      <c r="C47" s="36">
        <f>'3_Levels 1&amp;2'!AP47</f>
        <v>4565816</v>
      </c>
      <c r="D47" s="36">
        <v>0</v>
      </c>
      <c r="E47" s="36">
        <f>-'5C1A_Madison'!$R47</f>
        <v>0</v>
      </c>
      <c r="F47" s="36">
        <f>-'5C1B_DArbonne'!$R47</f>
        <v>0</v>
      </c>
      <c r="G47" s="36">
        <f>-'5C1C_Intl High'!$R47</f>
        <v>0</v>
      </c>
      <c r="H47" s="36">
        <f>-'5C1D_NOMMA'!$R47</f>
        <v>0</v>
      </c>
      <c r="I47" s="36">
        <f>-'5C1E_LFNO'!$R47</f>
        <v>0</v>
      </c>
      <c r="J47" s="36">
        <f>-'5C1F_L.C. Charter'!$R47</f>
        <v>0</v>
      </c>
      <c r="K47" s="36">
        <f>-'5C1G_JS Clark'!$R47</f>
        <v>0</v>
      </c>
      <c r="L47" s="36">
        <f>-'5C1H_Southwest'!$R47</f>
        <v>0</v>
      </c>
      <c r="M47" s="36">
        <f>-'5C1I_LA Key'!$R47</f>
        <v>0</v>
      </c>
      <c r="N47" s="36">
        <f>-'5C1J_JCFA-East'!$R47</f>
        <v>0</v>
      </c>
      <c r="O47" s="36">
        <f>-'5C1M_GEO Mid'!$R47</f>
        <v>0</v>
      </c>
      <c r="P47" s="36">
        <f>-'5C1N_Delta'!$R47</f>
        <v>0</v>
      </c>
      <c r="Q47" s="36">
        <f>-'5C1O_Impact'!$R47</f>
        <v>0</v>
      </c>
      <c r="R47" s="36">
        <f>-'5C1Q_Advantage'!$R47</f>
        <v>0</v>
      </c>
      <c r="S47" s="36">
        <f>-'5C1R_Iberville'!$R47</f>
        <v>0</v>
      </c>
      <c r="T47" s="36">
        <f>-'5C1S_LC Col Prep'!$R47</f>
        <v>0</v>
      </c>
      <c r="U47" s="36">
        <f>-'5C1T_Northeast'!$R47</f>
        <v>0</v>
      </c>
      <c r="V47" s="36">
        <f>-'5C1U_Acadiana Ren'!$R47</f>
        <v>0</v>
      </c>
      <c r="W47" s="36">
        <f>-'5C1V_Laf Ren'!$R47</f>
        <v>0</v>
      </c>
      <c r="X47" s="36">
        <f>-'5C1W_Willow'!$R47</f>
        <v>0</v>
      </c>
      <c r="Y47" s="36">
        <f>-'5C1Y_GEO'!$R47</f>
        <v>0</v>
      </c>
      <c r="Z47" s="36">
        <f>-'5C1Z_Lincoln Prep'!$R47</f>
        <v>0</v>
      </c>
      <c r="AA47" s="36">
        <f>-'5C1AE_Noble Minds'!$R47</f>
        <v>0</v>
      </c>
      <c r="AB47" s="36">
        <f>-'5C1AF_JCFA-Laf'!$R47</f>
        <v>0</v>
      </c>
      <c r="AC47" s="36">
        <f>-'5C1AG_Collegiate'!$R47</f>
        <v>0</v>
      </c>
      <c r="AD47" s="36">
        <f>-'5C1AH_BRUP'!$R47</f>
        <v>0</v>
      </c>
      <c r="AE47" s="36">
        <f>-'5C1AI_Harmony'!$R47</f>
        <v>0</v>
      </c>
      <c r="AF47" s="36">
        <f>-'5C1AJ_Athlos'!$R47</f>
        <v>0</v>
      </c>
      <c r="AG47" s="36">
        <f>-'5C1AK_NxtGen'!$R47</f>
        <v>0</v>
      </c>
      <c r="AH47" s="36">
        <f>-'5C1AL_Red River'!$R47</f>
        <v>0</v>
      </c>
      <c r="AI47" s="36">
        <f>-('5C2_LAVCA'!$R47+'5C2_LAVCA'!$S47)</f>
        <v>-2911</v>
      </c>
      <c r="AJ47" s="36">
        <f>-('5C3_UnvView'!$R47+'5C3_UnvView'!$S47)</f>
        <v>-8733</v>
      </c>
      <c r="AK47" s="36">
        <f>-Placeholder_Greater!$R47</f>
        <v>0</v>
      </c>
      <c r="AL47" s="35">
        <f t="shared" si="14"/>
        <v>-11644</v>
      </c>
      <c r="AM47" s="35">
        <f t="shared" si="8"/>
        <v>4554172</v>
      </c>
      <c r="AN47" s="35">
        <f>ROUND(AM47/'8_2.1.20 SIS'!C47,0)</f>
        <v>3528</v>
      </c>
      <c r="AO47" s="35">
        <f>'3B_Pay Raise'!O47</f>
        <v>231797</v>
      </c>
      <c r="AP47" s="37">
        <v>-5086</v>
      </c>
      <c r="AQ47" s="36">
        <f t="shared" si="9"/>
        <v>0</v>
      </c>
      <c r="AR47" s="36">
        <f t="shared" si="10"/>
        <v>-5086</v>
      </c>
      <c r="AS47" s="36">
        <v>-130536</v>
      </c>
      <c r="AT47" s="36">
        <v>-21168</v>
      </c>
      <c r="AU47" s="37">
        <f t="shared" si="11"/>
        <v>-151704</v>
      </c>
      <c r="AV47" s="35">
        <f t="shared" si="12"/>
        <v>4629179</v>
      </c>
      <c r="AW47" s="36">
        <f>'4_Level 4'!E47</f>
        <v>0</v>
      </c>
      <c r="AX47" s="36">
        <f>'4_Level 4'!Q47</f>
        <v>35223</v>
      </c>
      <c r="AY47" s="35">
        <f t="shared" si="15"/>
        <v>4664402</v>
      </c>
      <c r="AZ47" s="36">
        <v>3167484</v>
      </c>
      <c r="BA47" s="36">
        <f t="shared" si="13"/>
        <v>1496918</v>
      </c>
      <c r="BB47" s="36">
        <f t="shared" si="16"/>
        <v>374230</v>
      </c>
      <c r="BC47" s="36">
        <f>'4_Level 4'!J47</f>
        <v>0</v>
      </c>
      <c r="BD47" s="36">
        <f>'4_Level 4'!L47</f>
        <v>36391</v>
      </c>
      <c r="BE47" s="36">
        <f>'4_Level 4'!M47</f>
        <v>0</v>
      </c>
      <c r="BF47" s="35">
        <f t="shared" si="17"/>
        <v>4700793</v>
      </c>
    </row>
    <row r="48" spans="1:58" ht="15.6" customHeight="1" x14ac:dyDescent="0.2">
      <c r="A48" s="283">
        <v>42</v>
      </c>
      <c r="B48" s="284" t="s">
        <v>45</v>
      </c>
      <c r="C48" s="285">
        <f>'3_Levels 1&amp;2'!AP48</f>
        <v>15692526</v>
      </c>
      <c r="D48" s="285">
        <v>0</v>
      </c>
      <c r="E48" s="285">
        <f>-'5C1A_Madison'!$R48</f>
        <v>0</v>
      </c>
      <c r="F48" s="285">
        <f>-'5C1B_DArbonne'!$R48</f>
        <v>0</v>
      </c>
      <c r="G48" s="285">
        <f>-'5C1C_Intl High'!$R48</f>
        <v>0</v>
      </c>
      <c r="H48" s="285">
        <f>-'5C1D_NOMMA'!$R48</f>
        <v>0</v>
      </c>
      <c r="I48" s="285">
        <f>-'5C1E_LFNO'!$R48</f>
        <v>0</v>
      </c>
      <c r="J48" s="285">
        <f>-'5C1F_L.C. Charter'!$R48</f>
        <v>0</v>
      </c>
      <c r="K48" s="285">
        <f>-'5C1G_JS Clark'!$R48</f>
        <v>0</v>
      </c>
      <c r="L48" s="285">
        <f>-'5C1H_Southwest'!$R48</f>
        <v>0</v>
      </c>
      <c r="M48" s="285">
        <f>-'5C1I_LA Key'!$R48</f>
        <v>0</v>
      </c>
      <c r="N48" s="285">
        <f>-'5C1J_JCFA-East'!$R48</f>
        <v>0</v>
      </c>
      <c r="O48" s="285">
        <f>-'5C1M_GEO Mid'!$R48</f>
        <v>0</v>
      </c>
      <c r="P48" s="285">
        <f>-'5C1N_Delta'!$R48</f>
        <v>0</v>
      </c>
      <c r="Q48" s="285">
        <f>-'5C1O_Impact'!$R48</f>
        <v>0</v>
      </c>
      <c r="R48" s="285">
        <f>-'5C1Q_Advantage'!$R48</f>
        <v>0</v>
      </c>
      <c r="S48" s="285">
        <f>-'5C1R_Iberville'!$R48</f>
        <v>0</v>
      </c>
      <c r="T48" s="285">
        <f>-'5C1S_LC Col Prep'!$R48</f>
        <v>0</v>
      </c>
      <c r="U48" s="285">
        <f>-'5C1T_Northeast'!$R48</f>
        <v>0</v>
      </c>
      <c r="V48" s="285">
        <f>-'5C1U_Acadiana Ren'!$R48</f>
        <v>0</v>
      </c>
      <c r="W48" s="285">
        <f>-'5C1V_Laf Ren'!$R48</f>
        <v>0</v>
      </c>
      <c r="X48" s="285">
        <f>-'5C1W_Willow'!$R48</f>
        <v>0</v>
      </c>
      <c r="Y48" s="285">
        <f>-'5C1Y_GEO'!$R48</f>
        <v>0</v>
      </c>
      <c r="Z48" s="285">
        <f>-'5C1Z_Lincoln Prep'!$R48</f>
        <v>0</v>
      </c>
      <c r="AA48" s="285">
        <f>-'5C1AE_Noble Minds'!$R48</f>
        <v>0</v>
      </c>
      <c r="AB48" s="285">
        <f>-'5C1AF_JCFA-Laf'!$R48</f>
        <v>0</v>
      </c>
      <c r="AC48" s="285">
        <f>-'5C1AG_Collegiate'!$R48</f>
        <v>0</v>
      </c>
      <c r="AD48" s="285">
        <f>-'5C1AH_BRUP'!$R48</f>
        <v>0</v>
      </c>
      <c r="AE48" s="285">
        <f>-'5C1AI_Harmony'!$R48</f>
        <v>0</v>
      </c>
      <c r="AF48" s="285">
        <f>-'5C1AJ_Athlos'!$R48</f>
        <v>0</v>
      </c>
      <c r="AG48" s="285">
        <f>-'5C1AK_NxtGen'!$R48</f>
        <v>0</v>
      </c>
      <c r="AH48" s="285">
        <f>-'5C1AL_Red River'!$R48</f>
        <v>0</v>
      </c>
      <c r="AI48" s="285">
        <f>-('5C2_LAVCA'!$R48+'5C2_LAVCA'!$S48)</f>
        <v>-23089</v>
      </c>
      <c r="AJ48" s="285">
        <f>-('5C3_UnvView'!$R48+'5C3_UnvView'!$S48)</f>
        <v>-97622</v>
      </c>
      <c r="AK48" s="285">
        <f>-Placeholder_Greater!$R48</f>
        <v>0</v>
      </c>
      <c r="AL48" s="286">
        <f t="shared" si="14"/>
        <v>-120711</v>
      </c>
      <c r="AM48" s="286">
        <f t="shared" si="8"/>
        <v>15571815</v>
      </c>
      <c r="AN48" s="286">
        <f>ROUND(AM48/'8_2.1.20 SIS'!C48,0)</f>
        <v>5757</v>
      </c>
      <c r="AO48" s="286">
        <f>'3B_Pay Raise'!O48</f>
        <v>382496</v>
      </c>
      <c r="AP48" s="287">
        <v>-4858</v>
      </c>
      <c r="AQ48" s="285">
        <f t="shared" si="9"/>
        <v>0</v>
      </c>
      <c r="AR48" s="285">
        <f t="shared" si="10"/>
        <v>-4858</v>
      </c>
      <c r="AS48" s="285">
        <v>-299364</v>
      </c>
      <c r="AT48" s="285">
        <v>54692</v>
      </c>
      <c r="AU48" s="287">
        <f t="shared" si="11"/>
        <v>-244672</v>
      </c>
      <c r="AV48" s="286">
        <f t="shared" si="12"/>
        <v>15704781</v>
      </c>
      <c r="AW48" s="285">
        <f>'4_Level 4'!E48</f>
        <v>0</v>
      </c>
      <c r="AX48" s="285">
        <f>'4_Level 4'!Q48</f>
        <v>71154</v>
      </c>
      <c r="AY48" s="286">
        <f t="shared" si="15"/>
        <v>15775935</v>
      </c>
      <c r="AZ48" s="285">
        <v>10585058</v>
      </c>
      <c r="BA48" s="285">
        <f t="shared" si="13"/>
        <v>5190877</v>
      </c>
      <c r="BB48" s="285">
        <f t="shared" si="16"/>
        <v>1297719</v>
      </c>
      <c r="BC48" s="285">
        <f>'4_Level 4'!J48</f>
        <v>0</v>
      </c>
      <c r="BD48" s="285">
        <f>'4_Level 4'!L48</f>
        <v>89893</v>
      </c>
      <c r="BE48" s="285">
        <f>'4_Level 4'!M48</f>
        <v>0</v>
      </c>
      <c r="BF48" s="286">
        <f t="shared" si="17"/>
        <v>15865828</v>
      </c>
    </row>
    <row r="49" spans="1:58" ht="15.6" customHeight="1" x14ac:dyDescent="0.2">
      <c r="A49" s="283">
        <v>43</v>
      </c>
      <c r="B49" s="284" t="s">
        <v>46</v>
      </c>
      <c r="C49" s="285">
        <f>'3_Levels 1&amp;2'!AP49</f>
        <v>26071922</v>
      </c>
      <c r="D49" s="285">
        <v>0</v>
      </c>
      <c r="E49" s="285">
        <f>-'5C1A_Madison'!$R49</f>
        <v>0</v>
      </c>
      <c r="F49" s="285">
        <f>-'5C1B_DArbonne'!$R49</f>
        <v>0</v>
      </c>
      <c r="G49" s="285">
        <f>-'5C1C_Intl High'!$R49</f>
        <v>0</v>
      </c>
      <c r="H49" s="285">
        <f>-'5C1D_NOMMA'!$R49</f>
        <v>0</v>
      </c>
      <c r="I49" s="285">
        <f>-'5C1E_LFNO'!$R49</f>
        <v>0</v>
      </c>
      <c r="J49" s="285">
        <f>-'5C1F_L.C. Charter'!$R49</f>
        <v>0</v>
      </c>
      <c r="K49" s="285">
        <f>-'5C1G_JS Clark'!$R49</f>
        <v>0</v>
      </c>
      <c r="L49" s="285">
        <f>-'5C1H_Southwest'!$R49</f>
        <v>0</v>
      </c>
      <c r="M49" s="285">
        <f>-'5C1I_LA Key'!$R49</f>
        <v>0</v>
      </c>
      <c r="N49" s="285">
        <f>-'5C1J_JCFA-East'!$R49</f>
        <v>0</v>
      </c>
      <c r="O49" s="285">
        <f>-'5C1M_GEO Mid'!$R49</f>
        <v>0</v>
      </c>
      <c r="P49" s="285">
        <f>-'5C1N_Delta'!$R49</f>
        <v>0</v>
      </c>
      <c r="Q49" s="285">
        <f>-'5C1O_Impact'!$R49</f>
        <v>0</v>
      </c>
      <c r="R49" s="285">
        <f>-'5C1Q_Advantage'!$R49</f>
        <v>0</v>
      </c>
      <c r="S49" s="285">
        <f>-'5C1R_Iberville'!$R49</f>
        <v>0</v>
      </c>
      <c r="T49" s="285">
        <f>-'5C1S_LC Col Prep'!$R49</f>
        <v>0</v>
      </c>
      <c r="U49" s="285">
        <f>-'5C1T_Northeast'!$R49</f>
        <v>0</v>
      </c>
      <c r="V49" s="285">
        <f>-'5C1U_Acadiana Ren'!$R49</f>
        <v>0</v>
      </c>
      <c r="W49" s="285">
        <f>-'5C1V_Laf Ren'!$R49</f>
        <v>0</v>
      </c>
      <c r="X49" s="285">
        <f>-'5C1W_Willow'!$R49</f>
        <v>0</v>
      </c>
      <c r="Y49" s="285">
        <f>-'5C1Y_GEO'!$R49</f>
        <v>0</v>
      </c>
      <c r="Z49" s="285">
        <f>-'5C1Z_Lincoln Prep'!$R49</f>
        <v>0</v>
      </c>
      <c r="AA49" s="285">
        <f>-'5C1AE_Noble Minds'!$R49</f>
        <v>0</v>
      </c>
      <c r="AB49" s="285">
        <f>-'5C1AF_JCFA-Laf'!$R49</f>
        <v>0</v>
      </c>
      <c r="AC49" s="285">
        <f>-'5C1AG_Collegiate'!$R49</f>
        <v>0</v>
      </c>
      <c r="AD49" s="285">
        <f>-'5C1AH_BRUP'!$R49</f>
        <v>0</v>
      </c>
      <c r="AE49" s="285">
        <f>-'5C1AI_Harmony'!$R49</f>
        <v>0</v>
      </c>
      <c r="AF49" s="285">
        <f>-'5C1AJ_Athlos'!$R49</f>
        <v>0</v>
      </c>
      <c r="AG49" s="285">
        <f>-'5C1AK_NxtGen'!$R49</f>
        <v>0</v>
      </c>
      <c r="AH49" s="285">
        <f>-'5C1AL_Red River'!$R49</f>
        <v>0</v>
      </c>
      <c r="AI49" s="285">
        <f>-('5C2_LAVCA'!$R49+'5C2_LAVCA'!$S49)</f>
        <v>-55472</v>
      </c>
      <c r="AJ49" s="285">
        <f>-('5C3_UnvView'!$R49+'5C3_UnvView'!$S49)</f>
        <v>-58434</v>
      </c>
      <c r="AK49" s="285">
        <f>-Placeholder_Greater!$R49</f>
        <v>0</v>
      </c>
      <c r="AL49" s="286">
        <f t="shared" si="14"/>
        <v>-113906</v>
      </c>
      <c r="AM49" s="286">
        <f t="shared" si="8"/>
        <v>25958016</v>
      </c>
      <c r="AN49" s="286">
        <f>ROUND(AM49/'8_2.1.20 SIS'!C49,0)</f>
        <v>6493</v>
      </c>
      <c r="AO49" s="286">
        <f>'3B_Pay Raise'!O49</f>
        <v>603729</v>
      </c>
      <c r="AP49" s="287">
        <v>-1868</v>
      </c>
      <c r="AQ49" s="285">
        <f t="shared" si="9"/>
        <v>0</v>
      </c>
      <c r="AR49" s="285">
        <f t="shared" si="10"/>
        <v>-1868</v>
      </c>
      <c r="AS49" s="285">
        <v>-201283</v>
      </c>
      <c r="AT49" s="285">
        <v>-139600</v>
      </c>
      <c r="AU49" s="287">
        <f t="shared" si="11"/>
        <v>-340883</v>
      </c>
      <c r="AV49" s="286">
        <f t="shared" si="12"/>
        <v>26218994</v>
      </c>
      <c r="AW49" s="285">
        <f>'4_Level 4'!E49</f>
        <v>0</v>
      </c>
      <c r="AX49" s="285">
        <f>'4_Level 4'!Q49</f>
        <v>107203</v>
      </c>
      <c r="AY49" s="286">
        <f t="shared" si="15"/>
        <v>26326197</v>
      </c>
      <c r="AZ49" s="285">
        <v>17721456</v>
      </c>
      <c r="BA49" s="285">
        <f t="shared" si="13"/>
        <v>8604741</v>
      </c>
      <c r="BB49" s="285">
        <f t="shared" si="16"/>
        <v>2151185</v>
      </c>
      <c r="BC49" s="285">
        <f>'4_Level 4'!J49</f>
        <v>0</v>
      </c>
      <c r="BD49" s="285">
        <f>'4_Level 4'!L49</f>
        <v>128694</v>
      </c>
      <c r="BE49" s="285">
        <f>'4_Level 4'!M49</f>
        <v>95854</v>
      </c>
      <c r="BF49" s="286">
        <f t="shared" si="17"/>
        <v>26550745</v>
      </c>
    </row>
    <row r="50" spans="1:58" ht="15.6" customHeight="1" x14ac:dyDescent="0.2">
      <c r="A50" s="283">
        <v>44</v>
      </c>
      <c r="B50" s="284" t="s">
        <v>47</v>
      </c>
      <c r="C50" s="285">
        <f>'3_Levels 1&amp;2'!AP50</f>
        <v>44681332</v>
      </c>
      <c r="D50" s="285">
        <v>0</v>
      </c>
      <c r="E50" s="285">
        <f>-'5C1A_Madison'!$R50</f>
        <v>0</v>
      </c>
      <c r="F50" s="285">
        <f>-'5C1B_DArbonne'!$R50</f>
        <v>0</v>
      </c>
      <c r="G50" s="285">
        <f>-'5C1C_Intl High'!$R50</f>
        <v>-31318</v>
      </c>
      <c r="H50" s="285">
        <f>-'5C1D_NOMMA'!$R50</f>
        <v>-11541</v>
      </c>
      <c r="I50" s="285">
        <f>-'5C1E_LFNO'!$R50</f>
        <v>-18292</v>
      </c>
      <c r="J50" s="285">
        <f>-'5C1F_L.C. Charter'!$R50</f>
        <v>0</v>
      </c>
      <c r="K50" s="285">
        <f>-'5C1G_JS Clark'!$R50</f>
        <v>0</v>
      </c>
      <c r="L50" s="285">
        <f>-'5C1H_Southwest'!$R50</f>
        <v>0</v>
      </c>
      <c r="M50" s="285">
        <f>-'5C1I_LA Key'!$R50</f>
        <v>0</v>
      </c>
      <c r="N50" s="285">
        <f>-'5C1J_JCFA-East'!$R50</f>
        <v>0</v>
      </c>
      <c r="O50" s="285">
        <f>-'5C1M_GEO Mid'!$R50</f>
        <v>0</v>
      </c>
      <c r="P50" s="285">
        <f>-'5C1N_Delta'!$R50</f>
        <v>0</v>
      </c>
      <c r="Q50" s="285">
        <f>-'5C1O_Impact'!$R50</f>
        <v>0</v>
      </c>
      <c r="R50" s="285">
        <f>-'5C1Q_Advantage'!$R50</f>
        <v>0</v>
      </c>
      <c r="S50" s="285">
        <f>-'5C1R_Iberville'!$R50</f>
        <v>0</v>
      </c>
      <c r="T50" s="285">
        <f>-'5C1S_LC Col Prep'!$R50</f>
        <v>0</v>
      </c>
      <c r="U50" s="285">
        <f>-'5C1T_Northeast'!$R50</f>
        <v>0</v>
      </c>
      <c r="V50" s="285">
        <f>-'5C1U_Acadiana Ren'!$R50</f>
        <v>0</v>
      </c>
      <c r="W50" s="285">
        <f>-'5C1V_Laf Ren'!$R50</f>
        <v>0</v>
      </c>
      <c r="X50" s="285">
        <f>-'5C1W_Willow'!$R50</f>
        <v>0</v>
      </c>
      <c r="Y50" s="285">
        <f>-'5C1Y_GEO'!$R50</f>
        <v>0</v>
      </c>
      <c r="Z50" s="285">
        <f>-'5C1Z_Lincoln Prep'!$R50</f>
        <v>0</v>
      </c>
      <c r="AA50" s="285">
        <f>-'5C1AE_Noble Minds'!$R50</f>
        <v>-5503</v>
      </c>
      <c r="AB50" s="285">
        <f>-'5C1AF_JCFA-Laf'!$R50</f>
        <v>0</v>
      </c>
      <c r="AC50" s="285">
        <f>-'5C1AG_Collegiate'!$R50</f>
        <v>0</v>
      </c>
      <c r="AD50" s="285">
        <f>-'5C1AH_BRUP'!$R50</f>
        <v>0</v>
      </c>
      <c r="AE50" s="285">
        <f>-'5C1AI_Harmony'!$R50</f>
        <v>0</v>
      </c>
      <c r="AF50" s="285">
        <f>-'5C1AJ_Athlos'!$R50</f>
        <v>-26861</v>
      </c>
      <c r="AG50" s="285">
        <f>-'5C1AK_NxtGen'!$R50</f>
        <v>0</v>
      </c>
      <c r="AH50" s="285">
        <f>-'5C1AL_Red River'!$R50</f>
        <v>0</v>
      </c>
      <c r="AI50" s="285">
        <f>-('5C2_LAVCA'!$R50+'5C2_LAVCA'!$S50)</f>
        <v>-181393</v>
      </c>
      <c r="AJ50" s="285">
        <f>-('5C3_UnvView'!$R50+'5C3_UnvView'!$S50)</f>
        <v>-84742</v>
      </c>
      <c r="AK50" s="285">
        <f>-Placeholder_Greater!$R50</f>
        <v>0</v>
      </c>
      <c r="AL50" s="286">
        <f t="shared" si="14"/>
        <v>-359650</v>
      </c>
      <c r="AM50" s="286">
        <f t="shared" si="8"/>
        <v>44321682</v>
      </c>
      <c r="AN50" s="286">
        <f>ROUND(AM50/'8_2.1.20 SIS'!C50,0)</f>
        <v>5991</v>
      </c>
      <c r="AO50" s="286">
        <f>'3B_Pay Raise'!O50</f>
        <v>972448</v>
      </c>
      <c r="AP50" s="287">
        <v>0</v>
      </c>
      <c r="AQ50" s="285">
        <f t="shared" si="9"/>
        <v>0</v>
      </c>
      <c r="AR50" s="285">
        <f t="shared" si="10"/>
        <v>0</v>
      </c>
      <c r="AS50" s="285">
        <v>389415</v>
      </c>
      <c r="AT50" s="285">
        <v>239640</v>
      </c>
      <c r="AU50" s="287">
        <f t="shared" si="11"/>
        <v>629055</v>
      </c>
      <c r="AV50" s="286">
        <f t="shared" si="12"/>
        <v>45923185</v>
      </c>
      <c r="AW50" s="285">
        <f>'4_Level 4'!E50</f>
        <v>0</v>
      </c>
      <c r="AX50" s="285">
        <f>'4_Level 4'!Q50</f>
        <v>189744</v>
      </c>
      <c r="AY50" s="286">
        <f t="shared" si="15"/>
        <v>46112929</v>
      </c>
      <c r="AZ50" s="285">
        <v>30433036</v>
      </c>
      <c r="BA50" s="285">
        <f t="shared" si="13"/>
        <v>15679893</v>
      </c>
      <c r="BB50" s="285">
        <f t="shared" si="16"/>
        <v>3919973</v>
      </c>
      <c r="BC50" s="285">
        <f>'4_Level 4'!J50</f>
        <v>0</v>
      </c>
      <c r="BD50" s="285">
        <f>'4_Level 4'!L50</f>
        <v>197861</v>
      </c>
      <c r="BE50" s="285">
        <f>'4_Level 4'!M50</f>
        <v>482878</v>
      </c>
      <c r="BF50" s="286">
        <f t="shared" si="17"/>
        <v>46793668</v>
      </c>
    </row>
    <row r="51" spans="1:58" ht="15.6" customHeight="1" x14ac:dyDescent="0.2">
      <c r="A51" s="288">
        <v>45</v>
      </c>
      <c r="B51" s="289" t="s">
        <v>48</v>
      </c>
      <c r="C51" s="290">
        <f>'3_Levels 1&amp;2'!AP51</f>
        <v>28981471</v>
      </c>
      <c r="D51" s="290">
        <v>0</v>
      </c>
      <c r="E51" s="290">
        <f>-'5C1A_Madison'!$R51</f>
        <v>0</v>
      </c>
      <c r="F51" s="290">
        <f>-'5C1B_DArbonne'!$R51</f>
        <v>0</v>
      </c>
      <c r="G51" s="290">
        <f>-'5C1C_Intl High'!$R51</f>
        <v>0</v>
      </c>
      <c r="H51" s="290">
        <f>-'5C1D_NOMMA'!$R51</f>
        <v>-5612</v>
      </c>
      <c r="I51" s="290">
        <f>-'5C1E_LFNO'!$R51</f>
        <v>-11856</v>
      </c>
      <c r="J51" s="290">
        <f>-'5C1F_L.C. Charter'!$R51</f>
        <v>0</v>
      </c>
      <c r="K51" s="290">
        <f>-'5C1G_JS Clark'!$R51</f>
        <v>0</v>
      </c>
      <c r="L51" s="290">
        <f>-'5C1H_Southwest'!$R51</f>
        <v>0</v>
      </c>
      <c r="M51" s="290">
        <f>-'5C1I_LA Key'!$R51</f>
        <v>0</v>
      </c>
      <c r="N51" s="290">
        <f>-'5C1J_JCFA-East'!$R51</f>
        <v>-2531</v>
      </c>
      <c r="O51" s="290">
        <f>-'5C1M_GEO Mid'!$R51</f>
        <v>0</v>
      </c>
      <c r="P51" s="290">
        <f>-'5C1N_Delta'!$R51</f>
        <v>0</v>
      </c>
      <c r="Q51" s="290">
        <f>-'5C1O_Impact'!$R51</f>
        <v>0</v>
      </c>
      <c r="R51" s="290">
        <f>-'5C1Q_Advantage'!$R51</f>
        <v>0</v>
      </c>
      <c r="S51" s="290">
        <f>-'5C1R_Iberville'!$R51</f>
        <v>0</v>
      </c>
      <c r="T51" s="290">
        <f>-'5C1S_LC Col Prep'!$R51</f>
        <v>0</v>
      </c>
      <c r="U51" s="290">
        <f>-'5C1T_Northeast'!$R51</f>
        <v>0</v>
      </c>
      <c r="V51" s="290">
        <f>-'5C1U_Acadiana Ren'!$R51</f>
        <v>0</v>
      </c>
      <c r="W51" s="290">
        <f>-'5C1V_Laf Ren'!$R51</f>
        <v>0</v>
      </c>
      <c r="X51" s="290">
        <f>-'5C1W_Willow'!$R51</f>
        <v>0</v>
      </c>
      <c r="Y51" s="290">
        <f>-'5C1Y_GEO'!$R51</f>
        <v>0</v>
      </c>
      <c r="Z51" s="290">
        <f>-'5C1Z_Lincoln Prep'!$R51</f>
        <v>0</v>
      </c>
      <c r="AA51" s="546">
        <f>-'5C1AE_Noble Minds'!$R51</f>
        <v>-2834</v>
      </c>
      <c r="AB51" s="546">
        <f>-'5C1AF_JCFA-Laf'!$R51</f>
        <v>0</v>
      </c>
      <c r="AC51" s="546">
        <f>-'5C1AG_Collegiate'!$R51</f>
        <v>0</v>
      </c>
      <c r="AD51" s="290">
        <f>-'5C1AH_BRUP'!$R51</f>
        <v>0</v>
      </c>
      <c r="AE51" s="775">
        <f>-'5C1AI_Harmony'!$R51</f>
        <v>0</v>
      </c>
      <c r="AF51" s="775">
        <f>-'5C1AJ_Athlos'!$R51</f>
        <v>-2834</v>
      </c>
      <c r="AG51" s="1080">
        <f>-'5C1AK_NxtGen'!$R51</f>
        <v>0</v>
      </c>
      <c r="AH51" s="1080">
        <f>-'5C1AL_Red River'!$R51</f>
        <v>0</v>
      </c>
      <c r="AI51" s="290">
        <f>-('5C2_LAVCA'!$R51+'5C2_LAVCA'!$S51)</f>
        <v>-70471</v>
      </c>
      <c r="AJ51" s="290">
        <f>-('5C3_UnvView'!$R51+'5C3_UnvView'!$S51)</f>
        <v>-24866</v>
      </c>
      <c r="AK51" s="290">
        <f>-Placeholder_Greater!$R51</f>
        <v>0</v>
      </c>
      <c r="AL51" s="291">
        <f t="shared" si="14"/>
        <v>-121004</v>
      </c>
      <c r="AM51" s="291">
        <f t="shared" si="8"/>
        <v>28860467</v>
      </c>
      <c r="AN51" s="291">
        <f>ROUND(AM51/'8_2.1.20 SIS'!C51,0)</f>
        <v>3060</v>
      </c>
      <c r="AO51" s="953">
        <f>'3B_Pay Raise'!O51</f>
        <v>1722895</v>
      </c>
      <c r="AP51" s="292">
        <v>-1385</v>
      </c>
      <c r="AQ51" s="290">
        <f t="shared" si="9"/>
        <v>0</v>
      </c>
      <c r="AR51" s="290">
        <f t="shared" si="10"/>
        <v>-1385</v>
      </c>
      <c r="AS51" s="290">
        <v>-211140</v>
      </c>
      <c r="AT51" s="290">
        <v>-105570</v>
      </c>
      <c r="AU51" s="292">
        <f t="shared" si="11"/>
        <v>-316710</v>
      </c>
      <c r="AV51" s="291">
        <f t="shared" si="12"/>
        <v>30265267</v>
      </c>
      <c r="AW51" s="290">
        <f>'4_Level 4'!E51</f>
        <v>0</v>
      </c>
      <c r="AX51" s="290">
        <f>'4_Level 4'!Q51</f>
        <v>250691</v>
      </c>
      <c r="AY51" s="291">
        <f t="shared" si="15"/>
        <v>30515958</v>
      </c>
      <c r="AZ51" s="290">
        <v>20465372</v>
      </c>
      <c r="BA51" s="290">
        <f t="shared" si="13"/>
        <v>10050586</v>
      </c>
      <c r="BB51" s="290">
        <f t="shared" si="16"/>
        <v>2512647</v>
      </c>
      <c r="BC51" s="290">
        <f>'4_Level 4'!J51</f>
        <v>0</v>
      </c>
      <c r="BD51" s="290">
        <f>'4_Level 4'!L51</f>
        <v>232806</v>
      </c>
      <c r="BE51" s="290">
        <f>'4_Level 4'!M51</f>
        <v>0</v>
      </c>
      <c r="BF51" s="291">
        <f t="shared" si="17"/>
        <v>30748764</v>
      </c>
    </row>
    <row r="52" spans="1:58" ht="15.6" customHeight="1" x14ac:dyDescent="0.2">
      <c r="A52" s="281">
        <v>46</v>
      </c>
      <c r="B52" s="282" t="s">
        <v>49</v>
      </c>
      <c r="C52" s="36">
        <f>'3_Levels 1&amp;2'!AP52</f>
        <v>9464355</v>
      </c>
      <c r="D52" s="36">
        <v>0</v>
      </c>
      <c r="E52" s="36">
        <f>-'5C1A_Madison'!$R52</f>
        <v>0</v>
      </c>
      <c r="F52" s="36">
        <f>-'5C1B_DArbonne'!$R52</f>
        <v>0</v>
      </c>
      <c r="G52" s="36">
        <f>-'5C1C_Intl High'!$R52</f>
        <v>0</v>
      </c>
      <c r="H52" s="36">
        <f>-'5C1D_NOMMA'!$R52</f>
        <v>0</v>
      </c>
      <c r="I52" s="36">
        <f>-'5C1E_LFNO'!$R52</f>
        <v>0</v>
      </c>
      <c r="J52" s="36">
        <f>-'5C1F_L.C. Charter'!$R52</f>
        <v>0</v>
      </c>
      <c r="K52" s="36">
        <f>-'5C1G_JS Clark'!$R52</f>
        <v>0</v>
      </c>
      <c r="L52" s="36">
        <f>-'5C1H_Southwest'!$R52</f>
        <v>0</v>
      </c>
      <c r="M52" s="36">
        <f>-'5C1I_LA Key'!$R52</f>
        <v>0</v>
      </c>
      <c r="N52" s="36">
        <f>-'5C1J_JCFA-East'!$R52</f>
        <v>0</v>
      </c>
      <c r="O52" s="36">
        <f>-'5C1M_GEO Mid'!$R52</f>
        <v>0</v>
      </c>
      <c r="P52" s="36">
        <f>-'5C1N_Delta'!$R52</f>
        <v>0</v>
      </c>
      <c r="Q52" s="36">
        <f>-'5C1O_Impact'!$R52</f>
        <v>0</v>
      </c>
      <c r="R52" s="36">
        <f>-'5C1Q_Advantage'!$R52</f>
        <v>0</v>
      </c>
      <c r="S52" s="36">
        <f>-'5C1R_Iberville'!$R52</f>
        <v>0</v>
      </c>
      <c r="T52" s="36">
        <f>-'5C1S_LC Col Prep'!$R52</f>
        <v>0</v>
      </c>
      <c r="U52" s="36">
        <f>-'5C1T_Northeast'!$R52</f>
        <v>0</v>
      </c>
      <c r="V52" s="36">
        <f>-'5C1U_Acadiana Ren'!$R52</f>
        <v>0</v>
      </c>
      <c r="W52" s="36">
        <f>-'5C1V_Laf Ren'!$R52</f>
        <v>0</v>
      </c>
      <c r="X52" s="36">
        <f>-'5C1W_Willow'!$R52</f>
        <v>0</v>
      </c>
      <c r="Y52" s="36">
        <f>-'5C1Y_GEO'!$R52</f>
        <v>0</v>
      </c>
      <c r="Z52" s="36">
        <f>-'5C1Z_Lincoln Prep'!$R52</f>
        <v>0</v>
      </c>
      <c r="AA52" s="36">
        <f>-'5C1AE_Noble Minds'!$R52</f>
        <v>0</v>
      </c>
      <c r="AB52" s="36">
        <f>-'5C1AF_JCFA-Laf'!$R52</f>
        <v>0</v>
      </c>
      <c r="AC52" s="36">
        <f>-'5C1AG_Collegiate'!$R52</f>
        <v>0</v>
      </c>
      <c r="AD52" s="36">
        <f>-'5C1AH_BRUP'!$R52</f>
        <v>0</v>
      </c>
      <c r="AE52" s="36">
        <f>-'5C1AI_Harmony'!$R52</f>
        <v>0</v>
      </c>
      <c r="AF52" s="36">
        <f>-'5C1AJ_Athlos'!$R52</f>
        <v>0</v>
      </c>
      <c r="AG52" s="36">
        <f>-'5C1AK_NxtGen'!$R52</f>
        <v>0</v>
      </c>
      <c r="AH52" s="36">
        <f>-'5C1AL_Red River'!$R52</f>
        <v>0</v>
      </c>
      <c r="AI52" s="36">
        <f>-('5C2_LAVCA'!$R52+'5C2_LAVCA'!$S52)</f>
        <v>-69329</v>
      </c>
      <c r="AJ52" s="36">
        <f>-('5C3_UnvView'!$R52+'5C3_UnvView'!$S52)</f>
        <v>-67510</v>
      </c>
      <c r="AK52" s="36">
        <f>-Placeholder_Greater!$R52</f>
        <v>0</v>
      </c>
      <c r="AL52" s="35">
        <f t="shared" si="14"/>
        <v>-136839</v>
      </c>
      <c r="AM52" s="35">
        <f t="shared" si="8"/>
        <v>9327516</v>
      </c>
      <c r="AN52" s="35">
        <f>ROUND(AM52/'8_2.1.20 SIS'!C52,0)</f>
        <v>8006</v>
      </c>
      <c r="AO52" s="35">
        <f>'3B_Pay Raise'!O52</f>
        <v>162268</v>
      </c>
      <c r="AP52" s="37">
        <v>-15603</v>
      </c>
      <c r="AQ52" s="36">
        <f t="shared" si="9"/>
        <v>0</v>
      </c>
      <c r="AR52" s="36">
        <f t="shared" si="10"/>
        <v>-15603</v>
      </c>
      <c r="AS52" s="36">
        <v>-128096</v>
      </c>
      <c r="AT52" s="36">
        <v>16012</v>
      </c>
      <c r="AU52" s="37">
        <f t="shared" si="11"/>
        <v>-112084</v>
      </c>
      <c r="AV52" s="35">
        <f t="shared" si="12"/>
        <v>9362097</v>
      </c>
      <c r="AW52" s="36">
        <f>'4_Level 4'!E52</f>
        <v>0</v>
      </c>
      <c r="AX52" s="36">
        <f>'4_Level 4'!Q52</f>
        <v>30090</v>
      </c>
      <c r="AY52" s="35">
        <f t="shared" si="15"/>
        <v>9392187</v>
      </c>
      <c r="AZ52" s="36">
        <v>6290828</v>
      </c>
      <c r="BA52" s="36">
        <f t="shared" si="13"/>
        <v>3101359</v>
      </c>
      <c r="BB52" s="36">
        <f t="shared" si="16"/>
        <v>775340</v>
      </c>
      <c r="BC52" s="36">
        <f>'4_Level 4'!J52</f>
        <v>0</v>
      </c>
      <c r="BD52" s="36">
        <f>'4_Level 4'!L52</f>
        <v>30366</v>
      </c>
      <c r="BE52" s="36">
        <f>'4_Level 4'!M52</f>
        <v>0</v>
      </c>
      <c r="BF52" s="35">
        <f t="shared" si="17"/>
        <v>9422553</v>
      </c>
    </row>
    <row r="53" spans="1:58" ht="15.6" customHeight="1" x14ac:dyDescent="0.2">
      <c r="A53" s="283">
        <v>47</v>
      </c>
      <c r="B53" s="284" t="s">
        <v>50</v>
      </c>
      <c r="C53" s="285">
        <f>'3_Levels 1&amp;2'!AP53</f>
        <v>10594318</v>
      </c>
      <c r="D53" s="285">
        <v>0</v>
      </c>
      <c r="E53" s="285">
        <f>-'5C1A_Madison'!$R53</f>
        <v>0</v>
      </c>
      <c r="F53" s="285">
        <f>-'5C1B_DArbonne'!$R53</f>
        <v>0</v>
      </c>
      <c r="G53" s="285">
        <f>-'5C1C_Intl High'!$R53</f>
        <v>0</v>
      </c>
      <c r="H53" s="285">
        <f>-'5C1D_NOMMA'!$R53</f>
        <v>0</v>
      </c>
      <c r="I53" s="285">
        <f>-'5C1E_LFNO'!$R53</f>
        <v>0</v>
      </c>
      <c r="J53" s="285">
        <f>-'5C1F_L.C. Charter'!$R53</f>
        <v>0</v>
      </c>
      <c r="K53" s="285">
        <f>-'5C1G_JS Clark'!$R53</f>
        <v>0</v>
      </c>
      <c r="L53" s="285">
        <f>-'5C1H_Southwest'!$R53</f>
        <v>0</v>
      </c>
      <c r="M53" s="285">
        <f>-'5C1I_LA Key'!$R53</f>
        <v>0</v>
      </c>
      <c r="N53" s="285">
        <f>-'5C1J_JCFA-East'!$R53</f>
        <v>0</v>
      </c>
      <c r="O53" s="285">
        <f>-'5C1M_GEO Mid'!$R53</f>
        <v>0</v>
      </c>
      <c r="P53" s="285">
        <f>-'5C1N_Delta'!$R53</f>
        <v>0</v>
      </c>
      <c r="Q53" s="285">
        <f>-'5C1O_Impact'!$R53</f>
        <v>0</v>
      </c>
      <c r="R53" s="285">
        <f>-'5C1Q_Advantage'!$R53</f>
        <v>0</v>
      </c>
      <c r="S53" s="285">
        <f>-'5C1R_Iberville'!$R53</f>
        <v>-2432</v>
      </c>
      <c r="T53" s="285">
        <f>-'5C1S_LC Col Prep'!$R53</f>
        <v>0</v>
      </c>
      <c r="U53" s="285">
        <f>-'5C1T_Northeast'!$R53</f>
        <v>0</v>
      </c>
      <c r="V53" s="285">
        <f>-'5C1U_Acadiana Ren'!$R53</f>
        <v>0</v>
      </c>
      <c r="W53" s="285">
        <f>-'5C1V_Laf Ren'!$R53</f>
        <v>0</v>
      </c>
      <c r="X53" s="285">
        <f>-'5C1W_Willow'!$R53</f>
        <v>0</v>
      </c>
      <c r="Y53" s="285">
        <f>-'5C1Y_GEO'!$R53</f>
        <v>0</v>
      </c>
      <c r="Z53" s="285">
        <f>-'5C1Z_Lincoln Prep'!$R53</f>
        <v>0</v>
      </c>
      <c r="AA53" s="285">
        <f>-'5C1AE_Noble Minds'!$R53</f>
        <v>0</v>
      </c>
      <c r="AB53" s="285">
        <f>-'5C1AF_JCFA-Laf'!$R53</f>
        <v>0</v>
      </c>
      <c r="AC53" s="285">
        <f>-'5C1AG_Collegiate'!$R53</f>
        <v>0</v>
      </c>
      <c r="AD53" s="285">
        <f>-'5C1AH_BRUP'!$R53</f>
        <v>0</v>
      </c>
      <c r="AE53" s="285">
        <f>-'5C1AI_Harmony'!$R53</f>
        <v>0</v>
      </c>
      <c r="AF53" s="285">
        <f>-'5C1AJ_Athlos'!$R53</f>
        <v>0</v>
      </c>
      <c r="AG53" s="285">
        <f>-'5C1AK_NxtGen'!$R53</f>
        <v>0</v>
      </c>
      <c r="AH53" s="285">
        <f>-'5C1AL_Red River'!$R53</f>
        <v>0</v>
      </c>
      <c r="AI53" s="285">
        <f>-('5C2_LAVCA'!$R53+'5C2_LAVCA'!$S53)</f>
        <v>-7134</v>
      </c>
      <c r="AJ53" s="285">
        <f>-('5C3_UnvView'!$R53+'5C3_UnvView'!$S53)</f>
        <v>-13641</v>
      </c>
      <c r="AK53" s="285">
        <f>-Placeholder_Greater!$R53</f>
        <v>-151530</v>
      </c>
      <c r="AL53" s="286">
        <f t="shared" si="14"/>
        <v>-174737</v>
      </c>
      <c r="AM53" s="286">
        <f t="shared" si="8"/>
        <v>10419581</v>
      </c>
      <c r="AN53" s="286">
        <f>ROUND(AM53/'8_2.1.20 SIS'!C53,0)</f>
        <v>3020</v>
      </c>
      <c r="AO53" s="286">
        <f>'3B_Pay Raise'!O53</f>
        <v>573398</v>
      </c>
      <c r="AP53" s="287">
        <v>-5327</v>
      </c>
      <c r="AQ53" s="285">
        <f t="shared" si="9"/>
        <v>0</v>
      </c>
      <c r="AR53" s="285">
        <f t="shared" si="10"/>
        <v>-5327</v>
      </c>
      <c r="AS53" s="285">
        <v>-265760</v>
      </c>
      <c r="AT53" s="285">
        <v>-18120</v>
      </c>
      <c r="AU53" s="287">
        <f t="shared" si="11"/>
        <v>-283880</v>
      </c>
      <c r="AV53" s="286">
        <f t="shared" si="12"/>
        <v>10703772</v>
      </c>
      <c r="AW53" s="285">
        <f>'4_Level 4'!E53</f>
        <v>0</v>
      </c>
      <c r="AX53" s="285">
        <f>'4_Level 4'!Q53</f>
        <v>92984</v>
      </c>
      <c r="AY53" s="286">
        <f t="shared" si="15"/>
        <v>10796756</v>
      </c>
      <c r="AZ53" s="285">
        <v>7299546</v>
      </c>
      <c r="BA53" s="285">
        <f t="shared" si="13"/>
        <v>3497210</v>
      </c>
      <c r="BB53" s="285">
        <f t="shared" si="16"/>
        <v>874303</v>
      </c>
      <c r="BC53" s="285">
        <f>'4_Level 4'!J53</f>
        <v>0</v>
      </c>
      <c r="BD53" s="285">
        <f>'4_Level 4'!L53</f>
        <v>165808</v>
      </c>
      <c r="BE53" s="285">
        <f>'4_Level 4'!M53</f>
        <v>0</v>
      </c>
      <c r="BF53" s="286">
        <f t="shared" si="17"/>
        <v>10962564</v>
      </c>
    </row>
    <row r="54" spans="1:58" ht="15.6" customHeight="1" x14ac:dyDescent="0.2">
      <c r="A54" s="283">
        <v>48</v>
      </c>
      <c r="B54" s="284" t="s">
        <v>73</v>
      </c>
      <c r="C54" s="285">
        <f>'3_Levels 1&amp;2'!AP54</f>
        <v>29736890</v>
      </c>
      <c r="D54" s="285">
        <v>0</v>
      </c>
      <c r="E54" s="285">
        <f>-'5C1A_Madison'!$R54</f>
        <v>0</v>
      </c>
      <c r="F54" s="285">
        <f>-'5C1B_DArbonne'!$R54</f>
        <v>0</v>
      </c>
      <c r="G54" s="285">
        <f>-'5C1C_Intl High'!$R54</f>
        <v>0</v>
      </c>
      <c r="H54" s="285">
        <f>-'5C1D_NOMMA'!$R54</f>
        <v>0</v>
      </c>
      <c r="I54" s="285">
        <f>-'5C1E_LFNO'!$R54</f>
        <v>-8963</v>
      </c>
      <c r="J54" s="285">
        <f>-'5C1F_L.C. Charter'!$R54</f>
        <v>0</v>
      </c>
      <c r="K54" s="285">
        <f>-'5C1G_JS Clark'!$R54</f>
        <v>0</v>
      </c>
      <c r="L54" s="285">
        <f>-'5C1H_Southwest'!$R54</f>
        <v>0</v>
      </c>
      <c r="M54" s="285">
        <f>-'5C1I_LA Key'!$R54</f>
        <v>0</v>
      </c>
      <c r="N54" s="285">
        <f>-'5C1J_JCFA-East'!$R54</f>
        <v>-9385</v>
      </c>
      <c r="O54" s="285">
        <f>-'5C1M_GEO Mid'!$R54</f>
        <v>0</v>
      </c>
      <c r="P54" s="285">
        <f>-'5C1N_Delta'!$R54</f>
        <v>0</v>
      </c>
      <c r="Q54" s="285">
        <f>-'5C1O_Impact'!$R54</f>
        <v>0</v>
      </c>
      <c r="R54" s="285">
        <f>-'5C1Q_Advantage'!$R54</f>
        <v>-33925</v>
      </c>
      <c r="S54" s="285">
        <f>-'5C1R_Iberville'!$R54</f>
        <v>-3966</v>
      </c>
      <c r="T54" s="285">
        <f>-'5C1S_LC Col Prep'!$R54</f>
        <v>0</v>
      </c>
      <c r="U54" s="285">
        <f>-'5C1T_Northeast'!$R54</f>
        <v>0</v>
      </c>
      <c r="V54" s="285">
        <f>-'5C1U_Acadiana Ren'!$R54</f>
        <v>0</v>
      </c>
      <c r="W54" s="285">
        <f>-'5C1V_Laf Ren'!$R54</f>
        <v>0</v>
      </c>
      <c r="X54" s="285">
        <f>-'5C1W_Willow'!$R54</f>
        <v>0</v>
      </c>
      <c r="Y54" s="285">
        <f>-'5C1Y_GEO'!$R54</f>
        <v>0</v>
      </c>
      <c r="Z54" s="285">
        <f>-'5C1Z_Lincoln Prep'!$R54</f>
        <v>0</v>
      </c>
      <c r="AA54" s="285">
        <f>-'5C1AE_Noble Minds'!$R54</f>
        <v>0</v>
      </c>
      <c r="AB54" s="285">
        <f>-'5C1AF_JCFA-Laf'!$R54</f>
        <v>0</v>
      </c>
      <c r="AC54" s="285">
        <f>-'5C1AG_Collegiate'!$R54</f>
        <v>0</v>
      </c>
      <c r="AD54" s="285">
        <f>-'5C1AH_BRUP'!$R54</f>
        <v>0</v>
      </c>
      <c r="AE54" s="285">
        <f>-'5C1AI_Harmony'!$R54</f>
        <v>0</v>
      </c>
      <c r="AF54" s="285">
        <f>-'5C1AJ_Athlos'!$R54</f>
        <v>0</v>
      </c>
      <c r="AG54" s="285">
        <f>-'5C1AK_NxtGen'!$R54</f>
        <v>0</v>
      </c>
      <c r="AH54" s="285">
        <f>-'5C1AL_Red River'!$R54</f>
        <v>0</v>
      </c>
      <c r="AI54" s="285">
        <f>-('5C2_LAVCA'!$R54+'5C2_LAVCA'!$S54)</f>
        <v>-112780</v>
      </c>
      <c r="AJ54" s="285">
        <f>-('5C3_UnvView'!$R54+'5C3_UnvView'!$S54)</f>
        <v>-188366</v>
      </c>
      <c r="AK54" s="285">
        <f>-Placeholder_Greater!$R54</f>
        <v>-98707</v>
      </c>
      <c r="AL54" s="286">
        <f t="shared" si="14"/>
        <v>-456092</v>
      </c>
      <c r="AM54" s="286">
        <f t="shared" si="8"/>
        <v>29280798</v>
      </c>
      <c r="AN54" s="286">
        <f>ROUND(AM54/'8_2.1.20 SIS'!C54,0)</f>
        <v>5123</v>
      </c>
      <c r="AO54" s="286">
        <f>'3B_Pay Raise'!O54</f>
        <v>962002</v>
      </c>
      <c r="AP54" s="287">
        <v>-55223</v>
      </c>
      <c r="AQ54" s="285">
        <f t="shared" si="9"/>
        <v>0</v>
      </c>
      <c r="AR54" s="285">
        <f t="shared" si="10"/>
        <v>-55223</v>
      </c>
      <c r="AS54" s="285">
        <v>-1193659</v>
      </c>
      <c r="AT54" s="285">
        <v>-66599</v>
      </c>
      <c r="AU54" s="287">
        <f t="shared" si="11"/>
        <v>-1260258</v>
      </c>
      <c r="AV54" s="286">
        <f t="shared" si="12"/>
        <v>28927319</v>
      </c>
      <c r="AW54" s="285">
        <f>'4_Level 4'!E54</f>
        <v>0</v>
      </c>
      <c r="AX54" s="285">
        <f>'4_Level 4'!Q54</f>
        <v>149270</v>
      </c>
      <c r="AY54" s="286">
        <f t="shared" si="15"/>
        <v>29076589</v>
      </c>
      <c r="AZ54" s="285">
        <v>19819808</v>
      </c>
      <c r="BA54" s="285">
        <f t="shared" si="13"/>
        <v>9256781</v>
      </c>
      <c r="BB54" s="285">
        <f t="shared" si="16"/>
        <v>2314195</v>
      </c>
      <c r="BC54" s="285">
        <f>'4_Level 4'!J54</f>
        <v>0</v>
      </c>
      <c r="BD54" s="285">
        <f>'4_Level 4'!L54</f>
        <v>171592</v>
      </c>
      <c r="BE54" s="285">
        <f>'4_Level 4'!M54</f>
        <v>0</v>
      </c>
      <c r="BF54" s="286">
        <f t="shared" si="17"/>
        <v>29248181</v>
      </c>
    </row>
    <row r="55" spans="1:58" ht="15.6" customHeight="1" x14ac:dyDescent="0.2">
      <c r="A55" s="283">
        <v>49</v>
      </c>
      <c r="B55" s="284" t="s">
        <v>51</v>
      </c>
      <c r="C55" s="285">
        <f>'3_Levels 1&amp;2'!AP55</f>
        <v>77231226</v>
      </c>
      <c r="D55" s="285">
        <v>0</v>
      </c>
      <c r="E55" s="285">
        <f>-'5C1A_Madison'!$R55</f>
        <v>0</v>
      </c>
      <c r="F55" s="285">
        <f>-'5C1B_DArbonne'!$R55</f>
        <v>0</v>
      </c>
      <c r="G55" s="285">
        <f>-'5C1C_Intl High'!$R55</f>
        <v>0</v>
      </c>
      <c r="H55" s="285">
        <f>-'5C1D_NOMMA'!$R55</f>
        <v>0</v>
      </c>
      <c r="I55" s="285">
        <f>-'5C1E_LFNO'!$R55</f>
        <v>0</v>
      </c>
      <c r="J55" s="285">
        <f>-'5C1F_L.C. Charter'!$R55</f>
        <v>0</v>
      </c>
      <c r="K55" s="285">
        <f>-'5C1G_JS Clark'!$R55</f>
        <v>-1347580</v>
      </c>
      <c r="L55" s="285">
        <f>-'5C1H_Southwest'!$R55</f>
        <v>0</v>
      </c>
      <c r="M55" s="285">
        <f>-'5C1I_LA Key'!$R55</f>
        <v>-9787</v>
      </c>
      <c r="N55" s="285">
        <f>-'5C1J_JCFA-East'!$R55</f>
        <v>0</v>
      </c>
      <c r="O55" s="285">
        <f>-'5C1M_GEO Mid'!$R55</f>
        <v>0</v>
      </c>
      <c r="P55" s="285">
        <f>-'5C1N_Delta'!$R55</f>
        <v>0</v>
      </c>
      <c r="Q55" s="285">
        <f>-'5C1O_Impact'!$R55</f>
        <v>0</v>
      </c>
      <c r="R55" s="285">
        <f>-'5C1Q_Advantage'!$R55</f>
        <v>0</v>
      </c>
      <c r="S55" s="285">
        <f>-'5C1R_Iberville'!$R55</f>
        <v>0</v>
      </c>
      <c r="T55" s="285">
        <f>-'5C1S_LC Col Prep'!$R55</f>
        <v>0</v>
      </c>
      <c r="U55" s="285">
        <f>-'5C1T_Northeast'!$R55</f>
        <v>0</v>
      </c>
      <c r="V55" s="285">
        <f>-'5C1U_Acadiana Ren'!$R55</f>
        <v>-27425</v>
      </c>
      <c r="W55" s="285">
        <f>-'5C1V_Laf Ren'!$R55</f>
        <v>-490464</v>
      </c>
      <c r="X55" s="285">
        <f>-'5C1W_Willow'!$R55</f>
        <v>-182479</v>
      </c>
      <c r="Y55" s="285">
        <f>-'5C1Y_GEO'!$R55</f>
        <v>0</v>
      </c>
      <c r="Z55" s="285">
        <f>-'5C1Z_Lincoln Prep'!$R55</f>
        <v>0</v>
      </c>
      <c r="AA55" s="285">
        <f>-'5C1AE_Noble Minds'!$R55</f>
        <v>0</v>
      </c>
      <c r="AB55" s="285">
        <f>-'5C1AF_JCFA-Laf'!$R55</f>
        <v>-5255</v>
      </c>
      <c r="AC55" s="285">
        <f>-'5C1AG_Collegiate'!$R55</f>
        <v>0</v>
      </c>
      <c r="AD55" s="285">
        <f>-'5C1AH_BRUP'!$R55</f>
        <v>0</v>
      </c>
      <c r="AE55" s="285">
        <f>-'5C1AI_Harmony'!$R55</f>
        <v>0</v>
      </c>
      <c r="AF55" s="285">
        <f>-'5C1AJ_Athlos'!$R55</f>
        <v>0</v>
      </c>
      <c r="AG55" s="285">
        <f>-'5C1AK_NxtGen'!$R55</f>
        <v>0</v>
      </c>
      <c r="AH55" s="285">
        <f>-'5C1AL_Red River'!$R55</f>
        <v>-4590</v>
      </c>
      <c r="AI55" s="285">
        <f>-('5C2_LAVCA'!$R55+'5C2_LAVCA'!$S55)</f>
        <v>-387878</v>
      </c>
      <c r="AJ55" s="285">
        <f>-('5C3_UnvView'!$R55+'5C3_UnvView'!$S55)</f>
        <v>-344592</v>
      </c>
      <c r="AK55" s="285">
        <f>-Placeholder_Greater!$R55</f>
        <v>0</v>
      </c>
      <c r="AL55" s="286">
        <f t="shared" si="14"/>
        <v>-2800050</v>
      </c>
      <c r="AM55" s="286">
        <f t="shared" si="8"/>
        <v>74431176</v>
      </c>
      <c r="AN55" s="286">
        <f>ROUND(AM55/'8_2.1.20 SIS'!C55,0)</f>
        <v>5977</v>
      </c>
      <c r="AO55" s="286">
        <f>'3B_Pay Raise'!O55</f>
        <v>1861849</v>
      </c>
      <c r="AP55" s="287">
        <v>-59606</v>
      </c>
      <c r="AQ55" s="285">
        <f t="shared" si="9"/>
        <v>0</v>
      </c>
      <c r="AR55" s="285">
        <f t="shared" si="10"/>
        <v>-59606</v>
      </c>
      <c r="AS55" s="285">
        <v>-1595859</v>
      </c>
      <c r="AT55" s="285">
        <v>80690</v>
      </c>
      <c r="AU55" s="287">
        <f t="shared" si="11"/>
        <v>-1515169</v>
      </c>
      <c r="AV55" s="286">
        <f t="shared" si="12"/>
        <v>74718250</v>
      </c>
      <c r="AW55" s="285">
        <f>'4_Level 4'!E55</f>
        <v>0</v>
      </c>
      <c r="AX55" s="285">
        <f>'4_Level 4'!Q55</f>
        <v>315768</v>
      </c>
      <c r="AY55" s="286">
        <f t="shared" si="15"/>
        <v>75034018</v>
      </c>
      <c r="AZ55" s="285">
        <v>50502694</v>
      </c>
      <c r="BA55" s="285">
        <f t="shared" si="13"/>
        <v>24531324</v>
      </c>
      <c r="BB55" s="285">
        <f t="shared" si="16"/>
        <v>6132831</v>
      </c>
      <c r="BC55" s="285">
        <f>'4_Level 4'!J55</f>
        <v>0</v>
      </c>
      <c r="BD55" s="285">
        <f>'4_Level 4'!L55</f>
        <v>689983</v>
      </c>
      <c r="BE55" s="285">
        <f>'4_Level 4'!M55</f>
        <v>147142</v>
      </c>
      <c r="BF55" s="286">
        <f t="shared" si="17"/>
        <v>75871143</v>
      </c>
    </row>
    <row r="56" spans="1:58" ht="15.6" customHeight="1" x14ac:dyDescent="0.2">
      <c r="A56" s="288">
        <v>50</v>
      </c>
      <c r="B56" s="289" t="s">
        <v>52</v>
      </c>
      <c r="C56" s="290">
        <f>'3_Levels 1&amp;2'!AP56</f>
        <v>42994576</v>
      </c>
      <c r="D56" s="290">
        <v>0</v>
      </c>
      <c r="E56" s="290">
        <f>-'5C1A_Madison'!$R56</f>
        <v>0</v>
      </c>
      <c r="F56" s="290">
        <f>-'5C1B_DArbonne'!$R56</f>
        <v>0</v>
      </c>
      <c r="G56" s="290">
        <f>-'5C1C_Intl High'!$R56</f>
        <v>0</v>
      </c>
      <c r="H56" s="290">
        <f>-'5C1D_NOMMA'!$R56</f>
        <v>0</v>
      </c>
      <c r="I56" s="290">
        <f>-'5C1E_LFNO'!$R56</f>
        <v>0</v>
      </c>
      <c r="J56" s="290">
        <f>-'5C1F_L.C. Charter'!$R56</f>
        <v>0</v>
      </c>
      <c r="K56" s="290">
        <f>-'5C1G_JS Clark'!$R56</f>
        <v>0</v>
      </c>
      <c r="L56" s="290">
        <f>-'5C1H_Southwest'!$R56</f>
        <v>0</v>
      </c>
      <c r="M56" s="290">
        <f>-'5C1I_LA Key'!$R56</f>
        <v>0</v>
      </c>
      <c r="N56" s="290">
        <f>-'5C1J_JCFA-East'!$R56</f>
        <v>0</v>
      </c>
      <c r="O56" s="290">
        <f>-'5C1M_GEO Mid'!$R56</f>
        <v>0</v>
      </c>
      <c r="P56" s="290">
        <f>-'5C1N_Delta'!$R56</f>
        <v>0</v>
      </c>
      <c r="Q56" s="290">
        <f>-'5C1O_Impact'!$R56</f>
        <v>0</v>
      </c>
      <c r="R56" s="290">
        <f>-'5C1Q_Advantage'!$R56</f>
        <v>0</v>
      </c>
      <c r="S56" s="290">
        <f>-'5C1R_Iberville'!$R56</f>
        <v>0</v>
      </c>
      <c r="T56" s="290">
        <f>-'5C1S_LC Col Prep'!$R56</f>
        <v>0</v>
      </c>
      <c r="U56" s="290">
        <f>-'5C1T_Northeast'!$R56</f>
        <v>0</v>
      </c>
      <c r="V56" s="290">
        <f>-'5C1U_Acadiana Ren'!$R56</f>
        <v>-259786</v>
      </c>
      <c r="W56" s="290">
        <f>-'5C1V_Laf Ren'!$R56</f>
        <v>-237204</v>
      </c>
      <c r="X56" s="290">
        <f>-'5C1W_Willow'!$R56</f>
        <v>-118251</v>
      </c>
      <c r="Y56" s="290">
        <f>-'5C1Y_GEO'!$R56</f>
        <v>0</v>
      </c>
      <c r="Z56" s="290">
        <f>-'5C1Z_Lincoln Prep'!$R56</f>
        <v>0</v>
      </c>
      <c r="AA56" s="546">
        <f>-'5C1AE_Noble Minds'!$R56</f>
        <v>0</v>
      </c>
      <c r="AB56" s="546">
        <f>-'5C1AF_JCFA-Laf'!$R56</f>
        <v>-5287</v>
      </c>
      <c r="AC56" s="546">
        <f>-'5C1AG_Collegiate'!$R56</f>
        <v>0</v>
      </c>
      <c r="AD56" s="290">
        <f>-'5C1AH_BRUP'!$R56</f>
        <v>0</v>
      </c>
      <c r="AE56" s="775">
        <f>-'5C1AI_Harmony'!$R56</f>
        <v>0</v>
      </c>
      <c r="AF56" s="775">
        <f>-'5C1AJ_Athlos'!$R56</f>
        <v>0</v>
      </c>
      <c r="AG56" s="1080">
        <f>-'5C1AK_NxtGen'!$R56</f>
        <v>0</v>
      </c>
      <c r="AH56" s="1080">
        <f>-'5C1AL_Red River'!$R56</f>
        <v>0</v>
      </c>
      <c r="AI56" s="290">
        <f>-('5C2_LAVCA'!$R56+'5C2_LAVCA'!$S56)</f>
        <v>-176501</v>
      </c>
      <c r="AJ56" s="290">
        <f>-('5C3_UnvView'!$R56+'5C3_UnvView'!$S56)</f>
        <v>-62462</v>
      </c>
      <c r="AK56" s="290">
        <f>-Placeholder_Greater!$R56</f>
        <v>0</v>
      </c>
      <c r="AL56" s="291">
        <f t="shared" si="14"/>
        <v>-859491</v>
      </c>
      <c r="AM56" s="291">
        <f t="shared" si="8"/>
        <v>42135085</v>
      </c>
      <c r="AN56" s="291">
        <f>ROUND(AM56/'8_2.1.20 SIS'!C56,0)</f>
        <v>5823</v>
      </c>
      <c r="AO56" s="953">
        <f>'3B_Pay Raise'!O56</f>
        <v>960618</v>
      </c>
      <c r="AP56" s="292">
        <v>0</v>
      </c>
      <c r="AQ56" s="290">
        <f t="shared" si="9"/>
        <v>0</v>
      </c>
      <c r="AR56" s="290">
        <f t="shared" si="10"/>
        <v>0</v>
      </c>
      <c r="AS56" s="290">
        <v>-1019025</v>
      </c>
      <c r="AT56" s="290">
        <v>101903</v>
      </c>
      <c r="AU56" s="292">
        <f t="shared" si="11"/>
        <v>-917122</v>
      </c>
      <c r="AV56" s="291">
        <f t="shared" si="12"/>
        <v>42178581</v>
      </c>
      <c r="AW56" s="290">
        <f>'4_Level 4'!E56</f>
        <v>168000</v>
      </c>
      <c r="AX56" s="290">
        <f>'4_Level 4'!Q56</f>
        <v>189685</v>
      </c>
      <c r="AY56" s="291">
        <f t="shared" si="15"/>
        <v>42536266</v>
      </c>
      <c r="AZ56" s="290">
        <v>28636612</v>
      </c>
      <c r="BA56" s="290">
        <f t="shared" si="13"/>
        <v>13899654</v>
      </c>
      <c r="BB56" s="290">
        <f t="shared" si="16"/>
        <v>3474914</v>
      </c>
      <c r="BC56" s="290">
        <f>'4_Level 4'!J56</f>
        <v>24000</v>
      </c>
      <c r="BD56" s="290">
        <f>'4_Level 4'!L56</f>
        <v>243169</v>
      </c>
      <c r="BE56" s="290">
        <f>'4_Level 4'!M56</f>
        <v>0</v>
      </c>
      <c r="BF56" s="291">
        <f t="shared" si="17"/>
        <v>42803435</v>
      </c>
    </row>
    <row r="57" spans="1:58" ht="15.6" customHeight="1" x14ac:dyDescent="0.2">
      <c r="A57" s="281">
        <v>51</v>
      </c>
      <c r="B57" s="282" t="s">
        <v>53</v>
      </c>
      <c r="C57" s="36">
        <f>'3_Levels 1&amp;2'!AP57</f>
        <v>48407663</v>
      </c>
      <c r="D57" s="36">
        <v>0</v>
      </c>
      <c r="E57" s="36">
        <f>-'5C1A_Madison'!$R57</f>
        <v>0</v>
      </c>
      <c r="F57" s="36">
        <f>-'5C1B_DArbonne'!$R57</f>
        <v>0</v>
      </c>
      <c r="G57" s="36">
        <f>-'5C1C_Intl High'!$R57</f>
        <v>0</v>
      </c>
      <c r="H57" s="36">
        <f>-'5C1D_NOMMA'!$R57</f>
        <v>0</v>
      </c>
      <c r="I57" s="36">
        <f>-'5C1E_LFNO'!$R57</f>
        <v>0</v>
      </c>
      <c r="J57" s="36">
        <f>-'5C1F_L.C. Charter'!$R57</f>
        <v>0</v>
      </c>
      <c r="K57" s="36">
        <f>-'5C1G_JS Clark'!$R57</f>
        <v>0</v>
      </c>
      <c r="L57" s="36">
        <f>-'5C1H_Southwest'!$R57</f>
        <v>0</v>
      </c>
      <c r="M57" s="36">
        <f>-'5C1I_LA Key'!$R57</f>
        <v>0</v>
      </c>
      <c r="N57" s="36">
        <f>-'5C1J_JCFA-East'!$R57</f>
        <v>0</v>
      </c>
      <c r="O57" s="36">
        <f>-'5C1M_GEO Mid'!$R57</f>
        <v>0</v>
      </c>
      <c r="P57" s="36">
        <f>-'5C1N_Delta'!$R57</f>
        <v>0</v>
      </c>
      <c r="Q57" s="36">
        <f>-'5C1O_Impact'!$R57</f>
        <v>0</v>
      </c>
      <c r="R57" s="36">
        <f>-'5C1Q_Advantage'!$R57</f>
        <v>0</v>
      </c>
      <c r="S57" s="36">
        <f>-'5C1R_Iberville'!$R57</f>
        <v>0</v>
      </c>
      <c r="T57" s="36">
        <f>-'5C1S_LC Col Prep'!$R57</f>
        <v>0</v>
      </c>
      <c r="U57" s="36">
        <f>-'5C1T_Northeast'!$R57</f>
        <v>0</v>
      </c>
      <c r="V57" s="36">
        <f>-'5C1U_Acadiana Ren'!$R57</f>
        <v>0</v>
      </c>
      <c r="W57" s="36">
        <f>-'5C1V_Laf Ren'!$R57</f>
        <v>0</v>
      </c>
      <c r="X57" s="36">
        <f>-'5C1W_Willow'!$R57</f>
        <v>0</v>
      </c>
      <c r="Y57" s="36">
        <f>-'5C1Y_GEO'!$R57</f>
        <v>0</v>
      </c>
      <c r="Z57" s="36">
        <f>-'5C1Z_Lincoln Prep'!$R57</f>
        <v>0</v>
      </c>
      <c r="AA57" s="36">
        <f>-'5C1AE_Noble Minds'!$R57</f>
        <v>0</v>
      </c>
      <c r="AB57" s="36">
        <f>-'5C1AF_JCFA-Laf'!$R57</f>
        <v>0</v>
      </c>
      <c r="AC57" s="36">
        <f>-'5C1AG_Collegiate'!$R57</f>
        <v>0</v>
      </c>
      <c r="AD57" s="36">
        <f>-'5C1AH_BRUP'!$R57</f>
        <v>0</v>
      </c>
      <c r="AE57" s="36">
        <f>-'5C1AI_Harmony'!$R57</f>
        <v>0</v>
      </c>
      <c r="AF57" s="36">
        <f>-'5C1AJ_Athlos'!$R57</f>
        <v>0</v>
      </c>
      <c r="AG57" s="36">
        <f>-'5C1AK_NxtGen'!$R57</f>
        <v>0</v>
      </c>
      <c r="AH57" s="36">
        <f>-'5C1AL_Red River'!$R57</f>
        <v>0</v>
      </c>
      <c r="AI57" s="36">
        <f>-('5C2_LAVCA'!$R57+'5C2_LAVCA'!$S57)</f>
        <v>-59641</v>
      </c>
      <c r="AJ57" s="36">
        <f>-('5C3_UnvView'!$R57+'5C3_UnvView'!$S57)</f>
        <v>-123291</v>
      </c>
      <c r="AK57" s="36">
        <f>-Placeholder_Greater!$R57</f>
        <v>0</v>
      </c>
      <c r="AL57" s="35">
        <f t="shared" si="14"/>
        <v>-182932</v>
      </c>
      <c r="AM57" s="35">
        <f t="shared" si="8"/>
        <v>48224731</v>
      </c>
      <c r="AN57" s="35">
        <f>ROUND(AM57/'8_2.1.20 SIS'!C57,0)</f>
        <v>5921</v>
      </c>
      <c r="AO57" s="35">
        <f>'3B_Pay Raise'!O57</f>
        <v>1231315</v>
      </c>
      <c r="AP57" s="37">
        <v>-9699</v>
      </c>
      <c r="AQ57" s="36">
        <f t="shared" si="9"/>
        <v>0</v>
      </c>
      <c r="AR57" s="36">
        <f t="shared" si="10"/>
        <v>-9699</v>
      </c>
      <c r="AS57" s="36">
        <v>-2628924</v>
      </c>
      <c r="AT57" s="36">
        <v>-29605</v>
      </c>
      <c r="AU57" s="37">
        <f t="shared" si="11"/>
        <v>-2658529</v>
      </c>
      <c r="AV57" s="35">
        <f t="shared" si="12"/>
        <v>46787818</v>
      </c>
      <c r="AW57" s="36">
        <f>'4_Level 4'!E57</f>
        <v>0</v>
      </c>
      <c r="AX57" s="36">
        <f>'4_Level 4'!Q57</f>
        <v>220778</v>
      </c>
      <c r="AY57" s="35">
        <f t="shared" si="15"/>
        <v>47008596</v>
      </c>
      <c r="AZ57" s="36">
        <v>32237862</v>
      </c>
      <c r="BA57" s="36">
        <f t="shared" si="13"/>
        <v>14770734</v>
      </c>
      <c r="BB57" s="36">
        <f t="shared" si="16"/>
        <v>3692684</v>
      </c>
      <c r="BC57" s="36">
        <f>'4_Level 4'!J57</f>
        <v>0</v>
      </c>
      <c r="BD57" s="36">
        <f>'4_Level 4'!L57</f>
        <v>515981</v>
      </c>
      <c r="BE57" s="36">
        <f>'4_Level 4'!M57</f>
        <v>24380</v>
      </c>
      <c r="BF57" s="35">
        <f t="shared" si="17"/>
        <v>47548957</v>
      </c>
    </row>
    <row r="58" spans="1:58" ht="15.6" customHeight="1" x14ac:dyDescent="0.2">
      <c r="A58" s="283">
        <v>52</v>
      </c>
      <c r="B58" s="284" t="s">
        <v>54</v>
      </c>
      <c r="C58" s="285">
        <f>'3_Levels 1&amp;2'!AP58</f>
        <v>222628195</v>
      </c>
      <c r="D58" s="285">
        <v>0</v>
      </c>
      <c r="E58" s="285">
        <f>-'5C1A_Madison'!$R58</f>
        <v>0</v>
      </c>
      <c r="F58" s="285">
        <f>-'5C1B_DArbonne'!$R58</f>
        <v>0</v>
      </c>
      <c r="G58" s="285">
        <f>-'5C1C_Intl High'!$R58</f>
        <v>-9071</v>
      </c>
      <c r="H58" s="285">
        <f>-'5C1D_NOMMA'!$R58</f>
        <v>-9404</v>
      </c>
      <c r="I58" s="285">
        <f>-'5C1E_LFNO'!$R58</f>
        <v>-46419</v>
      </c>
      <c r="J58" s="285">
        <f>-'5C1F_L.C. Charter'!$R58</f>
        <v>0</v>
      </c>
      <c r="K58" s="285">
        <f>-'5C1G_JS Clark'!$R58</f>
        <v>0</v>
      </c>
      <c r="L58" s="285">
        <f>-'5C1H_Southwest'!$R58</f>
        <v>0</v>
      </c>
      <c r="M58" s="285">
        <f>-'5C1I_LA Key'!$R58</f>
        <v>-8855</v>
      </c>
      <c r="N58" s="285">
        <f>-'5C1J_JCFA-East'!$R58</f>
        <v>-23132</v>
      </c>
      <c r="O58" s="285">
        <f>-'5C1M_GEO Mid'!$R58</f>
        <v>0</v>
      </c>
      <c r="P58" s="285">
        <f>-'5C1N_Delta'!$R58</f>
        <v>0</v>
      </c>
      <c r="Q58" s="285">
        <f>-'5C1O_Impact'!$R58</f>
        <v>0</v>
      </c>
      <c r="R58" s="285">
        <f>-'5C1Q_Advantage'!$R58</f>
        <v>0</v>
      </c>
      <c r="S58" s="285">
        <f>-'5C1R_Iberville'!$R58</f>
        <v>0</v>
      </c>
      <c r="T58" s="285">
        <f>-'5C1S_LC Col Prep'!$R58</f>
        <v>0</v>
      </c>
      <c r="U58" s="285">
        <f>-'5C1T_Northeast'!$R58</f>
        <v>0</v>
      </c>
      <c r="V58" s="285">
        <f>-'5C1U_Acadiana Ren'!$R58</f>
        <v>0</v>
      </c>
      <c r="W58" s="285">
        <f>-'5C1V_Laf Ren'!$R58</f>
        <v>0</v>
      </c>
      <c r="X58" s="285">
        <f>-'5C1W_Willow'!$R58</f>
        <v>0</v>
      </c>
      <c r="Y58" s="285">
        <f>-'5C1Y_GEO'!$R58</f>
        <v>0</v>
      </c>
      <c r="Z58" s="285">
        <f>-'5C1Z_Lincoln Prep'!$R58</f>
        <v>0</v>
      </c>
      <c r="AA58" s="285">
        <f>-'5C1AE_Noble Minds'!$R58</f>
        <v>0</v>
      </c>
      <c r="AB58" s="285">
        <f>-'5C1AF_JCFA-Laf'!$R58</f>
        <v>0</v>
      </c>
      <c r="AC58" s="285">
        <f>-'5C1AG_Collegiate'!$R58</f>
        <v>0</v>
      </c>
      <c r="AD58" s="285">
        <f>-'5C1AH_BRUP'!$R58</f>
        <v>0</v>
      </c>
      <c r="AE58" s="285">
        <f>-'5C1AI_Harmony'!$R58</f>
        <v>0</v>
      </c>
      <c r="AF58" s="285">
        <f>-'5C1AJ_Athlos'!$R58</f>
        <v>0</v>
      </c>
      <c r="AG58" s="285">
        <f>-'5C1AK_NxtGen'!$R58</f>
        <v>0</v>
      </c>
      <c r="AH58" s="285">
        <f>-'5C1AL_Red River'!$R58</f>
        <v>0</v>
      </c>
      <c r="AI58" s="285">
        <f>-('5C2_LAVCA'!$R58+'5C2_LAVCA'!$S58)</f>
        <v>-654906</v>
      </c>
      <c r="AJ58" s="285">
        <f>-('5C3_UnvView'!$R58+'5C3_UnvView'!$S58)</f>
        <v>-1735322</v>
      </c>
      <c r="AK58" s="285">
        <f>-Placeholder_Greater!$R58</f>
        <v>0</v>
      </c>
      <c r="AL58" s="286">
        <f t="shared" si="14"/>
        <v>-2487109</v>
      </c>
      <c r="AM58" s="286">
        <f t="shared" si="8"/>
        <v>220141086</v>
      </c>
      <c r="AN58" s="286">
        <f>ROUND(AM58/'8_2.1.20 SIS'!C58,0)</f>
        <v>5854</v>
      </c>
      <c r="AO58" s="286">
        <f>'3B_Pay Raise'!O58</f>
        <v>5862672</v>
      </c>
      <c r="AP58" s="287">
        <v>-66270</v>
      </c>
      <c r="AQ58" s="285">
        <f t="shared" si="9"/>
        <v>0</v>
      </c>
      <c r="AR58" s="285">
        <f t="shared" si="10"/>
        <v>-66270</v>
      </c>
      <c r="AS58" s="285">
        <v>-7323354</v>
      </c>
      <c r="AT58" s="285">
        <v>643940</v>
      </c>
      <c r="AU58" s="287">
        <f t="shared" si="11"/>
        <v>-6679414</v>
      </c>
      <c r="AV58" s="286">
        <f t="shared" si="12"/>
        <v>219258074</v>
      </c>
      <c r="AW58" s="285">
        <f>'4_Level 4'!E58</f>
        <v>0</v>
      </c>
      <c r="AX58" s="285">
        <f>'4_Level 4'!Q58</f>
        <v>1009372</v>
      </c>
      <c r="AY58" s="286">
        <f t="shared" si="15"/>
        <v>220267446</v>
      </c>
      <c r="AZ58" s="285">
        <v>148815192</v>
      </c>
      <c r="BA58" s="285">
        <f t="shared" si="13"/>
        <v>71452254</v>
      </c>
      <c r="BB58" s="285">
        <f t="shared" si="16"/>
        <v>17863064</v>
      </c>
      <c r="BC58" s="285">
        <f>'4_Level 4'!J58</f>
        <v>0</v>
      </c>
      <c r="BD58" s="285">
        <f>'4_Level 4'!L58</f>
        <v>898689</v>
      </c>
      <c r="BE58" s="285">
        <f>'4_Level 4'!M58</f>
        <v>610688</v>
      </c>
      <c r="BF58" s="286">
        <f t="shared" si="17"/>
        <v>221776823</v>
      </c>
    </row>
    <row r="59" spans="1:58" ht="15.6" customHeight="1" x14ac:dyDescent="0.2">
      <c r="A59" s="283">
        <v>53</v>
      </c>
      <c r="B59" s="284" t="s">
        <v>55</v>
      </c>
      <c r="C59" s="285">
        <f>'3_Levels 1&amp;2'!AP59</f>
        <v>117508429</v>
      </c>
      <c r="D59" s="285">
        <v>0</v>
      </c>
      <c r="E59" s="285">
        <f>-'5C1A_Madison'!$R59</f>
        <v>-5361</v>
      </c>
      <c r="F59" s="285">
        <f>-'5C1B_DArbonne'!$R59</f>
        <v>0</v>
      </c>
      <c r="G59" s="285">
        <f>-'5C1C_Intl High'!$R59</f>
        <v>0</v>
      </c>
      <c r="H59" s="285">
        <f>-'5C1D_NOMMA'!$R59</f>
        <v>-5484</v>
      </c>
      <c r="I59" s="285">
        <f>-'5C1E_LFNO'!$R59</f>
        <v>0</v>
      </c>
      <c r="J59" s="285">
        <f>-'5C1F_L.C. Charter'!$R59</f>
        <v>0</v>
      </c>
      <c r="K59" s="285">
        <f>-'5C1G_JS Clark'!$R59</f>
        <v>0</v>
      </c>
      <c r="L59" s="285">
        <f>-'5C1H_Southwest'!$R59</f>
        <v>0</v>
      </c>
      <c r="M59" s="285">
        <f>-'5C1I_LA Key'!$R59</f>
        <v>0</v>
      </c>
      <c r="N59" s="285">
        <f>-'5C1J_JCFA-East'!$R59</f>
        <v>0</v>
      </c>
      <c r="O59" s="285">
        <f>-'5C1M_GEO Mid'!$R59</f>
        <v>0</v>
      </c>
      <c r="P59" s="285">
        <f>-'5C1N_Delta'!$R59</f>
        <v>0</v>
      </c>
      <c r="Q59" s="285">
        <f>-'5C1O_Impact'!$R59</f>
        <v>0</v>
      </c>
      <c r="R59" s="285">
        <f>-'5C1Q_Advantage'!$R59</f>
        <v>0</v>
      </c>
      <c r="S59" s="285">
        <f>-'5C1R_Iberville'!$R59</f>
        <v>0</v>
      </c>
      <c r="T59" s="285">
        <f>-'5C1S_LC Col Prep'!$R59</f>
        <v>0</v>
      </c>
      <c r="U59" s="285">
        <f>-'5C1T_Northeast'!$R59</f>
        <v>0</v>
      </c>
      <c r="V59" s="285">
        <f>-'5C1U_Acadiana Ren'!$R59</f>
        <v>0</v>
      </c>
      <c r="W59" s="285">
        <f>-'5C1V_Laf Ren'!$R59</f>
        <v>0</v>
      </c>
      <c r="X59" s="285">
        <f>-'5C1W_Willow'!$R59</f>
        <v>0</v>
      </c>
      <c r="Y59" s="285">
        <f>-'5C1Y_GEO'!$R59</f>
        <v>0</v>
      </c>
      <c r="Z59" s="285">
        <f>-'5C1Z_Lincoln Prep'!$R59</f>
        <v>0</v>
      </c>
      <c r="AA59" s="285">
        <f>-'5C1AE_Noble Minds'!$R59</f>
        <v>-5484</v>
      </c>
      <c r="AB59" s="285">
        <f>-'5C1AF_JCFA-Laf'!$R59</f>
        <v>0</v>
      </c>
      <c r="AC59" s="285">
        <f>-'5C1AG_Collegiate'!$R59</f>
        <v>0</v>
      </c>
      <c r="AD59" s="285">
        <f>-'5C1AH_BRUP'!$R59</f>
        <v>0</v>
      </c>
      <c r="AE59" s="285">
        <f>-'5C1AI_Harmony'!$R59</f>
        <v>0</v>
      </c>
      <c r="AF59" s="285">
        <f>-'5C1AJ_Athlos'!$R59</f>
        <v>0</v>
      </c>
      <c r="AG59" s="285">
        <f>-'5C1AK_NxtGen'!$R59</f>
        <v>0</v>
      </c>
      <c r="AH59" s="285">
        <f>-'5C1AL_Red River'!$R59</f>
        <v>0</v>
      </c>
      <c r="AI59" s="285">
        <f>-('5C2_LAVCA'!$R59+'5C2_LAVCA'!$S59)</f>
        <v>-444190</v>
      </c>
      <c r="AJ59" s="285">
        <f>-('5C3_UnvView'!$R59+'5C3_UnvView'!$S59)</f>
        <v>-1204282</v>
      </c>
      <c r="AK59" s="285">
        <f>-Placeholder_Greater!$R59</f>
        <v>0</v>
      </c>
      <c r="AL59" s="286">
        <f t="shared" si="14"/>
        <v>-1664801</v>
      </c>
      <c r="AM59" s="286">
        <f t="shared" si="8"/>
        <v>115843628</v>
      </c>
      <c r="AN59" s="286">
        <f>ROUND(AM59/'8_2.1.20 SIS'!C59,0)</f>
        <v>6091</v>
      </c>
      <c r="AO59" s="286">
        <f>'3B_Pay Raise'!O59</f>
        <v>2812619</v>
      </c>
      <c r="AP59" s="287">
        <v>-15895</v>
      </c>
      <c r="AQ59" s="285">
        <f t="shared" si="9"/>
        <v>0</v>
      </c>
      <c r="AR59" s="285">
        <f t="shared" si="10"/>
        <v>-15895</v>
      </c>
      <c r="AS59" s="285">
        <v>-743102</v>
      </c>
      <c r="AT59" s="285">
        <v>-374597</v>
      </c>
      <c r="AU59" s="287">
        <f t="shared" si="11"/>
        <v>-1117699</v>
      </c>
      <c r="AV59" s="286">
        <f t="shared" si="12"/>
        <v>117522653</v>
      </c>
      <c r="AW59" s="285">
        <f>'4_Level 4'!E59</f>
        <v>0</v>
      </c>
      <c r="AX59" s="285">
        <f>'4_Level 4'!Q59</f>
        <v>504804</v>
      </c>
      <c r="AY59" s="286">
        <f t="shared" si="15"/>
        <v>118027457</v>
      </c>
      <c r="AZ59" s="285">
        <v>79135852</v>
      </c>
      <c r="BA59" s="285">
        <f t="shared" si="13"/>
        <v>38891605</v>
      </c>
      <c r="BB59" s="285">
        <f t="shared" si="16"/>
        <v>9722901</v>
      </c>
      <c r="BC59" s="285">
        <f>'4_Level 4'!J59</f>
        <v>0</v>
      </c>
      <c r="BD59" s="285">
        <f>'4_Level 4'!L59</f>
        <v>778671</v>
      </c>
      <c r="BE59" s="285">
        <f>'4_Level 4'!M59</f>
        <v>62320</v>
      </c>
      <c r="BF59" s="286">
        <f t="shared" si="17"/>
        <v>118868448</v>
      </c>
    </row>
    <row r="60" spans="1:58" ht="15.6" customHeight="1" x14ac:dyDescent="0.2">
      <c r="A60" s="283">
        <v>54</v>
      </c>
      <c r="B60" s="284" t="s">
        <v>56</v>
      </c>
      <c r="C60" s="285">
        <f>'3_Levels 1&amp;2'!AP60</f>
        <v>2893856</v>
      </c>
      <c r="D60" s="285">
        <v>0</v>
      </c>
      <c r="E60" s="285">
        <f>-'5C1A_Madison'!$R60</f>
        <v>0</v>
      </c>
      <c r="F60" s="285">
        <f>-'5C1B_DArbonne'!$R60</f>
        <v>0</v>
      </c>
      <c r="G60" s="285">
        <f>-'5C1C_Intl High'!$R60</f>
        <v>0</v>
      </c>
      <c r="H60" s="285">
        <f>-'5C1D_NOMMA'!$R60</f>
        <v>0</v>
      </c>
      <c r="I60" s="285">
        <f>-'5C1E_LFNO'!$R60</f>
        <v>0</v>
      </c>
      <c r="J60" s="285">
        <f>-'5C1F_L.C. Charter'!$R60</f>
        <v>0</v>
      </c>
      <c r="K60" s="285">
        <f>-'5C1G_JS Clark'!$R60</f>
        <v>0</v>
      </c>
      <c r="L60" s="285">
        <f>-'5C1H_Southwest'!$R60</f>
        <v>0</v>
      </c>
      <c r="M60" s="285">
        <f>-'5C1I_LA Key'!$R60</f>
        <v>0</v>
      </c>
      <c r="N60" s="285">
        <f>-'5C1J_JCFA-East'!$R60</f>
        <v>0</v>
      </c>
      <c r="O60" s="285">
        <f>-'5C1M_GEO Mid'!$R60</f>
        <v>0</v>
      </c>
      <c r="P60" s="285">
        <f>-'5C1N_Delta'!$R60</f>
        <v>-247016</v>
      </c>
      <c r="Q60" s="285">
        <f>-'5C1O_Impact'!$R60</f>
        <v>0</v>
      </c>
      <c r="R60" s="285">
        <f>-'5C1Q_Advantage'!$R60</f>
        <v>0</v>
      </c>
      <c r="S60" s="285">
        <f>-'5C1R_Iberville'!$R60</f>
        <v>0</v>
      </c>
      <c r="T60" s="285">
        <f>-'5C1S_LC Col Prep'!$R60</f>
        <v>0</v>
      </c>
      <c r="U60" s="285">
        <f>-'5C1T_Northeast'!$R60</f>
        <v>0</v>
      </c>
      <c r="V60" s="285">
        <f>-'5C1U_Acadiana Ren'!$R60</f>
        <v>0</v>
      </c>
      <c r="W60" s="285">
        <f>-'5C1V_Laf Ren'!$R60</f>
        <v>0</v>
      </c>
      <c r="X60" s="285">
        <f>-'5C1W_Willow'!$R60</f>
        <v>0</v>
      </c>
      <c r="Y60" s="285">
        <f>-'5C1Y_GEO'!$R60</f>
        <v>0</v>
      </c>
      <c r="Z60" s="285">
        <f>-'5C1Z_Lincoln Prep'!$R60</f>
        <v>0</v>
      </c>
      <c r="AA60" s="285">
        <f>-'5C1AE_Noble Minds'!$R60</f>
        <v>0</v>
      </c>
      <c r="AB60" s="285">
        <f>-'5C1AF_JCFA-Laf'!$R60</f>
        <v>0</v>
      </c>
      <c r="AC60" s="285">
        <f>-'5C1AG_Collegiate'!$R60</f>
        <v>0</v>
      </c>
      <c r="AD60" s="285">
        <f>-'5C1AH_BRUP'!$R60</f>
        <v>0</v>
      </c>
      <c r="AE60" s="285">
        <f>-'5C1AI_Harmony'!$R60</f>
        <v>0</v>
      </c>
      <c r="AF60" s="285">
        <f>-'5C1AJ_Athlos'!$R60</f>
        <v>0</v>
      </c>
      <c r="AG60" s="285">
        <f>-'5C1AK_NxtGen'!$R60</f>
        <v>0</v>
      </c>
      <c r="AH60" s="285">
        <f>-'5C1AL_Red River'!$R60</f>
        <v>0</v>
      </c>
      <c r="AI60" s="285">
        <f>-('5C2_LAVCA'!$R60+'5C2_LAVCA'!$S60)</f>
        <v>-23093</v>
      </c>
      <c r="AJ60" s="285">
        <f>-('5C3_UnvView'!$R60+'5C3_UnvView'!$S60)</f>
        <v>-44322</v>
      </c>
      <c r="AK60" s="285">
        <f>-Placeholder_Greater!$R60</f>
        <v>0</v>
      </c>
      <c r="AL60" s="286">
        <f t="shared" si="14"/>
        <v>-314431</v>
      </c>
      <c r="AM60" s="286">
        <f t="shared" si="8"/>
        <v>2579425</v>
      </c>
      <c r="AN60" s="286">
        <f>ROUND(AM60/'8_2.1.20 SIS'!C60,0)</f>
        <v>6401</v>
      </c>
      <c r="AO60" s="286">
        <f>'3B_Pay Raise'!O60</f>
        <v>85850</v>
      </c>
      <c r="AP60" s="287">
        <v>-7785</v>
      </c>
      <c r="AQ60" s="285">
        <f t="shared" si="9"/>
        <v>0</v>
      </c>
      <c r="AR60" s="285">
        <f t="shared" si="10"/>
        <v>-7785</v>
      </c>
      <c r="AS60" s="285">
        <v>-339253</v>
      </c>
      <c r="AT60" s="285">
        <v>-22404</v>
      </c>
      <c r="AU60" s="287">
        <f t="shared" si="11"/>
        <v>-361657</v>
      </c>
      <c r="AV60" s="286">
        <f t="shared" si="12"/>
        <v>2295833</v>
      </c>
      <c r="AW60" s="285">
        <f>'4_Level 4'!E60</f>
        <v>0</v>
      </c>
      <c r="AX60" s="285">
        <f>'4_Level 4'!Q60</f>
        <v>10856</v>
      </c>
      <c r="AY60" s="286">
        <f t="shared" si="15"/>
        <v>2306689</v>
      </c>
      <c r="AZ60" s="285">
        <v>1665004</v>
      </c>
      <c r="BA60" s="285">
        <f t="shared" si="13"/>
        <v>641685</v>
      </c>
      <c r="BB60" s="285">
        <f t="shared" si="16"/>
        <v>160421</v>
      </c>
      <c r="BC60" s="285">
        <f>'4_Level 4'!J60</f>
        <v>0</v>
      </c>
      <c r="BD60" s="285">
        <f>'4_Level 4'!L60</f>
        <v>25000</v>
      </c>
      <c r="BE60" s="285">
        <f>'4_Level 4'!M60</f>
        <v>0</v>
      </c>
      <c r="BF60" s="286">
        <f t="shared" si="17"/>
        <v>2331689</v>
      </c>
    </row>
    <row r="61" spans="1:58" ht="15.6" customHeight="1" x14ac:dyDescent="0.2">
      <c r="A61" s="288">
        <v>55</v>
      </c>
      <c r="B61" s="289" t="s">
        <v>57</v>
      </c>
      <c r="C61" s="290">
        <f>'3_Levels 1&amp;2'!AP61</f>
        <v>92243261</v>
      </c>
      <c r="D61" s="290">
        <v>0</v>
      </c>
      <c r="E61" s="290">
        <f>-'5C1A_Madison'!$R61</f>
        <v>0</v>
      </c>
      <c r="F61" s="290">
        <f>-'5C1B_DArbonne'!$R61</f>
        <v>0</v>
      </c>
      <c r="G61" s="290">
        <f>-'5C1C_Intl High'!$R61</f>
        <v>0</v>
      </c>
      <c r="H61" s="290">
        <f>-'5C1D_NOMMA'!$R61</f>
        <v>0</v>
      </c>
      <c r="I61" s="290">
        <f>-'5C1E_LFNO'!$R61</f>
        <v>0</v>
      </c>
      <c r="J61" s="290">
        <f>-'5C1F_L.C. Charter'!$R61</f>
        <v>0</v>
      </c>
      <c r="K61" s="290">
        <f>-'5C1G_JS Clark'!$R61</f>
        <v>0</v>
      </c>
      <c r="L61" s="290">
        <f>-'5C1H_Southwest'!$R61</f>
        <v>0</v>
      </c>
      <c r="M61" s="290">
        <f>-'5C1I_LA Key'!$R61</f>
        <v>0</v>
      </c>
      <c r="N61" s="290">
        <f>-'5C1J_JCFA-East'!$R61</f>
        <v>0</v>
      </c>
      <c r="O61" s="290">
        <f>-'5C1M_GEO Mid'!$R61</f>
        <v>0</v>
      </c>
      <c r="P61" s="290">
        <f>-'5C1N_Delta'!$R61</f>
        <v>0</v>
      </c>
      <c r="Q61" s="290">
        <f>-'5C1O_Impact'!$R61</f>
        <v>0</v>
      </c>
      <c r="R61" s="290">
        <f>-'5C1Q_Advantage'!$R61</f>
        <v>0</v>
      </c>
      <c r="S61" s="290">
        <f>-'5C1R_Iberville'!$R61</f>
        <v>-308873</v>
      </c>
      <c r="T61" s="290">
        <f>-'5C1S_LC Col Prep'!$R61</f>
        <v>0</v>
      </c>
      <c r="U61" s="290">
        <f>-'5C1T_Northeast'!$R61</f>
        <v>0</v>
      </c>
      <c r="V61" s="290">
        <f>-'5C1U_Acadiana Ren'!$R61</f>
        <v>-9000</v>
      </c>
      <c r="W61" s="290">
        <f>-'5C1V_Laf Ren'!$R61</f>
        <v>0</v>
      </c>
      <c r="X61" s="290">
        <f>-'5C1W_Willow'!$R61</f>
        <v>0</v>
      </c>
      <c r="Y61" s="290">
        <f>-'5C1Y_GEO'!$R61</f>
        <v>0</v>
      </c>
      <c r="Z61" s="290">
        <f>-'5C1Z_Lincoln Prep'!$R61</f>
        <v>0</v>
      </c>
      <c r="AA61" s="546">
        <f>-'5C1AE_Noble Minds'!$R61</f>
        <v>0</v>
      </c>
      <c r="AB61" s="546">
        <f>-'5C1AF_JCFA-Laf'!$R61</f>
        <v>0</v>
      </c>
      <c r="AC61" s="546">
        <f>-'5C1AG_Collegiate'!$R61</f>
        <v>0</v>
      </c>
      <c r="AD61" s="290">
        <f>-'5C1AH_BRUP'!$R61</f>
        <v>0</v>
      </c>
      <c r="AE61" s="775">
        <f>-'5C1AI_Harmony'!$R61</f>
        <v>0</v>
      </c>
      <c r="AF61" s="775">
        <f>-'5C1AJ_Athlos'!$R61</f>
        <v>0</v>
      </c>
      <c r="AG61" s="1080">
        <f>-'5C1AK_NxtGen'!$R61</f>
        <v>0</v>
      </c>
      <c r="AH61" s="1080">
        <f>-'5C1AL_Red River'!$R61</f>
        <v>0</v>
      </c>
      <c r="AI61" s="290">
        <f>-('5C2_LAVCA'!$R61+'5C2_LAVCA'!$S61)</f>
        <v>-327147</v>
      </c>
      <c r="AJ61" s="290">
        <f>-('5C3_UnvView'!$R61+'5C3_UnvView'!$S61)</f>
        <v>-568767</v>
      </c>
      <c r="AK61" s="290">
        <f>-Placeholder_Greater!$R61</f>
        <v>0</v>
      </c>
      <c r="AL61" s="291">
        <f t="shared" si="14"/>
        <v>-1213787</v>
      </c>
      <c r="AM61" s="291">
        <f t="shared" si="8"/>
        <v>91029474</v>
      </c>
      <c r="AN61" s="291">
        <f>ROUND(AM61/'8_2.1.20 SIS'!C61,0)</f>
        <v>5567</v>
      </c>
      <c r="AO61" s="953">
        <f>'3B_Pay Raise'!O61</f>
        <v>2211637</v>
      </c>
      <c r="AP61" s="292">
        <v>-21644</v>
      </c>
      <c r="AQ61" s="290">
        <f t="shared" si="9"/>
        <v>0</v>
      </c>
      <c r="AR61" s="290">
        <f t="shared" si="10"/>
        <v>-21644</v>
      </c>
      <c r="AS61" s="290">
        <v>-1647832</v>
      </c>
      <c r="AT61" s="290">
        <v>97423</v>
      </c>
      <c r="AU61" s="292">
        <f t="shared" si="11"/>
        <v>-1550409</v>
      </c>
      <c r="AV61" s="291">
        <f t="shared" si="12"/>
        <v>91669058</v>
      </c>
      <c r="AW61" s="290">
        <f>'4_Level 4'!E61</f>
        <v>0</v>
      </c>
      <c r="AX61" s="290">
        <f>'4_Level 4'!Q61</f>
        <v>417366</v>
      </c>
      <c r="AY61" s="291">
        <f t="shared" si="15"/>
        <v>92086424</v>
      </c>
      <c r="AZ61" s="290">
        <v>61870064</v>
      </c>
      <c r="BA61" s="290">
        <f t="shared" si="13"/>
        <v>30216360</v>
      </c>
      <c r="BB61" s="290">
        <f t="shared" si="16"/>
        <v>7554090</v>
      </c>
      <c r="BC61" s="290">
        <f>'4_Level 4'!J61</f>
        <v>0</v>
      </c>
      <c r="BD61" s="290">
        <f>'4_Level 4'!L61</f>
        <v>461274</v>
      </c>
      <c r="BE61" s="290">
        <f>'4_Level 4'!M61</f>
        <v>634328</v>
      </c>
      <c r="BF61" s="291">
        <f t="shared" si="17"/>
        <v>93182026</v>
      </c>
    </row>
    <row r="62" spans="1:58" ht="15.6" customHeight="1" x14ac:dyDescent="0.2">
      <c r="A62" s="281">
        <v>56</v>
      </c>
      <c r="B62" s="282" t="s">
        <v>58</v>
      </c>
      <c r="C62" s="36">
        <f>'3_Levels 1&amp;2'!AP62</f>
        <v>20308193</v>
      </c>
      <c r="D62" s="36">
        <v>0</v>
      </c>
      <c r="E62" s="36">
        <f>-'5C1A_Madison'!$R62</f>
        <v>0</v>
      </c>
      <c r="F62" s="36">
        <f>-'5C1B_DArbonne'!$R62</f>
        <v>-5587904</v>
      </c>
      <c r="G62" s="36">
        <f>-'5C1C_Intl High'!$R62</f>
        <v>0</v>
      </c>
      <c r="H62" s="36">
        <f>-'5C1D_NOMMA'!$R62</f>
        <v>0</v>
      </c>
      <c r="I62" s="36">
        <f>-'5C1E_LFNO'!$R62</f>
        <v>0</v>
      </c>
      <c r="J62" s="36">
        <f>-'5C1F_L.C. Charter'!$R62</f>
        <v>0</v>
      </c>
      <c r="K62" s="36">
        <f>-'5C1G_JS Clark'!$R62</f>
        <v>0</v>
      </c>
      <c r="L62" s="36">
        <f>-'5C1H_Southwest'!$R62</f>
        <v>0</v>
      </c>
      <c r="M62" s="36">
        <f>-'5C1I_LA Key'!$R62</f>
        <v>0</v>
      </c>
      <c r="N62" s="36">
        <f>-'5C1J_JCFA-East'!$R62</f>
        <v>0</v>
      </c>
      <c r="O62" s="36">
        <f>-'5C1M_GEO Mid'!$R62</f>
        <v>0</v>
      </c>
      <c r="P62" s="36">
        <f>-'5C1N_Delta'!$R62</f>
        <v>0</v>
      </c>
      <c r="Q62" s="36">
        <f>-'5C1O_Impact'!$R62</f>
        <v>0</v>
      </c>
      <c r="R62" s="36">
        <f>-'5C1Q_Advantage'!$R62</f>
        <v>0</v>
      </c>
      <c r="S62" s="36">
        <f>-'5C1R_Iberville'!$R62</f>
        <v>0</v>
      </c>
      <c r="T62" s="36">
        <f>-'5C1S_LC Col Prep'!$R62</f>
        <v>0</v>
      </c>
      <c r="U62" s="36">
        <f>-'5C1T_Northeast'!$R62</f>
        <v>-840429</v>
      </c>
      <c r="V62" s="36">
        <f>-'5C1U_Acadiana Ren'!$R62</f>
        <v>0</v>
      </c>
      <c r="W62" s="36">
        <f>-'5C1V_Laf Ren'!$R62</f>
        <v>-5152</v>
      </c>
      <c r="X62" s="36">
        <f>-'5C1W_Willow'!$R62</f>
        <v>0</v>
      </c>
      <c r="Y62" s="36">
        <f>-'5C1Y_GEO'!$R62</f>
        <v>0</v>
      </c>
      <c r="Z62" s="36">
        <f>-'5C1Z_Lincoln Prep'!$R62</f>
        <v>-176250</v>
      </c>
      <c r="AA62" s="36">
        <f>-'5C1AE_Noble Minds'!$R62</f>
        <v>0</v>
      </c>
      <c r="AB62" s="36">
        <f>-'5C1AF_JCFA-Laf'!$R62</f>
        <v>0</v>
      </c>
      <c r="AC62" s="36">
        <f>-'5C1AG_Collegiate'!$R62</f>
        <v>0</v>
      </c>
      <c r="AD62" s="36">
        <f>-'5C1AH_BRUP'!$R62</f>
        <v>0</v>
      </c>
      <c r="AE62" s="36">
        <f>-'5C1AI_Harmony'!$R62</f>
        <v>0</v>
      </c>
      <c r="AF62" s="36">
        <f>-'5C1AJ_Athlos'!$R62</f>
        <v>0</v>
      </c>
      <c r="AG62" s="36">
        <f>-'5C1AK_NxtGen'!$R62</f>
        <v>0</v>
      </c>
      <c r="AH62" s="36">
        <f>-'5C1AL_Red River'!$R62</f>
        <v>0</v>
      </c>
      <c r="AI62" s="36">
        <f>-('5C2_LAVCA'!$R62+'5C2_LAVCA'!$S62)</f>
        <v>-57164</v>
      </c>
      <c r="AJ62" s="36">
        <f>-('5C3_UnvView'!$R62+'5C3_UnvView'!$S62)</f>
        <v>-50023</v>
      </c>
      <c r="AK62" s="36">
        <f>-Placeholder_Greater!$R62</f>
        <v>0</v>
      </c>
      <c r="AL62" s="35">
        <f t="shared" si="14"/>
        <v>-6716922</v>
      </c>
      <c r="AM62" s="35">
        <f t="shared" si="8"/>
        <v>13591271</v>
      </c>
      <c r="AN62" s="35">
        <f>ROUND(AM62/'8_2.1.20 SIS'!C62,0)</f>
        <v>7094</v>
      </c>
      <c r="AO62" s="35">
        <f>'3B_Pay Raise'!O62</f>
        <v>270780</v>
      </c>
      <c r="AP62" s="37">
        <v>-2163</v>
      </c>
      <c r="AQ62" s="36">
        <f t="shared" si="9"/>
        <v>0</v>
      </c>
      <c r="AR62" s="36">
        <f t="shared" si="10"/>
        <v>-2163</v>
      </c>
      <c r="AS62" s="36">
        <v>-454016</v>
      </c>
      <c r="AT62" s="36">
        <v>21282</v>
      </c>
      <c r="AU62" s="37">
        <f t="shared" si="11"/>
        <v>-432734</v>
      </c>
      <c r="AV62" s="35">
        <f t="shared" si="12"/>
        <v>13427154</v>
      </c>
      <c r="AW62" s="36">
        <f>'4_Level 4'!E62</f>
        <v>0</v>
      </c>
      <c r="AX62" s="36">
        <f>'4_Level 4'!Q62</f>
        <v>53218</v>
      </c>
      <c r="AY62" s="35">
        <f t="shared" si="15"/>
        <v>13480372</v>
      </c>
      <c r="AZ62" s="36">
        <v>9125768</v>
      </c>
      <c r="BA62" s="36">
        <f t="shared" si="13"/>
        <v>4354604</v>
      </c>
      <c r="BB62" s="36">
        <f t="shared" si="16"/>
        <v>1088651</v>
      </c>
      <c r="BC62" s="36">
        <f>'4_Level 4'!J62</f>
        <v>0</v>
      </c>
      <c r="BD62" s="36">
        <f>'4_Level 4'!L62</f>
        <v>59768</v>
      </c>
      <c r="BE62" s="36">
        <f>'4_Level 4'!M62</f>
        <v>0</v>
      </c>
      <c r="BF62" s="35">
        <f t="shared" si="17"/>
        <v>13540140</v>
      </c>
    </row>
    <row r="63" spans="1:58" ht="15.6" customHeight="1" x14ac:dyDescent="0.2">
      <c r="A63" s="283">
        <v>57</v>
      </c>
      <c r="B63" s="284" t="s">
        <v>59</v>
      </c>
      <c r="C63" s="285">
        <f>'3_Levels 1&amp;2'!AP63</f>
        <v>57786833</v>
      </c>
      <c r="D63" s="285">
        <v>0</v>
      </c>
      <c r="E63" s="285">
        <f>-'5C1A_Madison'!$R63</f>
        <v>0</v>
      </c>
      <c r="F63" s="285">
        <f>-'5C1B_DArbonne'!$R63</f>
        <v>0</v>
      </c>
      <c r="G63" s="285">
        <f>-'5C1C_Intl High'!$R63</f>
        <v>0</v>
      </c>
      <c r="H63" s="285">
        <f>-'5C1D_NOMMA'!$R63</f>
        <v>0</v>
      </c>
      <c r="I63" s="285">
        <f>-'5C1E_LFNO'!$R63</f>
        <v>0</v>
      </c>
      <c r="J63" s="285">
        <f>-'5C1F_L.C. Charter'!$R63</f>
        <v>0</v>
      </c>
      <c r="K63" s="285">
        <f>-'5C1G_JS Clark'!$R63</f>
        <v>0</v>
      </c>
      <c r="L63" s="285">
        <f>-'5C1H_Southwest'!$R63</f>
        <v>0</v>
      </c>
      <c r="M63" s="285">
        <f>-'5C1I_LA Key'!$R63</f>
        <v>0</v>
      </c>
      <c r="N63" s="285">
        <f>-'5C1J_JCFA-East'!$R63</f>
        <v>0</v>
      </c>
      <c r="O63" s="285">
        <f>-'5C1M_GEO Mid'!$R63</f>
        <v>0</v>
      </c>
      <c r="P63" s="285">
        <f>-'5C1N_Delta'!$R63</f>
        <v>0</v>
      </c>
      <c r="Q63" s="285">
        <f>-'5C1O_Impact'!$R63</f>
        <v>0</v>
      </c>
      <c r="R63" s="285">
        <f>-'5C1Q_Advantage'!$R63</f>
        <v>0</v>
      </c>
      <c r="S63" s="285">
        <f>-'5C1R_Iberville'!$R63</f>
        <v>0</v>
      </c>
      <c r="T63" s="285">
        <f>-'5C1S_LC Col Prep'!$R63</f>
        <v>0</v>
      </c>
      <c r="U63" s="285">
        <f>-'5C1T_Northeast'!$R63</f>
        <v>0</v>
      </c>
      <c r="V63" s="285">
        <f>-'5C1U_Acadiana Ren'!$R63</f>
        <v>-131420</v>
      </c>
      <c r="W63" s="285">
        <f>-'5C1V_Laf Ren'!$R63</f>
        <v>0</v>
      </c>
      <c r="X63" s="285">
        <f>-'5C1W_Willow'!$R63</f>
        <v>0</v>
      </c>
      <c r="Y63" s="285">
        <f>-'5C1Y_GEO'!$R63</f>
        <v>0</v>
      </c>
      <c r="Z63" s="285">
        <f>-'5C1Z_Lincoln Prep'!$R63</f>
        <v>0</v>
      </c>
      <c r="AA63" s="285">
        <f>-'5C1AE_Noble Minds'!$R63</f>
        <v>0</v>
      </c>
      <c r="AB63" s="285">
        <f>-'5C1AF_JCFA-Laf'!$R63</f>
        <v>0</v>
      </c>
      <c r="AC63" s="285">
        <f>-'5C1AG_Collegiate'!$R63</f>
        <v>0</v>
      </c>
      <c r="AD63" s="285">
        <f>-'5C1AH_BRUP'!$R63</f>
        <v>0</v>
      </c>
      <c r="AE63" s="285">
        <f>-'5C1AI_Harmony'!$R63</f>
        <v>0</v>
      </c>
      <c r="AF63" s="285">
        <f>-'5C1AJ_Athlos'!$R63</f>
        <v>0</v>
      </c>
      <c r="AG63" s="285">
        <f>-'5C1AK_NxtGen'!$R63</f>
        <v>0</v>
      </c>
      <c r="AH63" s="285">
        <f>-'5C1AL_Red River'!$R63</f>
        <v>0</v>
      </c>
      <c r="AI63" s="285">
        <f>-('5C2_LAVCA'!$R63+'5C2_LAVCA'!$S63)</f>
        <v>-177186</v>
      </c>
      <c r="AJ63" s="285">
        <f>-('5C3_UnvView'!$R63+'5C3_UnvView'!$S63)</f>
        <v>-119764</v>
      </c>
      <c r="AK63" s="285">
        <f>-Placeholder_Greater!$R63</f>
        <v>0</v>
      </c>
      <c r="AL63" s="286">
        <f t="shared" si="14"/>
        <v>-428370</v>
      </c>
      <c r="AM63" s="286">
        <f t="shared" si="8"/>
        <v>57358463</v>
      </c>
      <c r="AN63" s="286">
        <f>ROUND(AM63/'8_2.1.20 SIS'!C63,0)</f>
        <v>6199</v>
      </c>
      <c r="AO63" s="286">
        <f>'3B_Pay Raise'!O63</f>
        <v>1287200</v>
      </c>
      <c r="AP63" s="287">
        <v>-20993</v>
      </c>
      <c r="AQ63" s="285">
        <f t="shared" si="9"/>
        <v>0</v>
      </c>
      <c r="AR63" s="285">
        <f t="shared" si="10"/>
        <v>-20993</v>
      </c>
      <c r="AS63" s="285">
        <v>24796</v>
      </c>
      <c r="AT63" s="285">
        <v>-136378</v>
      </c>
      <c r="AU63" s="287">
        <f t="shared" si="11"/>
        <v>-111582</v>
      </c>
      <c r="AV63" s="286">
        <f t="shared" si="12"/>
        <v>58513088</v>
      </c>
      <c r="AW63" s="285">
        <f>'4_Level 4'!E63</f>
        <v>21000</v>
      </c>
      <c r="AX63" s="285">
        <f>'4_Level 4'!Q63</f>
        <v>234407</v>
      </c>
      <c r="AY63" s="286">
        <f t="shared" si="15"/>
        <v>58768495</v>
      </c>
      <c r="AZ63" s="285">
        <v>39256022</v>
      </c>
      <c r="BA63" s="285">
        <f t="shared" si="13"/>
        <v>19512473</v>
      </c>
      <c r="BB63" s="285">
        <f t="shared" si="16"/>
        <v>4878118</v>
      </c>
      <c r="BC63" s="285">
        <f>'4_Level 4'!J63</f>
        <v>6000</v>
      </c>
      <c r="BD63" s="285">
        <f>'4_Level 4'!L63</f>
        <v>199669</v>
      </c>
      <c r="BE63" s="285">
        <f>'4_Level 4'!M63</f>
        <v>205557</v>
      </c>
      <c r="BF63" s="286">
        <f t="shared" si="17"/>
        <v>59179721</v>
      </c>
    </row>
    <row r="64" spans="1:58" ht="15.6" customHeight="1" x14ac:dyDescent="0.2">
      <c r="A64" s="283">
        <v>58</v>
      </c>
      <c r="B64" s="284" t="s">
        <v>60</v>
      </c>
      <c r="C64" s="285">
        <f>'3_Levels 1&amp;2'!AP64</f>
        <v>54382050</v>
      </c>
      <c r="D64" s="285">
        <v>0</v>
      </c>
      <c r="E64" s="285">
        <f>-'5C1A_Madison'!$R64</f>
        <v>0</v>
      </c>
      <c r="F64" s="285">
        <f>-'5C1B_DArbonne'!$R64</f>
        <v>0</v>
      </c>
      <c r="G64" s="285">
        <f>-'5C1C_Intl High'!$R64</f>
        <v>0</v>
      </c>
      <c r="H64" s="285">
        <f>-'5C1D_NOMMA'!$R64</f>
        <v>0</v>
      </c>
      <c r="I64" s="285">
        <f>-'5C1E_LFNO'!$R64</f>
        <v>0</v>
      </c>
      <c r="J64" s="285">
        <f>-'5C1F_L.C. Charter'!$R64</f>
        <v>0</v>
      </c>
      <c r="K64" s="285">
        <f>-'5C1G_JS Clark'!$R64</f>
        <v>0</v>
      </c>
      <c r="L64" s="285">
        <f>-'5C1H_Southwest'!$R64</f>
        <v>0</v>
      </c>
      <c r="M64" s="285">
        <f>-'5C1I_LA Key'!$R64</f>
        <v>0</v>
      </c>
      <c r="N64" s="285">
        <f>-'5C1J_JCFA-East'!$R64</f>
        <v>0</v>
      </c>
      <c r="O64" s="285">
        <f>-'5C1M_GEO Mid'!$R64</f>
        <v>0</v>
      </c>
      <c r="P64" s="285">
        <f>-'5C1N_Delta'!$R64</f>
        <v>0</v>
      </c>
      <c r="Q64" s="285">
        <f>-'5C1O_Impact'!$R64</f>
        <v>0</v>
      </c>
      <c r="R64" s="285">
        <f>-'5C1Q_Advantage'!$R64</f>
        <v>0</v>
      </c>
      <c r="S64" s="285">
        <f>-'5C1R_Iberville'!$R64</f>
        <v>0</v>
      </c>
      <c r="T64" s="285">
        <f>-'5C1S_LC Col Prep'!$R64</f>
        <v>0</v>
      </c>
      <c r="U64" s="285">
        <f>-'5C1T_Northeast'!$R64</f>
        <v>0</v>
      </c>
      <c r="V64" s="285">
        <f>-'5C1U_Acadiana Ren'!$R64</f>
        <v>0</v>
      </c>
      <c r="W64" s="285">
        <f>-'5C1V_Laf Ren'!$R64</f>
        <v>0</v>
      </c>
      <c r="X64" s="285">
        <f>-'5C1W_Willow'!$R64</f>
        <v>0</v>
      </c>
      <c r="Y64" s="285">
        <f>-'5C1Y_GEO'!$R64</f>
        <v>0</v>
      </c>
      <c r="Z64" s="285">
        <f>-'5C1Z_Lincoln Prep'!$R64</f>
        <v>0</v>
      </c>
      <c r="AA64" s="285">
        <f>-'5C1AE_Noble Minds'!$R64</f>
        <v>0</v>
      </c>
      <c r="AB64" s="285">
        <f>-'5C1AF_JCFA-Laf'!$R64</f>
        <v>0</v>
      </c>
      <c r="AC64" s="285">
        <f>-'5C1AG_Collegiate'!$R64</f>
        <v>0</v>
      </c>
      <c r="AD64" s="285">
        <f>-'5C1AH_BRUP'!$R64</f>
        <v>0</v>
      </c>
      <c r="AE64" s="285">
        <f>-'5C1AI_Harmony'!$R64</f>
        <v>0</v>
      </c>
      <c r="AF64" s="285">
        <f>-'5C1AJ_Athlos'!$R64</f>
        <v>0</v>
      </c>
      <c r="AG64" s="285">
        <f>-'5C1AK_NxtGen'!$R64</f>
        <v>0</v>
      </c>
      <c r="AH64" s="285">
        <f>-'5C1AL_Red River'!$R64</f>
        <v>0</v>
      </c>
      <c r="AI64" s="285">
        <f>-('5C2_LAVCA'!$R64+'5C2_LAVCA'!$S64)</f>
        <v>-191168</v>
      </c>
      <c r="AJ64" s="285">
        <f>-('5C3_UnvView'!$R64+'5C3_UnvView'!$S64)</f>
        <v>-138422</v>
      </c>
      <c r="AK64" s="285">
        <f>-Placeholder_Greater!$R64</f>
        <v>0</v>
      </c>
      <c r="AL64" s="286">
        <f t="shared" si="14"/>
        <v>-329590</v>
      </c>
      <c r="AM64" s="286">
        <f t="shared" si="8"/>
        <v>54052460</v>
      </c>
      <c r="AN64" s="286">
        <f>ROUND(AM64/'8_2.1.20 SIS'!C64,0)</f>
        <v>6781</v>
      </c>
      <c r="AO64" s="286">
        <f>'3B_Pay Raise'!O64</f>
        <v>1091522</v>
      </c>
      <c r="AP64" s="287">
        <v>-41726</v>
      </c>
      <c r="AQ64" s="285">
        <f t="shared" si="9"/>
        <v>0</v>
      </c>
      <c r="AR64" s="285">
        <f t="shared" si="10"/>
        <v>-41726</v>
      </c>
      <c r="AS64" s="285">
        <v>-1444353</v>
      </c>
      <c r="AT64" s="285">
        <v>-342441</v>
      </c>
      <c r="AU64" s="287">
        <f t="shared" si="11"/>
        <v>-1786794</v>
      </c>
      <c r="AV64" s="286">
        <f t="shared" si="12"/>
        <v>53315462</v>
      </c>
      <c r="AW64" s="285">
        <f>'4_Level 4'!E64</f>
        <v>0</v>
      </c>
      <c r="AX64" s="285">
        <f>'4_Level 4'!Q64</f>
        <v>187679</v>
      </c>
      <c r="AY64" s="286">
        <f t="shared" si="15"/>
        <v>53503141</v>
      </c>
      <c r="AZ64" s="285">
        <v>36395952</v>
      </c>
      <c r="BA64" s="285">
        <f t="shared" si="13"/>
        <v>17107189</v>
      </c>
      <c r="BB64" s="285">
        <f t="shared" si="16"/>
        <v>4276797</v>
      </c>
      <c r="BC64" s="285">
        <f>'4_Level 4'!J64</f>
        <v>0</v>
      </c>
      <c r="BD64" s="285">
        <f>'4_Level 4'!L64</f>
        <v>164603</v>
      </c>
      <c r="BE64" s="285">
        <f>'4_Level 4'!M64</f>
        <v>0</v>
      </c>
      <c r="BF64" s="286">
        <f t="shared" si="17"/>
        <v>53667744</v>
      </c>
    </row>
    <row r="65" spans="1:58" ht="15.6" customHeight="1" x14ac:dyDescent="0.2">
      <c r="A65" s="283">
        <v>59</v>
      </c>
      <c r="B65" s="284" t="s">
        <v>61</v>
      </c>
      <c r="C65" s="285">
        <f>'3_Levels 1&amp;2'!AP65</f>
        <v>36884221</v>
      </c>
      <c r="D65" s="285">
        <v>0</v>
      </c>
      <c r="E65" s="285">
        <f>-'5C1A_Madison'!$R65</f>
        <v>0</v>
      </c>
      <c r="F65" s="285">
        <f>-'5C1B_DArbonne'!$R65</f>
        <v>0</v>
      </c>
      <c r="G65" s="285">
        <f>-'5C1C_Intl High'!$R65</f>
        <v>0</v>
      </c>
      <c r="H65" s="285">
        <f>-'5C1D_NOMMA'!$R65</f>
        <v>0</v>
      </c>
      <c r="I65" s="285">
        <f>-'5C1E_LFNO'!$R65</f>
        <v>0</v>
      </c>
      <c r="J65" s="285">
        <f>-'5C1F_L.C. Charter'!$R65</f>
        <v>0</v>
      </c>
      <c r="K65" s="285">
        <f>-'5C1G_JS Clark'!$R65</f>
        <v>0</v>
      </c>
      <c r="L65" s="285">
        <f>-'5C1H_Southwest'!$R65</f>
        <v>0</v>
      </c>
      <c r="M65" s="285">
        <f>-'5C1I_LA Key'!$R65</f>
        <v>0</v>
      </c>
      <c r="N65" s="285">
        <f>-'5C1J_JCFA-East'!$R65</f>
        <v>0</v>
      </c>
      <c r="O65" s="285">
        <f>-'5C1M_GEO Mid'!$R65</f>
        <v>0</v>
      </c>
      <c r="P65" s="285">
        <f>-'5C1N_Delta'!$R65</f>
        <v>0</v>
      </c>
      <c r="Q65" s="285">
        <f>-'5C1O_Impact'!$R65</f>
        <v>0</v>
      </c>
      <c r="R65" s="285">
        <f>-'5C1Q_Advantage'!$R65</f>
        <v>0</v>
      </c>
      <c r="S65" s="285">
        <f>-'5C1R_Iberville'!$R65</f>
        <v>0</v>
      </c>
      <c r="T65" s="285">
        <f>-'5C1S_LC Col Prep'!$R65</f>
        <v>0</v>
      </c>
      <c r="U65" s="285">
        <f>-'5C1T_Northeast'!$R65</f>
        <v>0</v>
      </c>
      <c r="V65" s="285">
        <f>-'5C1U_Acadiana Ren'!$R65</f>
        <v>0</v>
      </c>
      <c r="W65" s="285">
        <f>-'5C1V_Laf Ren'!$R65</f>
        <v>0</v>
      </c>
      <c r="X65" s="285">
        <f>-'5C1W_Willow'!$R65</f>
        <v>0</v>
      </c>
      <c r="Y65" s="285">
        <f>-'5C1Y_GEO'!$R65</f>
        <v>0</v>
      </c>
      <c r="Z65" s="285">
        <f>-'5C1Z_Lincoln Prep'!$R65</f>
        <v>0</v>
      </c>
      <c r="AA65" s="285">
        <f>-'5C1AE_Noble Minds'!$R65</f>
        <v>0</v>
      </c>
      <c r="AB65" s="285">
        <f>-'5C1AF_JCFA-Laf'!$R65</f>
        <v>0</v>
      </c>
      <c r="AC65" s="285">
        <f>-'5C1AG_Collegiate'!$R65</f>
        <v>0</v>
      </c>
      <c r="AD65" s="285">
        <f>-'5C1AH_BRUP'!$R65</f>
        <v>0</v>
      </c>
      <c r="AE65" s="285">
        <f>-'5C1AI_Harmony'!$R65</f>
        <v>0</v>
      </c>
      <c r="AF65" s="285">
        <f>-'5C1AJ_Athlos'!$R65</f>
        <v>0</v>
      </c>
      <c r="AG65" s="285">
        <f>-'5C1AK_NxtGen'!$R65</f>
        <v>0</v>
      </c>
      <c r="AH65" s="285">
        <f>-'5C1AL_Red River'!$R65</f>
        <v>0</v>
      </c>
      <c r="AI65" s="285">
        <f>-('5C2_LAVCA'!$R65+'5C2_LAVCA'!$S65)</f>
        <v>-148061</v>
      </c>
      <c r="AJ65" s="285">
        <f>-('5C3_UnvView'!$R65+'5C3_UnvView'!$S65)</f>
        <v>-274418</v>
      </c>
      <c r="AK65" s="285">
        <f>-Placeholder_Greater!$R65</f>
        <v>0</v>
      </c>
      <c r="AL65" s="286">
        <f t="shared" si="14"/>
        <v>-422479</v>
      </c>
      <c r="AM65" s="286">
        <f t="shared" si="8"/>
        <v>36461742</v>
      </c>
      <c r="AN65" s="286">
        <f>ROUND(AM65/'8_2.1.20 SIS'!C65,0)</f>
        <v>7385</v>
      </c>
      <c r="AO65" s="286">
        <f>'3B_Pay Raise'!O65</f>
        <v>730214</v>
      </c>
      <c r="AP65" s="287">
        <v>-31946</v>
      </c>
      <c r="AQ65" s="285">
        <f t="shared" si="9"/>
        <v>0</v>
      </c>
      <c r="AR65" s="285">
        <f t="shared" si="10"/>
        <v>-31946</v>
      </c>
      <c r="AS65" s="285">
        <v>-996975</v>
      </c>
      <c r="AT65" s="285">
        <v>-162470</v>
      </c>
      <c r="AU65" s="287">
        <f t="shared" si="11"/>
        <v>-1159445</v>
      </c>
      <c r="AV65" s="286">
        <f t="shared" si="12"/>
        <v>36000565</v>
      </c>
      <c r="AW65" s="285">
        <f>'4_Level 4'!E65</f>
        <v>0</v>
      </c>
      <c r="AX65" s="285">
        <f>'4_Level 4'!Q65</f>
        <v>138886</v>
      </c>
      <c r="AY65" s="286">
        <f t="shared" si="15"/>
        <v>36139451</v>
      </c>
      <c r="AZ65" s="285">
        <v>24537220</v>
      </c>
      <c r="BA65" s="285">
        <f t="shared" si="13"/>
        <v>11602231</v>
      </c>
      <c r="BB65" s="285">
        <f t="shared" si="16"/>
        <v>2900558</v>
      </c>
      <c r="BC65" s="285">
        <f>'4_Level 4'!J65</f>
        <v>0</v>
      </c>
      <c r="BD65" s="285">
        <f>'4_Level 4'!L65</f>
        <v>220033</v>
      </c>
      <c r="BE65" s="285">
        <f>'4_Level 4'!M65</f>
        <v>0</v>
      </c>
      <c r="BF65" s="286">
        <f t="shared" si="17"/>
        <v>36359484</v>
      </c>
    </row>
    <row r="66" spans="1:58" ht="15.6" customHeight="1" x14ac:dyDescent="0.2">
      <c r="A66" s="288">
        <v>60</v>
      </c>
      <c r="B66" s="289" t="s">
        <v>62</v>
      </c>
      <c r="C66" s="290">
        <f>'3_Levels 1&amp;2'!AP66</f>
        <v>37562876</v>
      </c>
      <c r="D66" s="290">
        <v>0</v>
      </c>
      <c r="E66" s="290">
        <f>-'5C1A_Madison'!$R66</f>
        <v>0</v>
      </c>
      <c r="F66" s="290">
        <f>-'5C1B_DArbonne'!$R66</f>
        <v>0</v>
      </c>
      <c r="G66" s="290">
        <f>-'5C1C_Intl High'!$R66</f>
        <v>0</v>
      </c>
      <c r="H66" s="290">
        <f>-'5C1D_NOMMA'!$R66</f>
        <v>0</v>
      </c>
      <c r="I66" s="290">
        <f>-'5C1E_LFNO'!$R66</f>
        <v>0</v>
      </c>
      <c r="J66" s="290">
        <f>-'5C1F_L.C. Charter'!$R66</f>
        <v>0</v>
      </c>
      <c r="K66" s="290">
        <f>-'5C1G_JS Clark'!$R66</f>
        <v>0</v>
      </c>
      <c r="L66" s="290">
        <f>-'5C1H_Southwest'!$R66</f>
        <v>0</v>
      </c>
      <c r="M66" s="290">
        <f>-'5C1I_LA Key'!$R66</f>
        <v>0</v>
      </c>
      <c r="N66" s="290">
        <f>-'5C1J_JCFA-East'!$R66</f>
        <v>0</v>
      </c>
      <c r="O66" s="290">
        <f>-'5C1M_GEO Mid'!$R66</f>
        <v>0</v>
      </c>
      <c r="P66" s="290">
        <f>-'5C1N_Delta'!$R66</f>
        <v>0</v>
      </c>
      <c r="Q66" s="290">
        <f>-'5C1O_Impact'!$R66</f>
        <v>0</v>
      </c>
      <c r="R66" s="290">
        <f>-'5C1Q_Advantage'!$R66</f>
        <v>0</v>
      </c>
      <c r="S66" s="290">
        <f>-'5C1R_Iberville'!$R66</f>
        <v>0</v>
      </c>
      <c r="T66" s="290">
        <f>-'5C1S_LC Col Prep'!$R66</f>
        <v>0</v>
      </c>
      <c r="U66" s="290">
        <f>-'5C1T_Northeast'!$R66</f>
        <v>0</v>
      </c>
      <c r="V66" s="290">
        <f>-'5C1U_Acadiana Ren'!$R66</f>
        <v>0</v>
      </c>
      <c r="W66" s="290">
        <f>-'5C1V_Laf Ren'!$R66</f>
        <v>0</v>
      </c>
      <c r="X66" s="290">
        <f>-'5C1W_Willow'!$R66</f>
        <v>0</v>
      </c>
      <c r="Y66" s="290">
        <f>-'5C1Y_GEO'!$R66</f>
        <v>0</v>
      </c>
      <c r="Z66" s="290">
        <f>-'5C1Z_Lincoln Prep'!$R66</f>
        <v>-11210</v>
      </c>
      <c r="AA66" s="546">
        <f>-'5C1AE_Noble Minds'!$R66</f>
        <v>0</v>
      </c>
      <c r="AB66" s="546">
        <f>-'5C1AF_JCFA-Laf'!$R66</f>
        <v>0</v>
      </c>
      <c r="AC66" s="546">
        <f>-'5C1AG_Collegiate'!$R66</f>
        <v>0</v>
      </c>
      <c r="AD66" s="290">
        <f>-'5C1AH_BRUP'!$R66</f>
        <v>0</v>
      </c>
      <c r="AE66" s="775">
        <f>-'5C1AI_Harmony'!$R66</f>
        <v>0</v>
      </c>
      <c r="AF66" s="775">
        <f>-'5C1AJ_Athlos'!$R66</f>
        <v>0</v>
      </c>
      <c r="AG66" s="1080">
        <f>-'5C1AK_NxtGen'!$R66</f>
        <v>0</v>
      </c>
      <c r="AH66" s="1080">
        <f>-'5C1AL_Red River'!$R66</f>
        <v>0</v>
      </c>
      <c r="AI66" s="290">
        <f>-('5C2_LAVCA'!$R66+'5C2_LAVCA'!$S66)</f>
        <v>-86790</v>
      </c>
      <c r="AJ66" s="290">
        <f>-('5C3_UnvView'!$R66+'5C3_UnvView'!$S66)</f>
        <v>-200763</v>
      </c>
      <c r="AK66" s="290">
        <f>-Placeholder_Greater!$R66</f>
        <v>0</v>
      </c>
      <c r="AL66" s="291">
        <f t="shared" si="14"/>
        <v>-298763</v>
      </c>
      <c r="AM66" s="291">
        <f t="shared" si="8"/>
        <v>37264113</v>
      </c>
      <c r="AN66" s="291">
        <f>ROUND(AM66/'8_2.1.20 SIS'!C66,0)</f>
        <v>6430</v>
      </c>
      <c r="AO66" s="953">
        <f>'3B_Pay Raise'!O66</f>
        <v>762138</v>
      </c>
      <c r="AP66" s="292">
        <v>-51941</v>
      </c>
      <c r="AQ66" s="290">
        <f t="shared" si="9"/>
        <v>0</v>
      </c>
      <c r="AR66" s="290">
        <f t="shared" si="10"/>
        <v>-51941</v>
      </c>
      <c r="AS66" s="290">
        <v>-1324580</v>
      </c>
      <c r="AT66" s="290">
        <v>-221835</v>
      </c>
      <c r="AU66" s="292">
        <f t="shared" si="11"/>
        <v>-1546415</v>
      </c>
      <c r="AV66" s="291">
        <f t="shared" si="12"/>
        <v>36427895</v>
      </c>
      <c r="AW66" s="290">
        <f>'4_Level 4'!E66</f>
        <v>0</v>
      </c>
      <c r="AX66" s="290">
        <f>'4_Level 4'!Q66</f>
        <v>155996</v>
      </c>
      <c r="AY66" s="291">
        <f t="shared" si="15"/>
        <v>36583891</v>
      </c>
      <c r="AZ66" s="290">
        <v>24983328</v>
      </c>
      <c r="BA66" s="290">
        <f t="shared" si="13"/>
        <v>11600563</v>
      </c>
      <c r="BB66" s="290">
        <f t="shared" si="16"/>
        <v>2900141</v>
      </c>
      <c r="BC66" s="290">
        <f>'4_Level 4'!J66</f>
        <v>0</v>
      </c>
      <c r="BD66" s="290">
        <f>'4_Level 4'!L66</f>
        <v>186775</v>
      </c>
      <c r="BE66" s="290">
        <f>'4_Level 4'!M66</f>
        <v>0</v>
      </c>
      <c r="BF66" s="291">
        <f t="shared" si="17"/>
        <v>36770666</v>
      </c>
    </row>
    <row r="67" spans="1:58" ht="15.6" customHeight="1" x14ac:dyDescent="0.2">
      <c r="A67" s="281">
        <v>61</v>
      </c>
      <c r="B67" s="282" t="s">
        <v>63</v>
      </c>
      <c r="C67" s="36">
        <f>'3_Levels 1&amp;2'!AP67</f>
        <v>15000813</v>
      </c>
      <c r="D67" s="36">
        <v>0</v>
      </c>
      <c r="E67" s="36">
        <f>-'5C1A_Madison'!$R67</f>
        <v>-13299</v>
      </c>
      <c r="F67" s="36">
        <f>-'5C1B_DArbonne'!$R67</f>
        <v>0</v>
      </c>
      <c r="G67" s="36">
        <f>-'5C1C_Intl High'!$R67</f>
        <v>0</v>
      </c>
      <c r="H67" s="36">
        <f>-'5C1D_NOMMA'!$R67</f>
        <v>0</v>
      </c>
      <c r="I67" s="36">
        <f>-'5C1E_LFNO'!$R67</f>
        <v>0</v>
      </c>
      <c r="J67" s="36">
        <f>-'5C1F_L.C. Charter'!$R67</f>
        <v>0</v>
      </c>
      <c r="K67" s="36">
        <f>-'5C1G_JS Clark'!$R67</f>
        <v>0</v>
      </c>
      <c r="L67" s="36">
        <f>-'5C1H_Southwest'!$R67</f>
        <v>0</v>
      </c>
      <c r="M67" s="36">
        <f>-'5C1I_LA Key'!$R67</f>
        <v>-76087</v>
      </c>
      <c r="N67" s="36">
        <f>-'5C1J_JCFA-East'!$R67</f>
        <v>0</v>
      </c>
      <c r="O67" s="36">
        <f>-'5C1M_GEO Mid'!$R67</f>
        <v>-3449</v>
      </c>
      <c r="P67" s="36">
        <f>-'5C1N_Delta'!$R67</f>
        <v>0</v>
      </c>
      <c r="Q67" s="36">
        <f>-'5C1O_Impact'!$R67</f>
        <v>0</v>
      </c>
      <c r="R67" s="36">
        <f>-'5C1Q_Advantage'!$R67</f>
        <v>-20693</v>
      </c>
      <c r="S67" s="36">
        <f>-'5C1R_Iberville'!$R67</f>
        <v>-143613</v>
      </c>
      <c r="T67" s="36">
        <f>-'5C1S_LC Col Prep'!$R67</f>
        <v>0</v>
      </c>
      <c r="U67" s="36">
        <f>-'5C1T_Northeast'!$R67</f>
        <v>0</v>
      </c>
      <c r="V67" s="36">
        <f>-'5C1U_Acadiana Ren'!$R67</f>
        <v>0</v>
      </c>
      <c r="W67" s="36">
        <f>-'5C1V_Laf Ren'!$R67</f>
        <v>0</v>
      </c>
      <c r="X67" s="36">
        <f>-'5C1W_Willow'!$R67</f>
        <v>0</v>
      </c>
      <c r="Y67" s="36">
        <f>-'5C1Y_GEO'!$R67</f>
        <v>-12503</v>
      </c>
      <c r="Z67" s="36">
        <f>-'5C1Z_Lincoln Prep'!$R67</f>
        <v>0</v>
      </c>
      <c r="AA67" s="36">
        <f>-'5C1AE_Noble Minds'!$R67</f>
        <v>0</v>
      </c>
      <c r="AB67" s="36">
        <f>-'5C1AF_JCFA-Laf'!$R67</f>
        <v>0</v>
      </c>
      <c r="AC67" s="36">
        <f>-'5C1AG_Collegiate'!$R67</f>
        <v>0</v>
      </c>
      <c r="AD67" s="36">
        <f>-'5C1AH_BRUP'!$R67</f>
        <v>0</v>
      </c>
      <c r="AE67" s="36">
        <f>-'5C1AI_Harmony'!$R67</f>
        <v>0</v>
      </c>
      <c r="AF67" s="36">
        <f>-'5C1AJ_Athlos'!$R67</f>
        <v>0</v>
      </c>
      <c r="AG67" s="36">
        <f>-'5C1AK_NxtGen'!$R67</f>
        <v>0</v>
      </c>
      <c r="AH67" s="36">
        <f>-'5C1AL_Red River'!$R67</f>
        <v>0</v>
      </c>
      <c r="AI67" s="36">
        <f>-('5C2_LAVCA'!$R67+'5C2_LAVCA'!$S67)</f>
        <v>-43797</v>
      </c>
      <c r="AJ67" s="36">
        <f>-('5C3_UnvView'!$R67+'5C3_UnvView'!$S67)</f>
        <v>-97364</v>
      </c>
      <c r="AK67" s="36">
        <f>-Placeholder_Greater!$R67</f>
        <v>0</v>
      </c>
      <c r="AL67" s="35">
        <f t="shared" si="14"/>
        <v>-410805</v>
      </c>
      <c r="AM67" s="35">
        <f t="shared" si="8"/>
        <v>14590008</v>
      </c>
      <c r="AN67" s="35">
        <f>ROUND(AM67/'8_2.1.20 SIS'!C67,0)</f>
        <v>3993</v>
      </c>
      <c r="AO67" s="35">
        <f>'3B_Pay Raise'!O67</f>
        <v>646886</v>
      </c>
      <c r="AP67" s="37">
        <v>10643</v>
      </c>
      <c r="AQ67" s="36">
        <f t="shared" si="9"/>
        <v>10643</v>
      </c>
      <c r="AR67" s="36">
        <f t="shared" si="10"/>
        <v>0</v>
      </c>
      <c r="AS67" s="36">
        <v>339405</v>
      </c>
      <c r="AT67" s="36">
        <v>77864</v>
      </c>
      <c r="AU67" s="37">
        <f t="shared" si="11"/>
        <v>417269</v>
      </c>
      <c r="AV67" s="35">
        <f t="shared" si="12"/>
        <v>15664806</v>
      </c>
      <c r="AW67" s="36">
        <f>'4_Level 4'!E67</f>
        <v>0</v>
      </c>
      <c r="AX67" s="36">
        <f>'4_Level 4'!Q67</f>
        <v>91096</v>
      </c>
      <c r="AY67" s="35">
        <f t="shared" si="15"/>
        <v>15755902</v>
      </c>
      <c r="AZ67" s="36">
        <v>10330988</v>
      </c>
      <c r="BA67" s="36">
        <f t="shared" si="13"/>
        <v>5424914</v>
      </c>
      <c r="BB67" s="36">
        <f t="shared" si="16"/>
        <v>1356229</v>
      </c>
      <c r="BC67" s="36">
        <f>'4_Level 4'!J67</f>
        <v>0</v>
      </c>
      <c r="BD67" s="36">
        <f>'4_Level 4'!L67</f>
        <v>119054</v>
      </c>
      <c r="BE67" s="36">
        <f>'4_Level 4'!M67</f>
        <v>146574</v>
      </c>
      <c r="BF67" s="35">
        <f t="shared" si="17"/>
        <v>16021530</v>
      </c>
    </row>
    <row r="68" spans="1:58" ht="15.6" customHeight="1" x14ac:dyDescent="0.2">
      <c r="A68" s="283">
        <v>62</v>
      </c>
      <c r="B68" s="284" t="s">
        <v>64</v>
      </c>
      <c r="C68" s="285">
        <f>'3_Levels 1&amp;2'!AP68</f>
        <v>13002954</v>
      </c>
      <c r="D68" s="285">
        <v>0</v>
      </c>
      <c r="E68" s="285">
        <f>-'5C1A_Madison'!$R68</f>
        <v>0</v>
      </c>
      <c r="F68" s="285">
        <f>-'5C1B_DArbonne'!$R68</f>
        <v>0</v>
      </c>
      <c r="G68" s="285">
        <f>-'5C1C_Intl High'!$R68</f>
        <v>0</v>
      </c>
      <c r="H68" s="285">
        <f>-'5C1D_NOMMA'!$R68</f>
        <v>0</v>
      </c>
      <c r="I68" s="285">
        <f>-'5C1E_LFNO'!$R68</f>
        <v>0</v>
      </c>
      <c r="J68" s="285">
        <f>-'5C1F_L.C. Charter'!$R68</f>
        <v>0</v>
      </c>
      <c r="K68" s="285">
        <f>-'5C1G_JS Clark'!$R68</f>
        <v>0</v>
      </c>
      <c r="L68" s="285">
        <f>-'5C1H_Southwest'!$R68</f>
        <v>0</v>
      </c>
      <c r="M68" s="285">
        <f>-'5C1I_LA Key'!$R68</f>
        <v>0</v>
      </c>
      <c r="N68" s="285">
        <f>-'5C1J_JCFA-East'!$R68</f>
        <v>0</v>
      </c>
      <c r="O68" s="285">
        <f>-'5C1M_GEO Mid'!$R68</f>
        <v>0</v>
      </c>
      <c r="P68" s="285">
        <f>-'5C1N_Delta'!$R68</f>
        <v>0</v>
      </c>
      <c r="Q68" s="285">
        <f>-'5C1O_Impact'!$R68</f>
        <v>0</v>
      </c>
      <c r="R68" s="285">
        <f>-'5C1Q_Advantage'!$R68</f>
        <v>0</v>
      </c>
      <c r="S68" s="285">
        <f>-'5C1R_Iberville'!$R68</f>
        <v>0</v>
      </c>
      <c r="T68" s="285">
        <f>-'5C1S_LC Col Prep'!$R68</f>
        <v>0</v>
      </c>
      <c r="U68" s="285">
        <f>-'5C1T_Northeast'!$R68</f>
        <v>0</v>
      </c>
      <c r="V68" s="285">
        <f>-'5C1U_Acadiana Ren'!$R68</f>
        <v>0</v>
      </c>
      <c r="W68" s="285">
        <f>-'5C1V_Laf Ren'!$R68</f>
        <v>0</v>
      </c>
      <c r="X68" s="285">
        <f>-'5C1W_Willow'!$R68</f>
        <v>0</v>
      </c>
      <c r="Y68" s="285">
        <f>-'5C1Y_GEO'!$R68</f>
        <v>0</v>
      </c>
      <c r="Z68" s="285">
        <f>-'5C1Z_Lincoln Prep'!$R68</f>
        <v>0</v>
      </c>
      <c r="AA68" s="285">
        <f>-'5C1AE_Noble Minds'!$R68</f>
        <v>0</v>
      </c>
      <c r="AB68" s="285">
        <f>-'5C1AF_JCFA-Laf'!$R68</f>
        <v>0</v>
      </c>
      <c r="AC68" s="285">
        <f>-'5C1AG_Collegiate'!$R68</f>
        <v>0</v>
      </c>
      <c r="AD68" s="285">
        <f>-'5C1AH_BRUP'!$R68</f>
        <v>0</v>
      </c>
      <c r="AE68" s="285">
        <f>-'5C1AI_Harmony'!$R68</f>
        <v>0</v>
      </c>
      <c r="AF68" s="285">
        <f>-'5C1AJ_Athlos'!$R68</f>
        <v>0</v>
      </c>
      <c r="AG68" s="285">
        <f>-'5C1AK_NxtGen'!$R68</f>
        <v>0</v>
      </c>
      <c r="AH68" s="285">
        <f>-'5C1AL_Red River'!$R68</f>
        <v>0</v>
      </c>
      <c r="AI68" s="285">
        <f>-('5C2_LAVCA'!$R68+'5C2_LAVCA'!$S68)</f>
        <v>-28678</v>
      </c>
      <c r="AJ68" s="285">
        <f>-('5C3_UnvView'!$R68+'5C3_UnvView'!$S68)</f>
        <v>-71676</v>
      </c>
      <c r="AK68" s="285">
        <f>-Placeholder_Greater!$R68</f>
        <v>0</v>
      </c>
      <c r="AL68" s="286">
        <f t="shared" si="14"/>
        <v>-100354</v>
      </c>
      <c r="AM68" s="286">
        <f t="shared" si="8"/>
        <v>12902600</v>
      </c>
      <c r="AN68" s="286">
        <f>ROUND(AM68/'8_2.1.20 SIS'!C68,0)</f>
        <v>6820</v>
      </c>
      <c r="AO68" s="286">
        <f>'3B_Pay Raise'!O68</f>
        <v>261376</v>
      </c>
      <c r="AP68" s="287">
        <v>-5618</v>
      </c>
      <c r="AQ68" s="285">
        <f t="shared" si="9"/>
        <v>0</v>
      </c>
      <c r="AR68" s="285">
        <f t="shared" si="10"/>
        <v>-5618</v>
      </c>
      <c r="AS68" s="285">
        <v>-361460</v>
      </c>
      <c r="AT68" s="285">
        <v>-68200</v>
      </c>
      <c r="AU68" s="287">
        <f t="shared" si="11"/>
        <v>-429660</v>
      </c>
      <c r="AV68" s="286">
        <f t="shared" si="12"/>
        <v>12728698</v>
      </c>
      <c r="AW68" s="285">
        <f>'4_Level 4'!E68</f>
        <v>0</v>
      </c>
      <c r="AX68" s="285">
        <f>'4_Level 4'!Q68</f>
        <v>49973</v>
      </c>
      <c r="AY68" s="286">
        <f t="shared" si="15"/>
        <v>12778671</v>
      </c>
      <c r="AZ68" s="285">
        <v>8688022</v>
      </c>
      <c r="BA68" s="285">
        <f t="shared" si="13"/>
        <v>4090649</v>
      </c>
      <c r="BB68" s="285">
        <f t="shared" si="16"/>
        <v>1022662</v>
      </c>
      <c r="BC68" s="285">
        <f>'4_Level 4'!J68</f>
        <v>0</v>
      </c>
      <c r="BD68" s="285">
        <f>'4_Level 4'!L68</f>
        <v>51574</v>
      </c>
      <c r="BE68" s="285">
        <f>'4_Level 4'!M68</f>
        <v>0</v>
      </c>
      <c r="BF68" s="286">
        <f t="shared" si="17"/>
        <v>12830245</v>
      </c>
    </row>
    <row r="69" spans="1:58" ht="15.6" customHeight="1" x14ac:dyDescent="0.2">
      <c r="A69" s="283">
        <v>63</v>
      </c>
      <c r="B69" s="284" t="s">
        <v>65</v>
      </c>
      <c r="C69" s="285">
        <f>'3_Levels 1&amp;2'!AP69</f>
        <v>9321012</v>
      </c>
      <c r="D69" s="285">
        <v>0</v>
      </c>
      <c r="E69" s="285">
        <f>-'5C1A_Madison'!$R69</f>
        <v>0</v>
      </c>
      <c r="F69" s="285">
        <f>-'5C1B_DArbonne'!$R69</f>
        <v>0</v>
      </c>
      <c r="G69" s="285">
        <f>-'5C1C_Intl High'!$R69</f>
        <v>0</v>
      </c>
      <c r="H69" s="285">
        <f>-'5C1D_NOMMA'!$R69</f>
        <v>0</v>
      </c>
      <c r="I69" s="285">
        <f>-'5C1E_LFNO'!$R69</f>
        <v>0</v>
      </c>
      <c r="J69" s="285">
        <f>-'5C1F_L.C. Charter'!$R69</f>
        <v>0</v>
      </c>
      <c r="K69" s="285">
        <f>-'5C1G_JS Clark'!$R69</f>
        <v>0</v>
      </c>
      <c r="L69" s="285">
        <f>-'5C1H_Southwest'!$R69</f>
        <v>0</v>
      </c>
      <c r="M69" s="285">
        <f>-'5C1I_LA Key'!$R69</f>
        <v>-13020</v>
      </c>
      <c r="N69" s="285">
        <f>-'5C1J_JCFA-East'!$R69</f>
        <v>0</v>
      </c>
      <c r="O69" s="285">
        <f>-'5C1M_GEO Mid'!$R69</f>
        <v>0</v>
      </c>
      <c r="P69" s="285">
        <f>-'5C1N_Delta'!$R69</f>
        <v>0</v>
      </c>
      <c r="Q69" s="285">
        <f>-'5C1O_Impact'!$R69</f>
        <v>0</v>
      </c>
      <c r="R69" s="285">
        <f>-'5C1Q_Advantage'!$R69</f>
        <v>-6833</v>
      </c>
      <c r="S69" s="285">
        <f>-'5C1R_Iberville'!$R69</f>
        <v>0</v>
      </c>
      <c r="T69" s="285">
        <f>-'5C1S_LC Col Prep'!$R69</f>
        <v>0</v>
      </c>
      <c r="U69" s="285">
        <f>-'5C1T_Northeast'!$R69</f>
        <v>0</v>
      </c>
      <c r="V69" s="285">
        <f>-'5C1U_Acadiana Ren'!$R69</f>
        <v>0</v>
      </c>
      <c r="W69" s="285">
        <f>-'5C1V_Laf Ren'!$R69</f>
        <v>0</v>
      </c>
      <c r="X69" s="285">
        <f>-'5C1W_Willow'!$R69</f>
        <v>0</v>
      </c>
      <c r="Y69" s="285">
        <f>-'5C1Y_GEO'!$R69</f>
        <v>0</v>
      </c>
      <c r="Z69" s="285">
        <f>-'5C1Z_Lincoln Prep'!$R69</f>
        <v>0</v>
      </c>
      <c r="AA69" s="285">
        <f>-'5C1AE_Noble Minds'!$R69</f>
        <v>0</v>
      </c>
      <c r="AB69" s="285">
        <f>-'5C1AF_JCFA-Laf'!$R69</f>
        <v>0</v>
      </c>
      <c r="AC69" s="285">
        <f>-'5C1AG_Collegiate'!$R69</f>
        <v>0</v>
      </c>
      <c r="AD69" s="285">
        <f>-'5C1AH_BRUP'!$R69</f>
        <v>0</v>
      </c>
      <c r="AE69" s="285">
        <f>-'5C1AI_Harmony'!$R69</f>
        <v>0</v>
      </c>
      <c r="AF69" s="285">
        <f>-'5C1AJ_Athlos'!$R69</f>
        <v>0</v>
      </c>
      <c r="AG69" s="285">
        <f>-'5C1AK_NxtGen'!$R69</f>
        <v>0</v>
      </c>
      <c r="AH69" s="285">
        <f>-'5C1AL_Red River'!$R69</f>
        <v>0</v>
      </c>
      <c r="AI69" s="285">
        <f>-('5C2_LAVCA'!$R69+'5C2_LAVCA'!$S69)</f>
        <v>-19794</v>
      </c>
      <c r="AJ69" s="285">
        <f>-('5C3_UnvView'!$R69+'5C3_UnvView'!$S69)</f>
        <v>-51668</v>
      </c>
      <c r="AK69" s="285">
        <f>-Placeholder_Greater!$R69</f>
        <v>0</v>
      </c>
      <c r="AL69" s="286">
        <f t="shared" si="14"/>
        <v>-91315</v>
      </c>
      <c r="AM69" s="286">
        <f t="shared" si="8"/>
        <v>9229697</v>
      </c>
      <c r="AN69" s="286">
        <f>ROUND(AM69/'8_2.1.20 SIS'!C69,0)</f>
        <v>4416</v>
      </c>
      <c r="AO69" s="286">
        <f>'3B_Pay Raise'!O69</f>
        <v>369185</v>
      </c>
      <c r="AP69" s="287">
        <v>729</v>
      </c>
      <c r="AQ69" s="285">
        <f t="shared" si="9"/>
        <v>729</v>
      </c>
      <c r="AR69" s="285">
        <f t="shared" si="10"/>
        <v>0</v>
      </c>
      <c r="AS69" s="285">
        <v>-176640</v>
      </c>
      <c r="AT69" s="285">
        <v>0</v>
      </c>
      <c r="AU69" s="287">
        <f t="shared" si="11"/>
        <v>-176640</v>
      </c>
      <c r="AV69" s="286">
        <f t="shared" si="12"/>
        <v>9422971</v>
      </c>
      <c r="AW69" s="285">
        <f>'4_Level 4'!E69</f>
        <v>0</v>
      </c>
      <c r="AX69" s="285">
        <f>'4_Level 4'!Q69</f>
        <v>55873</v>
      </c>
      <c r="AY69" s="286">
        <f t="shared" si="15"/>
        <v>9478844</v>
      </c>
      <c r="AZ69" s="285">
        <v>6373058</v>
      </c>
      <c r="BA69" s="285">
        <f t="shared" si="13"/>
        <v>3105786</v>
      </c>
      <c r="BB69" s="285">
        <f t="shared" si="16"/>
        <v>776447</v>
      </c>
      <c r="BC69" s="285">
        <f>'4_Level 4'!J69</f>
        <v>0</v>
      </c>
      <c r="BD69" s="285">
        <f>'4_Level 4'!L69</f>
        <v>101220</v>
      </c>
      <c r="BE69" s="285">
        <f>'4_Level 4'!M69</f>
        <v>0</v>
      </c>
      <c r="BF69" s="286">
        <f t="shared" si="17"/>
        <v>9580064</v>
      </c>
    </row>
    <row r="70" spans="1:58" ht="15.6" customHeight="1" x14ac:dyDescent="0.2">
      <c r="A70" s="283">
        <v>64</v>
      </c>
      <c r="B70" s="284" t="s">
        <v>66</v>
      </c>
      <c r="C70" s="285">
        <f>'3_Levels 1&amp;2'!AP70</f>
        <v>14677517</v>
      </c>
      <c r="D70" s="285">
        <v>0</v>
      </c>
      <c r="E70" s="285">
        <f>-'5C1A_Madison'!$R70</f>
        <v>0</v>
      </c>
      <c r="F70" s="285">
        <f>-'5C1B_DArbonne'!$R70</f>
        <v>0</v>
      </c>
      <c r="G70" s="285">
        <f>-'5C1C_Intl High'!$R70</f>
        <v>0</v>
      </c>
      <c r="H70" s="285">
        <f>-'5C1D_NOMMA'!$R70</f>
        <v>0</v>
      </c>
      <c r="I70" s="285">
        <f>-'5C1E_LFNO'!$R70</f>
        <v>0</v>
      </c>
      <c r="J70" s="285">
        <f>-'5C1F_L.C. Charter'!$R70</f>
        <v>0</v>
      </c>
      <c r="K70" s="285">
        <f>-'5C1G_JS Clark'!$R70</f>
        <v>0</v>
      </c>
      <c r="L70" s="285">
        <f>-'5C1H_Southwest'!$R70</f>
        <v>0</v>
      </c>
      <c r="M70" s="285">
        <f>-'5C1I_LA Key'!$R70</f>
        <v>0</v>
      </c>
      <c r="N70" s="285">
        <f>-'5C1J_JCFA-East'!$R70</f>
        <v>0</v>
      </c>
      <c r="O70" s="285">
        <f>-'5C1M_GEO Mid'!$R70</f>
        <v>0</v>
      </c>
      <c r="P70" s="285">
        <f>-'5C1N_Delta'!$R70</f>
        <v>0</v>
      </c>
      <c r="Q70" s="285">
        <f>-'5C1O_Impact'!$R70</f>
        <v>0</v>
      </c>
      <c r="R70" s="285">
        <f>-'5C1Q_Advantage'!$R70</f>
        <v>0</v>
      </c>
      <c r="S70" s="285">
        <f>-'5C1R_Iberville'!$R70</f>
        <v>0</v>
      </c>
      <c r="T70" s="285">
        <f>-'5C1S_LC Col Prep'!$R70</f>
        <v>0</v>
      </c>
      <c r="U70" s="285">
        <f>-'5C1T_Northeast'!$R70</f>
        <v>0</v>
      </c>
      <c r="V70" s="285">
        <f>-'5C1U_Acadiana Ren'!$R70</f>
        <v>0</v>
      </c>
      <c r="W70" s="285">
        <f>-'5C1V_Laf Ren'!$R70</f>
        <v>0</v>
      </c>
      <c r="X70" s="285">
        <f>-'5C1W_Willow'!$R70</f>
        <v>0</v>
      </c>
      <c r="Y70" s="285">
        <f>-'5C1Y_GEO'!$R70</f>
        <v>0</v>
      </c>
      <c r="Z70" s="285">
        <f>-'5C1Z_Lincoln Prep'!$R70</f>
        <v>-5974</v>
      </c>
      <c r="AA70" s="285">
        <f>-'5C1AE_Noble Minds'!$R70</f>
        <v>0</v>
      </c>
      <c r="AB70" s="285">
        <f>-'5C1AF_JCFA-Laf'!$R70</f>
        <v>0</v>
      </c>
      <c r="AC70" s="285">
        <f>-'5C1AG_Collegiate'!$R70</f>
        <v>0</v>
      </c>
      <c r="AD70" s="285">
        <f>-'5C1AH_BRUP'!$R70</f>
        <v>0</v>
      </c>
      <c r="AE70" s="285">
        <f>-'5C1AI_Harmony'!$R70</f>
        <v>0</v>
      </c>
      <c r="AF70" s="285">
        <f>-'5C1AJ_Athlos'!$R70</f>
        <v>0</v>
      </c>
      <c r="AG70" s="285">
        <f>-'5C1AK_NxtGen'!$R70</f>
        <v>0</v>
      </c>
      <c r="AH70" s="285">
        <f>-'5C1AL_Red River'!$R70</f>
        <v>0</v>
      </c>
      <c r="AI70" s="285">
        <f>-('5C2_LAVCA'!$R70+'5C2_LAVCA'!$S70)</f>
        <v>-30150</v>
      </c>
      <c r="AJ70" s="285">
        <f>-('5C3_UnvView'!$R70+'5C3_UnvView'!$S70)</f>
        <v>-37902</v>
      </c>
      <c r="AK70" s="285">
        <f>-Placeholder_Greater!$R70</f>
        <v>0</v>
      </c>
      <c r="AL70" s="286">
        <f t="shared" si="14"/>
        <v>-74026</v>
      </c>
      <c r="AM70" s="286">
        <f t="shared" si="8"/>
        <v>14603491</v>
      </c>
      <c r="AN70" s="286">
        <f>ROUND(AM70/'8_2.1.20 SIS'!C70,0)</f>
        <v>7233</v>
      </c>
      <c r="AO70" s="286">
        <f>'3B_Pay Raise'!O70</f>
        <v>321722</v>
      </c>
      <c r="AP70" s="287">
        <v>-2897</v>
      </c>
      <c r="AQ70" s="285">
        <f t="shared" si="9"/>
        <v>0</v>
      </c>
      <c r="AR70" s="285">
        <f t="shared" si="10"/>
        <v>-2897</v>
      </c>
      <c r="AS70" s="285">
        <v>-795630</v>
      </c>
      <c r="AT70" s="285">
        <v>-104879</v>
      </c>
      <c r="AU70" s="287">
        <f t="shared" si="11"/>
        <v>-900509</v>
      </c>
      <c r="AV70" s="286">
        <f t="shared" si="12"/>
        <v>14021807</v>
      </c>
      <c r="AW70" s="285">
        <f>'4_Level 4'!E70</f>
        <v>0</v>
      </c>
      <c r="AX70" s="285">
        <f>'4_Level 4'!Q70</f>
        <v>55047</v>
      </c>
      <c r="AY70" s="286">
        <f t="shared" si="15"/>
        <v>14076854</v>
      </c>
      <c r="AZ70" s="285">
        <v>9715706</v>
      </c>
      <c r="BA70" s="285">
        <f t="shared" si="13"/>
        <v>4361148</v>
      </c>
      <c r="BB70" s="285">
        <f t="shared" si="16"/>
        <v>1090287</v>
      </c>
      <c r="BC70" s="285">
        <f>'4_Level 4'!J70</f>
        <v>0</v>
      </c>
      <c r="BD70" s="285">
        <f>'4_Level 4'!L70</f>
        <v>128453</v>
      </c>
      <c r="BE70" s="285">
        <f>'4_Level 4'!M70</f>
        <v>0</v>
      </c>
      <c r="BF70" s="286">
        <f t="shared" si="17"/>
        <v>14205307</v>
      </c>
    </row>
    <row r="71" spans="1:58" ht="15.6" customHeight="1" x14ac:dyDescent="0.2">
      <c r="A71" s="288">
        <v>65</v>
      </c>
      <c r="B71" s="289" t="s">
        <v>67</v>
      </c>
      <c r="C71" s="290">
        <f>'3_Levels 1&amp;2'!AP71</f>
        <v>46429929</v>
      </c>
      <c r="D71" s="290">
        <v>0</v>
      </c>
      <c r="E71" s="290">
        <f>-'5C1A_Madison'!$R71</f>
        <v>0</v>
      </c>
      <c r="F71" s="290">
        <f>-'5C1B_DArbonne'!$R71</f>
        <v>0</v>
      </c>
      <c r="G71" s="290">
        <f>-'5C1C_Intl High'!$R71</f>
        <v>0</v>
      </c>
      <c r="H71" s="290">
        <f>-'5C1D_NOMMA'!$R71</f>
        <v>0</v>
      </c>
      <c r="I71" s="290">
        <f>-'5C1E_LFNO'!$R71</f>
        <v>0</v>
      </c>
      <c r="J71" s="290">
        <f>-'5C1F_L.C. Charter'!$R71</f>
        <v>0</v>
      </c>
      <c r="K71" s="290">
        <f>-'5C1G_JS Clark'!$R71</f>
        <v>0</v>
      </c>
      <c r="L71" s="290">
        <f>-'5C1H_Southwest'!$R71</f>
        <v>0</v>
      </c>
      <c r="M71" s="290">
        <f>-'5C1I_LA Key'!$R71</f>
        <v>0</v>
      </c>
      <c r="N71" s="290">
        <f>-'5C1J_JCFA-East'!$R71</f>
        <v>0</v>
      </c>
      <c r="O71" s="290">
        <f>-'5C1M_GEO Mid'!$R71</f>
        <v>0</v>
      </c>
      <c r="P71" s="290">
        <f>-'5C1N_Delta'!$R71</f>
        <v>0</v>
      </c>
      <c r="Q71" s="290">
        <f>-'5C1O_Impact'!$R71</f>
        <v>0</v>
      </c>
      <c r="R71" s="290">
        <f>-'5C1Q_Advantage'!$R71</f>
        <v>0</v>
      </c>
      <c r="S71" s="290">
        <f>-'5C1R_Iberville'!$R71</f>
        <v>0</v>
      </c>
      <c r="T71" s="290">
        <f>-'5C1S_LC Col Prep'!$R71</f>
        <v>0</v>
      </c>
      <c r="U71" s="290">
        <f>-'5C1T_Northeast'!$R71</f>
        <v>0</v>
      </c>
      <c r="V71" s="290">
        <f>-'5C1U_Acadiana Ren'!$R71</f>
        <v>0</v>
      </c>
      <c r="W71" s="290">
        <f>-'5C1V_Laf Ren'!$R71</f>
        <v>0</v>
      </c>
      <c r="X71" s="290">
        <f>-'5C1W_Willow'!$R71</f>
        <v>0</v>
      </c>
      <c r="Y71" s="290">
        <f>-'5C1Y_GEO'!$R71</f>
        <v>0</v>
      </c>
      <c r="Z71" s="290">
        <f>-'5C1Z_Lincoln Prep'!$R71</f>
        <v>0</v>
      </c>
      <c r="AA71" s="546">
        <f>-'5C1AE_Noble Minds'!$R71</f>
        <v>0</v>
      </c>
      <c r="AB71" s="546">
        <f>-'5C1AF_JCFA-Laf'!$R71</f>
        <v>0</v>
      </c>
      <c r="AC71" s="546">
        <f>-'5C1AG_Collegiate'!$R71</f>
        <v>0</v>
      </c>
      <c r="AD71" s="290">
        <f>-'5C1AH_BRUP'!$R71</f>
        <v>0</v>
      </c>
      <c r="AE71" s="775">
        <f>-'5C1AI_Harmony'!$R71</f>
        <v>0</v>
      </c>
      <c r="AF71" s="775">
        <f>-'5C1AJ_Athlos'!$R71</f>
        <v>0</v>
      </c>
      <c r="AG71" s="1080">
        <f>-'5C1AK_NxtGen'!$R71</f>
        <v>0</v>
      </c>
      <c r="AH71" s="1080">
        <f>-'5C1AL_Red River'!$R71</f>
        <v>0</v>
      </c>
      <c r="AI71" s="290">
        <f>-('5C2_LAVCA'!$R71+'5C2_LAVCA'!$S71)</f>
        <v>-57321</v>
      </c>
      <c r="AJ71" s="290">
        <f>-('5C3_UnvView'!$R71+'5C3_UnvView'!$S71)</f>
        <v>-69491</v>
      </c>
      <c r="AK71" s="290">
        <f>-Placeholder_Greater!$R71</f>
        <v>0</v>
      </c>
      <c r="AL71" s="291">
        <f>SUM(D71:AK71)</f>
        <v>-126812</v>
      </c>
      <c r="AM71" s="291">
        <f t="shared" si="8"/>
        <v>46303117</v>
      </c>
      <c r="AN71" s="291">
        <f>ROUND(AM71/'8_2.1.20 SIS'!C71,0)</f>
        <v>5840</v>
      </c>
      <c r="AO71" s="953">
        <f>'3B_Pay Raise'!O71</f>
        <v>1293784</v>
      </c>
      <c r="AP71" s="292">
        <v>-27889</v>
      </c>
      <c r="AQ71" s="290">
        <f t="shared" si="9"/>
        <v>0</v>
      </c>
      <c r="AR71" s="290">
        <f t="shared" si="10"/>
        <v>-27889</v>
      </c>
      <c r="AS71" s="290">
        <v>-420480</v>
      </c>
      <c r="AT71" s="290">
        <v>-122640</v>
      </c>
      <c r="AU71" s="292">
        <f t="shared" si="11"/>
        <v>-543120</v>
      </c>
      <c r="AV71" s="291">
        <f t="shared" si="12"/>
        <v>47025892</v>
      </c>
      <c r="AW71" s="290">
        <f>'4_Level 4'!E71</f>
        <v>0</v>
      </c>
      <c r="AX71" s="290">
        <f>'4_Level 4'!Q71</f>
        <v>197001</v>
      </c>
      <c r="AY71" s="291">
        <f>ROUND(SUM(AV71:AX71),0)</f>
        <v>47222893</v>
      </c>
      <c r="AZ71" s="290">
        <v>31697380</v>
      </c>
      <c r="BA71" s="290">
        <f t="shared" si="13"/>
        <v>15525513</v>
      </c>
      <c r="BB71" s="290">
        <f t="shared" ref="BB71:BB102" si="18">ROUND(BA71/$BB$77,0)</f>
        <v>3881378</v>
      </c>
      <c r="BC71" s="290">
        <f>'4_Level 4'!J71</f>
        <v>0</v>
      </c>
      <c r="BD71" s="290">
        <f>'4_Level 4'!L71</f>
        <v>299081</v>
      </c>
      <c r="BE71" s="290">
        <f>'4_Level 4'!M71</f>
        <v>41394</v>
      </c>
      <c r="BF71" s="291">
        <f>AY71+BC71+BD71+BE71</f>
        <v>47563368</v>
      </c>
    </row>
    <row r="72" spans="1:58" ht="15.6" customHeight="1" x14ac:dyDescent="0.2">
      <c r="A72" s="281">
        <v>66</v>
      </c>
      <c r="B72" s="282" t="s">
        <v>68</v>
      </c>
      <c r="C72" s="36">
        <f>'3_Levels 1&amp;2'!AP72</f>
        <v>13420218</v>
      </c>
      <c r="D72" s="36">
        <v>0</v>
      </c>
      <c r="E72" s="36">
        <f>-'5C1A_Madison'!$R72</f>
        <v>0</v>
      </c>
      <c r="F72" s="36">
        <f>-'5C1B_DArbonne'!$R72</f>
        <v>0</v>
      </c>
      <c r="G72" s="36">
        <f>-'5C1C_Intl High'!$R72</f>
        <v>0</v>
      </c>
      <c r="H72" s="36">
        <f>-'5C1D_NOMMA'!$R72</f>
        <v>0</v>
      </c>
      <c r="I72" s="36">
        <f>-'5C1E_LFNO'!$R72</f>
        <v>0</v>
      </c>
      <c r="J72" s="36">
        <f>-'5C1F_L.C. Charter'!$R72</f>
        <v>0</v>
      </c>
      <c r="K72" s="36">
        <f>-'5C1G_JS Clark'!$R72</f>
        <v>0</v>
      </c>
      <c r="L72" s="36">
        <f>-'5C1H_Southwest'!$R72</f>
        <v>0</v>
      </c>
      <c r="M72" s="36">
        <f>-'5C1I_LA Key'!$R72</f>
        <v>0</v>
      </c>
      <c r="N72" s="36">
        <f>-'5C1J_JCFA-East'!$R72</f>
        <v>0</v>
      </c>
      <c r="O72" s="36">
        <f>-'5C1M_GEO Mid'!$R72</f>
        <v>0</v>
      </c>
      <c r="P72" s="36">
        <f>-'5C1N_Delta'!$R72</f>
        <v>0</v>
      </c>
      <c r="Q72" s="36">
        <f>-'5C1O_Impact'!$R72</f>
        <v>0</v>
      </c>
      <c r="R72" s="36">
        <f>-'5C1Q_Advantage'!$R72</f>
        <v>0</v>
      </c>
      <c r="S72" s="36">
        <f>-'5C1R_Iberville'!$R72</f>
        <v>0</v>
      </c>
      <c r="T72" s="36">
        <f>-'5C1S_LC Col Prep'!$R72</f>
        <v>0</v>
      </c>
      <c r="U72" s="36">
        <f>-'5C1T_Northeast'!$R72</f>
        <v>0</v>
      </c>
      <c r="V72" s="36">
        <f>-'5C1U_Acadiana Ren'!$R72</f>
        <v>0</v>
      </c>
      <c r="W72" s="36">
        <f>-'5C1V_Laf Ren'!$R72</f>
        <v>0</v>
      </c>
      <c r="X72" s="36">
        <f>-'5C1W_Willow'!$R72</f>
        <v>0</v>
      </c>
      <c r="Y72" s="36">
        <f>-'5C1Y_GEO'!$R72</f>
        <v>0</v>
      </c>
      <c r="Z72" s="36">
        <f>-'5C1Z_Lincoln Prep'!$R72</f>
        <v>0</v>
      </c>
      <c r="AA72" s="36">
        <f>-'5C1AE_Noble Minds'!$R72</f>
        <v>0</v>
      </c>
      <c r="AB72" s="36">
        <f>-'5C1AF_JCFA-Laf'!$R72</f>
        <v>0</v>
      </c>
      <c r="AC72" s="36">
        <f>-'5C1AG_Collegiate'!$R72</f>
        <v>0</v>
      </c>
      <c r="AD72" s="36">
        <f>-'5C1AH_BRUP'!$R72</f>
        <v>0</v>
      </c>
      <c r="AE72" s="36">
        <f>-'5C1AI_Harmony'!$R72</f>
        <v>0</v>
      </c>
      <c r="AF72" s="36">
        <f>-'5C1AJ_Athlos'!$R72</f>
        <v>0</v>
      </c>
      <c r="AG72" s="36">
        <f>-'5C1AK_NxtGen'!$R72</f>
        <v>0</v>
      </c>
      <c r="AH72" s="36">
        <f>-'5C1AL_Red River'!$R72</f>
        <v>0</v>
      </c>
      <c r="AI72" s="36">
        <f>-('5C2_LAVCA'!$R72+'5C2_LAVCA'!$S72)</f>
        <v>-87957</v>
      </c>
      <c r="AJ72" s="36">
        <f>-('5C3_UnvView'!$R72+'5C3_UnvView'!$S72)</f>
        <v>-162133</v>
      </c>
      <c r="AK72" s="36">
        <f>-Placeholder_Greater!$R72</f>
        <v>0</v>
      </c>
      <c r="AL72" s="35">
        <f>SUM(D72:AK72)</f>
        <v>-250090</v>
      </c>
      <c r="AM72" s="35">
        <f>SUM(C72:AK72)</f>
        <v>13170128</v>
      </c>
      <c r="AN72" s="35">
        <f>ROUND(AM72/'8_2.1.20 SIS'!C72,0)</f>
        <v>7228</v>
      </c>
      <c r="AO72" s="35">
        <f>'3B_Pay Raise'!O72</f>
        <v>297089</v>
      </c>
      <c r="AP72" s="37">
        <v>-7954</v>
      </c>
      <c r="AQ72" s="36">
        <f>IF(AP72&gt;0,AP72,0)</f>
        <v>0</v>
      </c>
      <c r="AR72" s="36">
        <f>IF(AP72&lt;0,AP72,0)</f>
        <v>-7954</v>
      </c>
      <c r="AS72" s="36">
        <v>101192</v>
      </c>
      <c r="AT72" s="36">
        <v>50596</v>
      </c>
      <c r="AU72" s="37">
        <f>SUM(AS72:AT72)</f>
        <v>151788</v>
      </c>
      <c r="AV72" s="35">
        <f>AM72+AO72+AP72+AU72</f>
        <v>13611051</v>
      </c>
      <c r="AW72" s="36">
        <f>'4_Level 4'!E72</f>
        <v>0</v>
      </c>
      <c r="AX72" s="36">
        <f>'4_Level 4'!Q72</f>
        <v>44250</v>
      </c>
      <c r="AY72" s="35">
        <f>ROUND(SUM(AV72:AX72),0)</f>
        <v>13655301</v>
      </c>
      <c r="AZ72" s="36">
        <v>9030088</v>
      </c>
      <c r="BA72" s="36">
        <f>AY72-AZ72</f>
        <v>4625213</v>
      </c>
      <c r="BB72" s="36">
        <f t="shared" si="18"/>
        <v>1156303</v>
      </c>
      <c r="BC72" s="36">
        <f>'4_Level 4'!J72</f>
        <v>0</v>
      </c>
      <c r="BD72" s="36">
        <f>'4_Level 4'!L72</f>
        <v>71577</v>
      </c>
      <c r="BE72" s="36">
        <f>'4_Level 4'!M72</f>
        <v>0</v>
      </c>
      <c r="BF72" s="35">
        <f>AY72+BC72+BD72+BE72</f>
        <v>13726878</v>
      </c>
    </row>
    <row r="73" spans="1:58" ht="15.6" customHeight="1" x14ac:dyDescent="0.2">
      <c r="A73" s="283">
        <v>67</v>
      </c>
      <c r="B73" s="284" t="s">
        <v>2</v>
      </c>
      <c r="C73" s="285">
        <f>'3_Levels 1&amp;2'!AP73</f>
        <v>33512776</v>
      </c>
      <c r="D73" s="285">
        <v>0</v>
      </c>
      <c r="E73" s="285">
        <f>-'5C1A_Madison'!$R73</f>
        <v>-38528</v>
      </c>
      <c r="F73" s="285">
        <f>-'5C1B_DArbonne'!$R73</f>
        <v>0</v>
      </c>
      <c r="G73" s="285">
        <f>-'5C1C_Intl High'!$R73</f>
        <v>0</v>
      </c>
      <c r="H73" s="285">
        <f>-'5C1D_NOMMA'!$R73</f>
        <v>0</v>
      </c>
      <c r="I73" s="285">
        <f>-'5C1E_LFNO'!$R73</f>
        <v>0</v>
      </c>
      <c r="J73" s="285">
        <f>-'5C1F_L.C. Charter'!$R73</f>
        <v>0</v>
      </c>
      <c r="K73" s="285">
        <f>-'5C1G_JS Clark'!$R73</f>
        <v>0</v>
      </c>
      <c r="L73" s="285">
        <f>-'5C1H_Southwest'!$R73</f>
        <v>0</v>
      </c>
      <c r="M73" s="285">
        <f>-'5C1I_LA Key'!$R73</f>
        <v>-77208</v>
      </c>
      <c r="N73" s="285">
        <f>-'5C1J_JCFA-East'!$R73</f>
        <v>0</v>
      </c>
      <c r="O73" s="285">
        <f>-'5C1M_GEO Mid'!$R73</f>
        <v>0</v>
      </c>
      <c r="P73" s="285">
        <f>-'5C1N_Delta'!$R73</f>
        <v>0</v>
      </c>
      <c r="Q73" s="285">
        <f>-'5C1O_Impact'!$R73</f>
        <v>-65759</v>
      </c>
      <c r="R73" s="285">
        <f>-'5C1Q_Advantage'!$R73</f>
        <v>-131817</v>
      </c>
      <c r="S73" s="285">
        <f>-'5C1R_Iberville'!$R73</f>
        <v>0</v>
      </c>
      <c r="T73" s="285">
        <f>-'5C1S_LC Col Prep'!$R73</f>
        <v>0</v>
      </c>
      <c r="U73" s="285">
        <f>-'5C1T_Northeast'!$R73</f>
        <v>0</v>
      </c>
      <c r="V73" s="285">
        <f>-'5C1U_Acadiana Ren'!$R73</f>
        <v>0</v>
      </c>
      <c r="W73" s="285">
        <f>-'5C1V_Laf Ren'!$R73</f>
        <v>0</v>
      </c>
      <c r="X73" s="285">
        <f>-'5C1W_Willow'!$R73</f>
        <v>0</v>
      </c>
      <c r="Y73" s="285">
        <f>-'5C1Y_GEO'!$R73</f>
        <v>-10539</v>
      </c>
      <c r="Z73" s="285">
        <f>-'5C1Z_Lincoln Prep'!$R73</f>
        <v>0</v>
      </c>
      <c r="AA73" s="285">
        <f>-'5C1AE_Noble Minds'!$R73</f>
        <v>0</v>
      </c>
      <c r="AB73" s="285">
        <f>-'5C1AF_JCFA-Laf'!$R73</f>
        <v>0</v>
      </c>
      <c r="AC73" s="285">
        <f>-'5C1AG_Collegiate'!$R73</f>
        <v>0</v>
      </c>
      <c r="AD73" s="285">
        <f>-'5C1AH_BRUP'!$R73</f>
        <v>-10079</v>
      </c>
      <c r="AE73" s="285">
        <f>-'5C1AI_Harmony'!$R73</f>
        <v>0</v>
      </c>
      <c r="AF73" s="285">
        <f>-'5C1AJ_Athlos'!$R73</f>
        <v>0</v>
      </c>
      <c r="AG73" s="285">
        <f>-'5C1AK_NxtGen'!$R73</f>
        <v>0</v>
      </c>
      <c r="AH73" s="285">
        <f>-'5C1AL_Red River'!$R73</f>
        <v>0</v>
      </c>
      <c r="AI73" s="285">
        <f>-('5C2_LAVCA'!$R73+'5C2_LAVCA'!$S73)</f>
        <v>-81526</v>
      </c>
      <c r="AJ73" s="285">
        <f>-('5C3_UnvView'!$R73+'5C3_UnvView'!$S73)</f>
        <v>-223213</v>
      </c>
      <c r="AK73" s="285">
        <f>-Placeholder_Greater!$R73</f>
        <v>0</v>
      </c>
      <c r="AL73" s="286">
        <f>SUM(D73:AK73)</f>
        <v>-638669</v>
      </c>
      <c r="AM73" s="286">
        <f>SUM(C73:AK73)</f>
        <v>32874107</v>
      </c>
      <c r="AN73" s="286">
        <f>ROUND(AM73/'8_2.1.20 SIS'!C73,0)</f>
        <v>6126</v>
      </c>
      <c r="AO73" s="286">
        <f>'3B_Pay Raise'!O73</f>
        <v>629646</v>
      </c>
      <c r="AP73" s="287">
        <v>6342</v>
      </c>
      <c r="AQ73" s="285">
        <f>IF(AP73&gt;0,AP73,0)</f>
        <v>6342</v>
      </c>
      <c r="AR73" s="285">
        <f>IF(AP73&lt;0,AP73,0)</f>
        <v>0</v>
      </c>
      <c r="AS73" s="285">
        <v>-434946</v>
      </c>
      <c r="AT73" s="285">
        <v>3063</v>
      </c>
      <c r="AU73" s="287">
        <f>SUM(AS73:AT73)</f>
        <v>-431883</v>
      </c>
      <c r="AV73" s="286">
        <f>AM73+AO73+AP73+AU73</f>
        <v>33078212</v>
      </c>
      <c r="AW73" s="285">
        <f>'4_Level 4'!E73</f>
        <v>0</v>
      </c>
      <c r="AX73" s="285">
        <f>'4_Level 4'!Q73</f>
        <v>144963</v>
      </c>
      <c r="AY73" s="286">
        <f>ROUND(SUM(AV73:AX73),0)</f>
        <v>33223175</v>
      </c>
      <c r="AZ73" s="285">
        <v>22295682</v>
      </c>
      <c r="BA73" s="285">
        <f>AY73-AZ73</f>
        <v>10927493</v>
      </c>
      <c r="BB73" s="285">
        <f t="shared" si="18"/>
        <v>2731873</v>
      </c>
      <c r="BC73" s="285">
        <f>'4_Level 4'!J73</f>
        <v>0</v>
      </c>
      <c r="BD73" s="285">
        <f>'4_Level 4'!L73</f>
        <v>88447</v>
      </c>
      <c r="BE73" s="285">
        <f>'4_Level 4'!M73</f>
        <v>0</v>
      </c>
      <c r="BF73" s="286">
        <f>AY73+BC73+BD73+BE73</f>
        <v>33311622</v>
      </c>
    </row>
    <row r="74" spans="1:58" ht="15.6" customHeight="1" x14ac:dyDescent="0.2">
      <c r="A74" s="283">
        <v>68</v>
      </c>
      <c r="B74" s="284" t="s">
        <v>1</v>
      </c>
      <c r="C74" s="285">
        <f>'3_Levels 1&amp;2'!AP74</f>
        <v>13095480</v>
      </c>
      <c r="D74" s="285">
        <v>0</v>
      </c>
      <c r="E74" s="285">
        <f>-'5C1A_Madison'!$R74</f>
        <v>-106299</v>
      </c>
      <c r="F74" s="285">
        <f>-'5C1B_DArbonne'!$R74</f>
        <v>0</v>
      </c>
      <c r="G74" s="285">
        <f>-'5C1C_Intl High'!$R74</f>
        <v>0</v>
      </c>
      <c r="H74" s="285">
        <f>-'5C1D_NOMMA'!$R74</f>
        <v>0</v>
      </c>
      <c r="I74" s="285">
        <f>-'5C1E_LFNO'!$R74</f>
        <v>0</v>
      </c>
      <c r="J74" s="285">
        <f>-'5C1F_L.C. Charter'!$R74</f>
        <v>0</v>
      </c>
      <c r="K74" s="285">
        <f>-'5C1G_JS Clark'!$R74</f>
        <v>0</v>
      </c>
      <c r="L74" s="285">
        <f>-'5C1H_Southwest'!$R74</f>
        <v>0</v>
      </c>
      <c r="M74" s="285">
        <f>-'5C1I_LA Key'!$R74</f>
        <v>-142473</v>
      </c>
      <c r="N74" s="285">
        <f>-'5C1J_JCFA-East'!$R74</f>
        <v>0</v>
      </c>
      <c r="O74" s="285">
        <f>-'5C1M_GEO Mid'!$R74</f>
        <v>-50384</v>
      </c>
      <c r="P74" s="285">
        <f>-'5C1N_Delta'!$R74</f>
        <v>0</v>
      </c>
      <c r="Q74" s="285">
        <f>-'5C1O_Impact'!$R74</f>
        <v>-1179067</v>
      </c>
      <c r="R74" s="285">
        <f>-'5C1Q_Advantage'!$R74</f>
        <v>-1747152</v>
      </c>
      <c r="S74" s="285">
        <f>-'5C1R_Iberville'!$R74</f>
        <v>0</v>
      </c>
      <c r="T74" s="285">
        <f>-'5C1S_LC Col Prep'!$R74</f>
        <v>0</v>
      </c>
      <c r="U74" s="285">
        <f>-'5C1T_Northeast'!$R74</f>
        <v>0</v>
      </c>
      <c r="V74" s="285">
        <f>-'5C1U_Acadiana Ren'!$R74</f>
        <v>0</v>
      </c>
      <c r="W74" s="285">
        <f>-'5C1V_Laf Ren'!$R74</f>
        <v>0</v>
      </c>
      <c r="X74" s="285">
        <f>-'5C1W_Willow'!$R74</f>
        <v>0</v>
      </c>
      <c r="Y74" s="285">
        <f>-'5C1Y_GEO'!$R74</f>
        <v>-160350</v>
      </c>
      <c r="Z74" s="285">
        <f>-'5C1Z_Lincoln Prep'!$R74</f>
        <v>0</v>
      </c>
      <c r="AA74" s="285">
        <f>-'5C1AE_Noble Minds'!$R74</f>
        <v>0</v>
      </c>
      <c r="AB74" s="285">
        <f>-'5C1AF_JCFA-Laf'!$R74</f>
        <v>0</v>
      </c>
      <c r="AC74" s="285">
        <f>-'5C1AG_Collegiate'!$R74</f>
        <v>-73190</v>
      </c>
      <c r="AD74" s="285">
        <f>-'5C1AH_BRUP'!$R74</f>
        <v>-67823</v>
      </c>
      <c r="AE74" s="285">
        <f>-'5C1AI_Harmony'!$R74</f>
        <v>0</v>
      </c>
      <c r="AF74" s="285">
        <f>-'5C1AJ_Athlos'!$R74</f>
        <v>0</v>
      </c>
      <c r="AG74" s="285">
        <f>-'5C1AK_NxtGen'!$R74</f>
        <v>-6363</v>
      </c>
      <c r="AH74" s="285">
        <f>-'5C1AL_Red River'!$R74</f>
        <v>0</v>
      </c>
      <c r="AI74" s="285">
        <f>-('5C2_LAVCA'!$R74+'5C2_LAVCA'!$S74)</f>
        <v>-36726</v>
      </c>
      <c r="AJ74" s="285">
        <f>-('5C3_UnvView'!$R74+'5C3_UnvView'!$S74)</f>
        <v>-90056</v>
      </c>
      <c r="AK74" s="285">
        <f>-Placeholder_Greater!$R74</f>
        <v>0</v>
      </c>
      <c r="AL74" s="286">
        <f>SUM(D74:AK74)</f>
        <v>-3659883</v>
      </c>
      <c r="AM74" s="286">
        <f>SUM(C74:AK74)</f>
        <v>9435597</v>
      </c>
      <c r="AN74" s="286">
        <f>ROUND(AM74/'8_2.1.20 SIS'!C74,0)</f>
        <v>7811</v>
      </c>
      <c r="AO74" s="286">
        <f>'3B_Pay Raise'!O74</f>
        <v>172176</v>
      </c>
      <c r="AP74" s="287">
        <v>-6195</v>
      </c>
      <c r="AQ74" s="285">
        <f>IF(AP74&gt;0,AP74,0)</f>
        <v>0</v>
      </c>
      <c r="AR74" s="285">
        <f>IF(AP74&lt;0,AP74,0)</f>
        <v>-6195</v>
      </c>
      <c r="AS74" s="285">
        <v>-757667</v>
      </c>
      <c r="AT74" s="285">
        <v>-117165</v>
      </c>
      <c r="AU74" s="287">
        <f>SUM(AS74:AT74)</f>
        <v>-874832</v>
      </c>
      <c r="AV74" s="286">
        <f>AM74+AO74+AP74+AU74</f>
        <v>8726746</v>
      </c>
      <c r="AW74" s="285">
        <f>'4_Level 4'!E74</f>
        <v>0</v>
      </c>
      <c r="AX74" s="285">
        <f>'4_Level 4'!Q74</f>
        <v>38173</v>
      </c>
      <c r="AY74" s="286">
        <f>ROUND(SUM(AV74:AX74),0)</f>
        <v>8764919</v>
      </c>
      <c r="AZ74" s="285">
        <v>6179994</v>
      </c>
      <c r="BA74" s="285">
        <f>AY74-AZ74</f>
        <v>2584925</v>
      </c>
      <c r="BB74" s="285">
        <f t="shared" si="18"/>
        <v>646231</v>
      </c>
      <c r="BC74" s="285">
        <f>'4_Level 4'!J74</f>
        <v>0</v>
      </c>
      <c r="BD74" s="285">
        <f>'4_Level 4'!L74</f>
        <v>25000</v>
      </c>
      <c r="BE74" s="285">
        <f>'4_Level 4'!M74</f>
        <v>14866</v>
      </c>
      <c r="BF74" s="286">
        <f>AY74+BC74+BD74+BE74</f>
        <v>8804785</v>
      </c>
    </row>
    <row r="75" spans="1:58" ht="15.6" customHeight="1" x14ac:dyDescent="0.2">
      <c r="A75" s="293">
        <v>69</v>
      </c>
      <c r="B75" s="294" t="s">
        <v>74</v>
      </c>
      <c r="C75" s="295">
        <f>'3_Levels 1&amp;2'!AP75</f>
        <v>32790864</v>
      </c>
      <c r="D75" s="296">
        <v>0</v>
      </c>
      <c r="E75" s="296">
        <f>-'5C1A_Madison'!$R75</f>
        <v>-29801</v>
      </c>
      <c r="F75" s="296">
        <f>-'5C1B_DArbonne'!$R75</f>
        <v>0</v>
      </c>
      <c r="G75" s="296">
        <f>-'5C1C_Intl High'!$R75</f>
        <v>0</v>
      </c>
      <c r="H75" s="296">
        <f>-'5C1D_NOMMA'!$R75</f>
        <v>0</v>
      </c>
      <c r="I75" s="296">
        <f>-'5C1E_LFNO'!$R75</f>
        <v>0</v>
      </c>
      <c r="J75" s="296">
        <f>-'5C1F_L.C. Charter'!$R75</f>
        <v>0</v>
      </c>
      <c r="K75" s="296">
        <f>-'5C1G_JS Clark'!$R75</f>
        <v>0</v>
      </c>
      <c r="L75" s="296">
        <f>-'5C1H_Southwest'!$R75</f>
        <v>0</v>
      </c>
      <c r="M75" s="296">
        <f>-'5C1I_LA Key'!$R75</f>
        <v>-157118</v>
      </c>
      <c r="N75" s="296">
        <f>-'5C1J_JCFA-East'!$R75</f>
        <v>0</v>
      </c>
      <c r="O75" s="296">
        <f>-'5C1M_GEO Mid'!$R75</f>
        <v>-35748</v>
      </c>
      <c r="P75" s="296">
        <f>-'5C1N_Delta'!$R75</f>
        <v>0</v>
      </c>
      <c r="Q75" s="296">
        <f>-'5C1O_Impact'!$R75</f>
        <v>-17789</v>
      </c>
      <c r="R75" s="296">
        <f>-'5C1Q_Advantage'!$R75</f>
        <v>-23605</v>
      </c>
      <c r="S75" s="296">
        <f>-'5C1R_Iberville'!$R75</f>
        <v>0</v>
      </c>
      <c r="T75" s="296">
        <f>-'5C1S_LC Col Prep'!$R75</f>
        <v>0</v>
      </c>
      <c r="U75" s="296">
        <f>-'5C1T_Northeast'!$R75</f>
        <v>0</v>
      </c>
      <c r="V75" s="296">
        <f>-'5C1U_Acadiana Ren'!$R75</f>
        <v>0</v>
      </c>
      <c r="W75" s="296">
        <f>-'5C1V_Laf Ren'!$R75</f>
        <v>0</v>
      </c>
      <c r="X75" s="296">
        <f>-'5C1W_Willow'!$R75</f>
        <v>0</v>
      </c>
      <c r="Y75" s="296">
        <f>-'5C1Y_GEO'!$R75</f>
        <v>-37016</v>
      </c>
      <c r="Z75" s="296">
        <f>-'5C1Z_Lincoln Prep'!$R75</f>
        <v>0</v>
      </c>
      <c r="AA75" s="532">
        <f>-'5C1AE_Noble Minds'!$R75</f>
        <v>0</v>
      </c>
      <c r="AB75" s="532">
        <f>-'5C1AF_JCFA-Laf'!$R75</f>
        <v>0</v>
      </c>
      <c r="AC75" s="532">
        <f>-'5C1AG_Collegiate'!$R75</f>
        <v>-12339</v>
      </c>
      <c r="AD75" s="532">
        <f>-'5C1AH_BRUP'!$R75</f>
        <v>0</v>
      </c>
      <c r="AE75" s="776">
        <f>-'5C1AI_Harmony'!$R75</f>
        <v>0</v>
      </c>
      <c r="AF75" s="776">
        <f>-'5C1AJ_Athlos'!$R75</f>
        <v>0</v>
      </c>
      <c r="AG75" s="776">
        <f>-'5C1AK_NxtGen'!$R75</f>
        <v>0</v>
      </c>
      <c r="AH75" s="776">
        <f>-'5C1AL_Red River'!$R75</f>
        <v>0</v>
      </c>
      <c r="AI75" s="296">
        <f>-('5C2_LAVCA'!$R75+'5C2_LAVCA'!$S75)</f>
        <v>-59804</v>
      </c>
      <c r="AJ75" s="296">
        <f>-('5C3_UnvView'!$R75+'5C3_UnvView'!$S75)</f>
        <v>-199039</v>
      </c>
      <c r="AK75" s="296">
        <f>-Placeholder_Greater!$R75</f>
        <v>0</v>
      </c>
      <c r="AL75" s="297">
        <f>SUM(D75:AK75)</f>
        <v>-572259</v>
      </c>
      <c r="AM75" s="297">
        <f>SUM(C75:AK75)</f>
        <v>32218605</v>
      </c>
      <c r="AN75" s="297">
        <f>ROUND(AM75/'8_2.1.20 SIS'!C75,0)</f>
        <v>6784</v>
      </c>
      <c r="AO75" s="954">
        <f>'3B_Pay Raise'!O75</f>
        <v>520247</v>
      </c>
      <c r="AP75" s="298">
        <v>0</v>
      </c>
      <c r="AQ75" s="295">
        <f>IF(AP75&gt;0,AP75,0)</f>
        <v>0</v>
      </c>
      <c r="AR75" s="295">
        <f>IF(AP75&lt;0,AP75,0)</f>
        <v>0</v>
      </c>
      <c r="AS75" s="296">
        <v>-237440</v>
      </c>
      <c r="AT75" s="296">
        <v>-33920</v>
      </c>
      <c r="AU75" s="299">
        <f>SUM(AS75:AT75)</f>
        <v>-271360</v>
      </c>
      <c r="AV75" s="297">
        <f>AM75+AO75+AP75+AU75</f>
        <v>32467492</v>
      </c>
      <c r="AW75" s="296">
        <f>'4_Level 4'!E75</f>
        <v>0</v>
      </c>
      <c r="AX75" s="296">
        <f>'4_Level 4'!Q75</f>
        <v>128502</v>
      </c>
      <c r="AY75" s="297">
        <f>ROUND(SUM(AV75:AX75),0)</f>
        <v>32595994</v>
      </c>
      <c r="AZ75" s="296">
        <v>21828442</v>
      </c>
      <c r="BA75" s="296">
        <f>AY75-AZ75</f>
        <v>10767552</v>
      </c>
      <c r="BB75" s="296">
        <f t="shared" si="18"/>
        <v>2691888</v>
      </c>
      <c r="BC75" s="296">
        <f>'4_Level 4'!J75</f>
        <v>0</v>
      </c>
      <c r="BD75" s="296">
        <f>'4_Level 4'!L75</f>
        <v>213767</v>
      </c>
      <c r="BE75" s="296">
        <f>'4_Level 4'!M75</f>
        <v>0</v>
      </c>
      <c r="BF75" s="297">
        <f>AY75+BC75+BD75+BE75</f>
        <v>32809761</v>
      </c>
    </row>
    <row r="76" spans="1:58" ht="15.6" customHeight="1" thickBot="1" x14ac:dyDescent="0.25">
      <c r="A76" s="452"/>
      <c r="B76" s="453" t="s">
        <v>69</v>
      </c>
      <c r="C76" s="454">
        <f t="shared" ref="C76:BF76" si="19">SUM(C7:C75)</f>
        <v>3676763345</v>
      </c>
      <c r="D76" s="454">
        <f t="shared" si="19"/>
        <v>-14225096</v>
      </c>
      <c r="E76" s="454">
        <f t="shared" si="19"/>
        <v>-2454998</v>
      </c>
      <c r="F76" s="454">
        <f t="shared" si="19"/>
        <v>-5954034</v>
      </c>
      <c r="G76" s="454">
        <f t="shared" si="19"/>
        <v>-1805683</v>
      </c>
      <c r="H76" s="454">
        <f t="shared" si="19"/>
        <v>-4398619</v>
      </c>
      <c r="I76" s="454">
        <f t="shared" si="19"/>
        <v>-3962533</v>
      </c>
      <c r="J76" s="454">
        <f t="shared" si="19"/>
        <v>-3914786</v>
      </c>
      <c r="K76" s="454">
        <f t="shared" si="19"/>
        <v>-1366061</v>
      </c>
      <c r="L76" s="454">
        <f t="shared" si="19"/>
        <v>-2894343</v>
      </c>
      <c r="M76" s="454">
        <f>SUM(M7:M75)</f>
        <v>-2386774</v>
      </c>
      <c r="N76" s="454">
        <f t="shared" si="19"/>
        <v>-1041940</v>
      </c>
      <c r="O76" s="454">
        <f t="shared" si="19"/>
        <v>-3044612</v>
      </c>
      <c r="P76" s="454">
        <f t="shared" si="19"/>
        <v>-2897158</v>
      </c>
      <c r="Q76" s="454">
        <f t="shared" si="19"/>
        <v>-2151086</v>
      </c>
      <c r="R76" s="454">
        <f t="shared" si="19"/>
        <v>-2812403</v>
      </c>
      <c r="S76" s="454">
        <f t="shared" si="19"/>
        <v>-1514530</v>
      </c>
      <c r="T76" s="454">
        <f t="shared" si="19"/>
        <v>-2107893</v>
      </c>
      <c r="U76" s="454">
        <f t="shared" si="19"/>
        <v>-1178533</v>
      </c>
      <c r="V76" s="454">
        <f t="shared" si="19"/>
        <v>-3884168</v>
      </c>
      <c r="W76" s="454">
        <f t="shared" si="19"/>
        <v>-4377675</v>
      </c>
      <c r="X76" s="454">
        <f t="shared" si="19"/>
        <v>-2772086</v>
      </c>
      <c r="Y76" s="454">
        <f t="shared" si="19"/>
        <v>-2925479</v>
      </c>
      <c r="Z76" s="454">
        <f t="shared" si="19"/>
        <v>-2659778</v>
      </c>
      <c r="AA76" s="454">
        <f t="shared" si="19"/>
        <v>-437832</v>
      </c>
      <c r="AB76" s="454">
        <f t="shared" si="19"/>
        <v>-319767</v>
      </c>
      <c r="AC76" s="454">
        <f t="shared" si="19"/>
        <v>-1819211</v>
      </c>
      <c r="AD76" s="533">
        <f t="shared" si="19"/>
        <v>-1550135</v>
      </c>
      <c r="AE76" s="533">
        <f t="shared" si="19"/>
        <v>-477248</v>
      </c>
      <c r="AF76" s="533">
        <f t="shared" si="19"/>
        <v>-5189695</v>
      </c>
      <c r="AG76" s="1081">
        <f>SUM(AG7:AG75)</f>
        <v>-379091</v>
      </c>
      <c r="AH76" s="1081">
        <f>SUM(AH7:AH75)</f>
        <v>-1078768</v>
      </c>
      <c r="AI76" s="454">
        <f>SUM(AI7:AI75)</f>
        <v>-10651695</v>
      </c>
      <c r="AJ76" s="454">
        <f t="shared" si="19"/>
        <v>-17738759</v>
      </c>
      <c r="AK76" s="454">
        <f>SUM(AK7:AK75)</f>
        <v>-263392</v>
      </c>
      <c r="AL76" s="455">
        <f t="shared" si="19"/>
        <v>-116635861</v>
      </c>
      <c r="AM76" s="455">
        <f t="shared" si="19"/>
        <v>3560127484</v>
      </c>
      <c r="AN76" s="455">
        <f>ROUND(AM76/'8_2.1.20 SIS'!C76,0)</f>
        <v>5417</v>
      </c>
      <c r="AO76" s="955">
        <f t="shared" si="19"/>
        <v>96117409</v>
      </c>
      <c r="AP76" s="456">
        <f t="shared" ref="AP76:AX76" si="20">SUM(AP7:AP75)</f>
        <v>-1744830</v>
      </c>
      <c r="AQ76" s="454">
        <f t="shared" si="20"/>
        <v>195113</v>
      </c>
      <c r="AR76" s="454">
        <f t="shared" si="20"/>
        <v>-1939943</v>
      </c>
      <c r="AS76" s="454">
        <f t="shared" si="20"/>
        <v>-73587472</v>
      </c>
      <c r="AT76" s="454">
        <f t="shared" si="20"/>
        <v>-6805944</v>
      </c>
      <c r="AU76" s="456">
        <f t="shared" si="20"/>
        <v>-80393416</v>
      </c>
      <c r="AV76" s="455">
        <f t="shared" si="20"/>
        <v>3574106647</v>
      </c>
      <c r="AW76" s="454">
        <f t="shared" si="20"/>
        <v>4515000</v>
      </c>
      <c r="AX76" s="454">
        <f t="shared" si="20"/>
        <v>17139028</v>
      </c>
      <c r="AY76" s="455">
        <f>SUM(AY7:AY75)</f>
        <v>3595760675</v>
      </c>
      <c r="AZ76" s="454">
        <f t="shared" si="19"/>
        <v>2426192666</v>
      </c>
      <c r="BA76" s="454">
        <f t="shared" si="19"/>
        <v>1169568009</v>
      </c>
      <c r="BB76" s="454">
        <f t="shared" si="19"/>
        <v>292392011</v>
      </c>
      <c r="BC76" s="454">
        <f t="shared" si="19"/>
        <v>246000</v>
      </c>
      <c r="BD76" s="454">
        <f>SUM(BD7:BD75)</f>
        <v>20391644</v>
      </c>
      <c r="BE76" s="454">
        <f t="shared" si="19"/>
        <v>11624862</v>
      </c>
      <c r="BF76" s="455">
        <f t="shared" si="19"/>
        <v>3628023181</v>
      </c>
    </row>
    <row r="77" spans="1:58" ht="13.5" thickTop="1" x14ac:dyDescent="0.2">
      <c r="BB77" s="33">
        <v>4</v>
      </c>
    </row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1">
    <mergeCell ref="I1:O1"/>
    <mergeCell ref="D1:H1"/>
    <mergeCell ref="A1:B2"/>
    <mergeCell ref="C1:C2"/>
    <mergeCell ref="AM1:AM2"/>
    <mergeCell ref="P1:U1"/>
    <mergeCell ref="AN1:AN2"/>
    <mergeCell ref="AO1:AO2"/>
    <mergeCell ref="AI1:AL1"/>
    <mergeCell ref="AC1:AH1"/>
    <mergeCell ref="V1:AB1"/>
    <mergeCell ref="AZ1:AZ2"/>
    <mergeCell ref="BA1:BA2"/>
    <mergeCell ref="BB1:BB2"/>
    <mergeCell ref="BF1:BF2"/>
    <mergeCell ref="BC1:BE1"/>
    <mergeCell ref="AY1:AY2"/>
    <mergeCell ref="AP1:AR1"/>
    <mergeCell ref="AW1:AX1"/>
    <mergeCell ref="AS1:AU1"/>
    <mergeCell ref="AV1:AV2"/>
  </mergeCells>
  <phoneticPr fontId="42" type="noConversion"/>
  <printOptions horizontalCentered="1"/>
  <pageMargins left="0.35" right="0.35" top="1.05" bottom="0.5" header="0.5" footer="0.25"/>
  <pageSetup paperSize="5" scale="73" firstPageNumber="3" fitToWidth="0" fitToHeight="0" orientation="portrait" r:id="rId2"/>
  <headerFooter alignWithMargins="0">
    <oddHeader>&amp;L&amp;"Arial,Bold"&amp;18&amp;K000000Table 2: FY2020-21 Budget Letter
MFP Distribution and Adjustments</oddHeader>
    <oddFooter>&amp;R&amp;P</oddFooter>
  </headerFooter>
  <colBreaks count="8" manualBreakCount="8">
    <brk id="8" max="75" man="1"/>
    <brk id="15" max="1048575" man="1"/>
    <brk id="21" max="75" man="1"/>
    <brk id="28" max="1048575" man="1"/>
    <brk id="34" max="75" man="1"/>
    <brk id="41" max="75" man="1"/>
    <brk id="48" max="1048575" man="1"/>
    <brk id="5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59" t="s">
        <v>462</v>
      </c>
      <c r="B1" s="1459"/>
      <c r="C1" s="1454" t="s">
        <v>291</v>
      </c>
      <c r="D1" s="1455"/>
      <c r="E1" s="1455"/>
      <c r="F1" s="1455"/>
      <c r="G1" s="1455"/>
      <c r="H1" s="1455"/>
      <c r="I1" s="1455"/>
      <c r="J1" s="1455"/>
      <c r="K1" s="1456"/>
      <c r="L1" s="1454" t="s">
        <v>291</v>
      </c>
      <c r="M1" s="1455"/>
      <c r="N1" s="1455"/>
      <c r="O1" s="1455"/>
      <c r="P1" s="1455"/>
      <c r="Q1" s="1455"/>
      <c r="R1" s="1456"/>
    </row>
    <row r="2" spans="1:18" s="389" customFormat="1" ht="17.45" customHeight="1" x14ac:dyDescent="0.2">
      <c r="A2" s="1459"/>
      <c r="B2" s="1459"/>
      <c r="C2" s="28"/>
      <c r="D2" s="29"/>
      <c r="E2" s="29"/>
      <c r="F2" s="29"/>
      <c r="G2" s="29"/>
      <c r="H2" s="29"/>
      <c r="I2" s="1460" t="s">
        <v>223</v>
      </c>
      <c r="J2" s="1461"/>
      <c r="K2" s="1462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59"/>
      <c r="B3" s="1459"/>
      <c r="C3" s="176" t="s">
        <v>1350</v>
      </c>
      <c r="D3" s="175" t="s">
        <v>463</v>
      </c>
      <c r="E3" s="175" t="s">
        <v>464</v>
      </c>
      <c r="F3" s="175" t="s">
        <v>1351</v>
      </c>
      <c r="G3" s="175" t="s">
        <v>289</v>
      </c>
      <c r="H3" s="175" t="s">
        <v>1152</v>
      </c>
      <c r="I3" s="25" t="s">
        <v>1290</v>
      </c>
      <c r="J3" s="25" t="s">
        <v>1291</v>
      </c>
      <c r="K3" s="25" t="s">
        <v>224</v>
      </c>
      <c r="L3" s="175" t="s">
        <v>465</v>
      </c>
      <c r="M3" s="1140" t="s">
        <v>1352</v>
      </c>
      <c r="N3" s="27" t="s">
        <v>919</v>
      </c>
      <c r="O3" s="27" t="s">
        <v>1354</v>
      </c>
      <c r="P3" s="27" t="s">
        <v>258</v>
      </c>
      <c r="Q3" s="27" t="s">
        <v>1355</v>
      </c>
      <c r="R3" s="27" t="s">
        <v>920</v>
      </c>
    </row>
    <row r="4" spans="1:18" ht="14.25" customHeight="1" x14ac:dyDescent="0.2">
      <c r="A4" s="390"/>
      <c r="B4" s="391"/>
      <c r="C4" s="392">
        <v>1</v>
      </c>
      <c r="D4" s="392">
        <f>C4+1</f>
        <v>2</v>
      </c>
      <c r="E4" s="392">
        <f>D4+1</f>
        <v>3</v>
      </c>
      <c r="F4" s="392">
        <f t="shared" ref="F4:L4" si="0">E4+1</f>
        <v>4</v>
      </c>
      <c r="G4" s="392">
        <f t="shared" si="0"/>
        <v>5</v>
      </c>
      <c r="H4" s="392">
        <f t="shared" si="0"/>
        <v>6</v>
      </c>
      <c r="I4" s="392">
        <f t="shared" si="0"/>
        <v>7</v>
      </c>
      <c r="J4" s="392">
        <f t="shared" si="0"/>
        <v>8</v>
      </c>
      <c r="K4" s="392">
        <f t="shared" si="0"/>
        <v>9</v>
      </c>
      <c r="L4" s="392">
        <f t="shared" si="0"/>
        <v>10</v>
      </c>
      <c r="M4" s="392">
        <f t="shared" ref="M4:R4" si="1">L4+1</f>
        <v>11</v>
      </c>
      <c r="N4" s="392">
        <f t="shared" si="1"/>
        <v>12</v>
      </c>
      <c r="O4" s="392">
        <f t="shared" si="1"/>
        <v>13</v>
      </c>
      <c r="P4" s="392">
        <f t="shared" si="1"/>
        <v>14</v>
      </c>
      <c r="Q4" s="392">
        <f t="shared" si="1"/>
        <v>15</v>
      </c>
      <c r="R4" s="392">
        <f t="shared" si="1"/>
        <v>16</v>
      </c>
    </row>
    <row r="5" spans="1:18" s="438" customFormat="1" ht="27.75" customHeight="1" x14ac:dyDescent="0.2">
      <c r="A5" s="655"/>
      <c r="B5" s="655"/>
      <c r="C5" s="538" t="s">
        <v>760</v>
      </c>
      <c r="D5" s="538" t="s">
        <v>1153</v>
      </c>
      <c r="E5" s="538" t="s">
        <v>761</v>
      </c>
      <c r="F5" s="538" t="s">
        <v>681</v>
      </c>
      <c r="G5" s="538" t="s">
        <v>656</v>
      </c>
      <c r="H5" s="538" t="s">
        <v>1221</v>
      </c>
      <c r="I5" s="538" t="s">
        <v>889</v>
      </c>
      <c r="J5" s="538" t="s">
        <v>890</v>
      </c>
      <c r="K5" s="538" t="s">
        <v>762</v>
      </c>
      <c r="L5" s="538" t="s">
        <v>763</v>
      </c>
      <c r="M5" s="541" t="s">
        <v>765</v>
      </c>
      <c r="N5" s="538" t="s">
        <v>1209</v>
      </c>
      <c r="O5" s="538" t="s">
        <v>922</v>
      </c>
      <c r="P5" s="538" t="s">
        <v>788</v>
      </c>
      <c r="Q5" s="538" t="s">
        <v>921</v>
      </c>
      <c r="R5" s="538" t="s">
        <v>1210</v>
      </c>
    </row>
    <row r="6" spans="1:18" s="438" customFormat="1" ht="22.5" hidden="1" x14ac:dyDescent="0.2">
      <c r="A6" s="656"/>
      <c r="B6" s="656"/>
      <c r="C6" s="541" t="s">
        <v>554</v>
      </c>
      <c r="D6" s="541" t="s">
        <v>554</v>
      </c>
      <c r="E6" s="541" t="s">
        <v>555</v>
      </c>
      <c r="F6" s="541" t="s">
        <v>789</v>
      </c>
      <c r="G6" s="541" t="s">
        <v>555</v>
      </c>
      <c r="H6" s="541" t="s">
        <v>555</v>
      </c>
      <c r="I6" s="541" t="s">
        <v>764</v>
      </c>
      <c r="J6" s="541" t="s">
        <v>764</v>
      </c>
      <c r="K6" s="541" t="s">
        <v>555</v>
      </c>
      <c r="L6" s="541" t="s">
        <v>555</v>
      </c>
      <c r="M6" s="541" t="s">
        <v>765</v>
      </c>
      <c r="N6" s="541" t="s">
        <v>782</v>
      </c>
      <c r="O6" s="541" t="s">
        <v>790</v>
      </c>
      <c r="P6" s="541" t="s">
        <v>555</v>
      </c>
      <c r="Q6" s="541" t="s">
        <v>555</v>
      </c>
      <c r="R6" s="541" t="s">
        <v>783</v>
      </c>
    </row>
    <row r="7" spans="1:18" ht="15.6" customHeight="1" x14ac:dyDescent="0.2">
      <c r="A7" s="334">
        <v>1</v>
      </c>
      <c r="B7" s="115" t="s">
        <v>4</v>
      </c>
      <c r="C7" s="335">
        <f>'8_2.1.20 SIS'!BF7</f>
        <v>5</v>
      </c>
      <c r="D7" s="336">
        <f>'9_Per Pupil Summary'!Q7</f>
        <v>7707.2262298558107</v>
      </c>
      <c r="E7" s="337">
        <f>C7*D7</f>
        <v>38536.131149279056</v>
      </c>
      <c r="F7" s="337">
        <f>'9_Per Pupil Summary'!G7</f>
        <v>777.48</v>
      </c>
      <c r="G7" s="337">
        <f>C7*F7</f>
        <v>3887.4</v>
      </c>
      <c r="H7" s="338">
        <f>ROUND(E7+G7,0)</f>
        <v>42424</v>
      </c>
      <c r="I7" s="117">
        <v>-8485</v>
      </c>
      <c r="J7" s="117">
        <v>-4242</v>
      </c>
      <c r="K7" s="121">
        <f t="shared" ref="K7:K38" si="2">I7+J7</f>
        <v>-12727</v>
      </c>
      <c r="L7" s="338">
        <f t="shared" ref="L7:L70" si="3">K7+H7</f>
        <v>29697</v>
      </c>
      <c r="M7" s="336">
        <v>0</v>
      </c>
      <c r="N7" s="120">
        <f>ROUND(SUM(L7:M7),0)</f>
        <v>29697</v>
      </c>
      <c r="O7" s="117">
        <v>25454</v>
      </c>
      <c r="P7" s="117">
        <f>N7-O7</f>
        <v>4243</v>
      </c>
      <c r="Q7" s="120">
        <f t="shared" ref="Q7:Q38" si="4">ROUND(P7/$Q$86,0)</f>
        <v>1061</v>
      </c>
      <c r="R7" s="122">
        <f t="shared" ref="R7:R38" si="5">N7</f>
        <v>29697</v>
      </c>
    </row>
    <row r="8" spans="1:18" ht="15.6" customHeight="1" x14ac:dyDescent="0.2">
      <c r="A8" s="339">
        <v>2</v>
      </c>
      <c r="B8" s="133" t="s">
        <v>5</v>
      </c>
      <c r="C8" s="340">
        <f>'8_2.1.20 SIS'!BF8</f>
        <v>1</v>
      </c>
      <c r="D8" s="341">
        <f>'9_Per Pupil Summary'!Q8</f>
        <v>9356.0454218393716</v>
      </c>
      <c r="E8" s="342">
        <f t="shared" ref="E8:E71" si="6">C8*D8</f>
        <v>9356.0454218393716</v>
      </c>
      <c r="F8" s="342">
        <f>'9_Per Pupil Summary'!G8</f>
        <v>842.32</v>
      </c>
      <c r="G8" s="342">
        <f t="shared" ref="G8:G71" si="7">C8*F8</f>
        <v>842.32</v>
      </c>
      <c r="H8" s="343">
        <f t="shared" ref="H8:H71" si="8">ROUND(E8+G8,0)</f>
        <v>10198</v>
      </c>
      <c r="I8" s="135">
        <v>10198</v>
      </c>
      <c r="J8" s="135">
        <v>0</v>
      </c>
      <c r="K8" s="139">
        <f t="shared" si="2"/>
        <v>10198</v>
      </c>
      <c r="L8" s="343">
        <f t="shared" si="3"/>
        <v>20396</v>
      </c>
      <c r="M8" s="341">
        <v>0</v>
      </c>
      <c r="N8" s="138">
        <f t="shared" ref="N8:N71" si="9">ROUND(SUM(L8:M8),0)</f>
        <v>20396</v>
      </c>
      <c r="O8" s="135">
        <v>10198</v>
      </c>
      <c r="P8" s="135">
        <f t="shared" ref="P8:P71" si="10">N8-O8</f>
        <v>10198</v>
      </c>
      <c r="Q8" s="138">
        <f t="shared" si="4"/>
        <v>2550</v>
      </c>
      <c r="R8" s="138">
        <f t="shared" si="5"/>
        <v>20396</v>
      </c>
    </row>
    <row r="9" spans="1:18" ht="15.6" customHeight="1" x14ac:dyDescent="0.2">
      <c r="A9" s="339">
        <v>3</v>
      </c>
      <c r="B9" s="133" t="s">
        <v>6</v>
      </c>
      <c r="C9" s="340">
        <f>'8_2.1.20 SIS'!BF9</f>
        <v>11</v>
      </c>
      <c r="D9" s="341">
        <f>'9_Per Pupil Summary'!Q9</f>
        <v>7938.0538340965122</v>
      </c>
      <c r="E9" s="342">
        <f t="shared" si="6"/>
        <v>87318.59217506164</v>
      </c>
      <c r="F9" s="342">
        <f>'9_Per Pupil Summary'!G9</f>
        <v>596.84</v>
      </c>
      <c r="G9" s="342">
        <f t="shared" si="7"/>
        <v>6565.2400000000007</v>
      </c>
      <c r="H9" s="343">
        <f t="shared" si="8"/>
        <v>93884</v>
      </c>
      <c r="I9" s="135">
        <v>-25605</v>
      </c>
      <c r="J9" s="135">
        <v>0</v>
      </c>
      <c r="K9" s="139">
        <f t="shared" si="2"/>
        <v>-25605</v>
      </c>
      <c r="L9" s="343">
        <f t="shared" si="3"/>
        <v>68279</v>
      </c>
      <c r="M9" s="341">
        <v>0</v>
      </c>
      <c r="N9" s="138">
        <f t="shared" si="9"/>
        <v>68279</v>
      </c>
      <c r="O9" s="135">
        <v>54056</v>
      </c>
      <c r="P9" s="135">
        <f t="shared" si="10"/>
        <v>14223</v>
      </c>
      <c r="Q9" s="138">
        <f t="shared" si="4"/>
        <v>3556</v>
      </c>
      <c r="R9" s="138">
        <f t="shared" si="5"/>
        <v>68279</v>
      </c>
    </row>
    <row r="10" spans="1:18" ht="15.6" customHeight="1" x14ac:dyDescent="0.2">
      <c r="A10" s="339">
        <v>4</v>
      </c>
      <c r="B10" s="133" t="s">
        <v>7</v>
      </c>
      <c r="C10" s="340">
        <f>'8_2.1.20 SIS'!BF10</f>
        <v>2</v>
      </c>
      <c r="D10" s="341">
        <f>'9_Per Pupil Summary'!Q10</f>
        <v>9653.4789774583478</v>
      </c>
      <c r="E10" s="342">
        <f t="shared" si="6"/>
        <v>19306.957954916696</v>
      </c>
      <c r="F10" s="342">
        <f>'9_Per Pupil Summary'!G10</f>
        <v>585.76</v>
      </c>
      <c r="G10" s="342">
        <f t="shared" si="7"/>
        <v>1171.52</v>
      </c>
      <c r="H10" s="343">
        <f t="shared" si="8"/>
        <v>20478</v>
      </c>
      <c r="I10" s="135">
        <v>-10239</v>
      </c>
      <c r="J10" s="135">
        <v>0</v>
      </c>
      <c r="K10" s="139">
        <f t="shared" si="2"/>
        <v>-10239</v>
      </c>
      <c r="L10" s="343">
        <f t="shared" si="3"/>
        <v>10239</v>
      </c>
      <c r="M10" s="341">
        <v>0</v>
      </c>
      <c r="N10" s="138">
        <f t="shared" si="9"/>
        <v>10239</v>
      </c>
      <c r="O10" s="135">
        <v>10240</v>
      </c>
      <c r="P10" s="135">
        <f t="shared" si="10"/>
        <v>-1</v>
      </c>
      <c r="Q10" s="138">
        <f t="shared" si="4"/>
        <v>0</v>
      </c>
      <c r="R10" s="138">
        <f t="shared" si="5"/>
        <v>10239</v>
      </c>
    </row>
    <row r="11" spans="1:18" ht="15.6" customHeight="1" x14ac:dyDescent="0.2">
      <c r="A11" s="344">
        <v>5</v>
      </c>
      <c r="B11" s="147" t="s">
        <v>8</v>
      </c>
      <c r="C11" s="345">
        <f>'8_2.1.20 SIS'!BF11</f>
        <v>3</v>
      </c>
      <c r="D11" s="346">
        <f>'9_Per Pupil Summary'!Q11</f>
        <v>7936.2487599148772</v>
      </c>
      <c r="E11" s="347">
        <f t="shared" si="6"/>
        <v>23808.746279744631</v>
      </c>
      <c r="F11" s="347">
        <f>'9_Per Pupil Summary'!G11</f>
        <v>555.91</v>
      </c>
      <c r="G11" s="347">
        <f t="shared" si="7"/>
        <v>1667.73</v>
      </c>
      <c r="H11" s="348">
        <f t="shared" si="8"/>
        <v>25476</v>
      </c>
      <c r="I11" s="149">
        <v>-16984</v>
      </c>
      <c r="J11" s="149">
        <v>0</v>
      </c>
      <c r="K11" s="153">
        <f t="shared" si="2"/>
        <v>-16984</v>
      </c>
      <c r="L11" s="348">
        <f t="shared" si="3"/>
        <v>8492</v>
      </c>
      <c r="M11" s="346">
        <v>0</v>
      </c>
      <c r="N11" s="152">
        <f t="shared" si="9"/>
        <v>8492</v>
      </c>
      <c r="O11" s="155">
        <v>11322</v>
      </c>
      <c r="P11" s="149">
        <f t="shared" si="10"/>
        <v>-2830</v>
      </c>
      <c r="Q11" s="156">
        <f t="shared" si="4"/>
        <v>-708</v>
      </c>
      <c r="R11" s="152">
        <f t="shared" si="5"/>
        <v>8492</v>
      </c>
    </row>
    <row r="12" spans="1:18" ht="15.6" customHeight="1" x14ac:dyDescent="0.2">
      <c r="A12" s="334">
        <v>6</v>
      </c>
      <c r="B12" s="115" t="s">
        <v>9</v>
      </c>
      <c r="C12" s="335">
        <f>'8_2.1.20 SIS'!BF12</f>
        <v>1</v>
      </c>
      <c r="D12" s="336">
        <f>'9_Per Pupil Summary'!Q12</f>
        <v>9188.0273811581683</v>
      </c>
      <c r="E12" s="337">
        <f t="shared" si="6"/>
        <v>9188.0273811581683</v>
      </c>
      <c r="F12" s="337">
        <f>'9_Per Pupil Summary'!G12</f>
        <v>545.4799999999999</v>
      </c>
      <c r="G12" s="337">
        <f t="shared" si="7"/>
        <v>545.4799999999999</v>
      </c>
      <c r="H12" s="338">
        <f t="shared" si="8"/>
        <v>9734</v>
      </c>
      <c r="I12" s="117">
        <v>19467</v>
      </c>
      <c r="J12" s="117">
        <v>0</v>
      </c>
      <c r="K12" s="121">
        <f t="shared" si="2"/>
        <v>19467</v>
      </c>
      <c r="L12" s="338">
        <f t="shared" si="3"/>
        <v>29201</v>
      </c>
      <c r="M12" s="336">
        <v>0</v>
      </c>
      <c r="N12" s="120">
        <f t="shared" si="9"/>
        <v>29201</v>
      </c>
      <c r="O12" s="117">
        <v>12978</v>
      </c>
      <c r="P12" s="117">
        <f t="shared" si="10"/>
        <v>16223</v>
      </c>
      <c r="Q12" s="120">
        <f t="shared" si="4"/>
        <v>4056</v>
      </c>
      <c r="R12" s="122">
        <f t="shared" si="5"/>
        <v>29201</v>
      </c>
    </row>
    <row r="13" spans="1:18" ht="15.6" customHeight="1" x14ac:dyDescent="0.2">
      <c r="A13" s="339">
        <v>7</v>
      </c>
      <c r="B13" s="133" t="s">
        <v>10</v>
      </c>
      <c r="C13" s="340">
        <f>'8_2.1.20 SIS'!BF13</f>
        <v>1</v>
      </c>
      <c r="D13" s="341">
        <f>'9_Per Pupil Summary'!Q13</f>
        <v>8796.4858501440922</v>
      </c>
      <c r="E13" s="342">
        <f t="shared" si="6"/>
        <v>8796.4858501440922</v>
      </c>
      <c r="F13" s="342">
        <f>'9_Per Pupil Summary'!G13</f>
        <v>756.91999999999985</v>
      </c>
      <c r="G13" s="342">
        <f t="shared" si="7"/>
        <v>756.91999999999985</v>
      </c>
      <c r="H13" s="343">
        <f t="shared" si="8"/>
        <v>9553</v>
      </c>
      <c r="I13" s="135">
        <v>0</v>
      </c>
      <c r="J13" s="135">
        <v>0</v>
      </c>
      <c r="K13" s="139">
        <f t="shared" si="2"/>
        <v>0</v>
      </c>
      <c r="L13" s="343">
        <f t="shared" si="3"/>
        <v>9553</v>
      </c>
      <c r="M13" s="341">
        <v>0</v>
      </c>
      <c r="N13" s="138">
        <f t="shared" si="9"/>
        <v>9553</v>
      </c>
      <c r="O13" s="135">
        <v>6368</v>
      </c>
      <c r="P13" s="135">
        <f t="shared" si="10"/>
        <v>3185</v>
      </c>
      <c r="Q13" s="138">
        <f t="shared" si="4"/>
        <v>796</v>
      </c>
      <c r="R13" s="138">
        <f t="shared" si="5"/>
        <v>9553</v>
      </c>
    </row>
    <row r="14" spans="1:18" ht="15.6" customHeight="1" x14ac:dyDescent="0.2">
      <c r="A14" s="339">
        <v>8</v>
      </c>
      <c r="B14" s="133" t="s">
        <v>11</v>
      </c>
      <c r="C14" s="340">
        <f>'8_2.1.20 SIS'!BF14</f>
        <v>10</v>
      </c>
      <c r="D14" s="341">
        <f>'9_Per Pupil Summary'!Q14</f>
        <v>8674.633902471729</v>
      </c>
      <c r="E14" s="342">
        <f t="shared" si="6"/>
        <v>86746.339024717294</v>
      </c>
      <c r="F14" s="342">
        <f>'9_Per Pupil Summary'!G14</f>
        <v>725.76</v>
      </c>
      <c r="G14" s="342">
        <f t="shared" si="7"/>
        <v>7257.6</v>
      </c>
      <c r="H14" s="343">
        <f t="shared" si="8"/>
        <v>94004</v>
      </c>
      <c r="I14" s="135">
        <v>18801</v>
      </c>
      <c r="J14" s="135">
        <v>-4700</v>
      </c>
      <c r="K14" s="139">
        <f t="shared" si="2"/>
        <v>14101</v>
      </c>
      <c r="L14" s="343">
        <f t="shared" si="3"/>
        <v>108105</v>
      </c>
      <c r="M14" s="341">
        <v>0</v>
      </c>
      <c r="N14" s="138">
        <f t="shared" si="9"/>
        <v>108105</v>
      </c>
      <c r="O14" s="135">
        <v>68938</v>
      </c>
      <c r="P14" s="135">
        <f t="shared" si="10"/>
        <v>39167</v>
      </c>
      <c r="Q14" s="138">
        <f t="shared" si="4"/>
        <v>9792</v>
      </c>
      <c r="R14" s="138">
        <f t="shared" si="5"/>
        <v>108105</v>
      </c>
    </row>
    <row r="15" spans="1:18" ht="15.6" customHeight="1" x14ac:dyDescent="0.2">
      <c r="A15" s="339">
        <v>9</v>
      </c>
      <c r="B15" s="133" t="s">
        <v>12</v>
      </c>
      <c r="C15" s="340">
        <f>'8_2.1.20 SIS'!BF15</f>
        <v>12</v>
      </c>
      <c r="D15" s="341">
        <f>'9_Per Pupil Summary'!Q15</f>
        <v>8478.9234188034188</v>
      </c>
      <c r="E15" s="342">
        <f t="shared" si="6"/>
        <v>101747.08102564103</v>
      </c>
      <c r="F15" s="342">
        <f>'9_Per Pupil Summary'!G15</f>
        <v>744.76</v>
      </c>
      <c r="G15" s="342">
        <f t="shared" si="7"/>
        <v>8937.119999999999</v>
      </c>
      <c r="H15" s="343">
        <f t="shared" si="8"/>
        <v>110684</v>
      </c>
      <c r="I15" s="135">
        <v>-64566</v>
      </c>
      <c r="J15" s="135">
        <v>0</v>
      </c>
      <c r="K15" s="139">
        <f t="shared" si="2"/>
        <v>-64566</v>
      </c>
      <c r="L15" s="343">
        <f t="shared" si="3"/>
        <v>46118</v>
      </c>
      <c r="M15" s="341">
        <v>0</v>
      </c>
      <c r="N15" s="138">
        <f t="shared" si="9"/>
        <v>46118</v>
      </c>
      <c r="O15" s="135">
        <v>52268</v>
      </c>
      <c r="P15" s="135">
        <f t="shared" si="10"/>
        <v>-6150</v>
      </c>
      <c r="Q15" s="138">
        <f t="shared" si="4"/>
        <v>-1538</v>
      </c>
      <c r="R15" s="138">
        <f t="shared" si="5"/>
        <v>46118</v>
      </c>
    </row>
    <row r="16" spans="1:18" ht="15.6" customHeight="1" x14ac:dyDescent="0.2">
      <c r="A16" s="344">
        <v>10</v>
      </c>
      <c r="B16" s="147" t="s">
        <v>13</v>
      </c>
      <c r="C16" s="345">
        <f>'8_2.1.20 SIS'!BF16</f>
        <v>30</v>
      </c>
      <c r="D16" s="346">
        <f>'9_Per Pupil Summary'!Q16</f>
        <v>8287.2261089886597</v>
      </c>
      <c r="E16" s="347">
        <f t="shared" si="6"/>
        <v>248616.78326965979</v>
      </c>
      <c r="F16" s="347">
        <f>'9_Per Pupil Summary'!G16</f>
        <v>608.04000000000008</v>
      </c>
      <c r="G16" s="347">
        <f t="shared" si="7"/>
        <v>18241.2</v>
      </c>
      <c r="H16" s="348">
        <f t="shared" si="8"/>
        <v>266858</v>
      </c>
      <c r="I16" s="149">
        <v>62267</v>
      </c>
      <c r="J16" s="149">
        <v>-8895</v>
      </c>
      <c r="K16" s="153">
        <f t="shared" si="2"/>
        <v>53372</v>
      </c>
      <c r="L16" s="348">
        <f t="shared" si="3"/>
        <v>320230</v>
      </c>
      <c r="M16" s="346">
        <v>0</v>
      </c>
      <c r="N16" s="152">
        <f t="shared" si="9"/>
        <v>320230</v>
      </c>
      <c r="O16" s="155">
        <v>198660</v>
      </c>
      <c r="P16" s="149">
        <f t="shared" si="10"/>
        <v>121570</v>
      </c>
      <c r="Q16" s="156">
        <f t="shared" si="4"/>
        <v>30393</v>
      </c>
      <c r="R16" s="152">
        <f t="shared" si="5"/>
        <v>320230</v>
      </c>
    </row>
    <row r="17" spans="1:18" ht="15.6" customHeight="1" x14ac:dyDescent="0.2">
      <c r="A17" s="334">
        <v>11</v>
      </c>
      <c r="B17" s="115" t="s">
        <v>14</v>
      </c>
      <c r="C17" s="335">
        <f>'8_2.1.20 SIS'!BF17</f>
        <v>1</v>
      </c>
      <c r="D17" s="336">
        <f>'9_Per Pupil Summary'!Q17</f>
        <v>10590.871262135923</v>
      </c>
      <c r="E17" s="337">
        <f t="shared" si="6"/>
        <v>10590.871262135923</v>
      </c>
      <c r="F17" s="337">
        <f>'9_Per Pupil Summary'!G17</f>
        <v>706.55</v>
      </c>
      <c r="G17" s="337">
        <f t="shared" si="7"/>
        <v>706.55</v>
      </c>
      <c r="H17" s="338">
        <f t="shared" si="8"/>
        <v>11297</v>
      </c>
      <c r="I17" s="117">
        <v>11297</v>
      </c>
      <c r="J17" s="117">
        <v>0</v>
      </c>
      <c r="K17" s="121">
        <f t="shared" si="2"/>
        <v>11297</v>
      </c>
      <c r="L17" s="338">
        <f t="shared" si="3"/>
        <v>22594</v>
      </c>
      <c r="M17" s="336">
        <v>0</v>
      </c>
      <c r="N17" s="120">
        <f t="shared" si="9"/>
        <v>22594</v>
      </c>
      <c r="O17" s="117">
        <v>11296</v>
      </c>
      <c r="P17" s="117">
        <f t="shared" si="10"/>
        <v>11298</v>
      </c>
      <c r="Q17" s="120">
        <f t="shared" si="4"/>
        <v>2825</v>
      </c>
      <c r="R17" s="122">
        <f t="shared" si="5"/>
        <v>22594</v>
      </c>
    </row>
    <row r="18" spans="1:18" ht="15.6" customHeight="1" x14ac:dyDescent="0.2">
      <c r="A18" s="339">
        <v>12</v>
      </c>
      <c r="B18" s="133" t="s">
        <v>15</v>
      </c>
      <c r="C18" s="340">
        <f>'8_2.1.20 SIS'!BF18</f>
        <v>0</v>
      </c>
      <c r="D18" s="341">
        <f>'9_Per Pupil Summary'!Q18</f>
        <v>8676.9923556942285</v>
      </c>
      <c r="E18" s="342">
        <f t="shared" si="6"/>
        <v>0</v>
      </c>
      <c r="F18" s="342">
        <f>'9_Per Pupil Summary'!G18</f>
        <v>1063.31</v>
      </c>
      <c r="G18" s="342">
        <f t="shared" si="7"/>
        <v>0</v>
      </c>
      <c r="H18" s="343">
        <f t="shared" si="8"/>
        <v>0</v>
      </c>
      <c r="I18" s="135">
        <v>0</v>
      </c>
      <c r="J18" s="135">
        <v>0</v>
      </c>
      <c r="K18" s="139">
        <f t="shared" si="2"/>
        <v>0</v>
      </c>
      <c r="L18" s="343">
        <f t="shared" si="3"/>
        <v>0</v>
      </c>
      <c r="M18" s="341">
        <v>0</v>
      </c>
      <c r="N18" s="138">
        <f t="shared" si="9"/>
        <v>0</v>
      </c>
      <c r="O18" s="135">
        <v>0</v>
      </c>
      <c r="P18" s="135">
        <f t="shared" si="10"/>
        <v>0</v>
      </c>
      <c r="Q18" s="138">
        <f t="shared" si="4"/>
        <v>0</v>
      </c>
      <c r="R18" s="138">
        <f t="shared" si="5"/>
        <v>0</v>
      </c>
    </row>
    <row r="19" spans="1:18" ht="15.6" customHeight="1" x14ac:dyDescent="0.2">
      <c r="A19" s="339">
        <v>13</v>
      </c>
      <c r="B19" s="133" t="s">
        <v>16</v>
      </c>
      <c r="C19" s="340">
        <f>'8_2.1.20 SIS'!BF19</f>
        <v>0</v>
      </c>
      <c r="D19" s="341">
        <f>'9_Per Pupil Summary'!Q19</f>
        <v>9816.4058402662231</v>
      </c>
      <c r="E19" s="342">
        <f t="shared" si="6"/>
        <v>0</v>
      </c>
      <c r="F19" s="342">
        <f>'9_Per Pupil Summary'!G19</f>
        <v>749.43000000000006</v>
      </c>
      <c r="G19" s="342">
        <f t="shared" si="7"/>
        <v>0</v>
      </c>
      <c r="H19" s="343">
        <f t="shared" si="8"/>
        <v>0</v>
      </c>
      <c r="I19" s="135">
        <v>0</v>
      </c>
      <c r="J19" s="135">
        <v>0</v>
      </c>
      <c r="K19" s="139">
        <f t="shared" si="2"/>
        <v>0</v>
      </c>
      <c r="L19" s="343">
        <f t="shared" si="3"/>
        <v>0</v>
      </c>
      <c r="M19" s="341">
        <v>0</v>
      </c>
      <c r="N19" s="138">
        <f t="shared" si="9"/>
        <v>0</v>
      </c>
      <c r="O19" s="135">
        <v>0</v>
      </c>
      <c r="P19" s="135">
        <f t="shared" si="10"/>
        <v>0</v>
      </c>
      <c r="Q19" s="138">
        <f t="shared" si="4"/>
        <v>0</v>
      </c>
      <c r="R19" s="138">
        <f t="shared" si="5"/>
        <v>0</v>
      </c>
    </row>
    <row r="20" spans="1:18" ht="15.6" customHeight="1" x14ac:dyDescent="0.2">
      <c r="A20" s="339">
        <v>14</v>
      </c>
      <c r="B20" s="133" t="s">
        <v>17</v>
      </c>
      <c r="C20" s="340">
        <f>'8_2.1.20 SIS'!BF20</f>
        <v>1</v>
      </c>
      <c r="D20" s="341">
        <f>'9_Per Pupil Summary'!Q20</f>
        <v>11067.567822014051</v>
      </c>
      <c r="E20" s="342">
        <f t="shared" si="6"/>
        <v>11067.567822014051</v>
      </c>
      <c r="F20" s="342">
        <f>'9_Per Pupil Summary'!G20</f>
        <v>809.9799999999999</v>
      </c>
      <c r="G20" s="342">
        <f t="shared" si="7"/>
        <v>809.9799999999999</v>
      </c>
      <c r="H20" s="343">
        <f t="shared" si="8"/>
        <v>11878</v>
      </c>
      <c r="I20" s="135">
        <v>-11878</v>
      </c>
      <c r="J20" s="135">
        <v>0</v>
      </c>
      <c r="K20" s="139">
        <f t="shared" si="2"/>
        <v>-11878</v>
      </c>
      <c r="L20" s="343">
        <f t="shared" si="3"/>
        <v>0</v>
      </c>
      <c r="M20" s="341">
        <v>0</v>
      </c>
      <c r="N20" s="138">
        <f t="shared" si="9"/>
        <v>0</v>
      </c>
      <c r="O20" s="135">
        <v>3960</v>
      </c>
      <c r="P20" s="135">
        <f t="shared" si="10"/>
        <v>-3960</v>
      </c>
      <c r="Q20" s="138">
        <f t="shared" si="4"/>
        <v>-990</v>
      </c>
      <c r="R20" s="138">
        <f t="shared" si="5"/>
        <v>0</v>
      </c>
    </row>
    <row r="21" spans="1:18" ht="15.6" customHeight="1" x14ac:dyDescent="0.2">
      <c r="A21" s="344">
        <v>15</v>
      </c>
      <c r="B21" s="147" t="s">
        <v>18</v>
      </c>
      <c r="C21" s="345">
        <f>'8_2.1.20 SIS'!BF21</f>
        <v>2</v>
      </c>
      <c r="D21" s="346">
        <f>'9_Per Pupil Summary'!Q21</f>
        <v>9441.6648551959115</v>
      </c>
      <c r="E21" s="347">
        <f t="shared" si="6"/>
        <v>18883.329710391823</v>
      </c>
      <c r="F21" s="347">
        <f>'9_Per Pupil Summary'!G21</f>
        <v>553.79999999999995</v>
      </c>
      <c r="G21" s="347">
        <f t="shared" si="7"/>
        <v>1107.5999999999999</v>
      </c>
      <c r="H21" s="348">
        <f t="shared" si="8"/>
        <v>19991</v>
      </c>
      <c r="I21" s="149">
        <v>0</v>
      </c>
      <c r="J21" s="149">
        <v>0</v>
      </c>
      <c r="K21" s="153">
        <f t="shared" si="2"/>
        <v>0</v>
      </c>
      <c r="L21" s="348">
        <f t="shared" si="3"/>
        <v>19991</v>
      </c>
      <c r="M21" s="346">
        <v>0</v>
      </c>
      <c r="N21" s="152">
        <f t="shared" si="9"/>
        <v>19991</v>
      </c>
      <c r="O21" s="155">
        <v>13328</v>
      </c>
      <c r="P21" s="149">
        <f t="shared" si="10"/>
        <v>6663</v>
      </c>
      <c r="Q21" s="156">
        <f t="shared" si="4"/>
        <v>1666</v>
      </c>
      <c r="R21" s="152">
        <f t="shared" si="5"/>
        <v>19991</v>
      </c>
    </row>
    <row r="22" spans="1:18" ht="15.6" customHeight="1" x14ac:dyDescent="0.2">
      <c r="A22" s="334">
        <v>16</v>
      </c>
      <c r="B22" s="115" t="s">
        <v>19</v>
      </c>
      <c r="C22" s="335">
        <f>'8_2.1.20 SIS'!BF22</f>
        <v>2</v>
      </c>
      <c r="D22" s="336">
        <f>'9_Per Pupil Summary'!Q22</f>
        <v>7832.4763698772622</v>
      </c>
      <c r="E22" s="337">
        <f t="shared" si="6"/>
        <v>15664.952739754524</v>
      </c>
      <c r="F22" s="337">
        <f>'9_Per Pupil Summary'!G22</f>
        <v>686.73</v>
      </c>
      <c r="G22" s="337">
        <f t="shared" si="7"/>
        <v>1373.46</v>
      </c>
      <c r="H22" s="338">
        <f t="shared" si="8"/>
        <v>17038</v>
      </c>
      <c r="I22" s="117">
        <v>-8519</v>
      </c>
      <c r="J22" s="117">
        <v>0</v>
      </c>
      <c r="K22" s="121">
        <f t="shared" si="2"/>
        <v>-8519</v>
      </c>
      <c r="L22" s="338">
        <f t="shared" si="3"/>
        <v>8519</v>
      </c>
      <c r="M22" s="336">
        <v>0</v>
      </c>
      <c r="N22" s="120">
        <f t="shared" si="9"/>
        <v>8519</v>
      </c>
      <c r="O22" s="117">
        <v>8520</v>
      </c>
      <c r="P22" s="117">
        <f t="shared" si="10"/>
        <v>-1</v>
      </c>
      <c r="Q22" s="120">
        <f t="shared" si="4"/>
        <v>0</v>
      </c>
      <c r="R22" s="122">
        <f t="shared" si="5"/>
        <v>8519</v>
      </c>
    </row>
    <row r="23" spans="1:18" ht="15.6" customHeight="1" x14ac:dyDescent="0.2">
      <c r="A23" s="339">
        <v>17</v>
      </c>
      <c r="B23" s="133" t="s">
        <v>20</v>
      </c>
      <c r="C23" s="340">
        <f>'8_2.1.20 SIS'!BF23</f>
        <v>9</v>
      </c>
      <c r="D23" s="341">
        <f>'9_Per Pupil Summary'!Q23</f>
        <v>8207.5861458149011</v>
      </c>
      <c r="E23" s="342">
        <f t="shared" si="6"/>
        <v>73868.27531233411</v>
      </c>
      <c r="F23" s="342">
        <f>'9_Per Pupil Summary'!G23</f>
        <v>801.48</v>
      </c>
      <c r="G23" s="342">
        <f t="shared" si="7"/>
        <v>7213.32</v>
      </c>
      <c r="H23" s="343">
        <f t="shared" si="8"/>
        <v>81082</v>
      </c>
      <c r="I23" s="135">
        <v>9009</v>
      </c>
      <c r="J23" s="135">
        <v>-4505</v>
      </c>
      <c r="K23" s="139">
        <f t="shared" si="2"/>
        <v>4504</v>
      </c>
      <c r="L23" s="343">
        <f t="shared" si="3"/>
        <v>85586</v>
      </c>
      <c r="M23" s="341">
        <v>0</v>
      </c>
      <c r="N23" s="138">
        <f t="shared" si="9"/>
        <v>85586</v>
      </c>
      <c r="O23" s="135">
        <v>57058</v>
      </c>
      <c r="P23" s="135">
        <f t="shared" si="10"/>
        <v>28528</v>
      </c>
      <c r="Q23" s="138">
        <f t="shared" si="4"/>
        <v>7132</v>
      </c>
      <c r="R23" s="138">
        <f t="shared" si="5"/>
        <v>85586</v>
      </c>
    </row>
    <row r="24" spans="1:18" ht="15.6" customHeight="1" x14ac:dyDescent="0.2">
      <c r="A24" s="339">
        <v>18</v>
      </c>
      <c r="B24" s="133" t="s">
        <v>21</v>
      </c>
      <c r="C24" s="340">
        <f>'8_2.1.20 SIS'!BF24</f>
        <v>0</v>
      </c>
      <c r="D24" s="341">
        <f>'9_Per Pupil Summary'!Q24</f>
        <v>9145.1230716723549</v>
      </c>
      <c r="E24" s="342">
        <f t="shared" si="6"/>
        <v>0</v>
      </c>
      <c r="F24" s="342">
        <f>'9_Per Pupil Summary'!G24</f>
        <v>845.94999999999993</v>
      </c>
      <c r="G24" s="342">
        <f t="shared" si="7"/>
        <v>0</v>
      </c>
      <c r="H24" s="343">
        <f t="shared" si="8"/>
        <v>0</v>
      </c>
      <c r="I24" s="135">
        <v>0</v>
      </c>
      <c r="J24" s="135">
        <v>0</v>
      </c>
      <c r="K24" s="139">
        <f t="shared" si="2"/>
        <v>0</v>
      </c>
      <c r="L24" s="343">
        <f t="shared" si="3"/>
        <v>0</v>
      </c>
      <c r="M24" s="341">
        <v>0</v>
      </c>
      <c r="N24" s="138">
        <f t="shared" si="9"/>
        <v>0</v>
      </c>
      <c r="O24" s="135">
        <v>0</v>
      </c>
      <c r="P24" s="135">
        <f t="shared" si="10"/>
        <v>0</v>
      </c>
      <c r="Q24" s="138">
        <f t="shared" si="4"/>
        <v>0</v>
      </c>
      <c r="R24" s="138">
        <f t="shared" si="5"/>
        <v>0</v>
      </c>
    </row>
    <row r="25" spans="1:18" ht="15.6" customHeight="1" x14ac:dyDescent="0.2">
      <c r="A25" s="339">
        <v>19</v>
      </c>
      <c r="B25" s="133" t="s">
        <v>22</v>
      </c>
      <c r="C25" s="340">
        <f>'8_2.1.20 SIS'!BF25</f>
        <v>3</v>
      </c>
      <c r="D25" s="341">
        <f>'9_Per Pupil Summary'!Q25</f>
        <v>9335.4585817978787</v>
      </c>
      <c r="E25" s="342">
        <f t="shared" si="6"/>
        <v>28006.375745393634</v>
      </c>
      <c r="F25" s="342">
        <f>'9_Per Pupil Summary'!G25</f>
        <v>905.43</v>
      </c>
      <c r="G25" s="342">
        <f t="shared" si="7"/>
        <v>2716.29</v>
      </c>
      <c r="H25" s="343">
        <f t="shared" si="8"/>
        <v>30723</v>
      </c>
      <c r="I25" s="135">
        <v>-20482</v>
      </c>
      <c r="J25" s="135">
        <v>0</v>
      </c>
      <c r="K25" s="139">
        <f t="shared" si="2"/>
        <v>-20482</v>
      </c>
      <c r="L25" s="343">
        <f t="shared" si="3"/>
        <v>10241</v>
      </c>
      <c r="M25" s="341">
        <v>0</v>
      </c>
      <c r="N25" s="138">
        <f t="shared" si="9"/>
        <v>10241</v>
      </c>
      <c r="O25" s="135">
        <v>13654</v>
      </c>
      <c r="P25" s="135">
        <f t="shared" si="10"/>
        <v>-3413</v>
      </c>
      <c r="Q25" s="138">
        <f t="shared" si="4"/>
        <v>-853</v>
      </c>
      <c r="R25" s="138">
        <f t="shared" si="5"/>
        <v>10241</v>
      </c>
    </row>
    <row r="26" spans="1:18" ht="15.6" customHeight="1" x14ac:dyDescent="0.2">
      <c r="A26" s="344">
        <v>20</v>
      </c>
      <c r="B26" s="147" t="s">
        <v>23</v>
      </c>
      <c r="C26" s="345">
        <f>'8_2.1.20 SIS'!BF26</f>
        <v>2</v>
      </c>
      <c r="D26" s="346">
        <f>'9_Per Pupil Summary'!Q26</f>
        <v>8586.7921582733816</v>
      </c>
      <c r="E26" s="347">
        <f t="shared" si="6"/>
        <v>17173.584316546763</v>
      </c>
      <c r="F26" s="347">
        <f>'9_Per Pupil Summary'!G26</f>
        <v>586.16999999999996</v>
      </c>
      <c r="G26" s="347">
        <f t="shared" si="7"/>
        <v>1172.3399999999999</v>
      </c>
      <c r="H26" s="348">
        <f t="shared" si="8"/>
        <v>18346</v>
      </c>
      <c r="I26" s="149">
        <v>9173</v>
      </c>
      <c r="J26" s="149">
        <v>0</v>
      </c>
      <c r="K26" s="153">
        <f t="shared" si="2"/>
        <v>9173</v>
      </c>
      <c r="L26" s="348">
        <f t="shared" si="3"/>
        <v>27519</v>
      </c>
      <c r="M26" s="346">
        <v>0</v>
      </c>
      <c r="N26" s="152">
        <f t="shared" si="9"/>
        <v>27519</v>
      </c>
      <c r="O26" s="155">
        <v>15290</v>
      </c>
      <c r="P26" s="149">
        <f t="shared" si="10"/>
        <v>12229</v>
      </c>
      <c r="Q26" s="156">
        <f t="shared" si="4"/>
        <v>3057</v>
      </c>
      <c r="R26" s="152">
        <f t="shared" si="5"/>
        <v>27519</v>
      </c>
    </row>
    <row r="27" spans="1:18" ht="15.6" customHeight="1" x14ac:dyDescent="0.2">
      <c r="A27" s="334">
        <v>21</v>
      </c>
      <c r="B27" s="115" t="s">
        <v>24</v>
      </c>
      <c r="C27" s="335">
        <f>'8_2.1.20 SIS'!BF27</f>
        <v>3</v>
      </c>
      <c r="D27" s="336">
        <f>'9_Per Pupil Summary'!Q27</f>
        <v>9219.6533495482981</v>
      </c>
      <c r="E27" s="337">
        <f t="shared" si="6"/>
        <v>27658.960048644894</v>
      </c>
      <c r="F27" s="337">
        <f>'9_Per Pupil Summary'!G27</f>
        <v>610.35</v>
      </c>
      <c r="G27" s="337">
        <f t="shared" si="7"/>
        <v>1831.0500000000002</v>
      </c>
      <c r="H27" s="338">
        <f t="shared" si="8"/>
        <v>29490</v>
      </c>
      <c r="I27" s="117">
        <v>-9830</v>
      </c>
      <c r="J27" s="117">
        <v>0</v>
      </c>
      <c r="K27" s="121">
        <f t="shared" si="2"/>
        <v>-9830</v>
      </c>
      <c r="L27" s="338">
        <f t="shared" si="3"/>
        <v>19660</v>
      </c>
      <c r="M27" s="336">
        <v>0</v>
      </c>
      <c r="N27" s="120">
        <f t="shared" si="9"/>
        <v>19660</v>
      </c>
      <c r="O27" s="117">
        <v>16386</v>
      </c>
      <c r="P27" s="117">
        <f t="shared" si="10"/>
        <v>3274</v>
      </c>
      <c r="Q27" s="120">
        <f t="shared" si="4"/>
        <v>819</v>
      </c>
      <c r="R27" s="122">
        <f t="shared" si="5"/>
        <v>19660</v>
      </c>
    </row>
    <row r="28" spans="1:18" ht="15.6" customHeight="1" x14ac:dyDescent="0.2">
      <c r="A28" s="339">
        <v>22</v>
      </c>
      <c r="B28" s="133" t="s">
        <v>25</v>
      </c>
      <c r="C28" s="340">
        <f>'8_2.1.20 SIS'!BF28</f>
        <v>3</v>
      </c>
      <c r="D28" s="341">
        <f>'9_Per Pupil Summary'!Q28</f>
        <v>9333.4477453394302</v>
      </c>
      <c r="E28" s="342">
        <f t="shared" si="6"/>
        <v>28000.343236018292</v>
      </c>
      <c r="F28" s="342">
        <f>'9_Per Pupil Summary'!G28</f>
        <v>496.36</v>
      </c>
      <c r="G28" s="342">
        <f t="shared" si="7"/>
        <v>1489.08</v>
      </c>
      <c r="H28" s="343">
        <f t="shared" si="8"/>
        <v>29489</v>
      </c>
      <c r="I28" s="135">
        <v>-29489</v>
      </c>
      <c r="J28" s="135">
        <v>0</v>
      </c>
      <c r="K28" s="139">
        <f t="shared" si="2"/>
        <v>-29489</v>
      </c>
      <c r="L28" s="343">
        <f t="shared" si="3"/>
        <v>0</v>
      </c>
      <c r="M28" s="341">
        <v>0</v>
      </c>
      <c r="N28" s="138">
        <f t="shared" si="9"/>
        <v>0</v>
      </c>
      <c r="O28" s="135">
        <v>9828</v>
      </c>
      <c r="P28" s="135">
        <f t="shared" si="10"/>
        <v>-9828</v>
      </c>
      <c r="Q28" s="138">
        <f t="shared" si="4"/>
        <v>-2457</v>
      </c>
      <c r="R28" s="138">
        <f t="shared" si="5"/>
        <v>0</v>
      </c>
    </row>
    <row r="29" spans="1:18" ht="15.6" customHeight="1" x14ac:dyDescent="0.2">
      <c r="A29" s="339">
        <v>23</v>
      </c>
      <c r="B29" s="133" t="s">
        <v>26</v>
      </c>
      <c r="C29" s="340">
        <f>'8_2.1.20 SIS'!BF29</f>
        <v>6</v>
      </c>
      <c r="D29" s="341">
        <f>'9_Per Pupil Summary'!Q29</f>
        <v>8928.5127583630783</v>
      </c>
      <c r="E29" s="342">
        <f t="shared" si="6"/>
        <v>53571.07655017847</v>
      </c>
      <c r="F29" s="342">
        <f>'9_Per Pupil Summary'!G29</f>
        <v>688.58</v>
      </c>
      <c r="G29" s="342">
        <f t="shared" si="7"/>
        <v>4131.4800000000005</v>
      </c>
      <c r="H29" s="343">
        <f t="shared" si="8"/>
        <v>57703</v>
      </c>
      <c r="I29" s="135">
        <v>-28851</v>
      </c>
      <c r="J29" s="135">
        <v>4809</v>
      </c>
      <c r="K29" s="139">
        <f t="shared" si="2"/>
        <v>-24042</v>
      </c>
      <c r="L29" s="343">
        <f t="shared" si="3"/>
        <v>33661</v>
      </c>
      <c r="M29" s="341">
        <v>0</v>
      </c>
      <c r="N29" s="138">
        <f t="shared" si="9"/>
        <v>33661</v>
      </c>
      <c r="O29" s="135">
        <v>28854</v>
      </c>
      <c r="P29" s="135">
        <f t="shared" si="10"/>
        <v>4807</v>
      </c>
      <c r="Q29" s="138">
        <f t="shared" si="4"/>
        <v>1202</v>
      </c>
      <c r="R29" s="138">
        <f t="shared" si="5"/>
        <v>33661</v>
      </c>
    </row>
    <row r="30" spans="1:18" ht="15.6" customHeight="1" x14ac:dyDescent="0.2">
      <c r="A30" s="339">
        <v>24</v>
      </c>
      <c r="B30" s="133" t="s">
        <v>27</v>
      </c>
      <c r="C30" s="340">
        <f>'8_2.1.20 SIS'!BF30</f>
        <v>2</v>
      </c>
      <c r="D30" s="341">
        <f>'9_Per Pupil Summary'!Q30</f>
        <v>8398.4657254182894</v>
      </c>
      <c r="E30" s="342">
        <f t="shared" si="6"/>
        <v>16796.931450836579</v>
      </c>
      <c r="F30" s="342">
        <f>'9_Per Pupil Summary'!G30</f>
        <v>854.24999999999989</v>
      </c>
      <c r="G30" s="342">
        <f t="shared" si="7"/>
        <v>1708.4999999999998</v>
      </c>
      <c r="H30" s="343">
        <f t="shared" si="8"/>
        <v>18505</v>
      </c>
      <c r="I30" s="135">
        <v>-9253</v>
      </c>
      <c r="J30" s="135">
        <v>0</v>
      </c>
      <c r="K30" s="139">
        <f t="shared" si="2"/>
        <v>-9253</v>
      </c>
      <c r="L30" s="343">
        <f t="shared" si="3"/>
        <v>9252</v>
      </c>
      <c r="M30" s="341">
        <v>0</v>
      </c>
      <c r="N30" s="138">
        <f t="shared" si="9"/>
        <v>9252</v>
      </c>
      <c r="O30" s="135">
        <v>9252</v>
      </c>
      <c r="P30" s="135">
        <f t="shared" si="10"/>
        <v>0</v>
      </c>
      <c r="Q30" s="138">
        <f t="shared" si="4"/>
        <v>0</v>
      </c>
      <c r="R30" s="138">
        <f t="shared" si="5"/>
        <v>9252</v>
      </c>
    </row>
    <row r="31" spans="1:18" ht="15.6" customHeight="1" x14ac:dyDescent="0.2">
      <c r="A31" s="344">
        <v>25</v>
      </c>
      <c r="B31" s="147" t="s">
        <v>28</v>
      </c>
      <c r="C31" s="345">
        <f>'8_2.1.20 SIS'!BF31</f>
        <v>3</v>
      </c>
      <c r="D31" s="346">
        <f>'9_Per Pupil Summary'!Q31</f>
        <v>9193.9935672249885</v>
      </c>
      <c r="E31" s="347">
        <f t="shared" si="6"/>
        <v>27581.980701674966</v>
      </c>
      <c r="F31" s="347">
        <f>'9_Per Pupil Summary'!G31</f>
        <v>653.73</v>
      </c>
      <c r="G31" s="347">
        <f t="shared" si="7"/>
        <v>1961.19</v>
      </c>
      <c r="H31" s="348">
        <f t="shared" si="8"/>
        <v>29543</v>
      </c>
      <c r="I31" s="149">
        <v>-19695</v>
      </c>
      <c r="J31" s="149">
        <v>0</v>
      </c>
      <c r="K31" s="153">
        <f t="shared" si="2"/>
        <v>-19695</v>
      </c>
      <c r="L31" s="348">
        <f t="shared" si="3"/>
        <v>9848</v>
      </c>
      <c r="M31" s="346">
        <v>0</v>
      </c>
      <c r="N31" s="152">
        <f t="shared" si="9"/>
        <v>9848</v>
      </c>
      <c r="O31" s="155">
        <v>13130</v>
      </c>
      <c r="P31" s="149">
        <f t="shared" si="10"/>
        <v>-3282</v>
      </c>
      <c r="Q31" s="156">
        <f t="shared" si="4"/>
        <v>-821</v>
      </c>
      <c r="R31" s="152">
        <f t="shared" si="5"/>
        <v>9848</v>
      </c>
    </row>
    <row r="32" spans="1:18" ht="15.6" customHeight="1" x14ac:dyDescent="0.2">
      <c r="A32" s="334">
        <v>26</v>
      </c>
      <c r="B32" s="115" t="s">
        <v>29</v>
      </c>
      <c r="C32" s="335">
        <f>'8_2.1.20 SIS'!BF32</f>
        <v>6</v>
      </c>
      <c r="D32" s="336">
        <f>'9_Per Pupil Summary'!Q32</f>
        <v>8564.9407441183976</v>
      </c>
      <c r="E32" s="337">
        <f t="shared" si="6"/>
        <v>51389.644464710385</v>
      </c>
      <c r="F32" s="337">
        <f>'9_Per Pupil Summary'!G32</f>
        <v>836.83</v>
      </c>
      <c r="G32" s="337">
        <f t="shared" si="7"/>
        <v>5020.9800000000005</v>
      </c>
      <c r="H32" s="338">
        <f t="shared" si="8"/>
        <v>56411</v>
      </c>
      <c r="I32" s="117">
        <v>-9402</v>
      </c>
      <c r="J32" s="117">
        <v>0</v>
      </c>
      <c r="K32" s="121">
        <f t="shared" si="2"/>
        <v>-9402</v>
      </c>
      <c r="L32" s="338">
        <f t="shared" si="3"/>
        <v>47009</v>
      </c>
      <c r="M32" s="336">
        <v>0</v>
      </c>
      <c r="N32" s="120">
        <f t="shared" si="9"/>
        <v>47009</v>
      </c>
      <c r="O32" s="117">
        <v>34474</v>
      </c>
      <c r="P32" s="117">
        <f t="shared" si="10"/>
        <v>12535</v>
      </c>
      <c r="Q32" s="120">
        <f t="shared" si="4"/>
        <v>3134</v>
      </c>
      <c r="R32" s="122">
        <f t="shared" si="5"/>
        <v>47009</v>
      </c>
    </row>
    <row r="33" spans="1:18" ht="15.6" customHeight="1" x14ac:dyDescent="0.2">
      <c r="A33" s="339">
        <v>27</v>
      </c>
      <c r="B33" s="133" t="s">
        <v>30</v>
      </c>
      <c r="C33" s="340">
        <f>'8_2.1.20 SIS'!BF33</f>
        <v>1</v>
      </c>
      <c r="D33" s="341">
        <f>'9_Per Pupil Summary'!Q33</f>
        <v>9260.4225250501004</v>
      </c>
      <c r="E33" s="342">
        <f t="shared" si="6"/>
        <v>9260.4225250501004</v>
      </c>
      <c r="F33" s="342">
        <f>'9_Per Pupil Summary'!G33</f>
        <v>693.06</v>
      </c>
      <c r="G33" s="342">
        <f t="shared" si="7"/>
        <v>693.06</v>
      </c>
      <c r="H33" s="343">
        <f t="shared" si="8"/>
        <v>9953</v>
      </c>
      <c r="I33" s="135">
        <v>-9953</v>
      </c>
      <c r="J33" s="135">
        <v>0</v>
      </c>
      <c r="K33" s="139">
        <f t="shared" si="2"/>
        <v>-9953</v>
      </c>
      <c r="L33" s="343">
        <f t="shared" si="3"/>
        <v>0</v>
      </c>
      <c r="M33" s="341">
        <v>0</v>
      </c>
      <c r="N33" s="138">
        <f t="shared" si="9"/>
        <v>0</v>
      </c>
      <c r="O33" s="135">
        <v>3316</v>
      </c>
      <c r="P33" s="135">
        <f t="shared" si="10"/>
        <v>-3316</v>
      </c>
      <c r="Q33" s="138">
        <f t="shared" si="4"/>
        <v>-829</v>
      </c>
      <c r="R33" s="138">
        <f t="shared" si="5"/>
        <v>0</v>
      </c>
    </row>
    <row r="34" spans="1:18" ht="15.6" customHeight="1" x14ac:dyDescent="0.2">
      <c r="A34" s="339">
        <v>28</v>
      </c>
      <c r="B34" s="133" t="s">
        <v>31</v>
      </c>
      <c r="C34" s="340">
        <f>'8_2.1.20 SIS'!BF34</f>
        <v>14</v>
      </c>
      <c r="D34" s="341">
        <f>'9_Per Pupil Summary'!Q34</f>
        <v>7902.6858936661774</v>
      </c>
      <c r="E34" s="342">
        <f t="shared" si="6"/>
        <v>110637.60251132649</v>
      </c>
      <c r="F34" s="342">
        <f>'9_Per Pupil Summary'!G34</f>
        <v>694.4</v>
      </c>
      <c r="G34" s="342">
        <f t="shared" si="7"/>
        <v>9721.6</v>
      </c>
      <c r="H34" s="343">
        <f t="shared" si="8"/>
        <v>120359</v>
      </c>
      <c r="I34" s="135">
        <v>-25791</v>
      </c>
      <c r="J34" s="135">
        <v>0</v>
      </c>
      <c r="K34" s="139">
        <f t="shared" si="2"/>
        <v>-25791</v>
      </c>
      <c r="L34" s="343">
        <f t="shared" si="3"/>
        <v>94568</v>
      </c>
      <c r="M34" s="341">
        <v>0</v>
      </c>
      <c r="N34" s="138">
        <f t="shared" si="9"/>
        <v>94568</v>
      </c>
      <c r="O34" s="135">
        <v>71642</v>
      </c>
      <c r="P34" s="135">
        <f t="shared" si="10"/>
        <v>22926</v>
      </c>
      <c r="Q34" s="138">
        <f t="shared" si="4"/>
        <v>5732</v>
      </c>
      <c r="R34" s="138">
        <f t="shared" si="5"/>
        <v>94568</v>
      </c>
    </row>
    <row r="35" spans="1:18" ht="15.6" customHeight="1" x14ac:dyDescent="0.2">
      <c r="A35" s="339">
        <v>29</v>
      </c>
      <c r="B35" s="133" t="s">
        <v>32</v>
      </c>
      <c r="C35" s="340">
        <f>'8_2.1.20 SIS'!BF35</f>
        <v>10</v>
      </c>
      <c r="D35" s="341">
        <f>'9_Per Pupil Summary'!Q35</f>
        <v>8146.1196327803773</v>
      </c>
      <c r="E35" s="342">
        <f t="shared" si="6"/>
        <v>81461.196327803773</v>
      </c>
      <c r="F35" s="342">
        <f>'9_Per Pupil Summary'!G35</f>
        <v>754.94999999999993</v>
      </c>
      <c r="G35" s="342">
        <f t="shared" si="7"/>
        <v>7549.4999999999991</v>
      </c>
      <c r="H35" s="343">
        <f t="shared" si="8"/>
        <v>89011</v>
      </c>
      <c r="I35" s="135">
        <v>-17802</v>
      </c>
      <c r="J35" s="135">
        <v>0</v>
      </c>
      <c r="K35" s="139">
        <f t="shared" si="2"/>
        <v>-17802</v>
      </c>
      <c r="L35" s="343">
        <f t="shared" si="3"/>
        <v>71209</v>
      </c>
      <c r="M35" s="341">
        <v>0</v>
      </c>
      <c r="N35" s="138">
        <f t="shared" si="9"/>
        <v>71209</v>
      </c>
      <c r="O35" s="135">
        <v>53408</v>
      </c>
      <c r="P35" s="135">
        <f t="shared" si="10"/>
        <v>17801</v>
      </c>
      <c r="Q35" s="138">
        <f t="shared" si="4"/>
        <v>4450</v>
      </c>
      <c r="R35" s="138">
        <f t="shared" si="5"/>
        <v>71209</v>
      </c>
    </row>
    <row r="36" spans="1:18" ht="15.6" customHeight="1" x14ac:dyDescent="0.2">
      <c r="A36" s="344">
        <v>30</v>
      </c>
      <c r="B36" s="147" t="s">
        <v>33</v>
      </c>
      <c r="C36" s="345">
        <f>'8_2.1.20 SIS'!BF36</f>
        <v>0</v>
      </c>
      <c r="D36" s="346">
        <f>'9_Per Pupil Summary'!Q36</f>
        <v>9263.2352388535037</v>
      </c>
      <c r="E36" s="347">
        <f t="shared" si="6"/>
        <v>0</v>
      </c>
      <c r="F36" s="347">
        <f>'9_Per Pupil Summary'!G36</f>
        <v>727.17</v>
      </c>
      <c r="G36" s="347">
        <f t="shared" si="7"/>
        <v>0</v>
      </c>
      <c r="H36" s="348">
        <f t="shared" si="8"/>
        <v>0</v>
      </c>
      <c r="I36" s="149">
        <v>0</v>
      </c>
      <c r="J36" s="149">
        <v>0</v>
      </c>
      <c r="K36" s="153">
        <f t="shared" si="2"/>
        <v>0</v>
      </c>
      <c r="L36" s="348">
        <f t="shared" si="3"/>
        <v>0</v>
      </c>
      <c r="M36" s="346">
        <v>0</v>
      </c>
      <c r="N36" s="152">
        <f t="shared" si="9"/>
        <v>0</v>
      </c>
      <c r="O36" s="155">
        <v>0</v>
      </c>
      <c r="P36" s="149">
        <f t="shared" si="10"/>
        <v>0</v>
      </c>
      <c r="Q36" s="156">
        <f t="shared" si="4"/>
        <v>0</v>
      </c>
      <c r="R36" s="152">
        <f t="shared" si="5"/>
        <v>0</v>
      </c>
    </row>
    <row r="37" spans="1:18" ht="15.6" customHeight="1" x14ac:dyDescent="0.2">
      <c r="A37" s="334">
        <v>31</v>
      </c>
      <c r="B37" s="115" t="s">
        <v>34</v>
      </c>
      <c r="C37" s="335">
        <f>'8_2.1.20 SIS'!BF37</f>
        <v>4</v>
      </c>
      <c r="D37" s="336">
        <f>'9_Per Pupil Summary'!Q37</f>
        <v>8997.4791965008917</v>
      </c>
      <c r="E37" s="337">
        <f t="shared" si="6"/>
        <v>35989.916786003567</v>
      </c>
      <c r="F37" s="337">
        <f>'9_Per Pupil Summary'!G37</f>
        <v>620.83000000000004</v>
      </c>
      <c r="G37" s="337">
        <f t="shared" si="7"/>
        <v>2483.3200000000002</v>
      </c>
      <c r="H37" s="338">
        <f t="shared" si="8"/>
        <v>38473</v>
      </c>
      <c r="I37" s="117">
        <v>28855</v>
      </c>
      <c r="J37" s="117">
        <v>0</v>
      </c>
      <c r="K37" s="121">
        <f t="shared" si="2"/>
        <v>28855</v>
      </c>
      <c r="L37" s="338">
        <f t="shared" si="3"/>
        <v>67328</v>
      </c>
      <c r="M37" s="336">
        <v>0</v>
      </c>
      <c r="N37" s="120">
        <f t="shared" si="9"/>
        <v>67328</v>
      </c>
      <c r="O37" s="117">
        <v>35266</v>
      </c>
      <c r="P37" s="117">
        <f t="shared" si="10"/>
        <v>32062</v>
      </c>
      <c r="Q37" s="120">
        <f t="shared" si="4"/>
        <v>8016</v>
      </c>
      <c r="R37" s="122">
        <f t="shared" si="5"/>
        <v>67328</v>
      </c>
    </row>
    <row r="38" spans="1:18" ht="15.6" customHeight="1" x14ac:dyDescent="0.2">
      <c r="A38" s="339">
        <v>32</v>
      </c>
      <c r="B38" s="133" t="s">
        <v>35</v>
      </c>
      <c r="C38" s="340">
        <f>'8_2.1.20 SIS'!BF38</f>
        <v>16</v>
      </c>
      <c r="D38" s="341">
        <f>'9_Per Pupil Summary'!Q38</f>
        <v>8634.1210878790207</v>
      </c>
      <c r="E38" s="342">
        <f t="shared" si="6"/>
        <v>138145.93740606433</v>
      </c>
      <c r="F38" s="342">
        <f>'9_Per Pupil Summary'!G38</f>
        <v>559.77</v>
      </c>
      <c r="G38" s="342">
        <f t="shared" si="7"/>
        <v>8956.32</v>
      </c>
      <c r="H38" s="343">
        <f t="shared" si="8"/>
        <v>147102</v>
      </c>
      <c r="I38" s="135">
        <v>-18388</v>
      </c>
      <c r="J38" s="135">
        <v>-9194</v>
      </c>
      <c r="K38" s="139">
        <f t="shared" si="2"/>
        <v>-27582</v>
      </c>
      <c r="L38" s="343">
        <f t="shared" si="3"/>
        <v>119520</v>
      </c>
      <c r="M38" s="341">
        <v>0</v>
      </c>
      <c r="N38" s="138">
        <f t="shared" si="9"/>
        <v>119520</v>
      </c>
      <c r="O38" s="135">
        <v>91940</v>
      </c>
      <c r="P38" s="135">
        <f t="shared" si="10"/>
        <v>27580</v>
      </c>
      <c r="Q38" s="138">
        <f t="shared" si="4"/>
        <v>6895</v>
      </c>
      <c r="R38" s="138">
        <f t="shared" si="5"/>
        <v>119520</v>
      </c>
    </row>
    <row r="39" spans="1:18" ht="15.6" customHeight="1" x14ac:dyDescent="0.2">
      <c r="A39" s="339">
        <v>33</v>
      </c>
      <c r="B39" s="133" t="s">
        <v>36</v>
      </c>
      <c r="C39" s="340">
        <f>'8_2.1.20 SIS'!BF39</f>
        <v>1</v>
      </c>
      <c r="D39" s="341">
        <f>'9_Per Pupil Summary'!Q39</f>
        <v>10041.616487252126</v>
      </c>
      <c r="E39" s="342">
        <f t="shared" si="6"/>
        <v>10041.616487252126</v>
      </c>
      <c r="F39" s="342">
        <f>'9_Per Pupil Summary'!G39</f>
        <v>655.31000000000006</v>
      </c>
      <c r="G39" s="342">
        <f t="shared" si="7"/>
        <v>655.31000000000006</v>
      </c>
      <c r="H39" s="343">
        <f t="shared" si="8"/>
        <v>10697</v>
      </c>
      <c r="I39" s="135">
        <v>0</v>
      </c>
      <c r="J39" s="135">
        <v>0</v>
      </c>
      <c r="K39" s="139">
        <f t="shared" ref="K39:K70" si="11">I39+J39</f>
        <v>0</v>
      </c>
      <c r="L39" s="343">
        <f t="shared" si="3"/>
        <v>10697</v>
      </c>
      <c r="M39" s="341">
        <v>0</v>
      </c>
      <c r="N39" s="138">
        <f t="shared" si="9"/>
        <v>10697</v>
      </c>
      <c r="O39" s="135">
        <v>7130</v>
      </c>
      <c r="P39" s="135">
        <f t="shared" si="10"/>
        <v>3567</v>
      </c>
      <c r="Q39" s="138">
        <f t="shared" ref="Q39:Q70" si="12">ROUND(P39/$Q$86,0)</f>
        <v>892</v>
      </c>
      <c r="R39" s="138">
        <f t="shared" ref="R39:R75" si="13">N39</f>
        <v>10697</v>
      </c>
    </row>
    <row r="40" spans="1:18" ht="15.6" customHeight="1" x14ac:dyDescent="0.2">
      <c r="A40" s="339">
        <v>34</v>
      </c>
      <c r="B40" s="133" t="s">
        <v>37</v>
      </c>
      <c r="C40" s="340">
        <f>'8_2.1.20 SIS'!BF40</f>
        <v>0</v>
      </c>
      <c r="D40" s="341">
        <f>'9_Per Pupil Summary'!Q40</f>
        <v>9870.4576886661089</v>
      </c>
      <c r="E40" s="342">
        <f t="shared" si="6"/>
        <v>0</v>
      </c>
      <c r="F40" s="342">
        <f>'9_Per Pupil Summary'!G40</f>
        <v>644.11000000000013</v>
      </c>
      <c r="G40" s="342">
        <f t="shared" si="7"/>
        <v>0</v>
      </c>
      <c r="H40" s="343">
        <f t="shared" si="8"/>
        <v>0</v>
      </c>
      <c r="I40" s="135">
        <v>0</v>
      </c>
      <c r="J40" s="135">
        <v>0</v>
      </c>
      <c r="K40" s="139">
        <f t="shared" si="11"/>
        <v>0</v>
      </c>
      <c r="L40" s="343">
        <f t="shared" si="3"/>
        <v>0</v>
      </c>
      <c r="M40" s="341">
        <v>0</v>
      </c>
      <c r="N40" s="138">
        <f t="shared" si="9"/>
        <v>0</v>
      </c>
      <c r="O40" s="135">
        <v>0</v>
      </c>
      <c r="P40" s="135">
        <f t="shared" si="10"/>
        <v>0</v>
      </c>
      <c r="Q40" s="138">
        <f t="shared" si="12"/>
        <v>0</v>
      </c>
      <c r="R40" s="138">
        <f t="shared" si="13"/>
        <v>0</v>
      </c>
    </row>
    <row r="41" spans="1:18" ht="15.6" customHeight="1" x14ac:dyDescent="0.2">
      <c r="A41" s="344">
        <v>35</v>
      </c>
      <c r="B41" s="147" t="s">
        <v>38</v>
      </c>
      <c r="C41" s="345">
        <f>'8_2.1.20 SIS'!BF41</f>
        <v>20</v>
      </c>
      <c r="D41" s="346">
        <f>'9_Per Pupil Summary'!Q41</f>
        <v>8844.7169328105501</v>
      </c>
      <c r="E41" s="347">
        <f t="shared" si="6"/>
        <v>176894.33865621101</v>
      </c>
      <c r="F41" s="347">
        <f>'9_Per Pupil Summary'!G41</f>
        <v>537.96</v>
      </c>
      <c r="G41" s="347">
        <f t="shared" si="7"/>
        <v>10759.2</v>
      </c>
      <c r="H41" s="348">
        <f t="shared" si="8"/>
        <v>187654</v>
      </c>
      <c r="I41" s="149">
        <v>9383</v>
      </c>
      <c r="J41" s="149">
        <v>0</v>
      </c>
      <c r="K41" s="153">
        <f t="shared" si="11"/>
        <v>9383</v>
      </c>
      <c r="L41" s="348">
        <f t="shared" si="3"/>
        <v>197037</v>
      </c>
      <c r="M41" s="346">
        <v>0</v>
      </c>
      <c r="N41" s="152">
        <f t="shared" si="9"/>
        <v>197037</v>
      </c>
      <c r="O41" s="155">
        <v>128232</v>
      </c>
      <c r="P41" s="149">
        <f t="shared" si="10"/>
        <v>68805</v>
      </c>
      <c r="Q41" s="156">
        <f t="shared" si="12"/>
        <v>17201</v>
      </c>
      <c r="R41" s="152">
        <f t="shared" si="13"/>
        <v>197037</v>
      </c>
    </row>
    <row r="42" spans="1:18" ht="15.6" customHeight="1" x14ac:dyDescent="0.2">
      <c r="A42" s="334">
        <v>36</v>
      </c>
      <c r="B42" s="115" t="s">
        <v>39</v>
      </c>
      <c r="C42" s="335">
        <f>'8_2.1.20 SIS'!BF42</f>
        <v>3</v>
      </c>
      <c r="D42" s="336">
        <f>'9_Per Pupil Summary'!Q42</f>
        <v>8372.8678246926775</v>
      </c>
      <c r="E42" s="337">
        <f t="shared" si="6"/>
        <v>25118.603474078031</v>
      </c>
      <c r="F42" s="337">
        <f>'9_Per Pupil Summary'!G42</f>
        <v>746.03</v>
      </c>
      <c r="G42" s="337">
        <f t="shared" si="7"/>
        <v>2238.09</v>
      </c>
      <c r="H42" s="338">
        <f t="shared" si="8"/>
        <v>27357</v>
      </c>
      <c r="I42" s="117">
        <v>-18238</v>
      </c>
      <c r="J42" s="117">
        <v>-4559</v>
      </c>
      <c r="K42" s="121">
        <f t="shared" si="11"/>
        <v>-22797</v>
      </c>
      <c r="L42" s="338">
        <f t="shared" si="3"/>
        <v>4560</v>
      </c>
      <c r="M42" s="336">
        <v>0</v>
      </c>
      <c r="N42" s="120">
        <f t="shared" si="9"/>
        <v>4560</v>
      </c>
      <c r="O42" s="117">
        <v>12160</v>
      </c>
      <c r="P42" s="117">
        <f t="shared" si="10"/>
        <v>-7600</v>
      </c>
      <c r="Q42" s="120">
        <f t="shared" si="12"/>
        <v>-1900</v>
      </c>
      <c r="R42" s="122">
        <f t="shared" si="13"/>
        <v>4560</v>
      </c>
    </row>
    <row r="43" spans="1:18" ht="15.6" customHeight="1" x14ac:dyDescent="0.2">
      <c r="A43" s="339">
        <v>37</v>
      </c>
      <c r="B43" s="133" t="s">
        <v>40</v>
      </c>
      <c r="C43" s="340">
        <f>'8_2.1.20 SIS'!BF43</f>
        <v>4</v>
      </c>
      <c r="D43" s="341">
        <f>'9_Per Pupil Summary'!Q43</f>
        <v>8965.516042763511</v>
      </c>
      <c r="E43" s="342">
        <f t="shared" si="6"/>
        <v>35862.064171054044</v>
      </c>
      <c r="F43" s="342">
        <f>'9_Per Pupil Summary'!G43</f>
        <v>653.61</v>
      </c>
      <c r="G43" s="342">
        <f t="shared" si="7"/>
        <v>2614.44</v>
      </c>
      <c r="H43" s="343">
        <f t="shared" si="8"/>
        <v>38477</v>
      </c>
      <c r="I43" s="135">
        <v>38477</v>
      </c>
      <c r="J43" s="135">
        <v>0</v>
      </c>
      <c r="K43" s="139">
        <f t="shared" si="11"/>
        <v>38477</v>
      </c>
      <c r="L43" s="343">
        <f t="shared" si="3"/>
        <v>76954</v>
      </c>
      <c r="M43" s="341">
        <v>0</v>
      </c>
      <c r="N43" s="138">
        <f t="shared" si="9"/>
        <v>76954</v>
      </c>
      <c r="O43" s="135">
        <v>38476</v>
      </c>
      <c r="P43" s="135">
        <f t="shared" si="10"/>
        <v>38478</v>
      </c>
      <c r="Q43" s="138">
        <f t="shared" si="12"/>
        <v>9620</v>
      </c>
      <c r="R43" s="138">
        <f t="shared" si="13"/>
        <v>76954</v>
      </c>
    </row>
    <row r="44" spans="1:18" ht="15.6" customHeight="1" x14ac:dyDescent="0.2">
      <c r="A44" s="339">
        <v>38</v>
      </c>
      <c r="B44" s="133" t="s">
        <v>41</v>
      </c>
      <c r="C44" s="340">
        <f>'8_2.1.20 SIS'!BF44</f>
        <v>1</v>
      </c>
      <c r="D44" s="341">
        <f>'9_Per Pupil Summary'!Q44</f>
        <v>8808.8195849445729</v>
      </c>
      <c r="E44" s="342">
        <f t="shared" si="6"/>
        <v>8808.8195849445729</v>
      </c>
      <c r="F44" s="342">
        <f>'9_Per Pupil Summary'!G44</f>
        <v>829.92000000000007</v>
      </c>
      <c r="G44" s="342">
        <f t="shared" si="7"/>
        <v>829.92000000000007</v>
      </c>
      <c r="H44" s="343">
        <f t="shared" si="8"/>
        <v>9639</v>
      </c>
      <c r="I44" s="135">
        <v>0</v>
      </c>
      <c r="J44" s="135">
        <v>0</v>
      </c>
      <c r="K44" s="139">
        <f t="shared" si="11"/>
        <v>0</v>
      </c>
      <c r="L44" s="343">
        <f t="shared" si="3"/>
        <v>9639</v>
      </c>
      <c r="M44" s="341">
        <v>0</v>
      </c>
      <c r="N44" s="138">
        <f t="shared" si="9"/>
        <v>9639</v>
      </c>
      <c r="O44" s="135">
        <v>6426</v>
      </c>
      <c r="P44" s="135">
        <f t="shared" si="10"/>
        <v>3213</v>
      </c>
      <c r="Q44" s="138">
        <f t="shared" si="12"/>
        <v>803</v>
      </c>
      <c r="R44" s="138">
        <f t="shared" si="13"/>
        <v>9639</v>
      </c>
    </row>
    <row r="45" spans="1:18" ht="15.6" customHeight="1" x14ac:dyDescent="0.2">
      <c r="A45" s="339">
        <v>39</v>
      </c>
      <c r="B45" s="133" t="s">
        <v>42</v>
      </c>
      <c r="C45" s="340">
        <f>'8_2.1.20 SIS'!BF45</f>
        <v>6</v>
      </c>
      <c r="D45" s="341">
        <f>'9_Per Pupil Summary'!Q45</f>
        <v>8732.4221734191597</v>
      </c>
      <c r="E45" s="342">
        <f t="shared" si="6"/>
        <v>52394.533040514958</v>
      </c>
      <c r="F45" s="342">
        <f>'9_Per Pupil Summary'!G45</f>
        <v>779.66</v>
      </c>
      <c r="G45" s="342">
        <f t="shared" si="7"/>
        <v>4677.96</v>
      </c>
      <c r="H45" s="343">
        <f t="shared" si="8"/>
        <v>57072</v>
      </c>
      <c r="I45" s="135">
        <v>9512</v>
      </c>
      <c r="J45" s="135">
        <v>0</v>
      </c>
      <c r="K45" s="139">
        <f t="shared" si="11"/>
        <v>9512</v>
      </c>
      <c r="L45" s="343">
        <f t="shared" si="3"/>
        <v>66584</v>
      </c>
      <c r="M45" s="341">
        <v>0</v>
      </c>
      <c r="N45" s="138">
        <f t="shared" si="9"/>
        <v>66584</v>
      </c>
      <c r="O45" s="135">
        <v>41218</v>
      </c>
      <c r="P45" s="135">
        <f t="shared" si="10"/>
        <v>25366</v>
      </c>
      <c r="Q45" s="138">
        <f t="shared" si="12"/>
        <v>6342</v>
      </c>
      <c r="R45" s="138">
        <f t="shared" si="13"/>
        <v>66584</v>
      </c>
    </row>
    <row r="46" spans="1:18" ht="15.6" customHeight="1" x14ac:dyDescent="0.2">
      <c r="A46" s="344">
        <v>40</v>
      </c>
      <c r="B46" s="147" t="s">
        <v>43</v>
      </c>
      <c r="C46" s="345">
        <f>'8_2.1.20 SIS'!BF46</f>
        <v>12</v>
      </c>
      <c r="D46" s="346">
        <f>'9_Per Pupil Summary'!Q46</f>
        <v>8811.3050792342219</v>
      </c>
      <c r="E46" s="347">
        <f t="shared" si="6"/>
        <v>105735.66095081066</v>
      </c>
      <c r="F46" s="347">
        <f>'9_Per Pupil Summary'!G46</f>
        <v>700.2700000000001</v>
      </c>
      <c r="G46" s="347">
        <f t="shared" si="7"/>
        <v>8403.2400000000016</v>
      </c>
      <c r="H46" s="348">
        <f t="shared" si="8"/>
        <v>114139</v>
      </c>
      <c r="I46" s="149">
        <v>76093</v>
      </c>
      <c r="J46" s="149">
        <v>-9512</v>
      </c>
      <c r="K46" s="153">
        <f t="shared" si="11"/>
        <v>66581</v>
      </c>
      <c r="L46" s="348">
        <f t="shared" si="3"/>
        <v>180720</v>
      </c>
      <c r="M46" s="346">
        <v>0</v>
      </c>
      <c r="N46" s="152">
        <f t="shared" si="9"/>
        <v>180720</v>
      </c>
      <c r="O46" s="155">
        <v>101458</v>
      </c>
      <c r="P46" s="149">
        <f t="shared" si="10"/>
        <v>79262</v>
      </c>
      <c r="Q46" s="156">
        <f t="shared" si="12"/>
        <v>19816</v>
      </c>
      <c r="R46" s="152">
        <f t="shared" si="13"/>
        <v>180720</v>
      </c>
    </row>
    <row r="47" spans="1:18" ht="15.6" customHeight="1" x14ac:dyDescent="0.2">
      <c r="A47" s="334">
        <v>41</v>
      </c>
      <c r="B47" s="115" t="s">
        <v>44</v>
      </c>
      <c r="C47" s="335">
        <f>'8_2.1.20 SIS'!BF47</f>
        <v>0</v>
      </c>
      <c r="D47" s="336">
        <f>'9_Per Pupil Summary'!Q47</f>
        <v>8907.396563706563</v>
      </c>
      <c r="E47" s="337">
        <f t="shared" si="6"/>
        <v>0</v>
      </c>
      <c r="F47" s="337">
        <f>'9_Per Pupil Summary'!G47</f>
        <v>886.22</v>
      </c>
      <c r="G47" s="337">
        <f t="shared" si="7"/>
        <v>0</v>
      </c>
      <c r="H47" s="338">
        <f t="shared" si="8"/>
        <v>0</v>
      </c>
      <c r="I47" s="117">
        <v>0</v>
      </c>
      <c r="J47" s="117">
        <v>0</v>
      </c>
      <c r="K47" s="121">
        <f t="shared" si="11"/>
        <v>0</v>
      </c>
      <c r="L47" s="338">
        <f t="shared" si="3"/>
        <v>0</v>
      </c>
      <c r="M47" s="336">
        <v>0</v>
      </c>
      <c r="N47" s="120">
        <f t="shared" si="9"/>
        <v>0</v>
      </c>
      <c r="O47" s="117">
        <v>0</v>
      </c>
      <c r="P47" s="117">
        <f t="shared" si="10"/>
        <v>0</v>
      </c>
      <c r="Q47" s="120">
        <f t="shared" si="12"/>
        <v>0</v>
      </c>
      <c r="R47" s="122">
        <f t="shared" si="13"/>
        <v>0</v>
      </c>
    </row>
    <row r="48" spans="1:18" ht="15.6" customHeight="1" x14ac:dyDescent="0.2">
      <c r="A48" s="339">
        <v>42</v>
      </c>
      <c r="B48" s="133" t="s">
        <v>45</v>
      </c>
      <c r="C48" s="340">
        <f>'8_2.1.20 SIS'!BF48</f>
        <v>3</v>
      </c>
      <c r="D48" s="341">
        <f>'9_Per Pupil Summary'!Q48</f>
        <v>9367.8114888155487</v>
      </c>
      <c r="E48" s="342">
        <f t="shared" si="6"/>
        <v>28103.434466446648</v>
      </c>
      <c r="F48" s="342">
        <f>'9_Per Pupil Summary'!G48</f>
        <v>534.28</v>
      </c>
      <c r="G48" s="342">
        <f t="shared" si="7"/>
        <v>1602.84</v>
      </c>
      <c r="H48" s="343">
        <f t="shared" si="8"/>
        <v>29706</v>
      </c>
      <c r="I48" s="135">
        <v>9902</v>
      </c>
      <c r="J48" s="135">
        <v>-4951</v>
      </c>
      <c r="K48" s="139">
        <f t="shared" si="11"/>
        <v>4951</v>
      </c>
      <c r="L48" s="343">
        <f t="shared" si="3"/>
        <v>34657</v>
      </c>
      <c r="M48" s="341">
        <v>0</v>
      </c>
      <c r="N48" s="138">
        <f t="shared" si="9"/>
        <v>34657</v>
      </c>
      <c r="O48" s="135">
        <v>23106</v>
      </c>
      <c r="P48" s="135">
        <f t="shared" si="10"/>
        <v>11551</v>
      </c>
      <c r="Q48" s="138">
        <f t="shared" si="12"/>
        <v>2888</v>
      </c>
      <c r="R48" s="138">
        <f t="shared" si="13"/>
        <v>34657</v>
      </c>
    </row>
    <row r="49" spans="1:18" ht="15.6" customHeight="1" x14ac:dyDescent="0.2">
      <c r="A49" s="339">
        <v>43</v>
      </c>
      <c r="B49" s="133" t="s">
        <v>46</v>
      </c>
      <c r="C49" s="340">
        <f>'8_2.1.20 SIS'!BF49</f>
        <v>12</v>
      </c>
      <c r="D49" s="341">
        <f>'9_Per Pupil Summary'!Q49</f>
        <v>9488.8764077669912</v>
      </c>
      <c r="E49" s="342">
        <f t="shared" si="6"/>
        <v>113866.51689320389</v>
      </c>
      <c r="F49" s="342">
        <f>'9_Per Pupil Summary'!G49</f>
        <v>574.6099999999999</v>
      </c>
      <c r="G49" s="342">
        <f t="shared" si="7"/>
        <v>6895.3199999999988</v>
      </c>
      <c r="H49" s="343">
        <f t="shared" si="8"/>
        <v>120762</v>
      </c>
      <c r="I49" s="135">
        <v>-20127</v>
      </c>
      <c r="J49" s="135">
        <v>0</v>
      </c>
      <c r="K49" s="139">
        <f t="shared" si="11"/>
        <v>-20127</v>
      </c>
      <c r="L49" s="343">
        <f t="shared" si="3"/>
        <v>100635</v>
      </c>
      <c r="M49" s="341">
        <v>0</v>
      </c>
      <c r="N49" s="138">
        <f t="shared" si="9"/>
        <v>100635</v>
      </c>
      <c r="O49" s="135">
        <v>73802</v>
      </c>
      <c r="P49" s="135">
        <f t="shared" si="10"/>
        <v>26833</v>
      </c>
      <c r="Q49" s="138">
        <f t="shared" si="12"/>
        <v>6708</v>
      </c>
      <c r="R49" s="138">
        <f t="shared" si="13"/>
        <v>100635</v>
      </c>
    </row>
    <row r="50" spans="1:18" ht="15.6" customHeight="1" x14ac:dyDescent="0.2">
      <c r="A50" s="339">
        <v>44</v>
      </c>
      <c r="B50" s="133" t="s">
        <v>47</v>
      </c>
      <c r="C50" s="340">
        <f>'8_2.1.20 SIS'!BF50</f>
        <v>4</v>
      </c>
      <c r="D50" s="341">
        <f>'9_Per Pupil Summary'!Q50</f>
        <v>8662.2609117725933</v>
      </c>
      <c r="E50" s="342">
        <f t="shared" si="6"/>
        <v>34649.043647090373</v>
      </c>
      <c r="F50" s="342">
        <f>'9_Per Pupil Summary'!G50</f>
        <v>663.16000000000008</v>
      </c>
      <c r="G50" s="342">
        <f t="shared" si="7"/>
        <v>2652.6400000000003</v>
      </c>
      <c r="H50" s="343">
        <f t="shared" si="8"/>
        <v>37302</v>
      </c>
      <c r="I50" s="135">
        <v>-9325</v>
      </c>
      <c r="J50" s="135">
        <v>0</v>
      </c>
      <c r="K50" s="139">
        <f t="shared" si="11"/>
        <v>-9325</v>
      </c>
      <c r="L50" s="343">
        <f t="shared" si="3"/>
        <v>27977</v>
      </c>
      <c r="M50" s="341">
        <v>0</v>
      </c>
      <c r="N50" s="138">
        <f t="shared" si="9"/>
        <v>27977</v>
      </c>
      <c r="O50" s="135">
        <v>21762</v>
      </c>
      <c r="P50" s="135">
        <f t="shared" si="10"/>
        <v>6215</v>
      </c>
      <c r="Q50" s="138">
        <f t="shared" si="12"/>
        <v>1554</v>
      </c>
      <c r="R50" s="138">
        <f t="shared" si="13"/>
        <v>27977</v>
      </c>
    </row>
    <row r="51" spans="1:18" ht="15.6" customHeight="1" x14ac:dyDescent="0.2">
      <c r="A51" s="344">
        <v>45</v>
      </c>
      <c r="B51" s="147" t="s">
        <v>48</v>
      </c>
      <c r="C51" s="345">
        <f>'8_2.1.20 SIS'!BF51</f>
        <v>5</v>
      </c>
      <c r="D51" s="346">
        <f>'9_Per Pupil Summary'!Q51</f>
        <v>7853.0362356170172</v>
      </c>
      <c r="E51" s="347">
        <f t="shared" si="6"/>
        <v>39265.181178085084</v>
      </c>
      <c r="F51" s="347">
        <f>'9_Per Pupil Summary'!G51</f>
        <v>753.96000000000015</v>
      </c>
      <c r="G51" s="347">
        <f t="shared" si="7"/>
        <v>3769.8000000000006</v>
      </c>
      <c r="H51" s="348">
        <f t="shared" si="8"/>
        <v>43035</v>
      </c>
      <c r="I51" s="149">
        <v>0</v>
      </c>
      <c r="J51" s="149">
        <v>-4303</v>
      </c>
      <c r="K51" s="153">
        <f t="shared" si="11"/>
        <v>-4303</v>
      </c>
      <c r="L51" s="348">
        <f t="shared" si="3"/>
        <v>38732</v>
      </c>
      <c r="M51" s="346">
        <v>0</v>
      </c>
      <c r="N51" s="152">
        <f t="shared" si="9"/>
        <v>38732</v>
      </c>
      <c r="O51" s="155">
        <v>28690</v>
      </c>
      <c r="P51" s="149">
        <f t="shared" si="10"/>
        <v>10042</v>
      </c>
      <c r="Q51" s="156">
        <f t="shared" si="12"/>
        <v>2511</v>
      </c>
      <c r="R51" s="152">
        <f t="shared" si="13"/>
        <v>38732</v>
      </c>
    </row>
    <row r="52" spans="1:18" ht="15.6" customHeight="1" x14ac:dyDescent="0.2">
      <c r="A52" s="334">
        <v>46</v>
      </c>
      <c r="B52" s="115" t="s">
        <v>49</v>
      </c>
      <c r="C52" s="335">
        <f>'8_2.1.20 SIS'!BF52</f>
        <v>0</v>
      </c>
      <c r="D52" s="336">
        <f>'9_Per Pupil Summary'!Q52</f>
        <v>10300.317552742616</v>
      </c>
      <c r="E52" s="337">
        <f t="shared" si="6"/>
        <v>0</v>
      </c>
      <c r="F52" s="337">
        <f>'9_Per Pupil Summary'!G52</f>
        <v>728.06</v>
      </c>
      <c r="G52" s="337">
        <f t="shared" si="7"/>
        <v>0</v>
      </c>
      <c r="H52" s="338">
        <f t="shared" si="8"/>
        <v>0</v>
      </c>
      <c r="I52" s="117">
        <v>11028</v>
      </c>
      <c r="J52" s="117">
        <v>0</v>
      </c>
      <c r="K52" s="121">
        <f t="shared" si="11"/>
        <v>11028</v>
      </c>
      <c r="L52" s="338">
        <f t="shared" si="3"/>
        <v>11028</v>
      </c>
      <c r="M52" s="336">
        <v>0</v>
      </c>
      <c r="N52" s="120">
        <f t="shared" si="9"/>
        <v>11028</v>
      </c>
      <c r="O52" s="117">
        <v>3676</v>
      </c>
      <c r="P52" s="117">
        <f t="shared" si="10"/>
        <v>7352</v>
      </c>
      <c r="Q52" s="120">
        <f t="shared" si="12"/>
        <v>1838</v>
      </c>
      <c r="R52" s="122">
        <f t="shared" si="13"/>
        <v>11028</v>
      </c>
    </row>
    <row r="53" spans="1:18" ht="15.6" customHeight="1" x14ac:dyDescent="0.2">
      <c r="A53" s="339">
        <v>47</v>
      </c>
      <c r="B53" s="133" t="s">
        <v>50</v>
      </c>
      <c r="C53" s="340">
        <f>'8_2.1.20 SIS'!BF53</f>
        <v>1</v>
      </c>
      <c r="D53" s="341">
        <f>'9_Per Pupil Summary'!Q53</f>
        <v>8625.0299001426538</v>
      </c>
      <c r="E53" s="342">
        <f t="shared" si="6"/>
        <v>8625.0299001426538</v>
      </c>
      <c r="F53" s="342">
        <f>'9_Per Pupil Summary'!G53</f>
        <v>910.76</v>
      </c>
      <c r="G53" s="342">
        <f t="shared" si="7"/>
        <v>910.76</v>
      </c>
      <c r="H53" s="343">
        <f t="shared" si="8"/>
        <v>9536</v>
      </c>
      <c r="I53" s="135">
        <v>0</v>
      </c>
      <c r="J53" s="135">
        <v>0</v>
      </c>
      <c r="K53" s="139">
        <f t="shared" si="11"/>
        <v>0</v>
      </c>
      <c r="L53" s="343">
        <f t="shared" si="3"/>
        <v>9536</v>
      </c>
      <c r="M53" s="341">
        <v>0</v>
      </c>
      <c r="N53" s="138">
        <f t="shared" si="9"/>
        <v>9536</v>
      </c>
      <c r="O53" s="135">
        <v>6358</v>
      </c>
      <c r="P53" s="135">
        <f t="shared" si="10"/>
        <v>3178</v>
      </c>
      <c r="Q53" s="138">
        <f t="shared" si="12"/>
        <v>795</v>
      </c>
      <c r="R53" s="138">
        <f t="shared" si="13"/>
        <v>9536</v>
      </c>
    </row>
    <row r="54" spans="1:18" ht="15.6" customHeight="1" x14ac:dyDescent="0.2">
      <c r="A54" s="339">
        <v>48</v>
      </c>
      <c r="B54" s="133" t="s">
        <v>73</v>
      </c>
      <c r="C54" s="340">
        <f>'8_2.1.20 SIS'!BF54</f>
        <v>2</v>
      </c>
      <c r="D54" s="341">
        <f>'9_Per Pupil Summary'!Q54</f>
        <v>8783.503996554693</v>
      </c>
      <c r="E54" s="342">
        <f t="shared" si="6"/>
        <v>17567.007993109386</v>
      </c>
      <c r="F54" s="342">
        <f>'9_Per Pupil Summary'!G54</f>
        <v>871.07</v>
      </c>
      <c r="G54" s="342">
        <f t="shared" si="7"/>
        <v>1742.14</v>
      </c>
      <c r="H54" s="343">
        <f t="shared" si="8"/>
        <v>19309</v>
      </c>
      <c r="I54" s="135">
        <v>0</v>
      </c>
      <c r="J54" s="135">
        <v>0</v>
      </c>
      <c r="K54" s="139">
        <f t="shared" si="11"/>
        <v>0</v>
      </c>
      <c r="L54" s="343">
        <f t="shared" si="3"/>
        <v>19309</v>
      </c>
      <c r="M54" s="341">
        <v>0</v>
      </c>
      <c r="N54" s="138">
        <f t="shared" si="9"/>
        <v>19309</v>
      </c>
      <c r="O54" s="135">
        <v>12872</v>
      </c>
      <c r="P54" s="135">
        <f t="shared" si="10"/>
        <v>6437</v>
      </c>
      <c r="Q54" s="138">
        <f t="shared" si="12"/>
        <v>1609</v>
      </c>
      <c r="R54" s="138">
        <f t="shared" si="13"/>
        <v>19309</v>
      </c>
    </row>
    <row r="55" spans="1:18" ht="15.6" customHeight="1" x14ac:dyDescent="0.2">
      <c r="A55" s="339">
        <v>49</v>
      </c>
      <c r="B55" s="133" t="s">
        <v>51</v>
      </c>
      <c r="C55" s="340">
        <f>'8_2.1.20 SIS'!BF55</f>
        <v>10</v>
      </c>
      <c r="D55" s="341">
        <f>'9_Per Pupil Summary'!Q55</f>
        <v>8267.8495137012724</v>
      </c>
      <c r="E55" s="342">
        <f t="shared" si="6"/>
        <v>82678.495137012724</v>
      </c>
      <c r="F55" s="342">
        <f>'9_Per Pupil Summary'!G55</f>
        <v>574.43999999999994</v>
      </c>
      <c r="G55" s="342">
        <f t="shared" si="7"/>
        <v>5744.4</v>
      </c>
      <c r="H55" s="343">
        <f t="shared" si="8"/>
        <v>88423</v>
      </c>
      <c r="I55" s="135">
        <v>-17685</v>
      </c>
      <c r="J55" s="135">
        <v>0</v>
      </c>
      <c r="K55" s="139">
        <f t="shared" si="11"/>
        <v>-17685</v>
      </c>
      <c r="L55" s="343">
        <f t="shared" si="3"/>
        <v>70738</v>
      </c>
      <c r="M55" s="341">
        <v>0</v>
      </c>
      <c r="N55" s="138">
        <f t="shared" si="9"/>
        <v>70738</v>
      </c>
      <c r="O55" s="135">
        <v>53056</v>
      </c>
      <c r="P55" s="135">
        <f t="shared" si="10"/>
        <v>17682</v>
      </c>
      <c r="Q55" s="138">
        <f t="shared" si="12"/>
        <v>4421</v>
      </c>
      <c r="R55" s="138">
        <f t="shared" si="13"/>
        <v>70738</v>
      </c>
    </row>
    <row r="56" spans="1:18" ht="15.6" customHeight="1" x14ac:dyDescent="0.2">
      <c r="A56" s="344">
        <v>50</v>
      </c>
      <c r="B56" s="147" t="s">
        <v>52</v>
      </c>
      <c r="C56" s="345">
        <f>'8_2.1.20 SIS'!BF56</f>
        <v>5</v>
      </c>
      <c r="D56" s="346">
        <f>'9_Per Pupil Summary'!Q56</f>
        <v>8711.0049539794272</v>
      </c>
      <c r="E56" s="347">
        <f t="shared" si="6"/>
        <v>43555.024769897136</v>
      </c>
      <c r="F56" s="347">
        <f>'9_Per Pupil Summary'!G56</f>
        <v>634.46</v>
      </c>
      <c r="G56" s="347">
        <f t="shared" si="7"/>
        <v>3172.3</v>
      </c>
      <c r="H56" s="348">
        <f t="shared" si="8"/>
        <v>46727</v>
      </c>
      <c r="I56" s="149">
        <v>-9345</v>
      </c>
      <c r="J56" s="149">
        <v>0</v>
      </c>
      <c r="K56" s="153">
        <f t="shared" si="11"/>
        <v>-9345</v>
      </c>
      <c r="L56" s="348">
        <f t="shared" si="3"/>
        <v>37382</v>
      </c>
      <c r="M56" s="346">
        <v>0</v>
      </c>
      <c r="N56" s="152">
        <f t="shared" si="9"/>
        <v>37382</v>
      </c>
      <c r="O56" s="155">
        <v>28036</v>
      </c>
      <c r="P56" s="149">
        <f t="shared" si="10"/>
        <v>9346</v>
      </c>
      <c r="Q56" s="156">
        <f t="shared" si="12"/>
        <v>2337</v>
      </c>
      <c r="R56" s="152">
        <f t="shared" si="13"/>
        <v>37382</v>
      </c>
    </row>
    <row r="57" spans="1:18" ht="15.6" customHeight="1" x14ac:dyDescent="0.2">
      <c r="A57" s="334">
        <v>51</v>
      </c>
      <c r="B57" s="115" t="s">
        <v>53</v>
      </c>
      <c r="C57" s="335">
        <f>'8_2.1.20 SIS'!BF57</f>
        <v>1</v>
      </c>
      <c r="D57" s="336">
        <f>'9_Per Pupil Summary'!Q57</f>
        <v>9158.3445218879933</v>
      </c>
      <c r="E57" s="337">
        <f t="shared" si="6"/>
        <v>9158.3445218879933</v>
      </c>
      <c r="F57" s="337">
        <f>'9_Per Pupil Summary'!G57</f>
        <v>706.66</v>
      </c>
      <c r="G57" s="337">
        <f t="shared" si="7"/>
        <v>706.66</v>
      </c>
      <c r="H57" s="338">
        <f t="shared" si="8"/>
        <v>9865</v>
      </c>
      <c r="I57" s="117">
        <v>29595</v>
      </c>
      <c r="J57" s="117">
        <v>-4933</v>
      </c>
      <c r="K57" s="121">
        <f t="shared" si="11"/>
        <v>24662</v>
      </c>
      <c r="L57" s="338">
        <f t="shared" si="3"/>
        <v>34527</v>
      </c>
      <c r="M57" s="336">
        <v>0</v>
      </c>
      <c r="N57" s="120">
        <f t="shared" si="9"/>
        <v>34527</v>
      </c>
      <c r="O57" s="117">
        <v>16442</v>
      </c>
      <c r="P57" s="117">
        <f t="shared" si="10"/>
        <v>18085</v>
      </c>
      <c r="Q57" s="120">
        <f t="shared" si="12"/>
        <v>4521</v>
      </c>
      <c r="R57" s="122">
        <f t="shared" si="13"/>
        <v>34527</v>
      </c>
    </row>
    <row r="58" spans="1:18" ht="15.6" customHeight="1" x14ac:dyDescent="0.2">
      <c r="A58" s="339">
        <v>52</v>
      </c>
      <c r="B58" s="133" t="s">
        <v>54</v>
      </c>
      <c r="C58" s="340">
        <f>'8_2.1.20 SIS'!BF58</f>
        <v>30</v>
      </c>
      <c r="D58" s="341">
        <f>'9_Per Pupil Summary'!Q58</f>
        <v>9045.3056570647605</v>
      </c>
      <c r="E58" s="342">
        <f t="shared" si="6"/>
        <v>271359.16971194278</v>
      </c>
      <c r="F58" s="342">
        <f>'9_Per Pupil Summary'!G58</f>
        <v>658.37</v>
      </c>
      <c r="G58" s="342">
        <f t="shared" si="7"/>
        <v>19751.099999999999</v>
      </c>
      <c r="H58" s="343">
        <f t="shared" si="8"/>
        <v>291110</v>
      </c>
      <c r="I58" s="135">
        <v>9704</v>
      </c>
      <c r="J58" s="135">
        <v>0</v>
      </c>
      <c r="K58" s="139">
        <f t="shared" si="11"/>
        <v>9704</v>
      </c>
      <c r="L58" s="343">
        <f t="shared" si="3"/>
        <v>300814</v>
      </c>
      <c r="M58" s="341">
        <v>0</v>
      </c>
      <c r="N58" s="138">
        <f t="shared" si="9"/>
        <v>300814</v>
      </c>
      <c r="O58" s="135">
        <v>197308</v>
      </c>
      <c r="P58" s="135">
        <f t="shared" si="10"/>
        <v>103506</v>
      </c>
      <c r="Q58" s="138">
        <f t="shared" si="12"/>
        <v>25877</v>
      </c>
      <c r="R58" s="138">
        <f t="shared" si="13"/>
        <v>300814</v>
      </c>
    </row>
    <row r="59" spans="1:18" ht="15.6" customHeight="1" x14ac:dyDescent="0.2">
      <c r="A59" s="339">
        <v>53</v>
      </c>
      <c r="B59" s="133" t="s">
        <v>55</v>
      </c>
      <c r="C59" s="340">
        <f>'8_2.1.20 SIS'!BF59</f>
        <v>13</v>
      </c>
      <c r="D59" s="341">
        <f>'9_Per Pupil Summary'!Q59</f>
        <v>8102.7274443178285</v>
      </c>
      <c r="E59" s="342">
        <f t="shared" si="6"/>
        <v>105335.45677613177</v>
      </c>
      <c r="F59" s="342">
        <f>'9_Per Pupil Summary'!G59</f>
        <v>689.74</v>
      </c>
      <c r="G59" s="342">
        <f t="shared" si="7"/>
        <v>8966.6200000000008</v>
      </c>
      <c r="H59" s="343">
        <f t="shared" si="8"/>
        <v>114302</v>
      </c>
      <c r="I59" s="135">
        <v>0</v>
      </c>
      <c r="J59" s="135">
        <v>0</v>
      </c>
      <c r="K59" s="139">
        <f t="shared" si="11"/>
        <v>0</v>
      </c>
      <c r="L59" s="343">
        <f t="shared" si="3"/>
        <v>114302</v>
      </c>
      <c r="M59" s="341">
        <v>0</v>
      </c>
      <c r="N59" s="138">
        <f t="shared" si="9"/>
        <v>114302</v>
      </c>
      <c r="O59" s="135">
        <v>76200</v>
      </c>
      <c r="P59" s="135">
        <f t="shared" si="10"/>
        <v>38102</v>
      </c>
      <c r="Q59" s="138">
        <f t="shared" si="12"/>
        <v>9526</v>
      </c>
      <c r="R59" s="138">
        <f t="shared" si="13"/>
        <v>114302</v>
      </c>
    </row>
    <row r="60" spans="1:18" ht="15.6" customHeight="1" x14ac:dyDescent="0.2">
      <c r="A60" s="339">
        <v>54</v>
      </c>
      <c r="B60" s="133" t="s">
        <v>56</v>
      </c>
      <c r="C60" s="340">
        <f>'8_2.1.20 SIS'!BF60</f>
        <v>0</v>
      </c>
      <c r="D60" s="341">
        <f>'9_Per Pupil Summary'!Q60</f>
        <v>10372.70310043668</v>
      </c>
      <c r="E60" s="342">
        <f t="shared" si="6"/>
        <v>0</v>
      </c>
      <c r="F60" s="342">
        <f>'9_Per Pupil Summary'!G60</f>
        <v>951.45</v>
      </c>
      <c r="G60" s="342">
        <f t="shared" si="7"/>
        <v>0</v>
      </c>
      <c r="H60" s="343">
        <f t="shared" si="8"/>
        <v>0</v>
      </c>
      <c r="I60" s="135">
        <v>0</v>
      </c>
      <c r="J60" s="135">
        <v>0</v>
      </c>
      <c r="K60" s="139">
        <f t="shared" si="11"/>
        <v>0</v>
      </c>
      <c r="L60" s="343">
        <f t="shared" si="3"/>
        <v>0</v>
      </c>
      <c r="M60" s="341">
        <v>0</v>
      </c>
      <c r="N60" s="138">
        <f t="shared" si="9"/>
        <v>0</v>
      </c>
      <c r="O60" s="135">
        <v>0</v>
      </c>
      <c r="P60" s="135">
        <f t="shared" si="10"/>
        <v>0</v>
      </c>
      <c r="Q60" s="138">
        <f t="shared" si="12"/>
        <v>0</v>
      </c>
      <c r="R60" s="138">
        <f t="shared" si="13"/>
        <v>0</v>
      </c>
    </row>
    <row r="61" spans="1:18" ht="15.6" customHeight="1" x14ac:dyDescent="0.2">
      <c r="A61" s="344">
        <v>55</v>
      </c>
      <c r="B61" s="147" t="s">
        <v>57</v>
      </c>
      <c r="C61" s="345">
        <f>'8_2.1.20 SIS'!BF61</f>
        <v>7</v>
      </c>
      <c r="D61" s="346">
        <f>'9_Per Pupil Summary'!Q61</f>
        <v>8504.1642533936647</v>
      </c>
      <c r="E61" s="347">
        <f t="shared" si="6"/>
        <v>59529.149773755649</v>
      </c>
      <c r="F61" s="347">
        <f>'9_Per Pupil Summary'!G61</f>
        <v>795.14</v>
      </c>
      <c r="G61" s="347">
        <f t="shared" si="7"/>
        <v>5565.98</v>
      </c>
      <c r="H61" s="348">
        <f t="shared" si="8"/>
        <v>65095</v>
      </c>
      <c r="I61" s="149">
        <v>65095</v>
      </c>
      <c r="J61" s="149">
        <v>-4650</v>
      </c>
      <c r="K61" s="153">
        <f t="shared" si="11"/>
        <v>60445</v>
      </c>
      <c r="L61" s="348">
        <f t="shared" si="3"/>
        <v>125540</v>
      </c>
      <c r="M61" s="346">
        <v>0</v>
      </c>
      <c r="N61" s="152">
        <f t="shared" si="9"/>
        <v>125540</v>
      </c>
      <c r="O61" s="155">
        <v>65096</v>
      </c>
      <c r="P61" s="149">
        <f t="shared" si="10"/>
        <v>60444</v>
      </c>
      <c r="Q61" s="156">
        <f t="shared" si="12"/>
        <v>15111</v>
      </c>
      <c r="R61" s="152">
        <f t="shared" si="13"/>
        <v>125540</v>
      </c>
    </row>
    <row r="62" spans="1:18" ht="15.6" customHeight="1" x14ac:dyDescent="0.2">
      <c r="A62" s="334">
        <v>56</v>
      </c>
      <c r="B62" s="115" t="s">
        <v>58</v>
      </c>
      <c r="C62" s="335">
        <f>'8_2.1.20 SIS'!BF62</f>
        <v>0</v>
      </c>
      <c r="D62" s="336">
        <f>'9_Per Pupil Summary'!Q62</f>
        <v>9642.638731218698</v>
      </c>
      <c r="E62" s="337">
        <f t="shared" si="6"/>
        <v>0</v>
      </c>
      <c r="F62" s="337">
        <f>'9_Per Pupil Summary'!G62</f>
        <v>614.66000000000008</v>
      </c>
      <c r="G62" s="337">
        <f t="shared" si="7"/>
        <v>0</v>
      </c>
      <c r="H62" s="338">
        <f t="shared" si="8"/>
        <v>0</v>
      </c>
      <c r="I62" s="117">
        <v>0</v>
      </c>
      <c r="J62" s="117">
        <v>0</v>
      </c>
      <c r="K62" s="121">
        <f t="shared" si="11"/>
        <v>0</v>
      </c>
      <c r="L62" s="338">
        <f t="shared" si="3"/>
        <v>0</v>
      </c>
      <c r="M62" s="336">
        <v>0</v>
      </c>
      <c r="N62" s="120">
        <f t="shared" si="9"/>
        <v>0</v>
      </c>
      <c r="O62" s="117">
        <v>0</v>
      </c>
      <c r="P62" s="117">
        <f t="shared" si="10"/>
        <v>0</v>
      </c>
      <c r="Q62" s="120">
        <f t="shared" si="12"/>
        <v>0</v>
      </c>
      <c r="R62" s="122">
        <f t="shared" si="13"/>
        <v>0</v>
      </c>
    </row>
    <row r="63" spans="1:18" ht="15.6" customHeight="1" x14ac:dyDescent="0.2">
      <c r="A63" s="339">
        <v>57</v>
      </c>
      <c r="B63" s="133" t="s">
        <v>59</v>
      </c>
      <c r="C63" s="340">
        <f>'8_2.1.20 SIS'!BF63</f>
        <v>2</v>
      </c>
      <c r="D63" s="341">
        <f>'9_Per Pupil Summary'!Q63</f>
        <v>8035.5839914163089</v>
      </c>
      <c r="E63" s="342">
        <f t="shared" si="6"/>
        <v>16071.167982832618</v>
      </c>
      <c r="F63" s="342">
        <f>'9_Per Pupil Summary'!G63</f>
        <v>764.51</v>
      </c>
      <c r="G63" s="342">
        <f t="shared" si="7"/>
        <v>1529.02</v>
      </c>
      <c r="H63" s="343">
        <f t="shared" si="8"/>
        <v>17600</v>
      </c>
      <c r="I63" s="135">
        <v>8800</v>
      </c>
      <c r="J63" s="135">
        <v>-4400</v>
      </c>
      <c r="K63" s="139">
        <f t="shared" si="11"/>
        <v>4400</v>
      </c>
      <c r="L63" s="343">
        <f t="shared" si="3"/>
        <v>22000</v>
      </c>
      <c r="M63" s="341">
        <v>0</v>
      </c>
      <c r="N63" s="138">
        <f t="shared" si="9"/>
        <v>22000</v>
      </c>
      <c r="O63" s="135">
        <v>14668</v>
      </c>
      <c r="P63" s="135">
        <f t="shared" si="10"/>
        <v>7332</v>
      </c>
      <c r="Q63" s="138">
        <f t="shared" si="12"/>
        <v>1833</v>
      </c>
      <c r="R63" s="138">
        <f t="shared" si="13"/>
        <v>22000</v>
      </c>
    </row>
    <row r="64" spans="1:18" ht="15.6" customHeight="1" x14ac:dyDescent="0.2">
      <c r="A64" s="339">
        <v>58</v>
      </c>
      <c r="B64" s="133" t="s">
        <v>60</v>
      </c>
      <c r="C64" s="340">
        <f>'8_2.1.20 SIS'!BF64</f>
        <v>6</v>
      </c>
      <c r="D64" s="341">
        <f>'9_Per Pupil Summary'!Q64</f>
        <v>8601.041609080703</v>
      </c>
      <c r="E64" s="342">
        <f t="shared" si="6"/>
        <v>51606.249654484214</v>
      </c>
      <c r="F64" s="342">
        <f>'9_Per Pupil Summary'!G64</f>
        <v>697.04</v>
      </c>
      <c r="G64" s="342">
        <f t="shared" si="7"/>
        <v>4182.24</v>
      </c>
      <c r="H64" s="343">
        <f t="shared" si="8"/>
        <v>55788</v>
      </c>
      <c r="I64" s="135">
        <v>0</v>
      </c>
      <c r="J64" s="135">
        <v>0</v>
      </c>
      <c r="K64" s="139">
        <f t="shared" si="11"/>
        <v>0</v>
      </c>
      <c r="L64" s="343">
        <f t="shared" si="3"/>
        <v>55788</v>
      </c>
      <c r="M64" s="341">
        <v>0</v>
      </c>
      <c r="N64" s="138">
        <f t="shared" si="9"/>
        <v>55788</v>
      </c>
      <c r="O64" s="135">
        <v>37192</v>
      </c>
      <c r="P64" s="135">
        <f t="shared" si="10"/>
        <v>18596</v>
      </c>
      <c r="Q64" s="138">
        <f t="shared" si="12"/>
        <v>4649</v>
      </c>
      <c r="R64" s="138">
        <f t="shared" si="13"/>
        <v>55788</v>
      </c>
    </row>
    <row r="65" spans="1:18" ht="15.6" customHeight="1" x14ac:dyDescent="0.2">
      <c r="A65" s="339">
        <v>59</v>
      </c>
      <c r="B65" s="133" t="s">
        <v>61</v>
      </c>
      <c r="C65" s="340">
        <f>'8_2.1.20 SIS'!BF65</f>
        <v>0</v>
      </c>
      <c r="D65" s="341">
        <f>'9_Per Pupil Summary'!Q65</f>
        <v>8298.6085085085087</v>
      </c>
      <c r="E65" s="342">
        <f t="shared" si="6"/>
        <v>0</v>
      </c>
      <c r="F65" s="342">
        <f>'9_Per Pupil Summary'!G65</f>
        <v>689.52</v>
      </c>
      <c r="G65" s="342">
        <f t="shared" si="7"/>
        <v>0</v>
      </c>
      <c r="H65" s="343">
        <f t="shared" si="8"/>
        <v>0</v>
      </c>
      <c r="I65" s="135">
        <v>0</v>
      </c>
      <c r="J65" s="135">
        <v>0</v>
      </c>
      <c r="K65" s="139">
        <f t="shared" si="11"/>
        <v>0</v>
      </c>
      <c r="L65" s="343">
        <f t="shared" si="3"/>
        <v>0</v>
      </c>
      <c r="M65" s="341">
        <v>0</v>
      </c>
      <c r="N65" s="138">
        <f t="shared" si="9"/>
        <v>0</v>
      </c>
      <c r="O65" s="135">
        <v>0</v>
      </c>
      <c r="P65" s="135">
        <f t="shared" si="10"/>
        <v>0</v>
      </c>
      <c r="Q65" s="138">
        <f t="shared" si="12"/>
        <v>0</v>
      </c>
      <c r="R65" s="138">
        <f t="shared" si="13"/>
        <v>0</v>
      </c>
    </row>
    <row r="66" spans="1:18" ht="15.6" customHeight="1" x14ac:dyDescent="0.2">
      <c r="A66" s="344">
        <v>60</v>
      </c>
      <c r="B66" s="147" t="s">
        <v>62</v>
      </c>
      <c r="C66" s="345">
        <f>'8_2.1.20 SIS'!BF66</f>
        <v>1</v>
      </c>
      <c r="D66" s="346">
        <f>'9_Per Pupil Summary'!Q66</f>
        <v>9372.658072247903</v>
      </c>
      <c r="E66" s="347">
        <f t="shared" si="6"/>
        <v>9372.658072247903</v>
      </c>
      <c r="F66" s="347">
        <f>'9_Per Pupil Summary'!G66</f>
        <v>594.04</v>
      </c>
      <c r="G66" s="347">
        <f t="shared" si="7"/>
        <v>594.04</v>
      </c>
      <c r="H66" s="348">
        <f t="shared" si="8"/>
        <v>9967</v>
      </c>
      <c r="I66" s="149">
        <v>0</v>
      </c>
      <c r="J66" s="149">
        <v>0</v>
      </c>
      <c r="K66" s="153">
        <f t="shared" si="11"/>
        <v>0</v>
      </c>
      <c r="L66" s="348">
        <f t="shared" si="3"/>
        <v>9967</v>
      </c>
      <c r="M66" s="346">
        <v>0</v>
      </c>
      <c r="N66" s="152">
        <f t="shared" si="9"/>
        <v>9967</v>
      </c>
      <c r="O66" s="155">
        <v>6646</v>
      </c>
      <c r="P66" s="149">
        <f t="shared" si="10"/>
        <v>3321</v>
      </c>
      <c r="Q66" s="156">
        <f t="shared" si="12"/>
        <v>830</v>
      </c>
      <c r="R66" s="152">
        <f t="shared" si="13"/>
        <v>9967</v>
      </c>
    </row>
    <row r="67" spans="1:18" ht="15.6" customHeight="1" x14ac:dyDescent="0.2">
      <c r="A67" s="334">
        <v>61</v>
      </c>
      <c r="B67" s="115" t="s">
        <v>63</v>
      </c>
      <c r="C67" s="335">
        <f>'8_2.1.20 SIS'!BF67</f>
        <v>2</v>
      </c>
      <c r="D67" s="336">
        <f>'9_Per Pupil Summary'!Q67</f>
        <v>8459.4492364990692</v>
      </c>
      <c r="E67" s="337">
        <f t="shared" si="6"/>
        <v>16918.898472998138</v>
      </c>
      <c r="F67" s="337">
        <f>'9_Per Pupil Summary'!G67</f>
        <v>833.70999999999992</v>
      </c>
      <c r="G67" s="337">
        <f t="shared" si="7"/>
        <v>1667.4199999999998</v>
      </c>
      <c r="H67" s="338">
        <f t="shared" si="8"/>
        <v>18586</v>
      </c>
      <c r="I67" s="117">
        <v>0</v>
      </c>
      <c r="J67" s="117">
        <v>0</v>
      </c>
      <c r="K67" s="121">
        <f t="shared" si="11"/>
        <v>0</v>
      </c>
      <c r="L67" s="338">
        <f t="shared" si="3"/>
        <v>18586</v>
      </c>
      <c r="M67" s="336">
        <v>0</v>
      </c>
      <c r="N67" s="120">
        <f t="shared" si="9"/>
        <v>18586</v>
      </c>
      <c r="O67" s="117">
        <v>12392</v>
      </c>
      <c r="P67" s="117">
        <f t="shared" si="10"/>
        <v>6194</v>
      </c>
      <c r="Q67" s="120">
        <f t="shared" si="12"/>
        <v>1549</v>
      </c>
      <c r="R67" s="122">
        <f t="shared" si="13"/>
        <v>18586</v>
      </c>
    </row>
    <row r="68" spans="1:18" ht="15.6" customHeight="1" x14ac:dyDescent="0.2">
      <c r="A68" s="339">
        <v>62</v>
      </c>
      <c r="B68" s="133" t="s">
        <v>64</v>
      </c>
      <c r="C68" s="340">
        <f>'8_2.1.20 SIS'!BF68</f>
        <v>2</v>
      </c>
      <c r="D68" s="341">
        <f>'9_Per Pupil Summary'!Q68</f>
        <v>8654.1952201257864</v>
      </c>
      <c r="E68" s="342">
        <f t="shared" si="6"/>
        <v>17308.390440251573</v>
      </c>
      <c r="F68" s="342">
        <f>'9_Per Pupil Summary'!G68</f>
        <v>516.08000000000004</v>
      </c>
      <c r="G68" s="342">
        <f t="shared" si="7"/>
        <v>1032.1600000000001</v>
      </c>
      <c r="H68" s="343">
        <f t="shared" si="8"/>
        <v>18341</v>
      </c>
      <c r="I68" s="135">
        <v>0</v>
      </c>
      <c r="J68" s="135">
        <v>-4585</v>
      </c>
      <c r="K68" s="139">
        <f t="shared" si="11"/>
        <v>-4585</v>
      </c>
      <c r="L68" s="343">
        <f t="shared" si="3"/>
        <v>13756</v>
      </c>
      <c r="M68" s="341">
        <v>0</v>
      </c>
      <c r="N68" s="138">
        <f t="shared" si="9"/>
        <v>13756</v>
      </c>
      <c r="O68" s="135">
        <v>12226</v>
      </c>
      <c r="P68" s="135">
        <f t="shared" si="10"/>
        <v>1530</v>
      </c>
      <c r="Q68" s="138">
        <f t="shared" si="12"/>
        <v>383</v>
      </c>
      <c r="R68" s="138">
        <f t="shared" si="13"/>
        <v>13756</v>
      </c>
    </row>
    <row r="69" spans="1:18" ht="15.6" customHeight="1" x14ac:dyDescent="0.2">
      <c r="A69" s="339">
        <v>63</v>
      </c>
      <c r="B69" s="133" t="s">
        <v>65</v>
      </c>
      <c r="C69" s="340">
        <f>'8_2.1.20 SIS'!BF69</f>
        <v>2</v>
      </c>
      <c r="D69" s="341">
        <f>'9_Per Pupil Summary'!Q69</f>
        <v>8941.0284557081941</v>
      </c>
      <c r="E69" s="342">
        <f t="shared" si="6"/>
        <v>17882.056911416388</v>
      </c>
      <c r="F69" s="342">
        <f>'9_Per Pupil Summary'!G69</f>
        <v>756.79</v>
      </c>
      <c r="G69" s="342">
        <f t="shared" si="7"/>
        <v>1513.58</v>
      </c>
      <c r="H69" s="343">
        <f t="shared" si="8"/>
        <v>19396</v>
      </c>
      <c r="I69" s="135">
        <v>0</v>
      </c>
      <c r="J69" s="135">
        <v>0</v>
      </c>
      <c r="K69" s="139">
        <f t="shared" si="11"/>
        <v>0</v>
      </c>
      <c r="L69" s="343">
        <f t="shared" si="3"/>
        <v>19396</v>
      </c>
      <c r="M69" s="341">
        <v>0</v>
      </c>
      <c r="N69" s="138">
        <f t="shared" si="9"/>
        <v>19396</v>
      </c>
      <c r="O69" s="135">
        <v>12930</v>
      </c>
      <c r="P69" s="135">
        <f t="shared" si="10"/>
        <v>6466</v>
      </c>
      <c r="Q69" s="138">
        <f t="shared" si="12"/>
        <v>1617</v>
      </c>
      <c r="R69" s="138">
        <f t="shared" si="13"/>
        <v>19396</v>
      </c>
    </row>
    <row r="70" spans="1:18" ht="15.6" customHeight="1" x14ac:dyDescent="0.2">
      <c r="A70" s="339">
        <v>64</v>
      </c>
      <c r="B70" s="133" t="s">
        <v>66</v>
      </c>
      <c r="C70" s="340">
        <f>'8_2.1.20 SIS'!BF70</f>
        <v>0</v>
      </c>
      <c r="D70" s="341">
        <f>'9_Per Pupil Summary'!Q70</f>
        <v>10269.903842364532</v>
      </c>
      <c r="E70" s="342">
        <f t="shared" si="6"/>
        <v>0</v>
      </c>
      <c r="F70" s="342">
        <f>'9_Per Pupil Summary'!G70</f>
        <v>592.66</v>
      </c>
      <c r="G70" s="342">
        <f t="shared" si="7"/>
        <v>0</v>
      </c>
      <c r="H70" s="343">
        <f t="shared" si="8"/>
        <v>0</v>
      </c>
      <c r="I70" s="135">
        <v>0</v>
      </c>
      <c r="J70" s="135">
        <v>0</v>
      </c>
      <c r="K70" s="139">
        <f t="shared" si="11"/>
        <v>0</v>
      </c>
      <c r="L70" s="343">
        <f t="shared" si="3"/>
        <v>0</v>
      </c>
      <c r="M70" s="341">
        <v>0</v>
      </c>
      <c r="N70" s="138">
        <f t="shared" si="9"/>
        <v>0</v>
      </c>
      <c r="O70" s="135">
        <v>0</v>
      </c>
      <c r="P70" s="135">
        <f t="shared" si="10"/>
        <v>0</v>
      </c>
      <c r="Q70" s="138">
        <f t="shared" si="12"/>
        <v>0</v>
      </c>
      <c r="R70" s="138">
        <f t="shared" si="13"/>
        <v>0</v>
      </c>
    </row>
    <row r="71" spans="1:18" ht="15.6" customHeight="1" x14ac:dyDescent="0.2">
      <c r="A71" s="344">
        <v>65</v>
      </c>
      <c r="B71" s="147" t="s">
        <v>67</v>
      </c>
      <c r="C71" s="345">
        <f>'8_2.1.20 SIS'!BF71</f>
        <v>2</v>
      </c>
      <c r="D71" s="346">
        <f>'9_Per Pupil Summary'!Q71</f>
        <v>9153.3326415094343</v>
      </c>
      <c r="E71" s="347">
        <f t="shared" si="6"/>
        <v>18306.665283018869</v>
      </c>
      <c r="F71" s="347">
        <f>'9_Per Pupil Summary'!G71</f>
        <v>829.12</v>
      </c>
      <c r="G71" s="347">
        <f t="shared" si="7"/>
        <v>1658.24</v>
      </c>
      <c r="H71" s="348">
        <f t="shared" si="8"/>
        <v>19965</v>
      </c>
      <c r="I71" s="149">
        <v>0</v>
      </c>
      <c r="J71" s="149">
        <v>0</v>
      </c>
      <c r="K71" s="153">
        <f>I71+J71</f>
        <v>0</v>
      </c>
      <c r="L71" s="348">
        <f>K71+H71</f>
        <v>19965</v>
      </c>
      <c r="M71" s="346">
        <v>0</v>
      </c>
      <c r="N71" s="152">
        <f t="shared" si="9"/>
        <v>19965</v>
      </c>
      <c r="O71" s="155">
        <v>13312</v>
      </c>
      <c r="P71" s="149">
        <f t="shared" si="10"/>
        <v>6653</v>
      </c>
      <c r="Q71" s="156">
        <f>ROUND(P71/$Q$86,0)</f>
        <v>1663</v>
      </c>
      <c r="R71" s="152">
        <f t="shared" si="13"/>
        <v>19965</v>
      </c>
    </row>
    <row r="72" spans="1:18" ht="15.6" customHeight="1" x14ac:dyDescent="0.2">
      <c r="A72" s="339">
        <v>66</v>
      </c>
      <c r="B72" s="133" t="s">
        <v>68</v>
      </c>
      <c r="C72" s="349">
        <f>'8_2.1.20 SIS'!BF72</f>
        <v>0</v>
      </c>
      <c r="D72" s="350">
        <f>'9_Per Pupil Summary'!Q72</f>
        <v>10780.923745298227</v>
      </c>
      <c r="E72" s="351">
        <f>C72*D72</f>
        <v>0</v>
      </c>
      <c r="F72" s="351">
        <f>'9_Per Pupil Summary'!G72</f>
        <v>730.06</v>
      </c>
      <c r="G72" s="351">
        <f>C72*F72</f>
        <v>0</v>
      </c>
      <c r="H72" s="352">
        <f>ROUND(E72+G72,0)</f>
        <v>0</v>
      </c>
      <c r="I72" s="353">
        <v>0</v>
      </c>
      <c r="J72" s="353">
        <v>0</v>
      </c>
      <c r="K72" s="354">
        <f>I72+J72</f>
        <v>0</v>
      </c>
      <c r="L72" s="352">
        <f>K72+H72</f>
        <v>0</v>
      </c>
      <c r="M72" s="350">
        <v>0</v>
      </c>
      <c r="N72" s="355">
        <f>ROUND(SUM(L72:M72),0)</f>
        <v>0</v>
      </c>
      <c r="O72" s="135">
        <v>0</v>
      </c>
      <c r="P72" s="353">
        <f>N72-O72</f>
        <v>0</v>
      </c>
      <c r="Q72" s="138">
        <f>ROUND(P72/$Q$86,0)</f>
        <v>0</v>
      </c>
      <c r="R72" s="355">
        <f t="shared" si="13"/>
        <v>0</v>
      </c>
    </row>
    <row r="73" spans="1:18" ht="15.6" customHeight="1" x14ac:dyDescent="0.2">
      <c r="A73" s="339">
        <v>67</v>
      </c>
      <c r="B73" s="133" t="s">
        <v>2</v>
      </c>
      <c r="C73" s="349">
        <f>'8_2.1.20 SIS'!BF73</f>
        <v>6</v>
      </c>
      <c r="D73" s="350">
        <f>'9_Per Pupil Summary'!Q73</f>
        <v>8759.3020486555706</v>
      </c>
      <c r="E73" s="351">
        <f>C73*D73</f>
        <v>52555.812291933427</v>
      </c>
      <c r="F73" s="351">
        <f>'9_Per Pupil Summary'!G73</f>
        <v>715.61</v>
      </c>
      <c r="G73" s="351">
        <f>C73*F73</f>
        <v>4293.66</v>
      </c>
      <c r="H73" s="352">
        <f>ROUND(E73+G73,0)</f>
        <v>56849</v>
      </c>
      <c r="I73" s="353">
        <v>-37900</v>
      </c>
      <c r="J73" s="353">
        <v>-4737</v>
      </c>
      <c r="K73" s="354">
        <f>I73+J73</f>
        <v>-42637</v>
      </c>
      <c r="L73" s="352">
        <f>K73+H73</f>
        <v>14212</v>
      </c>
      <c r="M73" s="350">
        <v>0</v>
      </c>
      <c r="N73" s="355">
        <f>ROUND(SUM(L73:M73),0)</f>
        <v>14212</v>
      </c>
      <c r="O73" s="135">
        <v>25264</v>
      </c>
      <c r="P73" s="353">
        <f>N73-O73</f>
        <v>-11052</v>
      </c>
      <c r="Q73" s="138">
        <f>ROUND(P73/$Q$86,0)</f>
        <v>-2763</v>
      </c>
      <c r="R73" s="355">
        <f t="shared" si="13"/>
        <v>14212</v>
      </c>
    </row>
    <row r="74" spans="1:18" ht="15.6" customHeight="1" x14ac:dyDescent="0.2">
      <c r="A74" s="339">
        <v>68</v>
      </c>
      <c r="B74" s="133" t="s">
        <v>1</v>
      </c>
      <c r="C74" s="349">
        <f>'8_2.1.20 SIS'!BF74</f>
        <v>0</v>
      </c>
      <c r="D74" s="350">
        <f>'9_Per Pupil Summary'!Q74</f>
        <v>9934.1260321100926</v>
      </c>
      <c r="E74" s="351">
        <f>C74*D74</f>
        <v>0</v>
      </c>
      <c r="F74" s="351">
        <f>'9_Per Pupil Summary'!G74</f>
        <v>798.7</v>
      </c>
      <c r="G74" s="351">
        <f>C74*F74</f>
        <v>0</v>
      </c>
      <c r="H74" s="352">
        <f>ROUND(E74+G74,0)</f>
        <v>0</v>
      </c>
      <c r="I74" s="353">
        <v>0</v>
      </c>
      <c r="J74" s="353">
        <v>0</v>
      </c>
      <c r="K74" s="354">
        <f>I74+J74</f>
        <v>0</v>
      </c>
      <c r="L74" s="352">
        <f>K74+H74</f>
        <v>0</v>
      </c>
      <c r="M74" s="350">
        <v>0</v>
      </c>
      <c r="N74" s="355">
        <f>ROUND(SUM(L74:M74),0)</f>
        <v>0</v>
      </c>
      <c r="O74" s="135">
        <v>0</v>
      </c>
      <c r="P74" s="353">
        <f>N74-O74</f>
        <v>0</v>
      </c>
      <c r="Q74" s="138">
        <f>ROUND(P74/$Q$86,0)</f>
        <v>0</v>
      </c>
      <c r="R74" s="355">
        <f t="shared" si="13"/>
        <v>0</v>
      </c>
    </row>
    <row r="75" spans="1:18" ht="15.6" customHeight="1" x14ac:dyDescent="0.2">
      <c r="A75" s="356">
        <v>69</v>
      </c>
      <c r="B75" s="357" t="s">
        <v>74</v>
      </c>
      <c r="C75" s="358">
        <f>'8_2.1.20 SIS'!BF75</f>
        <v>3</v>
      </c>
      <c r="D75" s="359">
        <f>'9_Per Pupil Summary'!Q75</f>
        <v>9063.7347276868913</v>
      </c>
      <c r="E75" s="360">
        <f>C75*D75</f>
        <v>27191.204183060676</v>
      </c>
      <c r="F75" s="360">
        <f>'9_Per Pupil Summary'!G75</f>
        <v>705.67</v>
      </c>
      <c r="G75" s="360">
        <f>C75*F75</f>
        <v>2117.0099999999998</v>
      </c>
      <c r="H75" s="361">
        <f>ROUND(E75+G75,0)</f>
        <v>29308</v>
      </c>
      <c r="I75" s="362">
        <v>0</v>
      </c>
      <c r="J75" s="362">
        <v>0</v>
      </c>
      <c r="K75" s="363">
        <f>I75+J75</f>
        <v>0</v>
      </c>
      <c r="L75" s="361">
        <f>K75+H75</f>
        <v>29308</v>
      </c>
      <c r="M75" s="359">
        <v>0</v>
      </c>
      <c r="N75" s="364">
        <f>ROUND(SUM(L75:M75),0)</f>
        <v>29308</v>
      </c>
      <c r="O75" s="365">
        <v>19538</v>
      </c>
      <c r="P75" s="362">
        <f>N75-O75</f>
        <v>9770</v>
      </c>
      <c r="Q75" s="366">
        <f>ROUND(P75/$Q$86,0)</f>
        <v>2443</v>
      </c>
      <c r="R75" s="364">
        <f t="shared" si="13"/>
        <v>29308</v>
      </c>
    </row>
    <row r="76" spans="1:18" s="33" customFormat="1" ht="15.6" customHeight="1" thickBot="1" x14ac:dyDescent="0.25">
      <c r="A76" s="1404" t="s">
        <v>365</v>
      </c>
      <c r="B76" s="1405"/>
      <c r="C76" s="367">
        <f>SUM(C7:C75)</f>
        <v>330</v>
      </c>
      <c r="D76" s="368">
        <f>'9_Per Pupil Summary'!Q76</f>
        <v>8579.7368128734415</v>
      </c>
      <c r="E76" s="369">
        <f>SUM(E7:E75)</f>
        <v>2844930.7528748596</v>
      </c>
      <c r="F76" s="369">
        <f>'9_Per Pupil Summary'!G76</f>
        <v>706.51</v>
      </c>
      <c r="G76" s="369">
        <f t="shared" ref="G76:O76" si="14">SUM(G7:G75)</f>
        <v>220764.24</v>
      </c>
      <c r="H76" s="370">
        <f t="shared" si="14"/>
        <v>3065694</v>
      </c>
      <c r="I76" s="371">
        <f t="shared" si="14"/>
        <v>-21176</v>
      </c>
      <c r="J76" s="371">
        <f>SUM(J7:J75)</f>
        <v>-73357</v>
      </c>
      <c r="K76" s="372">
        <f t="shared" si="14"/>
        <v>-94533</v>
      </c>
      <c r="L76" s="373">
        <f>SUM(L7:L75)</f>
        <v>2971161</v>
      </c>
      <c r="M76" s="374">
        <f t="shared" si="14"/>
        <v>0</v>
      </c>
      <c r="N76" s="370">
        <f t="shared" si="14"/>
        <v>2971161</v>
      </c>
      <c r="O76" s="374">
        <f t="shared" si="14"/>
        <v>2036756</v>
      </c>
      <c r="P76" s="374">
        <f>SUM(P7:P75)</f>
        <v>934405</v>
      </c>
      <c r="Q76" s="375">
        <f>SUM(Q7:Q75)</f>
        <v>233610</v>
      </c>
      <c r="R76" s="370">
        <f>SUM(R7:R75)</f>
        <v>2971161</v>
      </c>
    </row>
    <row r="77" spans="1:18" s="33" customFormat="1" ht="15.6" customHeight="1" thickTop="1" x14ac:dyDescent="0.2">
      <c r="A77" s="1463" t="s">
        <v>1109</v>
      </c>
      <c r="B77" s="1464"/>
      <c r="C77" s="855"/>
      <c r="D77" s="856"/>
      <c r="E77" s="856"/>
      <c r="F77" s="856"/>
      <c r="G77" s="856"/>
      <c r="H77" s="857">
        <v>59990</v>
      </c>
      <c r="I77" s="858"/>
      <c r="J77" s="858"/>
      <c r="K77" s="858"/>
      <c r="L77" s="857">
        <f>K77+H77</f>
        <v>59990</v>
      </c>
      <c r="M77" s="856"/>
      <c r="N77" s="859">
        <f>ROUND(SUM(L77:M77),0)</f>
        <v>59990</v>
      </c>
      <c r="O77" s="860">
        <v>42804</v>
      </c>
      <c r="P77" s="858">
        <f>N77-O77</f>
        <v>17186</v>
      </c>
      <c r="Q77" s="861">
        <f>ROUND(P77/$Q$86,0)</f>
        <v>4297</v>
      </c>
      <c r="R77" s="859">
        <f>N77</f>
        <v>59990</v>
      </c>
    </row>
    <row r="78" spans="1:18" ht="15.6" customHeight="1" x14ac:dyDescent="0.2">
      <c r="A78" s="1424" t="s">
        <v>333</v>
      </c>
      <c r="B78" s="1458"/>
      <c r="C78" s="854"/>
      <c r="D78" s="377"/>
      <c r="E78" s="377"/>
      <c r="F78" s="377"/>
      <c r="G78" s="377"/>
      <c r="H78" s="377"/>
      <c r="I78" s="379"/>
      <c r="J78" s="379"/>
      <c r="K78" s="379"/>
      <c r="L78" s="379"/>
      <c r="M78" s="379"/>
      <c r="N78" s="705"/>
      <c r="O78" s="705"/>
      <c r="P78" s="704"/>
      <c r="Q78" s="705"/>
      <c r="R78" s="705"/>
    </row>
    <row r="79" spans="1:18" ht="15.6" customHeight="1" x14ac:dyDescent="0.2">
      <c r="A79" s="1422" t="s">
        <v>334</v>
      </c>
      <c r="B79" s="1423"/>
      <c r="C79" s="376"/>
      <c r="D79" s="377"/>
      <c r="E79" s="378"/>
      <c r="F79" s="378"/>
      <c r="G79" s="378"/>
      <c r="H79" s="378"/>
      <c r="I79" s="379"/>
      <c r="J79" s="379"/>
      <c r="K79" s="379"/>
      <c r="L79" s="379"/>
      <c r="M79" s="379"/>
      <c r="N79" s="141">
        <v>0</v>
      </c>
      <c r="O79" s="705">
        <v>0</v>
      </c>
      <c r="P79" s="704">
        <f>N79-O79</f>
        <v>0</v>
      </c>
      <c r="Q79" s="141">
        <f>ROUND(P79/$Q$86,0)</f>
        <v>0</v>
      </c>
      <c r="R79" s="141">
        <v>0</v>
      </c>
    </row>
    <row r="80" spans="1:18" ht="15.6" customHeight="1" x14ac:dyDescent="0.2">
      <c r="A80" s="1420" t="s">
        <v>345</v>
      </c>
      <c r="B80" s="1421"/>
      <c r="C80" s="393"/>
      <c r="D80" s="381"/>
      <c r="E80" s="382"/>
      <c r="F80" s="382"/>
      <c r="G80" s="382"/>
      <c r="H80" s="382"/>
      <c r="I80" s="383"/>
      <c r="J80" s="383"/>
      <c r="K80" s="383"/>
      <c r="L80" s="383"/>
      <c r="M80" s="383"/>
      <c r="N80" s="707"/>
      <c r="O80" s="705"/>
      <c r="P80" s="704"/>
      <c r="Q80" s="707"/>
      <c r="R80" s="141">
        <v>0</v>
      </c>
    </row>
    <row r="81" spans="1:18" ht="15.6" customHeight="1" x14ac:dyDescent="0.2">
      <c r="A81" s="1416" t="s">
        <v>1192</v>
      </c>
      <c r="B81" s="1417"/>
      <c r="C81" s="380"/>
      <c r="D81" s="381"/>
      <c r="E81" s="382"/>
      <c r="F81" s="382"/>
      <c r="G81" s="382"/>
      <c r="H81" s="382"/>
      <c r="I81" s="383"/>
      <c r="J81" s="383"/>
      <c r="K81" s="383"/>
      <c r="L81" s="383"/>
      <c r="M81" s="383"/>
      <c r="N81" s="705"/>
      <c r="O81" s="705"/>
      <c r="P81" s="704"/>
      <c r="Q81" s="705"/>
      <c r="R81" s="141">
        <v>10000</v>
      </c>
    </row>
    <row r="82" spans="1:18" ht="15.6" customHeight="1" x14ac:dyDescent="0.2">
      <c r="A82" s="1416" t="s">
        <v>344</v>
      </c>
      <c r="B82" s="1417"/>
      <c r="C82" s="380"/>
      <c r="D82" s="381"/>
      <c r="E82" s="382"/>
      <c r="F82" s="382"/>
      <c r="G82" s="382"/>
      <c r="H82" s="382"/>
      <c r="I82" s="383"/>
      <c r="J82" s="383"/>
      <c r="K82" s="383"/>
      <c r="L82" s="383"/>
      <c r="M82" s="383"/>
      <c r="N82" s="707"/>
      <c r="O82" s="705"/>
      <c r="P82" s="704"/>
      <c r="Q82" s="707"/>
      <c r="R82" s="141">
        <v>0</v>
      </c>
    </row>
    <row r="83" spans="1:18" ht="15.6" customHeight="1" x14ac:dyDescent="0.2">
      <c r="A83" s="1414" t="s">
        <v>242</v>
      </c>
      <c r="B83" s="1415"/>
      <c r="C83" s="384"/>
      <c r="D83" s="385"/>
      <c r="E83" s="386"/>
      <c r="F83" s="386"/>
      <c r="G83" s="386"/>
      <c r="H83" s="386"/>
      <c r="I83" s="387"/>
      <c r="J83" s="387"/>
      <c r="K83" s="387"/>
      <c r="L83" s="387"/>
      <c r="M83" s="387"/>
      <c r="N83" s="156">
        <v>19470</v>
      </c>
      <c r="O83" s="155">
        <v>12982</v>
      </c>
      <c r="P83" s="709">
        <f>N83-O83</f>
        <v>6488</v>
      </c>
      <c r="Q83" s="156">
        <f>ROUND(P83/$Q$86,0)</f>
        <v>1622</v>
      </c>
      <c r="R83" s="156">
        <v>19470</v>
      </c>
    </row>
    <row r="84" spans="1:18" s="33" customFormat="1" ht="15.6" customHeight="1" thickBot="1" x14ac:dyDescent="0.25">
      <c r="A84" s="1404" t="s">
        <v>366</v>
      </c>
      <c r="B84" s="1457"/>
      <c r="C84" s="367">
        <f>SUM(C76:C83)</f>
        <v>330</v>
      </c>
      <c r="D84" s="368">
        <f>D76</f>
        <v>8579.7368128734415</v>
      </c>
      <c r="E84" s="369">
        <f t="shared" ref="E84:R84" si="15">SUM(E76:E83)</f>
        <v>2844930.7528748596</v>
      </c>
      <c r="F84" s="369">
        <f>F76</f>
        <v>706.51</v>
      </c>
      <c r="G84" s="369">
        <f t="shared" si="15"/>
        <v>220764.24</v>
      </c>
      <c r="H84" s="370">
        <f t="shared" si="15"/>
        <v>3125684</v>
      </c>
      <c r="I84" s="371">
        <f t="shared" si="15"/>
        <v>-21176</v>
      </c>
      <c r="J84" s="371">
        <f t="shared" si="15"/>
        <v>-73357</v>
      </c>
      <c r="K84" s="372">
        <f t="shared" si="15"/>
        <v>-94533</v>
      </c>
      <c r="L84" s="373">
        <f t="shared" si="15"/>
        <v>3031151</v>
      </c>
      <c r="M84" s="388">
        <f t="shared" si="15"/>
        <v>0</v>
      </c>
      <c r="N84" s="370">
        <f t="shared" si="15"/>
        <v>3050621</v>
      </c>
      <c r="O84" s="374">
        <f t="shared" si="15"/>
        <v>2092542</v>
      </c>
      <c r="P84" s="374">
        <f t="shared" si="15"/>
        <v>958079</v>
      </c>
      <c r="Q84" s="375">
        <f t="shared" si="15"/>
        <v>239529</v>
      </c>
      <c r="R84" s="370">
        <f t="shared" si="15"/>
        <v>3060621</v>
      </c>
    </row>
    <row r="85" spans="1:18" ht="13.5" thickTop="1" x14ac:dyDescent="0.2"/>
    <row r="86" spans="1:18" x14ac:dyDescent="0.2">
      <c r="G86" s="779"/>
      <c r="O86" s="300"/>
      <c r="Q86" s="8">
        <v>4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March 2021&amp;R&amp;"Arial,Bold"&amp;12&amp;KFF0000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59" t="s">
        <v>832</v>
      </c>
      <c r="B1" s="1459"/>
      <c r="C1" s="1454" t="s">
        <v>291</v>
      </c>
      <c r="D1" s="1455"/>
      <c r="E1" s="1455"/>
      <c r="F1" s="1455"/>
      <c r="G1" s="1455"/>
      <c r="H1" s="1455"/>
      <c r="I1" s="1455"/>
      <c r="J1" s="1455"/>
      <c r="K1" s="1456"/>
      <c r="L1" s="1454" t="s">
        <v>291</v>
      </c>
      <c r="M1" s="1455"/>
      <c r="N1" s="1455"/>
      <c r="O1" s="1455"/>
      <c r="P1" s="1455"/>
      <c r="Q1" s="1455"/>
      <c r="R1" s="1456"/>
    </row>
    <row r="2" spans="1:18" s="389" customFormat="1" ht="17.25" customHeight="1" x14ac:dyDescent="0.2">
      <c r="A2" s="1459"/>
      <c r="B2" s="1459"/>
      <c r="C2" s="28"/>
      <c r="D2" s="29"/>
      <c r="E2" s="29"/>
      <c r="F2" s="29"/>
      <c r="G2" s="29"/>
      <c r="H2" s="29"/>
      <c r="I2" s="1465" t="s">
        <v>223</v>
      </c>
      <c r="J2" s="1465"/>
      <c r="K2" s="1465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59"/>
      <c r="B3" s="1459"/>
      <c r="C3" s="176" t="s">
        <v>1350</v>
      </c>
      <c r="D3" s="175" t="s">
        <v>463</v>
      </c>
      <c r="E3" s="175" t="s">
        <v>464</v>
      </c>
      <c r="F3" s="175" t="s">
        <v>1351</v>
      </c>
      <c r="G3" s="175" t="s">
        <v>289</v>
      </c>
      <c r="H3" s="175" t="s">
        <v>1152</v>
      </c>
      <c r="I3" s="25" t="s">
        <v>1290</v>
      </c>
      <c r="J3" s="25" t="s">
        <v>1291</v>
      </c>
      <c r="K3" s="25" t="s">
        <v>224</v>
      </c>
      <c r="L3" s="175" t="s">
        <v>465</v>
      </c>
      <c r="M3" s="1140" t="s">
        <v>1352</v>
      </c>
      <c r="N3" s="27" t="s">
        <v>919</v>
      </c>
      <c r="O3" s="27" t="s">
        <v>1354</v>
      </c>
      <c r="P3" s="27" t="s">
        <v>258</v>
      </c>
      <c r="Q3" s="27" t="s">
        <v>1355</v>
      </c>
      <c r="R3" s="27" t="s">
        <v>920</v>
      </c>
    </row>
    <row r="4" spans="1:18" ht="14.25" customHeight="1" x14ac:dyDescent="0.2">
      <c r="A4" s="390"/>
      <c r="B4" s="391"/>
      <c r="C4" s="392">
        <v>1</v>
      </c>
      <c r="D4" s="392">
        <f>C4+1</f>
        <v>2</v>
      </c>
      <c r="E4" s="392">
        <f>D4+1</f>
        <v>3</v>
      </c>
      <c r="F4" s="392">
        <f t="shared" ref="F4:R4" si="0">E4+1</f>
        <v>4</v>
      </c>
      <c r="G4" s="392">
        <f t="shared" si="0"/>
        <v>5</v>
      </c>
      <c r="H4" s="392">
        <f t="shared" si="0"/>
        <v>6</v>
      </c>
      <c r="I4" s="392">
        <f t="shared" si="0"/>
        <v>7</v>
      </c>
      <c r="J4" s="392">
        <f t="shared" si="0"/>
        <v>8</v>
      </c>
      <c r="K4" s="392">
        <f t="shared" si="0"/>
        <v>9</v>
      </c>
      <c r="L4" s="392">
        <f t="shared" si="0"/>
        <v>10</v>
      </c>
      <c r="M4" s="392">
        <f t="shared" si="0"/>
        <v>11</v>
      </c>
      <c r="N4" s="392">
        <f t="shared" si="0"/>
        <v>12</v>
      </c>
      <c r="O4" s="392">
        <f t="shared" si="0"/>
        <v>13</v>
      </c>
      <c r="P4" s="392">
        <f t="shared" si="0"/>
        <v>14</v>
      </c>
      <c r="Q4" s="392">
        <f t="shared" si="0"/>
        <v>15</v>
      </c>
      <c r="R4" s="392">
        <f t="shared" si="0"/>
        <v>16</v>
      </c>
    </row>
    <row r="5" spans="1:18" s="438" customFormat="1" ht="27.75" customHeight="1" x14ac:dyDescent="0.2">
      <c r="A5" s="655"/>
      <c r="B5" s="655"/>
      <c r="C5" s="538" t="s">
        <v>760</v>
      </c>
      <c r="D5" s="538" t="s">
        <v>1153</v>
      </c>
      <c r="E5" s="538" t="s">
        <v>761</v>
      </c>
      <c r="F5" s="538" t="s">
        <v>681</v>
      </c>
      <c r="G5" s="538" t="s">
        <v>656</v>
      </c>
      <c r="H5" s="538" t="s">
        <v>1221</v>
      </c>
      <c r="I5" s="538" t="s">
        <v>889</v>
      </c>
      <c r="J5" s="538" t="s">
        <v>890</v>
      </c>
      <c r="K5" s="538" t="s">
        <v>762</v>
      </c>
      <c r="L5" s="538" t="s">
        <v>763</v>
      </c>
      <c r="M5" s="541" t="s">
        <v>765</v>
      </c>
      <c r="N5" s="538" t="s">
        <v>1209</v>
      </c>
      <c r="O5" s="538" t="s">
        <v>922</v>
      </c>
      <c r="P5" s="538" t="s">
        <v>788</v>
      </c>
      <c r="Q5" s="538" t="s">
        <v>921</v>
      </c>
      <c r="R5" s="538" t="s">
        <v>1210</v>
      </c>
    </row>
    <row r="6" spans="1:18" s="438" customFormat="1" ht="22.5" hidden="1" x14ac:dyDescent="0.2">
      <c r="A6" s="656"/>
      <c r="B6" s="656"/>
      <c r="C6" s="541"/>
      <c r="D6" s="541" t="s">
        <v>554</v>
      </c>
      <c r="E6" s="541" t="s">
        <v>555</v>
      </c>
      <c r="F6" s="541" t="s">
        <v>789</v>
      </c>
      <c r="G6" s="541" t="s">
        <v>555</v>
      </c>
      <c r="H6" s="541" t="s">
        <v>555</v>
      </c>
      <c r="I6" s="541" t="s">
        <v>764</v>
      </c>
      <c r="J6" s="541" t="s">
        <v>764</v>
      </c>
      <c r="K6" s="541" t="s">
        <v>555</v>
      </c>
      <c r="L6" s="541" t="s">
        <v>555</v>
      </c>
      <c r="M6" s="541" t="s">
        <v>765</v>
      </c>
      <c r="N6" s="541" t="s">
        <v>782</v>
      </c>
      <c r="O6" s="541" t="s">
        <v>790</v>
      </c>
      <c r="P6" s="541" t="s">
        <v>555</v>
      </c>
      <c r="Q6" s="541" t="s">
        <v>555</v>
      </c>
      <c r="R6" s="541" t="s">
        <v>783</v>
      </c>
    </row>
    <row r="7" spans="1:18" ht="15.6" customHeight="1" x14ac:dyDescent="0.2">
      <c r="A7" s="334">
        <v>1</v>
      </c>
      <c r="B7" s="115" t="s">
        <v>4</v>
      </c>
      <c r="C7" s="335">
        <f>'8_2.1.20 SIS'!BH7</f>
        <v>0</v>
      </c>
      <c r="D7" s="336">
        <f>'9_Per Pupil Summary'!Q7</f>
        <v>7707.2262298558107</v>
      </c>
      <c r="E7" s="337">
        <f>C7*D7</f>
        <v>0</v>
      </c>
      <c r="F7" s="337">
        <f>'9_Per Pupil Summary'!G7</f>
        <v>777.48</v>
      </c>
      <c r="G7" s="337">
        <f>C7*F7</f>
        <v>0</v>
      </c>
      <c r="H7" s="338">
        <f>ROUND(E7+G7,0)</f>
        <v>0</v>
      </c>
      <c r="I7" s="117">
        <v>0</v>
      </c>
      <c r="J7" s="117">
        <v>0</v>
      </c>
      <c r="K7" s="121">
        <f t="shared" ref="K7:K38" si="1">I7+J7</f>
        <v>0</v>
      </c>
      <c r="L7" s="338">
        <f t="shared" ref="L7:L70" si="2">K7+H7</f>
        <v>0</v>
      </c>
      <c r="M7" s="336">
        <v>0</v>
      </c>
      <c r="N7" s="120">
        <f>ROUND(SUM(L7:M7),0)</f>
        <v>0</v>
      </c>
      <c r="O7" s="117">
        <v>0</v>
      </c>
      <c r="P7" s="117">
        <f>N7-O7</f>
        <v>0</v>
      </c>
      <c r="Q7" s="120">
        <f t="shared" ref="Q7:Q38" si="3">ROUND(P7/$Q$86,0)</f>
        <v>0</v>
      </c>
      <c r="R7" s="122">
        <f t="shared" ref="R7:R38" si="4">N7</f>
        <v>0</v>
      </c>
    </row>
    <row r="8" spans="1:18" ht="15.6" customHeight="1" x14ac:dyDescent="0.2">
      <c r="A8" s="339">
        <v>2</v>
      </c>
      <c r="B8" s="133" t="s">
        <v>5</v>
      </c>
      <c r="C8" s="340">
        <f>'8_2.1.20 SIS'!BH8</f>
        <v>0</v>
      </c>
      <c r="D8" s="341">
        <f>'9_Per Pupil Summary'!Q8</f>
        <v>9356.0454218393716</v>
      </c>
      <c r="E8" s="342">
        <f t="shared" ref="E8:E71" si="5">C8*D8</f>
        <v>0</v>
      </c>
      <c r="F8" s="342">
        <f>'9_Per Pupil Summary'!G8</f>
        <v>842.32</v>
      </c>
      <c r="G8" s="342">
        <f t="shared" ref="G8:G71" si="6">C8*F8</f>
        <v>0</v>
      </c>
      <c r="H8" s="343">
        <f t="shared" ref="H8:H71" si="7">ROUND(E8+G8,0)</f>
        <v>0</v>
      </c>
      <c r="I8" s="135">
        <v>0</v>
      </c>
      <c r="J8" s="135">
        <v>0</v>
      </c>
      <c r="K8" s="139">
        <f t="shared" si="1"/>
        <v>0</v>
      </c>
      <c r="L8" s="343">
        <f t="shared" si="2"/>
        <v>0</v>
      </c>
      <c r="M8" s="341">
        <v>0</v>
      </c>
      <c r="N8" s="138">
        <f t="shared" ref="N8:N71" si="8">ROUND(SUM(L8:M8),0)</f>
        <v>0</v>
      </c>
      <c r="O8" s="135">
        <v>0</v>
      </c>
      <c r="P8" s="135">
        <f t="shared" ref="P8:P71" si="9">N8-O8</f>
        <v>0</v>
      </c>
      <c r="Q8" s="138">
        <f t="shared" si="3"/>
        <v>0</v>
      </c>
      <c r="R8" s="138">
        <f t="shared" si="4"/>
        <v>0</v>
      </c>
    </row>
    <row r="9" spans="1:18" ht="15.6" customHeight="1" x14ac:dyDescent="0.2">
      <c r="A9" s="339">
        <v>3</v>
      </c>
      <c r="B9" s="133" t="s">
        <v>6</v>
      </c>
      <c r="C9" s="340">
        <f>'8_2.1.20 SIS'!BH9</f>
        <v>9</v>
      </c>
      <c r="D9" s="341">
        <f>'9_Per Pupil Summary'!Q9</f>
        <v>7938.0538340965122</v>
      </c>
      <c r="E9" s="342">
        <f t="shared" si="5"/>
        <v>71442.484506868612</v>
      </c>
      <c r="F9" s="342">
        <f>'9_Per Pupil Summary'!G9</f>
        <v>596.84</v>
      </c>
      <c r="G9" s="342">
        <f t="shared" si="6"/>
        <v>5371.56</v>
      </c>
      <c r="H9" s="343">
        <f t="shared" si="7"/>
        <v>76814</v>
      </c>
      <c r="I9" s="135">
        <v>-34140</v>
      </c>
      <c r="J9" s="135">
        <v>0</v>
      </c>
      <c r="K9" s="139">
        <f t="shared" si="1"/>
        <v>-34140</v>
      </c>
      <c r="L9" s="343">
        <f t="shared" si="2"/>
        <v>42674</v>
      </c>
      <c r="M9" s="341">
        <v>0</v>
      </c>
      <c r="N9" s="138">
        <f t="shared" si="8"/>
        <v>42674</v>
      </c>
      <c r="O9" s="135">
        <v>39828</v>
      </c>
      <c r="P9" s="135">
        <f t="shared" si="9"/>
        <v>2846</v>
      </c>
      <c r="Q9" s="138">
        <f t="shared" si="3"/>
        <v>712</v>
      </c>
      <c r="R9" s="138">
        <f t="shared" si="4"/>
        <v>42674</v>
      </c>
    </row>
    <row r="10" spans="1:18" ht="15.6" customHeight="1" x14ac:dyDescent="0.2">
      <c r="A10" s="339">
        <v>4</v>
      </c>
      <c r="B10" s="133" t="s">
        <v>7</v>
      </c>
      <c r="C10" s="340">
        <f>'8_2.1.20 SIS'!BH10</f>
        <v>0</v>
      </c>
      <c r="D10" s="341">
        <f>'9_Per Pupil Summary'!Q10</f>
        <v>9653.4789774583478</v>
      </c>
      <c r="E10" s="342">
        <f t="shared" si="5"/>
        <v>0</v>
      </c>
      <c r="F10" s="342">
        <f>'9_Per Pupil Summary'!G10</f>
        <v>585.76</v>
      </c>
      <c r="G10" s="342">
        <f t="shared" si="6"/>
        <v>0</v>
      </c>
      <c r="H10" s="343">
        <f t="shared" si="7"/>
        <v>0</v>
      </c>
      <c r="I10" s="135">
        <v>0</v>
      </c>
      <c r="J10" s="135">
        <v>0</v>
      </c>
      <c r="K10" s="139">
        <f t="shared" si="1"/>
        <v>0</v>
      </c>
      <c r="L10" s="343">
        <f t="shared" si="2"/>
        <v>0</v>
      </c>
      <c r="M10" s="341">
        <v>0</v>
      </c>
      <c r="N10" s="138">
        <f t="shared" si="8"/>
        <v>0</v>
      </c>
      <c r="O10" s="135">
        <v>0</v>
      </c>
      <c r="P10" s="135">
        <f t="shared" si="9"/>
        <v>0</v>
      </c>
      <c r="Q10" s="138">
        <f t="shared" si="3"/>
        <v>0</v>
      </c>
      <c r="R10" s="138">
        <f t="shared" si="4"/>
        <v>0</v>
      </c>
    </row>
    <row r="11" spans="1:18" ht="15.6" customHeight="1" x14ac:dyDescent="0.2">
      <c r="A11" s="344">
        <v>5</v>
      </c>
      <c r="B11" s="147" t="s">
        <v>8</v>
      </c>
      <c r="C11" s="345">
        <f>'8_2.1.20 SIS'!BH11</f>
        <v>0</v>
      </c>
      <c r="D11" s="346">
        <f>'9_Per Pupil Summary'!Q11</f>
        <v>7936.2487599148772</v>
      </c>
      <c r="E11" s="347">
        <f t="shared" si="5"/>
        <v>0</v>
      </c>
      <c r="F11" s="347">
        <f>'9_Per Pupil Summary'!G11</f>
        <v>555.91</v>
      </c>
      <c r="G11" s="347">
        <f t="shared" si="6"/>
        <v>0</v>
      </c>
      <c r="H11" s="348">
        <f t="shared" si="7"/>
        <v>0</v>
      </c>
      <c r="I11" s="149">
        <v>0</v>
      </c>
      <c r="J11" s="149">
        <v>0</v>
      </c>
      <c r="K11" s="153">
        <f t="shared" si="1"/>
        <v>0</v>
      </c>
      <c r="L11" s="348">
        <f t="shared" si="2"/>
        <v>0</v>
      </c>
      <c r="M11" s="346">
        <v>0</v>
      </c>
      <c r="N11" s="152">
        <f t="shared" si="8"/>
        <v>0</v>
      </c>
      <c r="O11" s="155">
        <v>0</v>
      </c>
      <c r="P11" s="149">
        <f t="shared" si="9"/>
        <v>0</v>
      </c>
      <c r="Q11" s="156">
        <f t="shared" si="3"/>
        <v>0</v>
      </c>
      <c r="R11" s="152">
        <f t="shared" si="4"/>
        <v>0</v>
      </c>
    </row>
    <row r="12" spans="1:18" ht="15.6" customHeight="1" x14ac:dyDescent="0.2">
      <c r="A12" s="334">
        <v>6</v>
      </c>
      <c r="B12" s="115" t="s">
        <v>9</v>
      </c>
      <c r="C12" s="335">
        <f>'8_2.1.20 SIS'!BH12</f>
        <v>0</v>
      </c>
      <c r="D12" s="336">
        <f>'9_Per Pupil Summary'!Q12</f>
        <v>9188.0273811581683</v>
      </c>
      <c r="E12" s="337">
        <f t="shared" si="5"/>
        <v>0</v>
      </c>
      <c r="F12" s="337">
        <f>'9_Per Pupil Summary'!G12</f>
        <v>545.4799999999999</v>
      </c>
      <c r="G12" s="337">
        <f t="shared" si="6"/>
        <v>0</v>
      </c>
      <c r="H12" s="338">
        <f t="shared" si="7"/>
        <v>0</v>
      </c>
      <c r="I12" s="117">
        <v>0</v>
      </c>
      <c r="J12" s="117">
        <v>0</v>
      </c>
      <c r="K12" s="121">
        <f t="shared" si="1"/>
        <v>0</v>
      </c>
      <c r="L12" s="338">
        <f t="shared" si="2"/>
        <v>0</v>
      </c>
      <c r="M12" s="336">
        <v>0</v>
      </c>
      <c r="N12" s="120">
        <f t="shared" si="8"/>
        <v>0</v>
      </c>
      <c r="O12" s="117">
        <v>0</v>
      </c>
      <c r="P12" s="117">
        <f t="shared" si="9"/>
        <v>0</v>
      </c>
      <c r="Q12" s="120">
        <f t="shared" si="3"/>
        <v>0</v>
      </c>
      <c r="R12" s="122">
        <f t="shared" si="4"/>
        <v>0</v>
      </c>
    </row>
    <row r="13" spans="1:18" ht="15.6" customHeight="1" x14ac:dyDescent="0.2">
      <c r="A13" s="339">
        <v>7</v>
      </c>
      <c r="B13" s="133" t="s">
        <v>10</v>
      </c>
      <c r="C13" s="340">
        <f>'8_2.1.20 SIS'!BH13</f>
        <v>0</v>
      </c>
      <c r="D13" s="341">
        <f>'9_Per Pupil Summary'!Q13</f>
        <v>8796.4858501440922</v>
      </c>
      <c r="E13" s="342">
        <f t="shared" si="5"/>
        <v>0</v>
      </c>
      <c r="F13" s="342">
        <f>'9_Per Pupil Summary'!G13</f>
        <v>756.91999999999985</v>
      </c>
      <c r="G13" s="342">
        <f t="shared" si="6"/>
        <v>0</v>
      </c>
      <c r="H13" s="343">
        <f t="shared" si="7"/>
        <v>0</v>
      </c>
      <c r="I13" s="135">
        <v>0</v>
      </c>
      <c r="J13" s="135">
        <v>0</v>
      </c>
      <c r="K13" s="139">
        <f t="shared" si="1"/>
        <v>0</v>
      </c>
      <c r="L13" s="343">
        <f t="shared" si="2"/>
        <v>0</v>
      </c>
      <c r="M13" s="341">
        <v>0</v>
      </c>
      <c r="N13" s="138">
        <f t="shared" si="8"/>
        <v>0</v>
      </c>
      <c r="O13" s="135">
        <v>0</v>
      </c>
      <c r="P13" s="135">
        <f t="shared" si="9"/>
        <v>0</v>
      </c>
      <c r="Q13" s="138">
        <f t="shared" si="3"/>
        <v>0</v>
      </c>
      <c r="R13" s="138">
        <f t="shared" si="4"/>
        <v>0</v>
      </c>
    </row>
    <row r="14" spans="1:18" ht="15.6" customHeight="1" x14ac:dyDescent="0.2">
      <c r="A14" s="339">
        <v>8</v>
      </c>
      <c r="B14" s="133" t="s">
        <v>11</v>
      </c>
      <c r="C14" s="340">
        <f>'8_2.1.20 SIS'!BH14</f>
        <v>0</v>
      </c>
      <c r="D14" s="341">
        <f>'9_Per Pupil Summary'!Q14</f>
        <v>8674.633902471729</v>
      </c>
      <c r="E14" s="342">
        <f t="shared" si="5"/>
        <v>0</v>
      </c>
      <c r="F14" s="342">
        <f>'9_Per Pupil Summary'!G14</f>
        <v>725.76</v>
      </c>
      <c r="G14" s="342">
        <f t="shared" si="6"/>
        <v>0</v>
      </c>
      <c r="H14" s="343">
        <f t="shared" si="7"/>
        <v>0</v>
      </c>
      <c r="I14" s="135">
        <v>0</v>
      </c>
      <c r="J14" s="135">
        <v>0</v>
      </c>
      <c r="K14" s="139">
        <f t="shared" si="1"/>
        <v>0</v>
      </c>
      <c r="L14" s="343">
        <f t="shared" si="2"/>
        <v>0</v>
      </c>
      <c r="M14" s="341">
        <v>0</v>
      </c>
      <c r="N14" s="138">
        <f t="shared" si="8"/>
        <v>0</v>
      </c>
      <c r="O14" s="135">
        <v>0</v>
      </c>
      <c r="P14" s="135">
        <f t="shared" si="9"/>
        <v>0</v>
      </c>
      <c r="Q14" s="138">
        <f t="shared" si="3"/>
        <v>0</v>
      </c>
      <c r="R14" s="138">
        <f t="shared" si="4"/>
        <v>0</v>
      </c>
    </row>
    <row r="15" spans="1:18" ht="15.6" customHeight="1" x14ac:dyDescent="0.2">
      <c r="A15" s="339">
        <v>9</v>
      </c>
      <c r="B15" s="133" t="s">
        <v>12</v>
      </c>
      <c r="C15" s="340">
        <f>'8_2.1.20 SIS'!BH15</f>
        <v>0</v>
      </c>
      <c r="D15" s="341">
        <f>'9_Per Pupil Summary'!Q15</f>
        <v>8478.9234188034188</v>
      </c>
      <c r="E15" s="342">
        <f t="shared" si="5"/>
        <v>0</v>
      </c>
      <c r="F15" s="342">
        <f>'9_Per Pupil Summary'!G15</f>
        <v>744.76</v>
      </c>
      <c r="G15" s="342">
        <f t="shared" si="6"/>
        <v>0</v>
      </c>
      <c r="H15" s="343">
        <f t="shared" si="7"/>
        <v>0</v>
      </c>
      <c r="I15" s="135">
        <v>0</v>
      </c>
      <c r="J15" s="135">
        <v>0</v>
      </c>
      <c r="K15" s="139">
        <f t="shared" si="1"/>
        <v>0</v>
      </c>
      <c r="L15" s="343">
        <f t="shared" si="2"/>
        <v>0</v>
      </c>
      <c r="M15" s="341">
        <v>0</v>
      </c>
      <c r="N15" s="138">
        <f t="shared" si="8"/>
        <v>0</v>
      </c>
      <c r="O15" s="135">
        <v>0</v>
      </c>
      <c r="P15" s="135">
        <f t="shared" si="9"/>
        <v>0</v>
      </c>
      <c r="Q15" s="138">
        <f t="shared" si="3"/>
        <v>0</v>
      </c>
      <c r="R15" s="138">
        <f t="shared" si="4"/>
        <v>0</v>
      </c>
    </row>
    <row r="16" spans="1:18" ht="15.6" customHeight="1" x14ac:dyDescent="0.2">
      <c r="A16" s="344">
        <v>10</v>
      </c>
      <c r="B16" s="147" t="s">
        <v>13</v>
      </c>
      <c r="C16" s="345">
        <f>'8_2.1.20 SIS'!BH16</f>
        <v>0</v>
      </c>
      <c r="D16" s="346">
        <f>'9_Per Pupil Summary'!Q16</f>
        <v>8287.2261089886597</v>
      </c>
      <c r="E16" s="347">
        <f t="shared" si="5"/>
        <v>0</v>
      </c>
      <c r="F16" s="347">
        <f>'9_Per Pupil Summary'!G16</f>
        <v>608.04000000000008</v>
      </c>
      <c r="G16" s="347">
        <f t="shared" si="6"/>
        <v>0</v>
      </c>
      <c r="H16" s="348">
        <f t="shared" si="7"/>
        <v>0</v>
      </c>
      <c r="I16" s="149">
        <v>0</v>
      </c>
      <c r="J16" s="149">
        <v>0</v>
      </c>
      <c r="K16" s="153">
        <f t="shared" si="1"/>
        <v>0</v>
      </c>
      <c r="L16" s="348">
        <f t="shared" si="2"/>
        <v>0</v>
      </c>
      <c r="M16" s="346">
        <v>0</v>
      </c>
      <c r="N16" s="152">
        <f t="shared" si="8"/>
        <v>0</v>
      </c>
      <c r="O16" s="155">
        <v>0</v>
      </c>
      <c r="P16" s="149">
        <f t="shared" si="9"/>
        <v>0</v>
      </c>
      <c r="Q16" s="156">
        <f t="shared" si="3"/>
        <v>0</v>
      </c>
      <c r="R16" s="152">
        <f t="shared" si="4"/>
        <v>0</v>
      </c>
    </row>
    <row r="17" spans="1:18" ht="15.6" customHeight="1" x14ac:dyDescent="0.2">
      <c r="A17" s="334">
        <v>11</v>
      </c>
      <c r="B17" s="115" t="s">
        <v>14</v>
      </c>
      <c r="C17" s="335">
        <f>'8_2.1.20 SIS'!BH17</f>
        <v>0</v>
      </c>
      <c r="D17" s="336">
        <f>'9_Per Pupil Summary'!Q17</f>
        <v>10590.871262135923</v>
      </c>
      <c r="E17" s="337">
        <f t="shared" si="5"/>
        <v>0</v>
      </c>
      <c r="F17" s="337">
        <f>'9_Per Pupil Summary'!G17</f>
        <v>706.55</v>
      </c>
      <c r="G17" s="337">
        <f t="shared" si="6"/>
        <v>0</v>
      </c>
      <c r="H17" s="338">
        <f t="shared" si="7"/>
        <v>0</v>
      </c>
      <c r="I17" s="117">
        <v>0</v>
      </c>
      <c r="J17" s="117">
        <v>0</v>
      </c>
      <c r="K17" s="121">
        <f t="shared" si="1"/>
        <v>0</v>
      </c>
      <c r="L17" s="338">
        <f t="shared" si="2"/>
        <v>0</v>
      </c>
      <c r="M17" s="336">
        <v>0</v>
      </c>
      <c r="N17" s="120">
        <f t="shared" si="8"/>
        <v>0</v>
      </c>
      <c r="O17" s="117">
        <v>0</v>
      </c>
      <c r="P17" s="117">
        <f t="shared" si="9"/>
        <v>0</v>
      </c>
      <c r="Q17" s="120">
        <f t="shared" si="3"/>
        <v>0</v>
      </c>
      <c r="R17" s="122">
        <f t="shared" si="4"/>
        <v>0</v>
      </c>
    </row>
    <row r="18" spans="1:18" ht="15.6" customHeight="1" x14ac:dyDescent="0.2">
      <c r="A18" s="339">
        <v>12</v>
      </c>
      <c r="B18" s="133" t="s">
        <v>15</v>
      </c>
      <c r="C18" s="340">
        <f>'8_2.1.20 SIS'!BH18</f>
        <v>0</v>
      </c>
      <c r="D18" s="341">
        <f>'9_Per Pupil Summary'!Q18</f>
        <v>8676.9923556942285</v>
      </c>
      <c r="E18" s="342">
        <f t="shared" si="5"/>
        <v>0</v>
      </c>
      <c r="F18" s="342">
        <f>'9_Per Pupil Summary'!G18</f>
        <v>1063.31</v>
      </c>
      <c r="G18" s="342">
        <f t="shared" si="6"/>
        <v>0</v>
      </c>
      <c r="H18" s="343">
        <f t="shared" si="7"/>
        <v>0</v>
      </c>
      <c r="I18" s="135">
        <v>0</v>
      </c>
      <c r="J18" s="135">
        <v>0</v>
      </c>
      <c r="K18" s="139">
        <f t="shared" si="1"/>
        <v>0</v>
      </c>
      <c r="L18" s="343">
        <f t="shared" si="2"/>
        <v>0</v>
      </c>
      <c r="M18" s="341">
        <v>0</v>
      </c>
      <c r="N18" s="138">
        <f t="shared" si="8"/>
        <v>0</v>
      </c>
      <c r="O18" s="135">
        <v>0</v>
      </c>
      <c r="P18" s="135">
        <f t="shared" si="9"/>
        <v>0</v>
      </c>
      <c r="Q18" s="138">
        <f t="shared" si="3"/>
        <v>0</v>
      </c>
      <c r="R18" s="138">
        <f t="shared" si="4"/>
        <v>0</v>
      </c>
    </row>
    <row r="19" spans="1:18" ht="15.6" customHeight="1" x14ac:dyDescent="0.2">
      <c r="A19" s="339">
        <v>13</v>
      </c>
      <c r="B19" s="133" t="s">
        <v>16</v>
      </c>
      <c r="C19" s="340">
        <f>'8_2.1.20 SIS'!BH19</f>
        <v>0</v>
      </c>
      <c r="D19" s="341">
        <f>'9_Per Pupil Summary'!Q19</f>
        <v>9816.4058402662231</v>
      </c>
      <c r="E19" s="342">
        <f t="shared" si="5"/>
        <v>0</v>
      </c>
      <c r="F19" s="342">
        <f>'9_Per Pupil Summary'!G19</f>
        <v>749.43000000000006</v>
      </c>
      <c r="G19" s="342">
        <f t="shared" si="6"/>
        <v>0</v>
      </c>
      <c r="H19" s="343">
        <f t="shared" si="7"/>
        <v>0</v>
      </c>
      <c r="I19" s="135">
        <v>0</v>
      </c>
      <c r="J19" s="135">
        <v>0</v>
      </c>
      <c r="K19" s="139">
        <f t="shared" si="1"/>
        <v>0</v>
      </c>
      <c r="L19" s="343">
        <f t="shared" si="2"/>
        <v>0</v>
      </c>
      <c r="M19" s="341">
        <v>0</v>
      </c>
      <c r="N19" s="138">
        <f t="shared" si="8"/>
        <v>0</v>
      </c>
      <c r="O19" s="135">
        <v>0</v>
      </c>
      <c r="P19" s="135">
        <f t="shared" si="9"/>
        <v>0</v>
      </c>
      <c r="Q19" s="138">
        <f t="shared" si="3"/>
        <v>0</v>
      </c>
      <c r="R19" s="138">
        <f t="shared" si="4"/>
        <v>0</v>
      </c>
    </row>
    <row r="20" spans="1:18" ht="15.6" customHeight="1" x14ac:dyDescent="0.2">
      <c r="A20" s="339">
        <v>14</v>
      </c>
      <c r="B20" s="133" t="s">
        <v>17</v>
      </c>
      <c r="C20" s="340">
        <f>'8_2.1.20 SIS'!BH20</f>
        <v>0</v>
      </c>
      <c r="D20" s="341">
        <f>'9_Per Pupil Summary'!Q20</f>
        <v>11067.567822014051</v>
      </c>
      <c r="E20" s="342">
        <f t="shared" si="5"/>
        <v>0</v>
      </c>
      <c r="F20" s="342">
        <f>'9_Per Pupil Summary'!G20</f>
        <v>809.9799999999999</v>
      </c>
      <c r="G20" s="342">
        <f t="shared" si="6"/>
        <v>0</v>
      </c>
      <c r="H20" s="343">
        <f t="shared" si="7"/>
        <v>0</v>
      </c>
      <c r="I20" s="135">
        <v>0</v>
      </c>
      <c r="J20" s="135">
        <v>0</v>
      </c>
      <c r="K20" s="139">
        <f t="shared" si="1"/>
        <v>0</v>
      </c>
      <c r="L20" s="343">
        <f t="shared" si="2"/>
        <v>0</v>
      </c>
      <c r="M20" s="341">
        <v>0</v>
      </c>
      <c r="N20" s="138">
        <f t="shared" si="8"/>
        <v>0</v>
      </c>
      <c r="O20" s="135">
        <v>0</v>
      </c>
      <c r="P20" s="135">
        <f t="shared" si="9"/>
        <v>0</v>
      </c>
      <c r="Q20" s="138">
        <f t="shared" si="3"/>
        <v>0</v>
      </c>
      <c r="R20" s="138">
        <f t="shared" si="4"/>
        <v>0</v>
      </c>
    </row>
    <row r="21" spans="1:18" ht="15.6" customHeight="1" x14ac:dyDescent="0.2">
      <c r="A21" s="344">
        <v>15</v>
      </c>
      <c r="B21" s="147" t="s">
        <v>18</v>
      </c>
      <c r="C21" s="345">
        <f>'8_2.1.20 SIS'!BH21</f>
        <v>0</v>
      </c>
      <c r="D21" s="346">
        <f>'9_Per Pupil Summary'!Q21</f>
        <v>9441.6648551959115</v>
      </c>
      <c r="E21" s="347">
        <f t="shared" si="5"/>
        <v>0</v>
      </c>
      <c r="F21" s="347">
        <f>'9_Per Pupil Summary'!G21</f>
        <v>553.79999999999995</v>
      </c>
      <c r="G21" s="347">
        <f t="shared" si="6"/>
        <v>0</v>
      </c>
      <c r="H21" s="348">
        <f t="shared" si="7"/>
        <v>0</v>
      </c>
      <c r="I21" s="149">
        <v>0</v>
      </c>
      <c r="J21" s="149">
        <v>0</v>
      </c>
      <c r="K21" s="153">
        <f t="shared" si="1"/>
        <v>0</v>
      </c>
      <c r="L21" s="348">
        <f t="shared" si="2"/>
        <v>0</v>
      </c>
      <c r="M21" s="346">
        <v>0</v>
      </c>
      <c r="N21" s="152">
        <f t="shared" si="8"/>
        <v>0</v>
      </c>
      <c r="O21" s="155">
        <v>0</v>
      </c>
      <c r="P21" s="149">
        <f t="shared" si="9"/>
        <v>0</v>
      </c>
      <c r="Q21" s="156">
        <f t="shared" si="3"/>
        <v>0</v>
      </c>
      <c r="R21" s="152">
        <f t="shared" si="4"/>
        <v>0</v>
      </c>
    </row>
    <row r="22" spans="1:18" ht="15.6" customHeight="1" x14ac:dyDescent="0.2">
      <c r="A22" s="334">
        <v>16</v>
      </c>
      <c r="B22" s="115" t="s">
        <v>19</v>
      </c>
      <c r="C22" s="335">
        <f>'8_2.1.20 SIS'!BH22</f>
        <v>0</v>
      </c>
      <c r="D22" s="336">
        <f>'9_Per Pupil Summary'!Q22</f>
        <v>7832.4763698772622</v>
      </c>
      <c r="E22" s="337">
        <f t="shared" si="5"/>
        <v>0</v>
      </c>
      <c r="F22" s="337">
        <f>'9_Per Pupil Summary'!G22</f>
        <v>686.73</v>
      </c>
      <c r="G22" s="337">
        <f t="shared" si="6"/>
        <v>0</v>
      </c>
      <c r="H22" s="338">
        <f t="shared" si="7"/>
        <v>0</v>
      </c>
      <c r="I22" s="117">
        <v>0</v>
      </c>
      <c r="J22" s="117">
        <v>0</v>
      </c>
      <c r="K22" s="121">
        <f t="shared" si="1"/>
        <v>0</v>
      </c>
      <c r="L22" s="338">
        <f t="shared" si="2"/>
        <v>0</v>
      </c>
      <c r="M22" s="336">
        <v>0</v>
      </c>
      <c r="N22" s="120">
        <f t="shared" si="8"/>
        <v>0</v>
      </c>
      <c r="O22" s="117">
        <v>0</v>
      </c>
      <c r="P22" s="117">
        <f t="shared" si="9"/>
        <v>0</v>
      </c>
      <c r="Q22" s="120">
        <f t="shared" si="3"/>
        <v>0</v>
      </c>
      <c r="R22" s="122">
        <f t="shared" si="4"/>
        <v>0</v>
      </c>
    </row>
    <row r="23" spans="1:18" ht="15.6" customHeight="1" x14ac:dyDescent="0.2">
      <c r="A23" s="339">
        <v>17</v>
      </c>
      <c r="B23" s="133" t="s">
        <v>20</v>
      </c>
      <c r="C23" s="340">
        <f>'8_2.1.20 SIS'!BH23</f>
        <v>132</v>
      </c>
      <c r="D23" s="341">
        <f>'9_Per Pupil Summary'!Q23</f>
        <v>8207.5861458149011</v>
      </c>
      <c r="E23" s="342">
        <f t="shared" si="5"/>
        <v>1083401.371247567</v>
      </c>
      <c r="F23" s="342">
        <f>'9_Per Pupil Summary'!G23</f>
        <v>801.48</v>
      </c>
      <c r="G23" s="342">
        <f t="shared" si="6"/>
        <v>105795.36</v>
      </c>
      <c r="H23" s="343">
        <f t="shared" si="7"/>
        <v>1189197</v>
      </c>
      <c r="I23" s="135">
        <v>171172</v>
      </c>
      <c r="J23" s="135">
        <v>-45045</v>
      </c>
      <c r="K23" s="139">
        <f t="shared" si="1"/>
        <v>126127</v>
      </c>
      <c r="L23" s="343">
        <f t="shared" si="2"/>
        <v>1315324</v>
      </c>
      <c r="M23" s="341">
        <v>0</v>
      </c>
      <c r="N23" s="138">
        <f t="shared" si="8"/>
        <v>1315324</v>
      </c>
      <c r="O23" s="135">
        <v>849856</v>
      </c>
      <c r="P23" s="135">
        <f t="shared" si="9"/>
        <v>465468</v>
      </c>
      <c r="Q23" s="138">
        <f t="shared" si="3"/>
        <v>116367</v>
      </c>
      <c r="R23" s="138">
        <f t="shared" si="4"/>
        <v>1315324</v>
      </c>
    </row>
    <row r="24" spans="1:18" ht="15.6" customHeight="1" x14ac:dyDescent="0.2">
      <c r="A24" s="339">
        <v>18</v>
      </c>
      <c r="B24" s="133" t="s">
        <v>21</v>
      </c>
      <c r="C24" s="340">
        <f>'8_2.1.20 SIS'!BH24</f>
        <v>0</v>
      </c>
      <c r="D24" s="341">
        <f>'9_Per Pupil Summary'!Q24</f>
        <v>9145.1230716723549</v>
      </c>
      <c r="E24" s="342">
        <f t="shared" si="5"/>
        <v>0</v>
      </c>
      <c r="F24" s="342">
        <f>'9_Per Pupil Summary'!G24</f>
        <v>845.94999999999993</v>
      </c>
      <c r="G24" s="342">
        <f t="shared" si="6"/>
        <v>0</v>
      </c>
      <c r="H24" s="343">
        <f t="shared" si="7"/>
        <v>0</v>
      </c>
      <c r="I24" s="135">
        <v>0</v>
      </c>
      <c r="J24" s="135">
        <v>0</v>
      </c>
      <c r="K24" s="139">
        <f t="shared" si="1"/>
        <v>0</v>
      </c>
      <c r="L24" s="343">
        <f t="shared" si="2"/>
        <v>0</v>
      </c>
      <c r="M24" s="341">
        <v>0</v>
      </c>
      <c r="N24" s="138">
        <f t="shared" si="8"/>
        <v>0</v>
      </c>
      <c r="O24" s="135">
        <v>0</v>
      </c>
      <c r="P24" s="135">
        <f t="shared" si="9"/>
        <v>0</v>
      </c>
      <c r="Q24" s="138">
        <f t="shared" si="3"/>
        <v>0</v>
      </c>
      <c r="R24" s="138">
        <f t="shared" si="4"/>
        <v>0</v>
      </c>
    </row>
    <row r="25" spans="1:18" ht="15.6" customHeight="1" x14ac:dyDescent="0.2">
      <c r="A25" s="339">
        <v>19</v>
      </c>
      <c r="B25" s="133" t="s">
        <v>22</v>
      </c>
      <c r="C25" s="340">
        <f>'8_2.1.20 SIS'!BH25</f>
        <v>0</v>
      </c>
      <c r="D25" s="341">
        <f>'9_Per Pupil Summary'!Q25</f>
        <v>9335.4585817978787</v>
      </c>
      <c r="E25" s="342">
        <f t="shared" si="5"/>
        <v>0</v>
      </c>
      <c r="F25" s="342">
        <f>'9_Per Pupil Summary'!G25</f>
        <v>905.43</v>
      </c>
      <c r="G25" s="342">
        <f t="shared" si="6"/>
        <v>0</v>
      </c>
      <c r="H25" s="343">
        <f t="shared" si="7"/>
        <v>0</v>
      </c>
      <c r="I25" s="135">
        <v>10241</v>
      </c>
      <c r="J25" s="135">
        <v>-5120</v>
      </c>
      <c r="K25" s="139">
        <f t="shared" si="1"/>
        <v>5121</v>
      </c>
      <c r="L25" s="343">
        <f t="shared" si="2"/>
        <v>5121</v>
      </c>
      <c r="M25" s="341">
        <v>0</v>
      </c>
      <c r="N25" s="138">
        <f t="shared" si="8"/>
        <v>5121</v>
      </c>
      <c r="O25" s="135">
        <v>3414</v>
      </c>
      <c r="P25" s="135">
        <f t="shared" si="9"/>
        <v>1707</v>
      </c>
      <c r="Q25" s="138">
        <f t="shared" si="3"/>
        <v>427</v>
      </c>
      <c r="R25" s="138">
        <f t="shared" si="4"/>
        <v>5121</v>
      </c>
    </row>
    <row r="26" spans="1:18" ht="15.6" customHeight="1" x14ac:dyDescent="0.2">
      <c r="A26" s="344">
        <v>20</v>
      </c>
      <c r="B26" s="147" t="s">
        <v>23</v>
      </c>
      <c r="C26" s="345">
        <f>'8_2.1.20 SIS'!BH26</f>
        <v>0</v>
      </c>
      <c r="D26" s="346">
        <f>'9_Per Pupil Summary'!Q26</f>
        <v>8586.7921582733816</v>
      </c>
      <c r="E26" s="347">
        <f t="shared" si="5"/>
        <v>0</v>
      </c>
      <c r="F26" s="347">
        <f>'9_Per Pupil Summary'!G26</f>
        <v>586.16999999999996</v>
      </c>
      <c r="G26" s="347">
        <f t="shared" si="6"/>
        <v>0</v>
      </c>
      <c r="H26" s="348">
        <f t="shared" si="7"/>
        <v>0</v>
      </c>
      <c r="I26" s="149">
        <v>0</v>
      </c>
      <c r="J26" s="149">
        <v>0</v>
      </c>
      <c r="K26" s="153">
        <f t="shared" si="1"/>
        <v>0</v>
      </c>
      <c r="L26" s="348">
        <f t="shared" si="2"/>
        <v>0</v>
      </c>
      <c r="M26" s="346">
        <v>0</v>
      </c>
      <c r="N26" s="152">
        <f t="shared" si="8"/>
        <v>0</v>
      </c>
      <c r="O26" s="155">
        <v>0</v>
      </c>
      <c r="P26" s="149">
        <f t="shared" si="9"/>
        <v>0</v>
      </c>
      <c r="Q26" s="156">
        <f t="shared" si="3"/>
        <v>0</v>
      </c>
      <c r="R26" s="152">
        <f t="shared" si="4"/>
        <v>0</v>
      </c>
    </row>
    <row r="27" spans="1:18" ht="15.6" customHeight="1" x14ac:dyDescent="0.2">
      <c r="A27" s="334">
        <v>21</v>
      </c>
      <c r="B27" s="115" t="s">
        <v>24</v>
      </c>
      <c r="C27" s="335">
        <f>'8_2.1.20 SIS'!BH27</f>
        <v>0</v>
      </c>
      <c r="D27" s="336">
        <f>'9_Per Pupil Summary'!Q27</f>
        <v>9219.6533495482981</v>
      </c>
      <c r="E27" s="337">
        <f t="shared" si="5"/>
        <v>0</v>
      </c>
      <c r="F27" s="337">
        <f>'9_Per Pupil Summary'!G27</f>
        <v>610.35</v>
      </c>
      <c r="G27" s="337">
        <f t="shared" si="6"/>
        <v>0</v>
      </c>
      <c r="H27" s="338">
        <f t="shared" si="7"/>
        <v>0</v>
      </c>
      <c r="I27" s="117">
        <v>0</v>
      </c>
      <c r="J27" s="117">
        <v>0</v>
      </c>
      <c r="K27" s="121">
        <f t="shared" si="1"/>
        <v>0</v>
      </c>
      <c r="L27" s="338">
        <f t="shared" si="2"/>
        <v>0</v>
      </c>
      <c r="M27" s="336">
        <v>0</v>
      </c>
      <c r="N27" s="120">
        <f t="shared" si="8"/>
        <v>0</v>
      </c>
      <c r="O27" s="117">
        <v>0</v>
      </c>
      <c r="P27" s="117">
        <f t="shared" si="9"/>
        <v>0</v>
      </c>
      <c r="Q27" s="120">
        <f t="shared" si="3"/>
        <v>0</v>
      </c>
      <c r="R27" s="122">
        <f t="shared" si="4"/>
        <v>0</v>
      </c>
    </row>
    <row r="28" spans="1:18" ht="15.6" customHeight="1" x14ac:dyDescent="0.2">
      <c r="A28" s="339">
        <v>22</v>
      </c>
      <c r="B28" s="133" t="s">
        <v>25</v>
      </c>
      <c r="C28" s="340">
        <f>'8_2.1.20 SIS'!BH28</f>
        <v>0</v>
      </c>
      <c r="D28" s="341">
        <f>'9_Per Pupil Summary'!Q28</f>
        <v>9333.4477453394302</v>
      </c>
      <c r="E28" s="342">
        <f t="shared" si="5"/>
        <v>0</v>
      </c>
      <c r="F28" s="342">
        <f>'9_Per Pupil Summary'!G28</f>
        <v>496.36</v>
      </c>
      <c r="G28" s="342">
        <f t="shared" si="6"/>
        <v>0</v>
      </c>
      <c r="H28" s="343">
        <f t="shared" si="7"/>
        <v>0</v>
      </c>
      <c r="I28" s="135">
        <v>0</v>
      </c>
      <c r="J28" s="135">
        <v>0</v>
      </c>
      <c r="K28" s="139">
        <f t="shared" si="1"/>
        <v>0</v>
      </c>
      <c r="L28" s="343">
        <f t="shared" si="2"/>
        <v>0</v>
      </c>
      <c r="M28" s="341">
        <v>0</v>
      </c>
      <c r="N28" s="138">
        <f t="shared" si="8"/>
        <v>0</v>
      </c>
      <c r="O28" s="135">
        <v>0</v>
      </c>
      <c r="P28" s="135">
        <f t="shared" si="9"/>
        <v>0</v>
      </c>
      <c r="Q28" s="138">
        <f t="shared" si="3"/>
        <v>0</v>
      </c>
      <c r="R28" s="138">
        <f t="shared" si="4"/>
        <v>0</v>
      </c>
    </row>
    <row r="29" spans="1:18" ht="15.6" customHeight="1" x14ac:dyDescent="0.2">
      <c r="A29" s="339">
        <v>23</v>
      </c>
      <c r="B29" s="133" t="s">
        <v>26</v>
      </c>
      <c r="C29" s="340">
        <f>'8_2.1.20 SIS'!BH29</f>
        <v>0</v>
      </c>
      <c r="D29" s="341">
        <f>'9_Per Pupil Summary'!Q29</f>
        <v>8928.5127583630783</v>
      </c>
      <c r="E29" s="342">
        <f t="shared" si="5"/>
        <v>0</v>
      </c>
      <c r="F29" s="342">
        <f>'9_Per Pupil Summary'!G29</f>
        <v>688.58</v>
      </c>
      <c r="G29" s="342">
        <f t="shared" si="6"/>
        <v>0</v>
      </c>
      <c r="H29" s="343">
        <f t="shared" si="7"/>
        <v>0</v>
      </c>
      <c r="I29" s="135">
        <v>0</v>
      </c>
      <c r="J29" s="135">
        <v>0</v>
      </c>
      <c r="K29" s="139">
        <f t="shared" si="1"/>
        <v>0</v>
      </c>
      <c r="L29" s="343">
        <f t="shared" si="2"/>
        <v>0</v>
      </c>
      <c r="M29" s="341">
        <v>0</v>
      </c>
      <c r="N29" s="138">
        <f t="shared" si="8"/>
        <v>0</v>
      </c>
      <c r="O29" s="135">
        <v>0</v>
      </c>
      <c r="P29" s="135">
        <f t="shared" si="9"/>
        <v>0</v>
      </c>
      <c r="Q29" s="138">
        <f t="shared" si="3"/>
        <v>0</v>
      </c>
      <c r="R29" s="138">
        <f t="shared" si="4"/>
        <v>0</v>
      </c>
    </row>
    <row r="30" spans="1:18" ht="15.6" customHeight="1" x14ac:dyDescent="0.2">
      <c r="A30" s="339">
        <v>24</v>
      </c>
      <c r="B30" s="133" t="s">
        <v>27</v>
      </c>
      <c r="C30" s="340">
        <f>'8_2.1.20 SIS'!BH30</f>
        <v>4</v>
      </c>
      <c r="D30" s="341">
        <f>'9_Per Pupil Summary'!Q30</f>
        <v>8398.4657254182894</v>
      </c>
      <c r="E30" s="342">
        <f t="shared" si="5"/>
        <v>33593.862901673157</v>
      </c>
      <c r="F30" s="342">
        <f>'9_Per Pupil Summary'!G30</f>
        <v>854.24999999999989</v>
      </c>
      <c r="G30" s="342">
        <f t="shared" si="6"/>
        <v>3416.9999999999995</v>
      </c>
      <c r="H30" s="343">
        <f t="shared" si="7"/>
        <v>37011</v>
      </c>
      <c r="I30" s="135">
        <v>-27758</v>
      </c>
      <c r="J30" s="135">
        <v>0</v>
      </c>
      <c r="K30" s="139">
        <f t="shared" si="1"/>
        <v>-27758</v>
      </c>
      <c r="L30" s="343">
        <f t="shared" si="2"/>
        <v>9253</v>
      </c>
      <c r="M30" s="341">
        <v>0</v>
      </c>
      <c r="N30" s="138">
        <f t="shared" si="8"/>
        <v>9253</v>
      </c>
      <c r="O30" s="135">
        <v>15420</v>
      </c>
      <c r="P30" s="135">
        <f t="shared" si="9"/>
        <v>-6167</v>
      </c>
      <c r="Q30" s="138">
        <f t="shared" si="3"/>
        <v>-1542</v>
      </c>
      <c r="R30" s="138">
        <f t="shared" si="4"/>
        <v>9253</v>
      </c>
    </row>
    <row r="31" spans="1:18" ht="15.6" customHeight="1" x14ac:dyDescent="0.2">
      <c r="A31" s="344">
        <v>25</v>
      </c>
      <c r="B31" s="147" t="s">
        <v>28</v>
      </c>
      <c r="C31" s="345">
        <f>'8_2.1.20 SIS'!BH31</f>
        <v>0</v>
      </c>
      <c r="D31" s="346">
        <f>'9_Per Pupil Summary'!Q31</f>
        <v>9193.9935672249885</v>
      </c>
      <c r="E31" s="347">
        <f t="shared" si="5"/>
        <v>0</v>
      </c>
      <c r="F31" s="347">
        <f>'9_Per Pupil Summary'!G31</f>
        <v>653.73</v>
      </c>
      <c r="G31" s="347">
        <f t="shared" si="6"/>
        <v>0</v>
      </c>
      <c r="H31" s="348">
        <f t="shared" si="7"/>
        <v>0</v>
      </c>
      <c r="I31" s="149">
        <v>0</v>
      </c>
      <c r="J31" s="149">
        <v>0</v>
      </c>
      <c r="K31" s="153">
        <f t="shared" si="1"/>
        <v>0</v>
      </c>
      <c r="L31" s="348">
        <f t="shared" si="2"/>
        <v>0</v>
      </c>
      <c r="M31" s="346">
        <v>0</v>
      </c>
      <c r="N31" s="152">
        <f t="shared" si="8"/>
        <v>0</v>
      </c>
      <c r="O31" s="155">
        <v>0</v>
      </c>
      <c r="P31" s="149">
        <f t="shared" si="9"/>
        <v>0</v>
      </c>
      <c r="Q31" s="156">
        <f t="shared" si="3"/>
        <v>0</v>
      </c>
      <c r="R31" s="152">
        <f t="shared" si="4"/>
        <v>0</v>
      </c>
    </row>
    <row r="32" spans="1:18" ht="15.6" customHeight="1" x14ac:dyDescent="0.2">
      <c r="A32" s="334">
        <v>26</v>
      </c>
      <c r="B32" s="115" t="s">
        <v>29</v>
      </c>
      <c r="C32" s="335">
        <f>'8_2.1.20 SIS'!BH32</f>
        <v>0</v>
      </c>
      <c r="D32" s="336">
        <f>'9_Per Pupil Summary'!Q32</f>
        <v>8564.9407441183976</v>
      </c>
      <c r="E32" s="337">
        <f t="shared" si="5"/>
        <v>0</v>
      </c>
      <c r="F32" s="337">
        <f>'9_Per Pupil Summary'!G32</f>
        <v>836.83</v>
      </c>
      <c r="G32" s="337">
        <f t="shared" si="6"/>
        <v>0</v>
      </c>
      <c r="H32" s="338">
        <f t="shared" si="7"/>
        <v>0</v>
      </c>
      <c r="I32" s="117">
        <v>0</v>
      </c>
      <c r="J32" s="117">
        <v>0</v>
      </c>
      <c r="K32" s="121">
        <f t="shared" si="1"/>
        <v>0</v>
      </c>
      <c r="L32" s="338">
        <f t="shared" si="2"/>
        <v>0</v>
      </c>
      <c r="M32" s="336">
        <v>0</v>
      </c>
      <c r="N32" s="120">
        <f t="shared" si="8"/>
        <v>0</v>
      </c>
      <c r="O32" s="117">
        <v>0</v>
      </c>
      <c r="P32" s="117">
        <f t="shared" si="9"/>
        <v>0</v>
      </c>
      <c r="Q32" s="120">
        <f t="shared" si="3"/>
        <v>0</v>
      </c>
      <c r="R32" s="122">
        <f t="shared" si="4"/>
        <v>0</v>
      </c>
    </row>
    <row r="33" spans="1:18" ht="15.6" customHeight="1" x14ac:dyDescent="0.2">
      <c r="A33" s="339">
        <v>27</v>
      </c>
      <c r="B33" s="133" t="s">
        <v>30</v>
      </c>
      <c r="C33" s="340">
        <f>'8_2.1.20 SIS'!BH33</f>
        <v>0</v>
      </c>
      <c r="D33" s="341">
        <f>'9_Per Pupil Summary'!Q33</f>
        <v>9260.4225250501004</v>
      </c>
      <c r="E33" s="342">
        <f t="shared" si="5"/>
        <v>0</v>
      </c>
      <c r="F33" s="342">
        <f>'9_Per Pupil Summary'!G33</f>
        <v>693.06</v>
      </c>
      <c r="G33" s="342">
        <f t="shared" si="6"/>
        <v>0</v>
      </c>
      <c r="H33" s="343">
        <f t="shared" si="7"/>
        <v>0</v>
      </c>
      <c r="I33" s="135">
        <v>0</v>
      </c>
      <c r="J33" s="135">
        <v>0</v>
      </c>
      <c r="K33" s="139">
        <f t="shared" si="1"/>
        <v>0</v>
      </c>
      <c r="L33" s="343">
        <f t="shared" si="2"/>
        <v>0</v>
      </c>
      <c r="M33" s="341">
        <v>0</v>
      </c>
      <c r="N33" s="138">
        <f t="shared" si="8"/>
        <v>0</v>
      </c>
      <c r="O33" s="135">
        <v>0</v>
      </c>
      <c r="P33" s="135">
        <f t="shared" si="9"/>
        <v>0</v>
      </c>
      <c r="Q33" s="138">
        <f t="shared" si="3"/>
        <v>0</v>
      </c>
      <c r="R33" s="138">
        <f t="shared" si="4"/>
        <v>0</v>
      </c>
    </row>
    <row r="34" spans="1:18" ht="15.6" customHeight="1" x14ac:dyDescent="0.2">
      <c r="A34" s="339">
        <v>28</v>
      </c>
      <c r="B34" s="133" t="s">
        <v>31</v>
      </c>
      <c r="C34" s="340">
        <f>'8_2.1.20 SIS'!BH34</f>
        <v>0</v>
      </c>
      <c r="D34" s="341">
        <f>'9_Per Pupil Summary'!Q34</f>
        <v>7902.6858936661774</v>
      </c>
      <c r="E34" s="342">
        <f t="shared" si="5"/>
        <v>0</v>
      </c>
      <c r="F34" s="342">
        <f>'9_Per Pupil Summary'!G34</f>
        <v>694.4</v>
      </c>
      <c r="G34" s="342">
        <f t="shared" si="6"/>
        <v>0</v>
      </c>
      <c r="H34" s="343">
        <f t="shared" si="7"/>
        <v>0</v>
      </c>
      <c r="I34" s="135">
        <v>25791</v>
      </c>
      <c r="J34" s="135">
        <v>-8597</v>
      </c>
      <c r="K34" s="139">
        <f t="shared" si="1"/>
        <v>17194</v>
      </c>
      <c r="L34" s="343">
        <f t="shared" si="2"/>
        <v>17194</v>
      </c>
      <c r="M34" s="341">
        <v>0</v>
      </c>
      <c r="N34" s="138">
        <f t="shared" si="8"/>
        <v>17194</v>
      </c>
      <c r="O34" s="135">
        <v>8598</v>
      </c>
      <c r="P34" s="135">
        <f t="shared" si="9"/>
        <v>8596</v>
      </c>
      <c r="Q34" s="138">
        <f t="shared" si="3"/>
        <v>2149</v>
      </c>
      <c r="R34" s="138">
        <f t="shared" si="4"/>
        <v>17194</v>
      </c>
    </row>
    <row r="35" spans="1:18" ht="15.6" customHeight="1" x14ac:dyDescent="0.2">
      <c r="A35" s="339">
        <v>29</v>
      </c>
      <c r="B35" s="133" t="s">
        <v>32</v>
      </c>
      <c r="C35" s="340">
        <f>'8_2.1.20 SIS'!BH35</f>
        <v>0</v>
      </c>
      <c r="D35" s="341">
        <f>'9_Per Pupil Summary'!Q35</f>
        <v>8146.1196327803773</v>
      </c>
      <c r="E35" s="342">
        <f t="shared" si="5"/>
        <v>0</v>
      </c>
      <c r="F35" s="342">
        <f>'9_Per Pupil Summary'!G35</f>
        <v>754.94999999999993</v>
      </c>
      <c r="G35" s="342">
        <f t="shared" si="6"/>
        <v>0</v>
      </c>
      <c r="H35" s="343">
        <f t="shared" si="7"/>
        <v>0</v>
      </c>
      <c r="I35" s="135">
        <v>0</v>
      </c>
      <c r="J35" s="135">
        <v>0</v>
      </c>
      <c r="K35" s="139">
        <f t="shared" si="1"/>
        <v>0</v>
      </c>
      <c r="L35" s="343">
        <f t="shared" si="2"/>
        <v>0</v>
      </c>
      <c r="M35" s="341">
        <v>0</v>
      </c>
      <c r="N35" s="138">
        <f t="shared" si="8"/>
        <v>0</v>
      </c>
      <c r="O35" s="135">
        <v>0</v>
      </c>
      <c r="P35" s="135">
        <f t="shared" si="9"/>
        <v>0</v>
      </c>
      <c r="Q35" s="138">
        <f t="shared" si="3"/>
        <v>0</v>
      </c>
      <c r="R35" s="138">
        <f t="shared" si="4"/>
        <v>0</v>
      </c>
    </row>
    <row r="36" spans="1:18" ht="15.6" customHeight="1" x14ac:dyDescent="0.2">
      <c r="A36" s="344">
        <v>30</v>
      </c>
      <c r="B36" s="147" t="s">
        <v>33</v>
      </c>
      <c r="C36" s="345">
        <f>'8_2.1.20 SIS'!BH36</f>
        <v>0</v>
      </c>
      <c r="D36" s="346">
        <f>'9_Per Pupil Summary'!Q36</f>
        <v>9263.2352388535037</v>
      </c>
      <c r="E36" s="347">
        <f t="shared" si="5"/>
        <v>0</v>
      </c>
      <c r="F36" s="347">
        <f>'9_Per Pupil Summary'!G36</f>
        <v>727.17</v>
      </c>
      <c r="G36" s="347">
        <f t="shared" si="6"/>
        <v>0</v>
      </c>
      <c r="H36" s="348">
        <f t="shared" si="7"/>
        <v>0</v>
      </c>
      <c r="I36" s="149">
        <v>0</v>
      </c>
      <c r="J36" s="149">
        <v>0</v>
      </c>
      <c r="K36" s="153">
        <f t="shared" si="1"/>
        <v>0</v>
      </c>
      <c r="L36" s="348">
        <f t="shared" si="2"/>
        <v>0</v>
      </c>
      <c r="M36" s="346">
        <v>0</v>
      </c>
      <c r="N36" s="152">
        <f t="shared" si="8"/>
        <v>0</v>
      </c>
      <c r="O36" s="155">
        <v>0</v>
      </c>
      <c r="P36" s="149">
        <f t="shared" si="9"/>
        <v>0</v>
      </c>
      <c r="Q36" s="156">
        <f t="shared" si="3"/>
        <v>0</v>
      </c>
      <c r="R36" s="152">
        <f t="shared" si="4"/>
        <v>0</v>
      </c>
    </row>
    <row r="37" spans="1:18" ht="15.6" customHeight="1" x14ac:dyDescent="0.2">
      <c r="A37" s="334">
        <v>31</v>
      </c>
      <c r="B37" s="115" t="s">
        <v>34</v>
      </c>
      <c r="C37" s="335">
        <f>'8_2.1.20 SIS'!BH37</f>
        <v>0</v>
      </c>
      <c r="D37" s="336">
        <f>'9_Per Pupil Summary'!Q37</f>
        <v>8997.4791965008917</v>
      </c>
      <c r="E37" s="337">
        <f t="shared" si="5"/>
        <v>0</v>
      </c>
      <c r="F37" s="337">
        <f>'9_Per Pupil Summary'!G37</f>
        <v>620.83000000000004</v>
      </c>
      <c r="G37" s="337">
        <f t="shared" si="6"/>
        <v>0</v>
      </c>
      <c r="H37" s="338">
        <f t="shared" si="7"/>
        <v>0</v>
      </c>
      <c r="I37" s="117">
        <v>0</v>
      </c>
      <c r="J37" s="117">
        <v>0</v>
      </c>
      <c r="K37" s="121">
        <f t="shared" si="1"/>
        <v>0</v>
      </c>
      <c r="L37" s="338">
        <f t="shared" si="2"/>
        <v>0</v>
      </c>
      <c r="M37" s="336">
        <v>0</v>
      </c>
      <c r="N37" s="120">
        <f t="shared" si="8"/>
        <v>0</v>
      </c>
      <c r="O37" s="117">
        <v>0</v>
      </c>
      <c r="P37" s="117">
        <f t="shared" si="9"/>
        <v>0</v>
      </c>
      <c r="Q37" s="120">
        <f t="shared" si="3"/>
        <v>0</v>
      </c>
      <c r="R37" s="122">
        <f t="shared" si="4"/>
        <v>0</v>
      </c>
    </row>
    <row r="38" spans="1:18" ht="15.6" customHeight="1" x14ac:dyDescent="0.2">
      <c r="A38" s="339">
        <v>32</v>
      </c>
      <c r="B38" s="133" t="s">
        <v>35</v>
      </c>
      <c r="C38" s="340">
        <f>'8_2.1.20 SIS'!BH38</f>
        <v>0</v>
      </c>
      <c r="D38" s="341">
        <f>'9_Per Pupil Summary'!Q38</f>
        <v>8634.1210878790207</v>
      </c>
      <c r="E38" s="342">
        <f t="shared" si="5"/>
        <v>0</v>
      </c>
      <c r="F38" s="342">
        <f>'9_Per Pupil Summary'!G38</f>
        <v>559.77</v>
      </c>
      <c r="G38" s="342">
        <f t="shared" si="6"/>
        <v>0</v>
      </c>
      <c r="H38" s="343">
        <f t="shared" si="7"/>
        <v>0</v>
      </c>
      <c r="I38" s="135">
        <v>0</v>
      </c>
      <c r="J38" s="135">
        <v>0</v>
      </c>
      <c r="K38" s="139">
        <f t="shared" si="1"/>
        <v>0</v>
      </c>
      <c r="L38" s="343">
        <f t="shared" si="2"/>
        <v>0</v>
      </c>
      <c r="M38" s="341">
        <v>0</v>
      </c>
      <c r="N38" s="138">
        <f t="shared" si="8"/>
        <v>0</v>
      </c>
      <c r="O38" s="135">
        <v>0</v>
      </c>
      <c r="P38" s="135">
        <f t="shared" si="9"/>
        <v>0</v>
      </c>
      <c r="Q38" s="138">
        <f t="shared" si="3"/>
        <v>0</v>
      </c>
      <c r="R38" s="138">
        <f t="shared" si="4"/>
        <v>0</v>
      </c>
    </row>
    <row r="39" spans="1:18" ht="15.6" customHeight="1" x14ac:dyDescent="0.2">
      <c r="A39" s="339">
        <v>33</v>
      </c>
      <c r="B39" s="133" t="s">
        <v>36</v>
      </c>
      <c r="C39" s="340">
        <f>'8_2.1.20 SIS'!BH39</f>
        <v>0</v>
      </c>
      <c r="D39" s="341">
        <f>'9_Per Pupil Summary'!Q39</f>
        <v>10041.616487252126</v>
      </c>
      <c r="E39" s="342">
        <f t="shared" si="5"/>
        <v>0</v>
      </c>
      <c r="F39" s="342">
        <f>'9_Per Pupil Summary'!G39</f>
        <v>655.31000000000006</v>
      </c>
      <c r="G39" s="342">
        <f t="shared" si="6"/>
        <v>0</v>
      </c>
      <c r="H39" s="343">
        <f t="shared" si="7"/>
        <v>0</v>
      </c>
      <c r="I39" s="135">
        <v>0</v>
      </c>
      <c r="J39" s="135">
        <v>0</v>
      </c>
      <c r="K39" s="139">
        <f t="shared" ref="K39:K70" si="10">I39+J39</f>
        <v>0</v>
      </c>
      <c r="L39" s="343">
        <f t="shared" si="2"/>
        <v>0</v>
      </c>
      <c r="M39" s="341">
        <v>0</v>
      </c>
      <c r="N39" s="138">
        <f t="shared" si="8"/>
        <v>0</v>
      </c>
      <c r="O39" s="135">
        <v>0</v>
      </c>
      <c r="P39" s="135">
        <f t="shared" si="9"/>
        <v>0</v>
      </c>
      <c r="Q39" s="138">
        <f t="shared" ref="Q39:Q70" si="11">ROUND(P39/$Q$86,0)</f>
        <v>0</v>
      </c>
      <c r="R39" s="138">
        <f t="shared" ref="R39:R75" si="12">N39</f>
        <v>0</v>
      </c>
    </row>
    <row r="40" spans="1:18" ht="15.6" customHeight="1" x14ac:dyDescent="0.2">
      <c r="A40" s="339">
        <v>34</v>
      </c>
      <c r="B40" s="133" t="s">
        <v>37</v>
      </c>
      <c r="C40" s="340">
        <f>'8_2.1.20 SIS'!BH40</f>
        <v>0</v>
      </c>
      <c r="D40" s="341">
        <f>'9_Per Pupil Summary'!Q40</f>
        <v>9870.4576886661089</v>
      </c>
      <c r="E40" s="342">
        <f t="shared" si="5"/>
        <v>0</v>
      </c>
      <c r="F40" s="342">
        <f>'9_Per Pupil Summary'!G40</f>
        <v>644.11000000000013</v>
      </c>
      <c r="G40" s="342">
        <f t="shared" si="6"/>
        <v>0</v>
      </c>
      <c r="H40" s="343">
        <f t="shared" si="7"/>
        <v>0</v>
      </c>
      <c r="I40" s="135">
        <v>0</v>
      </c>
      <c r="J40" s="135">
        <v>5257</v>
      </c>
      <c r="K40" s="139">
        <f t="shared" si="10"/>
        <v>5257</v>
      </c>
      <c r="L40" s="343">
        <f t="shared" si="2"/>
        <v>5257</v>
      </c>
      <c r="M40" s="341">
        <v>0</v>
      </c>
      <c r="N40" s="138">
        <f t="shared" si="8"/>
        <v>5257</v>
      </c>
      <c r="O40" s="135">
        <v>0</v>
      </c>
      <c r="P40" s="135">
        <f t="shared" si="9"/>
        <v>5257</v>
      </c>
      <c r="Q40" s="138">
        <f t="shared" si="11"/>
        <v>1314</v>
      </c>
      <c r="R40" s="138">
        <f t="shared" si="12"/>
        <v>5257</v>
      </c>
    </row>
    <row r="41" spans="1:18" ht="15.6" customHeight="1" x14ac:dyDescent="0.2">
      <c r="A41" s="344">
        <v>35</v>
      </c>
      <c r="B41" s="147" t="s">
        <v>38</v>
      </c>
      <c r="C41" s="345">
        <f>'8_2.1.20 SIS'!BH41</f>
        <v>0</v>
      </c>
      <c r="D41" s="346">
        <f>'9_Per Pupil Summary'!Q41</f>
        <v>8844.7169328105501</v>
      </c>
      <c r="E41" s="347">
        <f t="shared" si="5"/>
        <v>0</v>
      </c>
      <c r="F41" s="347">
        <f>'9_Per Pupil Summary'!G41</f>
        <v>537.96</v>
      </c>
      <c r="G41" s="347">
        <f t="shared" si="6"/>
        <v>0</v>
      </c>
      <c r="H41" s="348">
        <f t="shared" si="7"/>
        <v>0</v>
      </c>
      <c r="I41" s="149">
        <v>0</v>
      </c>
      <c r="J41" s="149">
        <v>0</v>
      </c>
      <c r="K41" s="153">
        <f t="shared" si="10"/>
        <v>0</v>
      </c>
      <c r="L41" s="348">
        <f t="shared" si="2"/>
        <v>0</v>
      </c>
      <c r="M41" s="346">
        <v>0</v>
      </c>
      <c r="N41" s="152">
        <f t="shared" si="8"/>
        <v>0</v>
      </c>
      <c r="O41" s="155">
        <v>0</v>
      </c>
      <c r="P41" s="149">
        <f t="shared" si="9"/>
        <v>0</v>
      </c>
      <c r="Q41" s="156">
        <f t="shared" si="11"/>
        <v>0</v>
      </c>
      <c r="R41" s="152">
        <f t="shared" si="12"/>
        <v>0</v>
      </c>
    </row>
    <row r="42" spans="1:18" ht="15.6" customHeight="1" x14ac:dyDescent="0.2">
      <c r="A42" s="334">
        <v>36</v>
      </c>
      <c r="B42" s="115" t="s">
        <v>39</v>
      </c>
      <c r="C42" s="335">
        <f>'8_2.1.20 SIS'!BH42</f>
        <v>0</v>
      </c>
      <c r="D42" s="336">
        <f>'9_Per Pupil Summary'!Q42</f>
        <v>8372.8678246926775</v>
      </c>
      <c r="E42" s="337">
        <f t="shared" si="5"/>
        <v>0</v>
      </c>
      <c r="F42" s="337">
        <f>'9_Per Pupil Summary'!G42</f>
        <v>746.03</v>
      </c>
      <c r="G42" s="337">
        <f t="shared" si="6"/>
        <v>0</v>
      </c>
      <c r="H42" s="338">
        <f t="shared" si="7"/>
        <v>0</v>
      </c>
      <c r="I42" s="117">
        <v>0</v>
      </c>
      <c r="J42" s="117">
        <v>0</v>
      </c>
      <c r="K42" s="121">
        <f t="shared" si="10"/>
        <v>0</v>
      </c>
      <c r="L42" s="338">
        <f t="shared" si="2"/>
        <v>0</v>
      </c>
      <c r="M42" s="336">
        <v>0</v>
      </c>
      <c r="N42" s="120">
        <f t="shared" si="8"/>
        <v>0</v>
      </c>
      <c r="O42" s="117">
        <v>0</v>
      </c>
      <c r="P42" s="117">
        <f t="shared" si="9"/>
        <v>0</v>
      </c>
      <c r="Q42" s="120">
        <f t="shared" si="11"/>
        <v>0</v>
      </c>
      <c r="R42" s="122">
        <f t="shared" si="12"/>
        <v>0</v>
      </c>
    </row>
    <row r="43" spans="1:18" ht="15.6" customHeight="1" x14ac:dyDescent="0.2">
      <c r="A43" s="339">
        <v>37</v>
      </c>
      <c r="B43" s="133" t="s">
        <v>40</v>
      </c>
      <c r="C43" s="340">
        <f>'8_2.1.20 SIS'!BH43</f>
        <v>0</v>
      </c>
      <c r="D43" s="341">
        <f>'9_Per Pupil Summary'!Q43</f>
        <v>8965.516042763511</v>
      </c>
      <c r="E43" s="342">
        <f t="shared" si="5"/>
        <v>0</v>
      </c>
      <c r="F43" s="342">
        <f>'9_Per Pupil Summary'!G43</f>
        <v>653.61</v>
      </c>
      <c r="G43" s="342">
        <f t="shared" si="6"/>
        <v>0</v>
      </c>
      <c r="H43" s="343">
        <f t="shared" si="7"/>
        <v>0</v>
      </c>
      <c r="I43" s="135">
        <v>0</v>
      </c>
      <c r="J43" s="135">
        <v>0</v>
      </c>
      <c r="K43" s="139">
        <f t="shared" si="10"/>
        <v>0</v>
      </c>
      <c r="L43" s="343">
        <f t="shared" si="2"/>
        <v>0</v>
      </c>
      <c r="M43" s="341">
        <v>0</v>
      </c>
      <c r="N43" s="138">
        <f t="shared" si="8"/>
        <v>0</v>
      </c>
      <c r="O43" s="135">
        <v>0</v>
      </c>
      <c r="P43" s="135">
        <f t="shared" si="9"/>
        <v>0</v>
      </c>
      <c r="Q43" s="138">
        <f t="shared" si="11"/>
        <v>0</v>
      </c>
      <c r="R43" s="138">
        <f t="shared" si="12"/>
        <v>0</v>
      </c>
    </row>
    <row r="44" spans="1:18" ht="15.6" customHeight="1" x14ac:dyDescent="0.2">
      <c r="A44" s="339">
        <v>38</v>
      </c>
      <c r="B44" s="133" t="s">
        <v>41</v>
      </c>
      <c r="C44" s="340">
        <f>'8_2.1.20 SIS'!BH44</f>
        <v>0</v>
      </c>
      <c r="D44" s="341">
        <f>'9_Per Pupil Summary'!Q44</f>
        <v>8808.8195849445729</v>
      </c>
      <c r="E44" s="342">
        <f t="shared" si="5"/>
        <v>0</v>
      </c>
      <c r="F44" s="342">
        <f>'9_Per Pupil Summary'!G44</f>
        <v>829.92000000000007</v>
      </c>
      <c r="G44" s="342">
        <f t="shared" si="6"/>
        <v>0</v>
      </c>
      <c r="H44" s="343">
        <f t="shared" si="7"/>
        <v>0</v>
      </c>
      <c r="I44" s="135">
        <v>0</v>
      </c>
      <c r="J44" s="135">
        <v>0</v>
      </c>
      <c r="K44" s="139">
        <f t="shared" si="10"/>
        <v>0</v>
      </c>
      <c r="L44" s="343">
        <f t="shared" si="2"/>
        <v>0</v>
      </c>
      <c r="M44" s="341">
        <v>0</v>
      </c>
      <c r="N44" s="138">
        <f t="shared" si="8"/>
        <v>0</v>
      </c>
      <c r="O44" s="135">
        <v>0</v>
      </c>
      <c r="P44" s="135">
        <f t="shared" si="9"/>
        <v>0</v>
      </c>
      <c r="Q44" s="138">
        <f t="shared" si="11"/>
        <v>0</v>
      </c>
      <c r="R44" s="138">
        <f t="shared" si="12"/>
        <v>0</v>
      </c>
    </row>
    <row r="45" spans="1:18" ht="15.6" customHeight="1" x14ac:dyDescent="0.2">
      <c r="A45" s="339">
        <v>39</v>
      </c>
      <c r="B45" s="133" t="s">
        <v>42</v>
      </c>
      <c r="C45" s="340">
        <f>'8_2.1.20 SIS'!BH45</f>
        <v>2</v>
      </c>
      <c r="D45" s="341">
        <f>'9_Per Pupil Summary'!Q45</f>
        <v>8732.4221734191597</v>
      </c>
      <c r="E45" s="342">
        <f t="shared" si="5"/>
        <v>17464.844346838319</v>
      </c>
      <c r="F45" s="342">
        <f>'9_Per Pupil Summary'!G45</f>
        <v>779.66</v>
      </c>
      <c r="G45" s="342">
        <f t="shared" si="6"/>
        <v>1559.32</v>
      </c>
      <c r="H45" s="343">
        <f t="shared" si="7"/>
        <v>19024</v>
      </c>
      <c r="I45" s="135">
        <v>19024</v>
      </c>
      <c r="J45" s="135">
        <v>0</v>
      </c>
      <c r="K45" s="139">
        <f t="shared" si="10"/>
        <v>19024</v>
      </c>
      <c r="L45" s="343">
        <f t="shared" si="2"/>
        <v>38048</v>
      </c>
      <c r="M45" s="341">
        <v>0</v>
      </c>
      <c r="N45" s="138">
        <f t="shared" si="8"/>
        <v>38048</v>
      </c>
      <c r="O45" s="135">
        <v>19022</v>
      </c>
      <c r="P45" s="135">
        <f t="shared" si="9"/>
        <v>19026</v>
      </c>
      <c r="Q45" s="138">
        <f t="shared" si="11"/>
        <v>4757</v>
      </c>
      <c r="R45" s="138">
        <f t="shared" si="12"/>
        <v>38048</v>
      </c>
    </row>
    <row r="46" spans="1:18" ht="15.6" customHeight="1" x14ac:dyDescent="0.2">
      <c r="A46" s="344">
        <v>40</v>
      </c>
      <c r="B46" s="147" t="s">
        <v>43</v>
      </c>
      <c r="C46" s="345">
        <f>'8_2.1.20 SIS'!BH46</f>
        <v>0</v>
      </c>
      <c r="D46" s="346">
        <f>'9_Per Pupil Summary'!Q46</f>
        <v>8811.3050792342219</v>
      </c>
      <c r="E46" s="347">
        <f t="shared" si="5"/>
        <v>0</v>
      </c>
      <c r="F46" s="347">
        <f>'9_Per Pupil Summary'!G46</f>
        <v>700.2700000000001</v>
      </c>
      <c r="G46" s="347">
        <f t="shared" si="6"/>
        <v>0</v>
      </c>
      <c r="H46" s="348">
        <f t="shared" si="7"/>
        <v>0</v>
      </c>
      <c r="I46" s="149">
        <v>0</v>
      </c>
      <c r="J46" s="149">
        <v>0</v>
      </c>
      <c r="K46" s="153">
        <f t="shared" si="10"/>
        <v>0</v>
      </c>
      <c r="L46" s="348">
        <f t="shared" si="2"/>
        <v>0</v>
      </c>
      <c r="M46" s="346">
        <v>0</v>
      </c>
      <c r="N46" s="152">
        <f t="shared" si="8"/>
        <v>0</v>
      </c>
      <c r="O46" s="155">
        <v>0</v>
      </c>
      <c r="P46" s="149">
        <f t="shared" si="9"/>
        <v>0</v>
      </c>
      <c r="Q46" s="156">
        <f t="shared" si="11"/>
        <v>0</v>
      </c>
      <c r="R46" s="152">
        <f t="shared" si="12"/>
        <v>0</v>
      </c>
    </row>
    <row r="47" spans="1:18" ht="15.6" customHeight="1" x14ac:dyDescent="0.2">
      <c r="A47" s="334">
        <v>41</v>
      </c>
      <c r="B47" s="115" t="s">
        <v>44</v>
      </c>
      <c r="C47" s="335">
        <f>'8_2.1.20 SIS'!BH47</f>
        <v>0</v>
      </c>
      <c r="D47" s="336">
        <f>'9_Per Pupil Summary'!Q47</f>
        <v>8907.396563706563</v>
      </c>
      <c r="E47" s="337">
        <f t="shared" si="5"/>
        <v>0</v>
      </c>
      <c r="F47" s="337">
        <f>'9_Per Pupil Summary'!G47</f>
        <v>886.22</v>
      </c>
      <c r="G47" s="337">
        <f t="shared" si="6"/>
        <v>0</v>
      </c>
      <c r="H47" s="338">
        <f t="shared" si="7"/>
        <v>0</v>
      </c>
      <c r="I47" s="117">
        <v>0</v>
      </c>
      <c r="J47" s="117">
        <v>0</v>
      </c>
      <c r="K47" s="121">
        <f t="shared" si="10"/>
        <v>0</v>
      </c>
      <c r="L47" s="338">
        <f t="shared" si="2"/>
        <v>0</v>
      </c>
      <c r="M47" s="336">
        <v>0</v>
      </c>
      <c r="N47" s="120">
        <f t="shared" si="8"/>
        <v>0</v>
      </c>
      <c r="O47" s="117">
        <v>0</v>
      </c>
      <c r="P47" s="117">
        <f t="shared" si="9"/>
        <v>0</v>
      </c>
      <c r="Q47" s="120">
        <f t="shared" si="11"/>
        <v>0</v>
      </c>
      <c r="R47" s="122">
        <f t="shared" si="12"/>
        <v>0</v>
      </c>
    </row>
    <row r="48" spans="1:18" ht="15.6" customHeight="1" x14ac:dyDescent="0.2">
      <c r="A48" s="339">
        <v>42</v>
      </c>
      <c r="B48" s="133" t="s">
        <v>45</v>
      </c>
      <c r="C48" s="340">
        <f>'8_2.1.20 SIS'!BH48</f>
        <v>0</v>
      </c>
      <c r="D48" s="341">
        <f>'9_Per Pupil Summary'!Q48</f>
        <v>9367.8114888155487</v>
      </c>
      <c r="E48" s="342">
        <f t="shared" si="5"/>
        <v>0</v>
      </c>
      <c r="F48" s="342">
        <f>'9_Per Pupil Summary'!G48</f>
        <v>534.28</v>
      </c>
      <c r="G48" s="342">
        <f t="shared" si="6"/>
        <v>0</v>
      </c>
      <c r="H48" s="343">
        <f t="shared" si="7"/>
        <v>0</v>
      </c>
      <c r="I48" s="135">
        <v>0</v>
      </c>
      <c r="J48" s="135">
        <v>0</v>
      </c>
      <c r="K48" s="139">
        <f t="shared" si="10"/>
        <v>0</v>
      </c>
      <c r="L48" s="343">
        <f t="shared" si="2"/>
        <v>0</v>
      </c>
      <c r="M48" s="341">
        <v>0</v>
      </c>
      <c r="N48" s="138">
        <f t="shared" si="8"/>
        <v>0</v>
      </c>
      <c r="O48" s="135">
        <v>0</v>
      </c>
      <c r="P48" s="135">
        <f t="shared" si="9"/>
        <v>0</v>
      </c>
      <c r="Q48" s="138">
        <f t="shared" si="11"/>
        <v>0</v>
      </c>
      <c r="R48" s="138">
        <f t="shared" si="12"/>
        <v>0</v>
      </c>
    </row>
    <row r="49" spans="1:18" ht="15.6" customHeight="1" x14ac:dyDescent="0.2">
      <c r="A49" s="339">
        <v>43</v>
      </c>
      <c r="B49" s="133" t="s">
        <v>46</v>
      </c>
      <c r="C49" s="340">
        <f>'8_2.1.20 SIS'!BH49</f>
        <v>0</v>
      </c>
      <c r="D49" s="341">
        <f>'9_Per Pupil Summary'!Q49</f>
        <v>9488.8764077669912</v>
      </c>
      <c r="E49" s="342">
        <f t="shared" si="5"/>
        <v>0</v>
      </c>
      <c r="F49" s="342">
        <f>'9_Per Pupil Summary'!G49</f>
        <v>574.6099999999999</v>
      </c>
      <c r="G49" s="342">
        <f t="shared" si="6"/>
        <v>0</v>
      </c>
      <c r="H49" s="343">
        <f t="shared" si="7"/>
        <v>0</v>
      </c>
      <c r="I49" s="135">
        <v>0</v>
      </c>
      <c r="J49" s="135">
        <v>0</v>
      </c>
      <c r="K49" s="139">
        <f t="shared" si="10"/>
        <v>0</v>
      </c>
      <c r="L49" s="343">
        <f t="shared" si="2"/>
        <v>0</v>
      </c>
      <c r="M49" s="341">
        <v>0</v>
      </c>
      <c r="N49" s="138">
        <f t="shared" si="8"/>
        <v>0</v>
      </c>
      <c r="O49" s="135">
        <v>0</v>
      </c>
      <c r="P49" s="135">
        <f t="shared" si="9"/>
        <v>0</v>
      </c>
      <c r="Q49" s="138">
        <f t="shared" si="11"/>
        <v>0</v>
      </c>
      <c r="R49" s="138">
        <f t="shared" si="12"/>
        <v>0</v>
      </c>
    </row>
    <row r="50" spans="1:18" ht="15.6" customHeight="1" x14ac:dyDescent="0.2">
      <c r="A50" s="339">
        <v>44</v>
      </c>
      <c r="B50" s="133" t="s">
        <v>47</v>
      </c>
      <c r="C50" s="340">
        <f>'8_2.1.20 SIS'!BH50</f>
        <v>1</v>
      </c>
      <c r="D50" s="341">
        <f>'9_Per Pupil Summary'!Q50</f>
        <v>8662.2609117725933</v>
      </c>
      <c r="E50" s="342">
        <f t="shared" si="5"/>
        <v>8662.2609117725933</v>
      </c>
      <c r="F50" s="342">
        <f>'9_Per Pupil Summary'!G50</f>
        <v>663.16000000000008</v>
      </c>
      <c r="G50" s="342">
        <f t="shared" si="6"/>
        <v>663.16000000000008</v>
      </c>
      <c r="H50" s="343">
        <f t="shared" si="7"/>
        <v>9325</v>
      </c>
      <c r="I50" s="135">
        <v>0</v>
      </c>
      <c r="J50" s="135">
        <v>0</v>
      </c>
      <c r="K50" s="139">
        <f t="shared" si="10"/>
        <v>0</v>
      </c>
      <c r="L50" s="343">
        <f t="shared" si="2"/>
        <v>9325</v>
      </c>
      <c r="M50" s="341">
        <v>0</v>
      </c>
      <c r="N50" s="138">
        <f t="shared" si="8"/>
        <v>9325</v>
      </c>
      <c r="O50" s="135">
        <v>6216</v>
      </c>
      <c r="P50" s="135">
        <f t="shared" si="9"/>
        <v>3109</v>
      </c>
      <c r="Q50" s="138">
        <f t="shared" si="11"/>
        <v>777</v>
      </c>
      <c r="R50" s="138">
        <f t="shared" si="12"/>
        <v>9325</v>
      </c>
    </row>
    <row r="51" spans="1:18" ht="15.6" customHeight="1" x14ac:dyDescent="0.2">
      <c r="A51" s="344">
        <v>45</v>
      </c>
      <c r="B51" s="147" t="s">
        <v>48</v>
      </c>
      <c r="C51" s="345">
        <f>'8_2.1.20 SIS'!BH51</f>
        <v>0</v>
      </c>
      <c r="D51" s="346">
        <f>'9_Per Pupil Summary'!Q51</f>
        <v>7853.0362356170172</v>
      </c>
      <c r="E51" s="347">
        <f t="shared" si="5"/>
        <v>0</v>
      </c>
      <c r="F51" s="347">
        <f>'9_Per Pupil Summary'!G51</f>
        <v>753.96000000000015</v>
      </c>
      <c r="G51" s="347">
        <f t="shared" si="6"/>
        <v>0</v>
      </c>
      <c r="H51" s="348">
        <f t="shared" si="7"/>
        <v>0</v>
      </c>
      <c r="I51" s="149">
        <v>0</v>
      </c>
      <c r="J51" s="149">
        <v>0</v>
      </c>
      <c r="K51" s="153">
        <f t="shared" si="10"/>
        <v>0</v>
      </c>
      <c r="L51" s="348">
        <f t="shared" si="2"/>
        <v>0</v>
      </c>
      <c r="M51" s="346">
        <v>0</v>
      </c>
      <c r="N51" s="152">
        <f t="shared" si="8"/>
        <v>0</v>
      </c>
      <c r="O51" s="155">
        <v>0</v>
      </c>
      <c r="P51" s="149">
        <f t="shared" si="9"/>
        <v>0</v>
      </c>
      <c r="Q51" s="156">
        <f t="shared" si="11"/>
        <v>0</v>
      </c>
      <c r="R51" s="152">
        <f t="shared" si="12"/>
        <v>0</v>
      </c>
    </row>
    <row r="52" spans="1:18" ht="15.6" customHeight="1" x14ac:dyDescent="0.2">
      <c r="A52" s="334">
        <v>46</v>
      </c>
      <c r="B52" s="115" t="s">
        <v>49</v>
      </c>
      <c r="C52" s="335">
        <f>'8_2.1.20 SIS'!BH52</f>
        <v>0</v>
      </c>
      <c r="D52" s="336">
        <f>'9_Per Pupil Summary'!Q52</f>
        <v>10300.317552742616</v>
      </c>
      <c r="E52" s="337">
        <f t="shared" si="5"/>
        <v>0</v>
      </c>
      <c r="F52" s="337">
        <f>'9_Per Pupil Summary'!G52</f>
        <v>728.06</v>
      </c>
      <c r="G52" s="337">
        <f t="shared" si="6"/>
        <v>0</v>
      </c>
      <c r="H52" s="338">
        <f t="shared" si="7"/>
        <v>0</v>
      </c>
      <c r="I52" s="117">
        <v>0</v>
      </c>
      <c r="J52" s="117">
        <v>0</v>
      </c>
      <c r="K52" s="121">
        <f t="shared" si="10"/>
        <v>0</v>
      </c>
      <c r="L52" s="338">
        <f t="shared" si="2"/>
        <v>0</v>
      </c>
      <c r="M52" s="336">
        <v>0</v>
      </c>
      <c r="N52" s="120">
        <f t="shared" si="8"/>
        <v>0</v>
      </c>
      <c r="O52" s="117">
        <v>0</v>
      </c>
      <c r="P52" s="117">
        <f t="shared" si="9"/>
        <v>0</v>
      </c>
      <c r="Q52" s="120">
        <f t="shared" si="11"/>
        <v>0</v>
      </c>
      <c r="R52" s="122">
        <f t="shared" si="12"/>
        <v>0</v>
      </c>
    </row>
    <row r="53" spans="1:18" ht="15.6" customHeight="1" x14ac:dyDescent="0.2">
      <c r="A53" s="339">
        <v>47</v>
      </c>
      <c r="B53" s="133" t="s">
        <v>50</v>
      </c>
      <c r="C53" s="340">
        <f>'8_2.1.20 SIS'!BH53</f>
        <v>0</v>
      </c>
      <c r="D53" s="341">
        <f>'9_Per Pupil Summary'!Q53</f>
        <v>8625.0299001426538</v>
      </c>
      <c r="E53" s="342">
        <f t="shared" si="5"/>
        <v>0</v>
      </c>
      <c r="F53" s="342">
        <f>'9_Per Pupil Summary'!G53</f>
        <v>910.76</v>
      </c>
      <c r="G53" s="342">
        <f t="shared" si="6"/>
        <v>0</v>
      </c>
      <c r="H53" s="343">
        <f t="shared" si="7"/>
        <v>0</v>
      </c>
      <c r="I53" s="135">
        <v>0</v>
      </c>
      <c r="J53" s="135">
        <v>0</v>
      </c>
      <c r="K53" s="139">
        <f t="shared" si="10"/>
        <v>0</v>
      </c>
      <c r="L53" s="343">
        <f t="shared" si="2"/>
        <v>0</v>
      </c>
      <c r="M53" s="341">
        <v>0</v>
      </c>
      <c r="N53" s="138">
        <f t="shared" si="8"/>
        <v>0</v>
      </c>
      <c r="O53" s="135">
        <v>0</v>
      </c>
      <c r="P53" s="135">
        <f t="shared" si="9"/>
        <v>0</v>
      </c>
      <c r="Q53" s="138">
        <f t="shared" si="11"/>
        <v>0</v>
      </c>
      <c r="R53" s="138">
        <f t="shared" si="12"/>
        <v>0</v>
      </c>
    </row>
    <row r="54" spans="1:18" ht="15.6" customHeight="1" x14ac:dyDescent="0.2">
      <c r="A54" s="339">
        <v>48</v>
      </c>
      <c r="B54" s="133" t="s">
        <v>73</v>
      </c>
      <c r="C54" s="340">
        <f>'8_2.1.20 SIS'!BH54</f>
        <v>2</v>
      </c>
      <c r="D54" s="341">
        <f>'9_Per Pupil Summary'!Q54</f>
        <v>8783.503996554693</v>
      </c>
      <c r="E54" s="342">
        <f t="shared" si="5"/>
        <v>17567.007993109386</v>
      </c>
      <c r="F54" s="342">
        <f>'9_Per Pupil Summary'!G54</f>
        <v>871.07</v>
      </c>
      <c r="G54" s="342">
        <f t="shared" si="6"/>
        <v>1742.14</v>
      </c>
      <c r="H54" s="343">
        <f t="shared" si="7"/>
        <v>19309</v>
      </c>
      <c r="I54" s="135">
        <v>-19309</v>
      </c>
      <c r="J54" s="135">
        <v>0</v>
      </c>
      <c r="K54" s="139">
        <f t="shared" si="10"/>
        <v>-19309</v>
      </c>
      <c r="L54" s="343">
        <f t="shared" si="2"/>
        <v>0</v>
      </c>
      <c r="M54" s="341">
        <v>0</v>
      </c>
      <c r="N54" s="138">
        <f t="shared" si="8"/>
        <v>0</v>
      </c>
      <c r="O54" s="135">
        <v>6436</v>
      </c>
      <c r="P54" s="135">
        <f t="shared" si="9"/>
        <v>-6436</v>
      </c>
      <c r="Q54" s="138">
        <f t="shared" si="11"/>
        <v>-1609</v>
      </c>
      <c r="R54" s="138">
        <f t="shared" si="12"/>
        <v>0</v>
      </c>
    </row>
    <row r="55" spans="1:18" ht="15.6" customHeight="1" x14ac:dyDescent="0.2">
      <c r="A55" s="339">
        <v>49</v>
      </c>
      <c r="B55" s="133" t="s">
        <v>51</v>
      </c>
      <c r="C55" s="340">
        <f>'8_2.1.20 SIS'!BH55</f>
        <v>0</v>
      </c>
      <c r="D55" s="341">
        <f>'9_Per Pupil Summary'!Q55</f>
        <v>8267.8495137012724</v>
      </c>
      <c r="E55" s="342">
        <f t="shared" si="5"/>
        <v>0</v>
      </c>
      <c r="F55" s="342">
        <f>'9_Per Pupil Summary'!G55</f>
        <v>574.43999999999994</v>
      </c>
      <c r="G55" s="342">
        <f t="shared" si="6"/>
        <v>0</v>
      </c>
      <c r="H55" s="343">
        <f t="shared" si="7"/>
        <v>0</v>
      </c>
      <c r="I55" s="135">
        <v>0</v>
      </c>
      <c r="J55" s="135">
        <v>0</v>
      </c>
      <c r="K55" s="139">
        <f t="shared" si="10"/>
        <v>0</v>
      </c>
      <c r="L55" s="343">
        <f t="shared" si="2"/>
        <v>0</v>
      </c>
      <c r="M55" s="341">
        <v>0</v>
      </c>
      <c r="N55" s="138">
        <f t="shared" si="8"/>
        <v>0</v>
      </c>
      <c r="O55" s="135">
        <v>0</v>
      </c>
      <c r="P55" s="135">
        <f t="shared" si="9"/>
        <v>0</v>
      </c>
      <c r="Q55" s="138">
        <f t="shared" si="11"/>
        <v>0</v>
      </c>
      <c r="R55" s="138">
        <f t="shared" si="12"/>
        <v>0</v>
      </c>
    </row>
    <row r="56" spans="1:18" ht="15.6" customHeight="1" x14ac:dyDescent="0.2">
      <c r="A56" s="344">
        <v>50</v>
      </c>
      <c r="B56" s="147" t="s">
        <v>52</v>
      </c>
      <c r="C56" s="345">
        <f>'8_2.1.20 SIS'!BH56</f>
        <v>0</v>
      </c>
      <c r="D56" s="346">
        <f>'9_Per Pupil Summary'!Q56</f>
        <v>8711.0049539794272</v>
      </c>
      <c r="E56" s="347">
        <f t="shared" si="5"/>
        <v>0</v>
      </c>
      <c r="F56" s="347">
        <f>'9_Per Pupil Summary'!G56</f>
        <v>634.46</v>
      </c>
      <c r="G56" s="347">
        <f t="shared" si="6"/>
        <v>0</v>
      </c>
      <c r="H56" s="348">
        <f t="shared" si="7"/>
        <v>0</v>
      </c>
      <c r="I56" s="149">
        <v>0</v>
      </c>
      <c r="J56" s="149">
        <v>0</v>
      </c>
      <c r="K56" s="153">
        <f t="shared" si="10"/>
        <v>0</v>
      </c>
      <c r="L56" s="348">
        <f t="shared" si="2"/>
        <v>0</v>
      </c>
      <c r="M56" s="346">
        <v>0</v>
      </c>
      <c r="N56" s="152">
        <f t="shared" si="8"/>
        <v>0</v>
      </c>
      <c r="O56" s="155">
        <v>0</v>
      </c>
      <c r="P56" s="149">
        <f t="shared" si="9"/>
        <v>0</v>
      </c>
      <c r="Q56" s="156">
        <f t="shared" si="11"/>
        <v>0</v>
      </c>
      <c r="R56" s="152">
        <f t="shared" si="12"/>
        <v>0</v>
      </c>
    </row>
    <row r="57" spans="1:18" ht="15.6" customHeight="1" x14ac:dyDescent="0.2">
      <c r="A57" s="334">
        <v>51</v>
      </c>
      <c r="B57" s="115" t="s">
        <v>53</v>
      </c>
      <c r="C57" s="335">
        <f>'8_2.1.20 SIS'!BH57</f>
        <v>0</v>
      </c>
      <c r="D57" s="336">
        <f>'9_Per Pupil Summary'!Q57</f>
        <v>9158.3445218879933</v>
      </c>
      <c r="E57" s="337">
        <f t="shared" si="5"/>
        <v>0</v>
      </c>
      <c r="F57" s="337">
        <f>'9_Per Pupil Summary'!G57</f>
        <v>706.66</v>
      </c>
      <c r="G57" s="337">
        <f t="shared" si="6"/>
        <v>0</v>
      </c>
      <c r="H57" s="338">
        <f t="shared" si="7"/>
        <v>0</v>
      </c>
      <c r="I57" s="117">
        <v>0</v>
      </c>
      <c r="J57" s="117">
        <v>0</v>
      </c>
      <c r="K57" s="121">
        <f t="shared" si="10"/>
        <v>0</v>
      </c>
      <c r="L57" s="338">
        <f t="shared" si="2"/>
        <v>0</v>
      </c>
      <c r="M57" s="336">
        <v>0</v>
      </c>
      <c r="N57" s="120">
        <f t="shared" si="8"/>
        <v>0</v>
      </c>
      <c r="O57" s="117">
        <v>0</v>
      </c>
      <c r="P57" s="117">
        <f t="shared" si="9"/>
        <v>0</v>
      </c>
      <c r="Q57" s="120">
        <f t="shared" si="11"/>
        <v>0</v>
      </c>
      <c r="R57" s="122">
        <f t="shared" si="12"/>
        <v>0</v>
      </c>
    </row>
    <row r="58" spans="1:18" ht="15.6" customHeight="1" x14ac:dyDescent="0.2">
      <c r="A58" s="339">
        <v>52</v>
      </c>
      <c r="B58" s="133" t="s">
        <v>54</v>
      </c>
      <c r="C58" s="340">
        <f>'8_2.1.20 SIS'!BH58</f>
        <v>3</v>
      </c>
      <c r="D58" s="341">
        <f>'9_Per Pupil Summary'!Q58</f>
        <v>9045.3056570647605</v>
      </c>
      <c r="E58" s="342">
        <f t="shared" si="5"/>
        <v>27135.916971194281</v>
      </c>
      <c r="F58" s="342">
        <f>'9_Per Pupil Summary'!G58</f>
        <v>658.37</v>
      </c>
      <c r="G58" s="342">
        <f t="shared" si="6"/>
        <v>1975.1100000000001</v>
      </c>
      <c r="H58" s="343">
        <f t="shared" si="7"/>
        <v>29111</v>
      </c>
      <c r="I58" s="135">
        <v>-9704</v>
      </c>
      <c r="J58" s="135">
        <v>0</v>
      </c>
      <c r="K58" s="139">
        <f t="shared" si="10"/>
        <v>-9704</v>
      </c>
      <c r="L58" s="343">
        <f t="shared" si="2"/>
        <v>19407</v>
      </c>
      <c r="M58" s="341">
        <v>0</v>
      </c>
      <c r="N58" s="138">
        <f t="shared" si="8"/>
        <v>19407</v>
      </c>
      <c r="O58" s="135">
        <v>16174</v>
      </c>
      <c r="P58" s="135">
        <f t="shared" si="9"/>
        <v>3233</v>
      </c>
      <c r="Q58" s="138">
        <f t="shared" si="11"/>
        <v>808</v>
      </c>
      <c r="R58" s="138">
        <f t="shared" si="12"/>
        <v>19407</v>
      </c>
    </row>
    <row r="59" spans="1:18" ht="15.6" customHeight="1" x14ac:dyDescent="0.2">
      <c r="A59" s="339">
        <v>53</v>
      </c>
      <c r="B59" s="133" t="s">
        <v>55</v>
      </c>
      <c r="C59" s="340">
        <f>'8_2.1.20 SIS'!BH59</f>
        <v>3</v>
      </c>
      <c r="D59" s="341">
        <f>'9_Per Pupil Summary'!Q59</f>
        <v>8102.7274443178285</v>
      </c>
      <c r="E59" s="342">
        <f t="shared" si="5"/>
        <v>24308.182332953485</v>
      </c>
      <c r="F59" s="342">
        <f>'9_Per Pupil Summary'!G59</f>
        <v>689.74</v>
      </c>
      <c r="G59" s="342">
        <f t="shared" si="6"/>
        <v>2069.2200000000003</v>
      </c>
      <c r="H59" s="343">
        <f t="shared" si="7"/>
        <v>26377</v>
      </c>
      <c r="I59" s="135">
        <v>0</v>
      </c>
      <c r="J59" s="135">
        <v>0</v>
      </c>
      <c r="K59" s="139">
        <f t="shared" si="10"/>
        <v>0</v>
      </c>
      <c r="L59" s="343">
        <f t="shared" si="2"/>
        <v>26377</v>
      </c>
      <c r="M59" s="341">
        <v>0</v>
      </c>
      <c r="N59" s="138">
        <f t="shared" si="8"/>
        <v>26377</v>
      </c>
      <c r="O59" s="135">
        <v>17584</v>
      </c>
      <c r="P59" s="135">
        <f t="shared" si="9"/>
        <v>8793</v>
      </c>
      <c r="Q59" s="138">
        <f t="shared" si="11"/>
        <v>2198</v>
      </c>
      <c r="R59" s="138">
        <f t="shared" si="12"/>
        <v>26377</v>
      </c>
    </row>
    <row r="60" spans="1:18" ht="15.6" customHeight="1" x14ac:dyDescent="0.2">
      <c r="A60" s="339">
        <v>54</v>
      </c>
      <c r="B60" s="133" t="s">
        <v>56</v>
      </c>
      <c r="C60" s="340">
        <f>'8_2.1.20 SIS'!BH60</f>
        <v>0</v>
      </c>
      <c r="D60" s="341">
        <f>'9_Per Pupil Summary'!Q60</f>
        <v>10372.70310043668</v>
      </c>
      <c r="E60" s="342">
        <f t="shared" si="5"/>
        <v>0</v>
      </c>
      <c r="F60" s="342">
        <f>'9_Per Pupil Summary'!G60</f>
        <v>951.45</v>
      </c>
      <c r="G60" s="342">
        <f t="shared" si="6"/>
        <v>0</v>
      </c>
      <c r="H60" s="343">
        <f t="shared" si="7"/>
        <v>0</v>
      </c>
      <c r="I60" s="135">
        <v>0</v>
      </c>
      <c r="J60" s="135">
        <v>0</v>
      </c>
      <c r="K60" s="139">
        <f t="shared" si="10"/>
        <v>0</v>
      </c>
      <c r="L60" s="343">
        <f t="shared" si="2"/>
        <v>0</v>
      </c>
      <c r="M60" s="341">
        <v>0</v>
      </c>
      <c r="N60" s="138">
        <f t="shared" si="8"/>
        <v>0</v>
      </c>
      <c r="O60" s="135">
        <v>0</v>
      </c>
      <c r="P60" s="135">
        <f t="shared" si="9"/>
        <v>0</v>
      </c>
      <c r="Q60" s="138">
        <f t="shared" si="11"/>
        <v>0</v>
      </c>
      <c r="R60" s="138">
        <f t="shared" si="12"/>
        <v>0</v>
      </c>
    </row>
    <row r="61" spans="1:18" ht="15.6" customHeight="1" x14ac:dyDescent="0.2">
      <c r="A61" s="344">
        <v>55</v>
      </c>
      <c r="B61" s="147" t="s">
        <v>57</v>
      </c>
      <c r="C61" s="345">
        <f>'8_2.1.20 SIS'!BH61</f>
        <v>0</v>
      </c>
      <c r="D61" s="346">
        <f>'9_Per Pupil Summary'!Q61</f>
        <v>8504.1642533936647</v>
      </c>
      <c r="E61" s="347">
        <f t="shared" si="5"/>
        <v>0</v>
      </c>
      <c r="F61" s="347">
        <f>'9_Per Pupil Summary'!G61</f>
        <v>795.14</v>
      </c>
      <c r="G61" s="347">
        <f t="shared" si="6"/>
        <v>0</v>
      </c>
      <c r="H61" s="348">
        <f t="shared" si="7"/>
        <v>0</v>
      </c>
      <c r="I61" s="149">
        <v>0</v>
      </c>
      <c r="J61" s="149">
        <v>0</v>
      </c>
      <c r="K61" s="153">
        <f t="shared" si="10"/>
        <v>0</v>
      </c>
      <c r="L61" s="348">
        <f t="shared" si="2"/>
        <v>0</v>
      </c>
      <c r="M61" s="346">
        <v>0</v>
      </c>
      <c r="N61" s="152">
        <f t="shared" si="8"/>
        <v>0</v>
      </c>
      <c r="O61" s="155">
        <v>0</v>
      </c>
      <c r="P61" s="149">
        <f t="shared" si="9"/>
        <v>0</v>
      </c>
      <c r="Q61" s="156">
        <f t="shared" si="11"/>
        <v>0</v>
      </c>
      <c r="R61" s="152">
        <f t="shared" si="12"/>
        <v>0</v>
      </c>
    </row>
    <row r="62" spans="1:18" ht="15.6" customHeight="1" x14ac:dyDescent="0.2">
      <c r="A62" s="334">
        <v>56</v>
      </c>
      <c r="B62" s="115" t="s">
        <v>58</v>
      </c>
      <c r="C62" s="335">
        <f>'8_2.1.20 SIS'!BH62</f>
        <v>0</v>
      </c>
      <c r="D62" s="336">
        <f>'9_Per Pupil Summary'!Q62</f>
        <v>9642.638731218698</v>
      </c>
      <c r="E62" s="337">
        <f t="shared" si="5"/>
        <v>0</v>
      </c>
      <c r="F62" s="337">
        <f>'9_Per Pupil Summary'!G62</f>
        <v>614.66000000000008</v>
      </c>
      <c r="G62" s="337">
        <f t="shared" si="6"/>
        <v>0</v>
      </c>
      <c r="H62" s="338">
        <f t="shared" si="7"/>
        <v>0</v>
      </c>
      <c r="I62" s="117">
        <v>0</v>
      </c>
      <c r="J62" s="117">
        <v>0</v>
      </c>
      <c r="K62" s="121">
        <f t="shared" si="10"/>
        <v>0</v>
      </c>
      <c r="L62" s="338">
        <f t="shared" si="2"/>
        <v>0</v>
      </c>
      <c r="M62" s="336">
        <v>0</v>
      </c>
      <c r="N62" s="120">
        <f t="shared" si="8"/>
        <v>0</v>
      </c>
      <c r="O62" s="117">
        <v>0</v>
      </c>
      <c r="P62" s="117">
        <f t="shared" si="9"/>
        <v>0</v>
      </c>
      <c r="Q62" s="120">
        <f t="shared" si="11"/>
        <v>0</v>
      </c>
      <c r="R62" s="122">
        <f t="shared" si="12"/>
        <v>0</v>
      </c>
    </row>
    <row r="63" spans="1:18" ht="15.6" customHeight="1" x14ac:dyDescent="0.2">
      <c r="A63" s="339">
        <v>57</v>
      </c>
      <c r="B63" s="133" t="s">
        <v>59</v>
      </c>
      <c r="C63" s="340">
        <f>'8_2.1.20 SIS'!BH63</f>
        <v>0</v>
      </c>
      <c r="D63" s="341">
        <f>'9_Per Pupil Summary'!Q63</f>
        <v>8035.5839914163089</v>
      </c>
      <c r="E63" s="342">
        <f t="shared" si="5"/>
        <v>0</v>
      </c>
      <c r="F63" s="342">
        <f>'9_Per Pupil Summary'!G63</f>
        <v>764.51</v>
      </c>
      <c r="G63" s="342">
        <f t="shared" si="6"/>
        <v>0</v>
      </c>
      <c r="H63" s="343">
        <f t="shared" si="7"/>
        <v>0</v>
      </c>
      <c r="I63" s="135">
        <v>0</v>
      </c>
      <c r="J63" s="135">
        <v>0</v>
      </c>
      <c r="K63" s="139">
        <f t="shared" si="10"/>
        <v>0</v>
      </c>
      <c r="L63" s="343">
        <f t="shared" si="2"/>
        <v>0</v>
      </c>
      <c r="M63" s="341">
        <v>0</v>
      </c>
      <c r="N63" s="138">
        <f t="shared" si="8"/>
        <v>0</v>
      </c>
      <c r="O63" s="135">
        <v>0</v>
      </c>
      <c r="P63" s="135">
        <f t="shared" si="9"/>
        <v>0</v>
      </c>
      <c r="Q63" s="138">
        <f t="shared" si="11"/>
        <v>0</v>
      </c>
      <c r="R63" s="138">
        <f t="shared" si="12"/>
        <v>0</v>
      </c>
    </row>
    <row r="64" spans="1:18" ht="15.6" customHeight="1" x14ac:dyDescent="0.2">
      <c r="A64" s="339">
        <v>58</v>
      </c>
      <c r="B64" s="133" t="s">
        <v>60</v>
      </c>
      <c r="C64" s="340">
        <f>'8_2.1.20 SIS'!BH64</f>
        <v>0</v>
      </c>
      <c r="D64" s="341">
        <f>'9_Per Pupil Summary'!Q64</f>
        <v>8601.041609080703</v>
      </c>
      <c r="E64" s="342">
        <f t="shared" si="5"/>
        <v>0</v>
      </c>
      <c r="F64" s="342">
        <f>'9_Per Pupil Summary'!G64</f>
        <v>697.04</v>
      </c>
      <c r="G64" s="342">
        <f t="shared" si="6"/>
        <v>0</v>
      </c>
      <c r="H64" s="343">
        <f t="shared" si="7"/>
        <v>0</v>
      </c>
      <c r="I64" s="135">
        <v>0</v>
      </c>
      <c r="J64" s="135">
        <v>0</v>
      </c>
      <c r="K64" s="139">
        <f t="shared" si="10"/>
        <v>0</v>
      </c>
      <c r="L64" s="343">
        <f t="shared" si="2"/>
        <v>0</v>
      </c>
      <c r="M64" s="341">
        <v>0</v>
      </c>
      <c r="N64" s="138">
        <f t="shared" si="8"/>
        <v>0</v>
      </c>
      <c r="O64" s="135">
        <v>0</v>
      </c>
      <c r="P64" s="135">
        <f t="shared" si="9"/>
        <v>0</v>
      </c>
      <c r="Q64" s="138">
        <f t="shared" si="11"/>
        <v>0</v>
      </c>
      <c r="R64" s="138">
        <f t="shared" si="12"/>
        <v>0</v>
      </c>
    </row>
    <row r="65" spans="1:18" ht="15.6" customHeight="1" x14ac:dyDescent="0.2">
      <c r="A65" s="339">
        <v>59</v>
      </c>
      <c r="B65" s="133" t="s">
        <v>61</v>
      </c>
      <c r="C65" s="340">
        <f>'8_2.1.20 SIS'!BH65</f>
        <v>0</v>
      </c>
      <c r="D65" s="341">
        <f>'9_Per Pupil Summary'!Q65</f>
        <v>8298.6085085085087</v>
      </c>
      <c r="E65" s="342">
        <f t="shared" si="5"/>
        <v>0</v>
      </c>
      <c r="F65" s="342">
        <f>'9_Per Pupil Summary'!G65</f>
        <v>689.52</v>
      </c>
      <c r="G65" s="342">
        <f t="shared" si="6"/>
        <v>0</v>
      </c>
      <c r="H65" s="343">
        <f t="shared" si="7"/>
        <v>0</v>
      </c>
      <c r="I65" s="135">
        <v>0</v>
      </c>
      <c r="J65" s="135">
        <v>0</v>
      </c>
      <c r="K65" s="139">
        <f t="shared" si="10"/>
        <v>0</v>
      </c>
      <c r="L65" s="343">
        <f t="shared" si="2"/>
        <v>0</v>
      </c>
      <c r="M65" s="341">
        <v>0</v>
      </c>
      <c r="N65" s="138">
        <f t="shared" si="8"/>
        <v>0</v>
      </c>
      <c r="O65" s="135">
        <v>0</v>
      </c>
      <c r="P65" s="135">
        <f t="shared" si="9"/>
        <v>0</v>
      </c>
      <c r="Q65" s="138">
        <f t="shared" si="11"/>
        <v>0</v>
      </c>
      <c r="R65" s="138">
        <f t="shared" si="12"/>
        <v>0</v>
      </c>
    </row>
    <row r="66" spans="1:18" ht="15.6" customHeight="1" x14ac:dyDescent="0.2">
      <c r="A66" s="344">
        <v>60</v>
      </c>
      <c r="B66" s="147" t="s">
        <v>62</v>
      </c>
      <c r="C66" s="345">
        <f>'8_2.1.20 SIS'!BH66</f>
        <v>0</v>
      </c>
      <c r="D66" s="346">
        <f>'9_Per Pupil Summary'!Q66</f>
        <v>9372.658072247903</v>
      </c>
      <c r="E66" s="347">
        <f t="shared" si="5"/>
        <v>0</v>
      </c>
      <c r="F66" s="347">
        <f>'9_Per Pupil Summary'!G66</f>
        <v>594.04</v>
      </c>
      <c r="G66" s="347">
        <f t="shared" si="6"/>
        <v>0</v>
      </c>
      <c r="H66" s="348">
        <f t="shared" si="7"/>
        <v>0</v>
      </c>
      <c r="I66" s="149">
        <v>0</v>
      </c>
      <c r="J66" s="149">
        <v>0</v>
      </c>
      <c r="K66" s="153">
        <f t="shared" si="10"/>
        <v>0</v>
      </c>
      <c r="L66" s="348">
        <f t="shared" si="2"/>
        <v>0</v>
      </c>
      <c r="M66" s="346">
        <v>0</v>
      </c>
      <c r="N66" s="152">
        <f t="shared" si="8"/>
        <v>0</v>
      </c>
      <c r="O66" s="155">
        <v>0</v>
      </c>
      <c r="P66" s="149">
        <f t="shared" si="9"/>
        <v>0</v>
      </c>
      <c r="Q66" s="156">
        <f t="shared" si="11"/>
        <v>0</v>
      </c>
      <c r="R66" s="152">
        <f t="shared" si="12"/>
        <v>0</v>
      </c>
    </row>
    <row r="67" spans="1:18" ht="15.6" customHeight="1" x14ac:dyDescent="0.2">
      <c r="A67" s="334">
        <v>61</v>
      </c>
      <c r="B67" s="115" t="s">
        <v>63</v>
      </c>
      <c r="C67" s="335">
        <f>'8_2.1.20 SIS'!BH67</f>
        <v>8</v>
      </c>
      <c r="D67" s="336">
        <f>'9_Per Pupil Summary'!Q67</f>
        <v>8459.4492364990692</v>
      </c>
      <c r="E67" s="337">
        <f t="shared" si="5"/>
        <v>67675.593891992554</v>
      </c>
      <c r="F67" s="337">
        <f>'9_Per Pupil Summary'!G67</f>
        <v>833.70999999999992</v>
      </c>
      <c r="G67" s="337">
        <f t="shared" si="6"/>
        <v>6669.6799999999994</v>
      </c>
      <c r="H67" s="338">
        <f t="shared" si="7"/>
        <v>74345</v>
      </c>
      <c r="I67" s="117">
        <v>-18586</v>
      </c>
      <c r="J67" s="117">
        <v>4647</v>
      </c>
      <c r="K67" s="121">
        <f t="shared" si="10"/>
        <v>-13939</v>
      </c>
      <c r="L67" s="338">
        <f t="shared" si="2"/>
        <v>60406</v>
      </c>
      <c r="M67" s="336">
        <v>0</v>
      </c>
      <c r="N67" s="120">
        <f t="shared" si="8"/>
        <v>60406</v>
      </c>
      <c r="O67" s="117">
        <v>43366</v>
      </c>
      <c r="P67" s="117">
        <f t="shared" si="9"/>
        <v>17040</v>
      </c>
      <c r="Q67" s="120">
        <f t="shared" si="11"/>
        <v>4260</v>
      </c>
      <c r="R67" s="122">
        <f t="shared" si="12"/>
        <v>60406</v>
      </c>
    </row>
    <row r="68" spans="1:18" ht="15.6" customHeight="1" x14ac:dyDescent="0.2">
      <c r="A68" s="339">
        <v>62</v>
      </c>
      <c r="B68" s="133" t="s">
        <v>64</v>
      </c>
      <c r="C68" s="340">
        <f>'8_2.1.20 SIS'!BH68</f>
        <v>0</v>
      </c>
      <c r="D68" s="341">
        <f>'9_Per Pupil Summary'!Q68</f>
        <v>8654.1952201257864</v>
      </c>
      <c r="E68" s="342">
        <f t="shared" si="5"/>
        <v>0</v>
      </c>
      <c r="F68" s="342">
        <f>'9_Per Pupil Summary'!G68</f>
        <v>516.08000000000004</v>
      </c>
      <c r="G68" s="342">
        <f t="shared" si="6"/>
        <v>0</v>
      </c>
      <c r="H68" s="343">
        <f t="shared" si="7"/>
        <v>0</v>
      </c>
      <c r="I68" s="135">
        <v>0</v>
      </c>
      <c r="J68" s="135">
        <v>0</v>
      </c>
      <c r="K68" s="139">
        <f t="shared" si="10"/>
        <v>0</v>
      </c>
      <c r="L68" s="343">
        <f t="shared" si="2"/>
        <v>0</v>
      </c>
      <c r="M68" s="341">
        <v>0</v>
      </c>
      <c r="N68" s="138">
        <f t="shared" si="8"/>
        <v>0</v>
      </c>
      <c r="O68" s="135">
        <v>0</v>
      </c>
      <c r="P68" s="135">
        <f t="shared" si="9"/>
        <v>0</v>
      </c>
      <c r="Q68" s="138">
        <f t="shared" si="11"/>
        <v>0</v>
      </c>
      <c r="R68" s="138">
        <f t="shared" si="12"/>
        <v>0</v>
      </c>
    </row>
    <row r="69" spans="1:18" ht="15.6" customHeight="1" x14ac:dyDescent="0.2">
      <c r="A69" s="339">
        <v>63</v>
      </c>
      <c r="B69" s="133" t="s">
        <v>65</v>
      </c>
      <c r="C69" s="340">
        <f>'8_2.1.20 SIS'!BH69</f>
        <v>1</v>
      </c>
      <c r="D69" s="341">
        <f>'9_Per Pupil Summary'!Q69</f>
        <v>8941.0284557081941</v>
      </c>
      <c r="E69" s="342">
        <f t="shared" si="5"/>
        <v>8941.0284557081941</v>
      </c>
      <c r="F69" s="342">
        <f>'9_Per Pupil Summary'!G69</f>
        <v>756.79</v>
      </c>
      <c r="G69" s="342">
        <f t="shared" si="6"/>
        <v>756.79</v>
      </c>
      <c r="H69" s="343">
        <f t="shared" si="7"/>
        <v>9698</v>
      </c>
      <c r="I69" s="135">
        <v>-9698</v>
      </c>
      <c r="J69" s="135">
        <v>4849</v>
      </c>
      <c r="K69" s="139">
        <f t="shared" si="10"/>
        <v>-4849</v>
      </c>
      <c r="L69" s="343">
        <f t="shared" si="2"/>
        <v>4849</v>
      </c>
      <c r="M69" s="341">
        <v>0</v>
      </c>
      <c r="N69" s="138">
        <f t="shared" si="8"/>
        <v>4849</v>
      </c>
      <c r="O69" s="135">
        <v>3232</v>
      </c>
      <c r="P69" s="135">
        <f t="shared" si="9"/>
        <v>1617</v>
      </c>
      <c r="Q69" s="138">
        <f t="shared" si="11"/>
        <v>404</v>
      </c>
      <c r="R69" s="138">
        <f t="shared" si="12"/>
        <v>4849</v>
      </c>
    </row>
    <row r="70" spans="1:18" ht="15.6" customHeight="1" x14ac:dyDescent="0.2">
      <c r="A70" s="339">
        <v>64</v>
      </c>
      <c r="B70" s="133" t="s">
        <v>66</v>
      </c>
      <c r="C70" s="340">
        <f>'8_2.1.20 SIS'!BH70</f>
        <v>0</v>
      </c>
      <c r="D70" s="341">
        <f>'9_Per Pupil Summary'!Q70</f>
        <v>10269.903842364532</v>
      </c>
      <c r="E70" s="342">
        <f t="shared" si="5"/>
        <v>0</v>
      </c>
      <c r="F70" s="342">
        <f>'9_Per Pupil Summary'!G70</f>
        <v>592.66</v>
      </c>
      <c r="G70" s="342">
        <f t="shared" si="6"/>
        <v>0</v>
      </c>
      <c r="H70" s="343">
        <f t="shared" si="7"/>
        <v>0</v>
      </c>
      <c r="I70" s="135">
        <v>0</v>
      </c>
      <c r="J70" s="135">
        <v>0</v>
      </c>
      <c r="K70" s="139">
        <f t="shared" si="10"/>
        <v>0</v>
      </c>
      <c r="L70" s="343">
        <f t="shared" si="2"/>
        <v>0</v>
      </c>
      <c r="M70" s="341">
        <v>0</v>
      </c>
      <c r="N70" s="138">
        <f t="shared" si="8"/>
        <v>0</v>
      </c>
      <c r="O70" s="135">
        <v>0</v>
      </c>
      <c r="P70" s="135">
        <f t="shared" si="9"/>
        <v>0</v>
      </c>
      <c r="Q70" s="138">
        <f t="shared" si="11"/>
        <v>0</v>
      </c>
      <c r="R70" s="138">
        <f t="shared" si="12"/>
        <v>0</v>
      </c>
    </row>
    <row r="71" spans="1:18" ht="15.6" customHeight="1" x14ac:dyDescent="0.2">
      <c r="A71" s="344">
        <v>65</v>
      </c>
      <c r="B71" s="147" t="s">
        <v>67</v>
      </c>
      <c r="C71" s="345">
        <f>'8_2.1.20 SIS'!BH71</f>
        <v>1</v>
      </c>
      <c r="D71" s="346">
        <f>'9_Per Pupil Summary'!Q71</f>
        <v>9153.3326415094343</v>
      </c>
      <c r="E71" s="347">
        <f t="shared" si="5"/>
        <v>9153.3326415094343</v>
      </c>
      <c r="F71" s="347">
        <f>'9_Per Pupil Summary'!G71</f>
        <v>829.12</v>
      </c>
      <c r="G71" s="347">
        <f t="shared" si="6"/>
        <v>829.12</v>
      </c>
      <c r="H71" s="348">
        <f t="shared" si="7"/>
        <v>9982</v>
      </c>
      <c r="I71" s="149">
        <v>0</v>
      </c>
      <c r="J71" s="149">
        <v>0</v>
      </c>
      <c r="K71" s="153">
        <f>I71+J71</f>
        <v>0</v>
      </c>
      <c r="L71" s="348">
        <f>K71+H71</f>
        <v>9982</v>
      </c>
      <c r="M71" s="346">
        <v>0</v>
      </c>
      <c r="N71" s="152">
        <f t="shared" si="8"/>
        <v>9982</v>
      </c>
      <c r="O71" s="155">
        <v>6656</v>
      </c>
      <c r="P71" s="149">
        <f t="shared" si="9"/>
        <v>3326</v>
      </c>
      <c r="Q71" s="156">
        <f>ROUND(P71/$Q$86,0)</f>
        <v>832</v>
      </c>
      <c r="R71" s="152">
        <f t="shared" si="12"/>
        <v>9982</v>
      </c>
    </row>
    <row r="72" spans="1:18" ht="15.6" customHeight="1" x14ac:dyDescent="0.2">
      <c r="A72" s="339">
        <v>66</v>
      </c>
      <c r="B72" s="133" t="s">
        <v>68</v>
      </c>
      <c r="C72" s="349">
        <f>'8_2.1.20 SIS'!BH72</f>
        <v>0</v>
      </c>
      <c r="D72" s="350">
        <f>'9_Per Pupil Summary'!Q72</f>
        <v>10780.923745298227</v>
      </c>
      <c r="E72" s="351">
        <f>C72*D72</f>
        <v>0</v>
      </c>
      <c r="F72" s="351">
        <f>'9_Per Pupil Summary'!G72</f>
        <v>730.06</v>
      </c>
      <c r="G72" s="351">
        <f>C72*F72</f>
        <v>0</v>
      </c>
      <c r="H72" s="352">
        <f>ROUND(E72+G72,0)</f>
        <v>0</v>
      </c>
      <c r="I72" s="353">
        <v>0</v>
      </c>
      <c r="J72" s="353">
        <v>0</v>
      </c>
      <c r="K72" s="354">
        <f>I72+J72</f>
        <v>0</v>
      </c>
      <c r="L72" s="352">
        <f>K72+H72</f>
        <v>0</v>
      </c>
      <c r="M72" s="350">
        <v>0</v>
      </c>
      <c r="N72" s="355">
        <f>ROUND(SUM(L72:M72),0)</f>
        <v>0</v>
      </c>
      <c r="O72" s="135">
        <v>0</v>
      </c>
      <c r="P72" s="353">
        <f>N72-O72</f>
        <v>0</v>
      </c>
      <c r="Q72" s="138">
        <f>ROUND(P72/$Q$86,0)</f>
        <v>0</v>
      </c>
      <c r="R72" s="355">
        <f t="shared" si="12"/>
        <v>0</v>
      </c>
    </row>
    <row r="73" spans="1:18" ht="15.6" customHeight="1" x14ac:dyDescent="0.2">
      <c r="A73" s="339">
        <v>67</v>
      </c>
      <c r="B73" s="133" t="s">
        <v>2</v>
      </c>
      <c r="C73" s="349">
        <f>'8_2.1.20 SIS'!BH73</f>
        <v>2</v>
      </c>
      <c r="D73" s="350">
        <f>'9_Per Pupil Summary'!Q73</f>
        <v>8759.3020486555706</v>
      </c>
      <c r="E73" s="351">
        <f>C73*D73</f>
        <v>17518.604097311141</v>
      </c>
      <c r="F73" s="351">
        <f>'9_Per Pupil Summary'!G73</f>
        <v>715.61</v>
      </c>
      <c r="G73" s="351">
        <f>C73*F73</f>
        <v>1431.22</v>
      </c>
      <c r="H73" s="352">
        <f>ROUND(E73+G73,0)</f>
        <v>18950</v>
      </c>
      <c r="I73" s="353">
        <v>-9475</v>
      </c>
      <c r="J73" s="353">
        <v>0</v>
      </c>
      <c r="K73" s="354">
        <f>I73+J73</f>
        <v>-9475</v>
      </c>
      <c r="L73" s="352">
        <f>K73+H73</f>
        <v>9475</v>
      </c>
      <c r="M73" s="350">
        <v>0</v>
      </c>
      <c r="N73" s="355">
        <f>ROUND(SUM(L73:M73),0)</f>
        <v>9475</v>
      </c>
      <c r="O73" s="135">
        <v>9474</v>
      </c>
      <c r="P73" s="353">
        <f>N73-O73</f>
        <v>1</v>
      </c>
      <c r="Q73" s="138">
        <f>ROUND(P73/$Q$86,0)</f>
        <v>0</v>
      </c>
      <c r="R73" s="355">
        <f t="shared" si="12"/>
        <v>9475</v>
      </c>
    </row>
    <row r="74" spans="1:18" ht="15.6" customHeight="1" x14ac:dyDescent="0.2">
      <c r="A74" s="339">
        <v>68</v>
      </c>
      <c r="B74" s="133" t="s">
        <v>1</v>
      </c>
      <c r="C74" s="349">
        <f>'8_2.1.20 SIS'!BH74</f>
        <v>1</v>
      </c>
      <c r="D74" s="350">
        <f>'9_Per Pupil Summary'!Q74</f>
        <v>9934.1260321100926</v>
      </c>
      <c r="E74" s="351">
        <f>C74*D74</f>
        <v>9934.1260321100926</v>
      </c>
      <c r="F74" s="351">
        <f>'9_Per Pupil Summary'!G74</f>
        <v>798.7</v>
      </c>
      <c r="G74" s="351">
        <f>C74*F74</f>
        <v>798.7</v>
      </c>
      <c r="H74" s="352">
        <f>ROUND(E74+G74,0)</f>
        <v>10733</v>
      </c>
      <c r="I74" s="353">
        <v>0</v>
      </c>
      <c r="J74" s="353">
        <v>-5366</v>
      </c>
      <c r="K74" s="354">
        <f>I74+J74</f>
        <v>-5366</v>
      </c>
      <c r="L74" s="352">
        <f>K74+H74</f>
        <v>5367</v>
      </c>
      <c r="M74" s="350">
        <v>0</v>
      </c>
      <c r="N74" s="355">
        <f>ROUND(SUM(L74:M74),0)</f>
        <v>5367</v>
      </c>
      <c r="O74" s="135">
        <v>7154</v>
      </c>
      <c r="P74" s="353">
        <f>N74-O74</f>
        <v>-1787</v>
      </c>
      <c r="Q74" s="138">
        <f>ROUND(P74/$Q$86,0)</f>
        <v>-447</v>
      </c>
      <c r="R74" s="355">
        <f t="shared" si="12"/>
        <v>5367</v>
      </c>
    </row>
    <row r="75" spans="1:18" ht="15.6" customHeight="1" x14ac:dyDescent="0.2">
      <c r="A75" s="356">
        <v>69</v>
      </c>
      <c r="B75" s="357" t="s">
        <v>74</v>
      </c>
      <c r="C75" s="358">
        <f>'8_2.1.20 SIS'!BH75</f>
        <v>1</v>
      </c>
      <c r="D75" s="359">
        <f>'9_Per Pupil Summary'!Q75</f>
        <v>9063.7347276868913</v>
      </c>
      <c r="E75" s="360">
        <f>C75*D75</f>
        <v>9063.7347276868913</v>
      </c>
      <c r="F75" s="360">
        <f>'9_Per Pupil Summary'!G75</f>
        <v>705.67</v>
      </c>
      <c r="G75" s="360">
        <f>C75*F75</f>
        <v>705.67</v>
      </c>
      <c r="H75" s="361">
        <f>ROUND(E75+G75,0)</f>
        <v>9769</v>
      </c>
      <c r="I75" s="362">
        <v>-9769</v>
      </c>
      <c r="J75" s="362">
        <v>0</v>
      </c>
      <c r="K75" s="363">
        <f>I75+J75</f>
        <v>-9769</v>
      </c>
      <c r="L75" s="361">
        <f>K75+H75</f>
        <v>0</v>
      </c>
      <c r="M75" s="359">
        <v>0</v>
      </c>
      <c r="N75" s="364">
        <f>ROUND(SUM(L75:M75),0)</f>
        <v>0</v>
      </c>
      <c r="O75" s="365">
        <v>3256</v>
      </c>
      <c r="P75" s="362">
        <f>N75-O75</f>
        <v>-3256</v>
      </c>
      <c r="Q75" s="366">
        <f>ROUND(P75/$Q$86,0)</f>
        <v>-814</v>
      </c>
      <c r="R75" s="364">
        <f t="shared" si="12"/>
        <v>0</v>
      </c>
    </row>
    <row r="76" spans="1:18" s="33" customFormat="1" ht="15.6" customHeight="1" thickBot="1" x14ac:dyDescent="0.25">
      <c r="A76" s="1404" t="s">
        <v>365</v>
      </c>
      <c r="B76" s="1405"/>
      <c r="C76" s="367">
        <f>SUM(C7:C75)</f>
        <v>170</v>
      </c>
      <c r="D76" s="368">
        <f>'9_Per Pupil Summary'!Q76</f>
        <v>8579.7368128734415</v>
      </c>
      <c r="E76" s="369">
        <f>SUM(E7:E75)</f>
        <v>1405862.3510582948</v>
      </c>
      <c r="F76" s="369">
        <f>'9_Per Pupil Summary'!G76</f>
        <v>706.51</v>
      </c>
      <c r="G76" s="369">
        <f t="shared" ref="G76:O76" si="13">SUM(G7:G75)</f>
        <v>133784.05000000002</v>
      </c>
      <c r="H76" s="370">
        <f t="shared" si="13"/>
        <v>1539645</v>
      </c>
      <c r="I76" s="371">
        <f t="shared" si="13"/>
        <v>87789</v>
      </c>
      <c r="J76" s="371">
        <f>SUM(J7:J75)</f>
        <v>-49375</v>
      </c>
      <c r="K76" s="372">
        <f t="shared" si="13"/>
        <v>38414</v>
      </c>
      <c r="L76" s="373">
        <f>SUM(L7:L75)</f>
        <v>1578059</v>
      </c>
      <c r="M76" s="374">
        <f t="shared" si="13"/>
        <v>0</v>
      </c>
      <c r="N76" s="370">
        <f t="shared" si="13"/>
        <v>1578059</v>
      </c>
      <c r="O76" s="374">
        <f t="shared" si="13"/>
        <v>1055686</v>
      </c>
      <c r="P76" s="374">
        <f>SUM(P7:P75)</f>
        <v>522373</v>
      </c>
      <c r="Q76" s="375">
        <f>SUM(Q7:Q75)</f>
        <v>130593</v>
      </c>
      <c r="R76" s="370">
        <f>SUM(R7:R75)</f>
        <v>1578059</v>
      </c>
    </row>
    <row r="77" spans="1:18" s="33" customFormat="1" ht="15.6" customHeight="1" thickTop="1" x14ac:dyDescent="0.2">
      <c r="A77" s="1466" t="s">
        <v>1109</v>
      </c>
      <c r="B77" s="1464"/>
      <c r="C77" s="855"/>
      <c r="D77" s="856"/>
      <c r="E77" s="856"/>
      <c r="F77" s="856"/>
      <c r="G77" s="856"/>
      <c r="H77" s="857">
        <v>79272</v>
      </c>
      <c r="I77" s="858"/>
      <c r="J77" s="858"/>
      <c r="K77" s="858"/>
      <c r="L77" s="857">
        <f>K77+H77</f>
        <v>79272</v>
      </c>
      <c r="M77" s="856"/>
      <c r="N77" s="859">
        <f>ROUND(SUM(L77:M77),0)</f>
        <v>79272</v>
      </c>
      <c r="O77" s="860">
        <v>39096</v>
      </c>
      <c r="P77" s="858">
        <f>N77-O77</f>
        <v>40176</v>
      </c>
      <c r="Q77" s="861">
        <f>ROUND(P77/$Q$86,0)</f>
        <v>10044</v>
      </c>
      <c r="R77" s="859">
        <f>N77</f>
        <v>79272</v>
      </c>
    </row>
    <row r="78" spans="1:18" ht="15.6" customHeight="1" x14ac:dyDescent="0.2">
      <c r="A78" s="1424" t="s">
        <v>333</v>
      </c>
      <c r="B78" s="1458"/>
      <c r="C78" s="854"/>
      <c r="D78" s="377"/>
      <c r="E78" s="377"/>
      <c r="F78" s="377"/>
      <c r="G78" s="377"/>
      <c r="H78" s="377"/>
      <c r="I78" s="379"/>
      <c r="J78" s="379"/>
      <c r="K78" s="379"/>
      <c r="L78" s="379"/>
      <c r="M78" s="379"/>
      <c r="N78" s="705"/>
      <c r="O78" s="705"/>
      <c r="P78" s="704"/>
      <c r="Q78" s="705"/>
      <c r="R78" s="705"/>
    </row>
    <row r="79" spans="1:18" ht="15.6" customHeight="1" x14ac:dyDescent="0.2">
      <c r="A79" s="1422" t="s">
        <v>334</v>
      </c>
      <c r="B79" s="1423"/>
      <c r="C79" s="376"/>
      <c r="D79" s="377"/>
      <c r="E79" s="378"/>
      <c r="F79" s="378"/>
      <c r="G79" s="378"/>
      <c r="H79" s="378"/>
      <c r="I79" s="379"/>
      <c r="J79" s="379"/>
      <c r="K79" s="379"/>
      <c r="L79" s="379"/>
      <c r="M79" s="379"/>
      <c r="N79" s="141">
        <v>0</v>
      </c>
      <c r="O79" s="705">
        <v>0</v>
      </c>
      <c r="P79" s="704">
        <f>N79-O79</f>
        <v>0</v>
      </c>
      <c r="Q79" s="141">
        <f>ROUND(P79/$Q$86,0)</f>
        <v>0</v>
      </c>
      <c r="R79" s="141">
        <v>0</v>
      </c>
    </row>
    <row r="80" spans="1:18" ht="15.6" customHeight="1" x14ac:dyDescent="0.2">
      <c r="A80" s="1420" t="s">
        <v>345</v>
      </c>
      <c r="B80" s="1421"/>
      <c r="C80" s="393"/>
      <c r="D80" s="381"/>
      <c r="E80" s="382"/>
      <c r="F80" s="382"/>
      <c r="G80" s="382"/>
      <c r="H80" s="382"/>
      <c r="I80" s="383"/>
      <c r="J80" s="383"/>
      <c r="K80" s="383"/>
      <c r="L80" s="383"/>
      <c r="M80" s="383"/>
      <c r="N80" s="707"/>
      <c r="O80" s="705"/>
      <c r="P80" s="704"/>
      <c r="Q80" s="707"/>
      <c r="R80" s="141">
        <v>0</v>
      </c>
    </row>
    <row r="81" spans="1:18" ht="15.6" customHeight="1" x14ac:dyDescent="0.2">
      <c r="A81" s="1416" t="s">
        <v>1192</v>
      </c>
      <c r="B81" s="1417"/>
      <c r="C81" s="380"/>
      <c r="D81" s="381"/>
      <c r="E81" s="382"/>
      <c r="F81" s="382"/>
      <c r="G81" s="382"/>
      <c r="H81" s="382"/>
      <c r="I81" s="383"/>
      <c r="J81" s="383"/>
      <c r="K81" s="383"/>
      <c r="L81" s="383"/>
      <c r="M81" s="383"/>
      <c r="N81" s="705"/>
      <c r="O81" s="705"/>
      <c r="P81" s="704"/>
      <c r="Q81" s="705"/>
      <c r="R81" s="141">
        <v>17352</v>
      </c>
    </row>
    <row r="82" spans="1:18" ht="15.6" customHeight="1" x14ac:dyDescent="0.2">
      <c r="A82" s="1416" t="s">
        <v>344</v>
      </c>
      <c r="B82" s="1417"/>
      <c r="C82" s="380"/>
      <c r="D82" s="381"/>
      <c r="E82" s="382"/>
      <c r="F82" s="382"/>
      <c r="G82" s="382"/>
      <c r="H82" s="382"/>
      <c r="I82" s="383"/>
      <c r="J82" s="383"/>
      <c r="K82" s="383"/>
      <c r="L82" s="383"/>
      <c r="M82" s="383"/>
      <c r="N82" s="707"/>
      <c r="O82" s="705"/>
      <c r="P82" s="704"/>
      <c r="Q82" s="707"/>
      <c r="R82" s="141">
        <v>0</v>
      </c>
    </row>
    <row r="83" spans="1:18" ht="15.6" customHeight="1" x14ac:dyDescent="0.2">
      <c r="A83" s="1414" t="s">
        <v>242</v>
      </c>
      <c r="B83" s="1415"/>
      <c r="C83" s="384"/>
      <c r="D83" s="385"/>
      <c r="E83" s="386"/>
      <c r="F83" s="386"/>
      <c r="G83" s="386"/>
      <c r="H83" s="386"/>
      <c r="I83" s="387"/>
      <c r="J83" s="387"/>
      <c r="K83" s="387"/>
      <c r="L83" s="387"/>
      <c r="M83" s="387"/>
      <c r="N83" s="156">
        <v>9558</v>
      </c>
      <c r="O83" s="155">
        <v>6374</v>
      </c>
      <c r="P83" s="709">
        <f>N83-O83</f>
        <v>3184</v>
      </c>
      <c r="Q83" s="156">
        <f>ROUND(P83/$Q$86,0)</f>
        <v>796</v>
      </c>
      <c r="R83" s="156">
        <v>9558</v>
      </c>
    </row>
    <row r="84" spans="1:18" s="33" customFormat="1" ht="15.6" customHeight="1" thickBot="1" x14ac:dyDescent="0.25">
      <c r="A84" s="1404" t="s">
        <v>366</v>
      </c>
      <c r="B84" s="1457"/>
      <c r="C84" s="367">
        <f>SUM(C76:C83)</f>
        <v>170</v>
      </c>
      <c r="D84" s="368">
        <f>D76</f>
        <v>8579.7368128734415</v>
      </c>
      <c r="E84" s="369">
        <f t="shared" ref="E84:R84" si="14">SUM(E76:E83)</f>
        <v>1405862.3510582948</v>
      </c>
      <c r="F84" s="369">
        <f>F76</f>
        <v>706.51</v>
      </c>
      <c r="G84" s="369">
        <f t="shared" si="14"/>
        <v>133784.05000000002</v>
      </c>
      <c r="H84" s="370">
        <f t="shared" si="14"/>
        <v>1618917</v>
      </c>
      <c r="I84" s="371">
        <f t="shared" si="14"/>
        <v>87789</v>
      </c>
      <c r="J84" s="371">
        <f t="shared" si="14"/>
        <v>-49375</v>
      </c>
      <c r="K84" s="372">
        <f t="shared" si="14"/>
        <v>38414</v>
      </c>
      <c r="L84" s="373">
        <f t="shared" si="14"/>
        <v>1657331</v>
      </c>
      <c r="M84" s="388">
        <f t="shared" si="14"/>
        <v>0</v>
      </c>
      <c r="N84" s="370">
        <f t="shared" si="14"/>
        <v>1666889</v>
      </c>
      <c r="O84" s="374">
        <f t="shared" si="14"/>
        <v>1101156</v>
      </c>
      <c r="P84" s="374">
        <f t="shared" si="14"/>
        <v>565733</v>
      </c>
      <c r="Q84" s="375">
        <f t="shared" si="14"/>
        <v>141433</v>
      </c>
      <c r="R84" s="370">
        <f t="shared" si="14"/>
        <v>1684241</v>
      </c>
    </row>
    <row r="85" spans="1:18" ht="13.5" thickTop="1" x14ac:dyDescent="0.2"/>
    <row r="86" spans="1:18" x14ac:dyDescent="0.2">
      <c r="G86" s="779"/>
      <c r="O86" s="300"/>
      <c r="Q86" s="8">
        <v>4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March 2021&amp;R&amp;"Arial,Bold"&amp;12&amp;KFF0000
</oddHeader>
    <oddFooter>&amp;R&amp;9&amp;P</oddFooter>
  </headerFooter>
  <colBreaks count="1" manualBreakCount="1">
    <brk id="1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4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.42578125" style="12" customWidth="1"/>
    <col min="2" max="2" width="8.42578125" style="12" hidden="1" customWidth="1"/>
    <col min="3" max="3" width="31.7109375" style="6" customWidth="1"/>
    <col min="4" max="4" width="13.140625" style="6" customWidth="1"/>
    <col min="5" max="5" width="13.5703125" style="6" customWidth="1"/>
    <col min="6" max="6" width="16.140625" style="6" bestFit="1" customWidth="1"/>
    <col min="7" max="9" width="12.85546875" style="6" customWidth="1"/>
    <col min="10" max="10" width="14.28515625" style="6" customWidth="1"/>
    <col min="11" max="14" width="15" style="6" customWidth="1"/>
    <col min="15" max="17" width="12.7109375" style="6" customWidth="1"/>
    <col min="18" max="18" width="15" style="6" customWidth="1"/>
    <col min="19" max="20" width="15.5703125" style="6" customWidth="1"/>
    <col min="21" max="22" width="16.28515625" style="6" customWidth="1"/>
    <col min="23" max="23" width="17.140625" style="6" customWidth="1"/>
    <col min="24" max="24" width="15.28515625" style="6" customWidth="1"/>
    <col min="25" max="25" width="14.42578125" style="6" bestFit="1" customWidth="1"/>
    <col min="26" max="26" width="16" style="6" customWidth="1"/>
    <col min="27" max="29" width="16.5703125" style="6" customWidth="1"/>
    <col min="30" max="30" width="17.140625" style="6" customWidth="1"/>
    <col min="31" max="38" width="16.28515625" style="6" customWidth="1"/>
    <col min="39" max="41" width="15.28515625" style="6" customWidth="1"/>
    <col min="42" max="47" width="17.28515625" style="6" customWidth="1"/>
    <col min="48" max="16384" width="8.85546875" style="6"/>
  </cols>
  <sheetData>
    <row r="1" spans="1:47" ht="22.15" customHeight="1" x14ac:dyDescent="0.2">
      <c r="A1" s="1378" t="s">
        <v>930</v>
      </c>
      <c r="B1" s="1378"/>
      <c r="C1" s="1467"/>
      <c r="D1" s="1470" t="s">
        <v>291</v>
      </c>
      <c r="E1" s="1389"/>
      <c r="F1" s="1389"/>
      <c r="G1" s="1389"/>
      <c r="H1" s="1389"/>
      <c r="I1" s="1389"/>
      <c r="J1" s="1389"/>
      <c r="K1" s="1389"/>
      <c r="L1" s="1389"/>
      <c r="M1" s="1389"/>
      <c r="N1" s="1389"/>
      <c r="O1" s="1389"/>
      <c r="P1" s="1389"/>
      <c r="Q1" s="1389"/>
      <c r="R1" s="1471"/>
      <c r="S1" s="1470" t="s">
        <v>291</v>
      </c>
      <c r="T1" s="1389"/>
      <c r="U1" s="1389"/>
      <c r="V1" s="1389"/>
      <c r="W1" s="1389"/>
      <c r="X1" s="1389"/>
      <c r="Y1" s="1389"/>
      <c r="Z1" s="1389"/>
      <c r="AA1" s="1389"/>
      <c r="AB1" s="1389"/>
      <c r="AC1" s="1389"/>
      <c r="AD1" s="1471"/>
      <c r="AE1" s="1472" t="s">
        <v>358</v>
      </c>
      <c r="AF1" s="1473"/>
      <c r="AG1" s="1473"/>
      <c r="AH1" s="1473"/>
      <c r="AI1" s="1473"/>
      <c r="AJ1" s="1473"/>
      <c r="AK1" s="1473"/>
      <c r="AL1" s="1473"/>
      <c r="AM1" s="1473"/>
      <c r="AN1" s="1473"/>
      <c r="AO1" s="1474"/>
      <c r="AP1" s="1472" t="s">
        <v>358</v>
      </c>
      <c r="AQ1" s="1473"/>
      <c r="AR1" s="1473"/>
      <c r="AS1" s="1473"/>
      <c r="AT1" s="1473"/>
      <c r="AU1" s="1474"/>
    </row>
    <row r="2" spans="1:47" ht="21.6" customHeight="1" x14ac:dyDescent="0.25">
      <c r="A2" s="1467"/>
      <c r="B2" s="1467"/>
      <c r="C2" s="1467"/>
      <c r="D2" s="662"/>
      <c r="E2" s="663"/>
      <c r="F2" s="664"/>
      <c r="G2" s="665"/>
      <c r="H2" s="666"/>
      <c r="I2" s="848"/>
      <c r="J2" s="661"/>
      <c r="K2" s="1406" t="s">
        <v>223</v>
      </c>
      <c r="L2" s="1406"/>
      <c r="M2" s="1406"/>
      <c r="N2" s="661"/>
      <c r="O2" s="667"/>
      <c r="P2" s="667"/>
      <c r="Q2" s="667"/>
      <c r="R2" s="668"/>
      <c r="S2" s="659"/>
      <c r="T2" s="660"/>
      <c r="U2" s="1469" t="s">
        <v>288</v>
      </c>
      <c r="V2" s="1469"/>
      <c r="W2" s="661"/>
      <c r="X2" s="661"/>
      <c r="Y2" s="661"/>
      <c r="Z2" s="661"/>
      <c r="AA2" s="1469" t="s">
        <v>290</v>
      </c>
      <c r="AB2" s="1469"/>
      <c r="AC2" s="1469"/>
      <c r="AD2" s="660"/>
      <c r="AE2" s="670"/>
      <c r="AF2" s="669"/>
      <c r="AG2" s="1468" t="s">
        <v>223</v>
      </c>
      <c r="AH2" s="1468"/>
      <c r="AI2" s="1468"/>
      <c r="AJ2" s="1468"/>
      <c r="AK2" s="1468"/>
      <c r="AL2" s="669"/>
      <c r="AM2" s="671"/>
      <c r="AN2" s="671"/>
      <c r="AO2" s="672"/>
      <c r="AP2" s="670"/>
      <c r="AQ2" s="669"/>
      <c r="AR2" s="669"/>
      <c r="AS2" s="669"/>
      <c r="AT2" s="669"/>
      <c r="AU2" s="673"/>
    </row>
    <row r="3" spans="1:47" ht="136.9" customHeight="1" x14ac:dyDescent="0.2">
      <c r="A3" s="1467"/>
      <c r="B3" s="1467"/>
      <c r="C3" s="1467"/>
      <c r="D3" s="219" t="s">
        <v>1286</v>
      </c>
      <c r="E3" s="474" t="s">
        <v>386</v>
      </c>
      <c r="F3" s="474" t="s">
        <v>387</v>
      </c>
      <c r="G3" s="472" t="s">
        <v>1351</v>
      </c>
      <c r="H3" s="472" t="s">
        <v>289</v>
      </c>
      <c r="I3" s="838" t="s">
        <v>1107</v>
      </c>
      <c r="J3" s="844" t="s">
        <v>1119</v>
      </c>
      <c r="K3" s="584" t="s">
        <v>1290</v>
      </c>
      <c r="L3" s="584" t="s">
        <v>1291</v>
      </c>
      <c r="M3" s="584" t="s">
        <v>224</v>
      </c>
      <c r="N3" s="479" t="s">
        <v>395</v>
      </c>
      <c r="O3" s="472" t="s">
        <v>392</v>
      </c>
      <c r="P3" s="472" t="s">
        <v>1363</v>
      </c>
      <c r="Q3" s="472" t="s">
        <v>389</v>
      </c>
      <c r="R3" s="472" t="s">
        <v>396</v>
      </c>
      <c r="S3" s="737" t="s">
        <v>1352</v>
      </c>
      <c r="T3" s="472" t="s">
        <v>398</v>
      </c>
      <c r="U3" s="26" t="s">
        <v>286</v>
      </c>
      <c r="V3" s="26" t="s">
        <v>1214</v>
      </c>
      <c r="W3" s="204" t="s">
        <v>861</v>
      </c>
      <c r="X3" s="204" t="s">
        <v>1354</v>
      </c>
      <c r="Y3" s="204" t="s">
        <v>258</v>
      </c>
      <c r="Z3" s="204" t="s">
        <v>305</v>
      </c>
      <c r="AA3" s="174" t="s">
        <v>1213</v>
      </c>
      <c r="AB3" s="174" t="s">
        <v>1048</v>
      </c>
      <c r="AC3" s="174" t="s">
        <v>339</v>
      </c>
      <c r="AD3" s="204" t="s">
        <v>1364</v>
      </c>
      <c r="AE3" s="477" t="s">
        <v>1417</v>
      </c>
      <c r="AF3" s="478" t="s">
        <v>926</v>
      </c>
      <c r="AG3" s="475" t="s">
        <v>1293</v>
      </c>
      <c r="AH3" s="475" t="s">
        <v>1294</v>
      </c>
      <c r="AI3" s="475" t="s">
        <v>1295</v>
      </c>
      <c r="AJ3" s="475" t="s">
        <v>1365</v>
      </c>
      <c r="AK3" s="475" t="s">
        <v>224</v>
      </c>
      <c r="AL3" s="224" t="s">
        <v>927</v>
      </c>
      <c r="AM3" s="478" t="s">
        <v>393</v>
      </c>
      <c r="AN3" s="478" t="s">
        <v>1366</v>
      </c>
      <c r="AO3" s="478" t="s">
        <v>390</v>
      </c>
      <c r="AP3" s="478" t="s">
        <v>928</v>
      </c>
      <c r="AQ3" s="737" t="s">
        <v>1352</v>
      </c>
      <c r="AR3" s="220" t="s">
        <v>929</v>
      </c>
      <c r="AS3" s="478" t="s">
        <v>1361</v>
      </c>
      <c r="AT3" s="478" t="s">
        <v>258</v>
      </c>
      <c r="AU3" s="478" t="s">
        <v>391</v>
      </c>
    </row>
    <row r="4" spans="1:47" x14ac:dyDescent="0.2">
      <c r="A4" s="221"/>
      <c r="B4" s="221"/>
      <c r="C4" s="222"/>
      <c r="D4" s="223">
        <v>1</v>
      </c>
      <c r="E4" s="223">
        <f t="shared" ref="E4:AU4" si="0">D4+1</f>
        <v>2</v>
      </c>
      <c r="F4" s="223">
        <f t="shared" si="0"/>
        <v>3</v>
      </c>
      <c r="G4" s="223">
        <f t="shared" si="0"/>
        <v>4</v>
      </c>
      <c r="H4" s="223">
        <f t="shared" si="0"/>
        <v>5</v>
      </c>
      <c r="I4" s="223">
        <f>H4+1</f>
        <v>6</v>
      </c>
      <c r="J4" s="223">
        <f>I4+1</f>
        <v>7</v>
      </c>
      <c r="K4" s="223">
        <f>J4+1</f>
        <v>8</v>
      </c>
      <c r="L4" s="223">
        <f t="shared" si="0"/>
        <v>9</v>
      </c>
      <c r="M4" s="223">
        <f t="shared" si="0"/>
        <v>10</v>
      </c>
      <c r="N4" s="223">
        <f t="shared" si="0"/>
        <v>11</v>
      </c>
      <c r="O4" s="223">
        <f t="shared" si="0"/>
        <v>12</v>
      </c>
      <c r="P4" s="223">
        <f t="shared" si="0"/>
        <v>13</v>
      </c>
      <c r="Q4" s="223">
        <f t="shared" si="0"/>
        <v>14</v>
      </c>
      <c r="R4" s="223">
        <f t="shared" si="0"/>
        <v>15</v>
      </c>
      <c r="S4" s="223">
        <f t="shared" si="0"/>
        <v>16</v>
      </c>
      <c r="T4" s="223">
        <f t="shared" si="0"/>
        <v>17</v>
      </c>
      <c r="U4" s="223">
        <f t="shared" si="0"/>
        <v>18</v>
      </c>
      <c r="V4" s="223">
        <f t="shared" ref="V4:AC4" si="1">U4+1</f>
        <v>19</v>
      </c>
      <c r="W4" s="223">
        <f t="shared" si="1"/>
        <v>20</v>
      </c>
      <c r="X4" s="223">
        <f t="shared" si="1"/>
        <v>21</v>
      </c>
      <c r="Y4" s="223">
        <f t="shared" si="1"/>
        <v>22</v>
      </c>
      <c r="Z4" s="223">
        <f t="shared" si="1"/>
        <v>23</v>
      </c>
      <c r="AA4" s="223">
        <f t="shared" si="1"/>
        <v>24</v>
      </c>
      <c r="AB4" s="223">
        <f t="shared" si="1"/>
        <v>25</v>
      </c>
      <c r="AC4" s="223">
        <f t="shared" si="1"/>
        <v>26</v>
      </c>
      <c r="AD4" s="223">
        <f t="shared" si="0"/>
        <v>27</v>
      </c>
      <c r="AE4" s="223">
        <f t="shared" si="0"/>
        <v>28</v>
      </c>
      <c r="AF4" s="223">
        <f t="shared" si="0"/>
        <v>29</v>
      </c>
      <c r="AG4" s="223">
        <f t="shared" si="0"/>
        <v>30</v>
      </c>
      <c r="AH4" s="223">
        <f t="shared" si="0"/>
        <v>31</v>
      </c>
      <c r="AI4" s="223">
        <f t="shared" si="0"/>
        <v>32</v>
      </c>
      <c r="AJ4" s="223">
        <f t="shared" si="0"/>
        <v>33</v>
      </c>
      <c r="AK4" s="223">
        <f t="shared" si="0"/>
        <v>34</v>
      </c>
      <c r="AL4" s="223">
        <f t="shared" si="0"/>
        <v>35</v>
      </c>
      <c r="AM4" s="223">
        <f t="shared" si="0"/>
        <v>36</v>
      </c>
      <c r="AN4" s="223">
        <f t="shared" si="0"/>
        <v>37</v>
      </c>
      <c r="AO4" s="223">
        <f t="shared" si="0"/>
        <v>38</v>
      </c>
      <c r="AP4" s="223">
        <f t="shared" si="0"/>
        <v>39</v>
      </c>
      <c r="AQ4" s="223">
        <f t="shared" si="0"/>
        <v>40</v>
      </c>
      <c r="AR4" s="223">
        <f t="shared" si="0"/>
        <v>41</v>
      </c>
      <c r="AS4" s="223">
        <f t="shared" si="0"/>
        <v>42</v>
      </c>
      <c r="AT4" s="223">
        <f t="shared" si="0"/>
        <v>43</v>
      </c>
      <c r="AU4" s="223">
        <f t="shared" si="0"/>
        <v>44</v>
      </c>
    </row>
    <row r="5" spans="1:47" s="652" customFormat="1" ht="25.5" customHeight="1" x14ac:dyDescent="0.2">
      <c r="A5" s="657"/>
      <c r="B5" s="657"/>
      <c r="C5" s="658"/>
      <c r="D5" s="625" t="s">
        <v>793</v>
      </c>
      <c r="E5" s="625" t="s">
        <v>923</v>
      </c>
      <c r="F5" s="625" t="s">
        <v>761</v>
      </c>
      <c r="G5" s="625" t="s">
        <v>681</v>
      </c>
      <c r="H5" s="625" t="s">
        <v>656</v>
      </c>
      <c r="I5" s="849" t="s">
        <v>1108</v>
      </c>
      <c r="J5" s="625" t="s">
        <v>1120</v>
      </c>
      <c r="K5" s="538" t="s">
        <v>889</v>
      </c>
      <c r="L5" s="538" t="s">
        <v>890</v>
      </c>
      <c r="M5" s="625" t="s">
        <v>1121</v>
      </c>
      <c r="N5" s="625" t="s">
        <v>1122</v>
      </c>
      <c r="O5" s="538" t="s">
        <v>1135</v>
      </c>
      <c r="P5" s="538" t="s">
        <v>1136</v>
      </c>
      <c r="Q5" s="538" t="s">
        <v>752</v>
      </c>
      <c r="R5" s="538" t="s">
        <v>1137</v>
      </c>
      <c r="S5" s="625" t="s">
        <v>765</v>
      </c>
      <c r="T5" s="625" t="s">
        <v>1138</v>
      </c>
      <c r="U5" s="538" t="s">
        <v>234</v>
      </c>
      <c r="V5" s="538" t="s">
        <v>370</v>
      </c>
      <c r="W5" s="625" t="s">
        <v>1139</v>
      </c>
      <c r="X5" s="625" t="s">
        <v>932</v>
      </c>
      <c r="Y5" s="625" t="s">
        <v>924</v>
      </c>
      <c r="Z5" s="625" t="s">
        <v>925</v>
      </c>
      <c r="AA5" s="538" t="s">
        <v>260</v>
      </c>
      <c r="AB5" s="538" t="s">
        <v>274</v>
      </c>
      <c r="AC5" s="538" t="s">
        <v>336</v>
      </c>
      <c r="AD5" s="625" t="s">
        <v>1140</v>
      </c>
      <c r="AE5" s="538" t="s">
        <v>1432</v>
      </c>
      <c r="AF5" s="538" t="s">
        <v>675</v>
      </c>
      <c r="AG5" s="538" t="s">
        <v>889</v>
      </c>
      <c r="AH5" s="538" t="s">
        <v>1141</v>
      </c>
      <c r="AI5" s="538" t="s">
        <v>890</v>
      </c>
      <c r="AJ5" s="538" t="s">
        <v>1142</v>
      </c>
      <c r="AK5" s="538" t="s">
        <v>1143</v>
      </c>
      <c r="AL5" s="538" t="s">
        <v>1144</v>
      </c>
      <c r="AM5" s="538" t="s">
        <v>1145</v>
      </c>
      <c r="AN5" s="538" t="s">
        <v>1146</v>
      </c>
      <c r="AO5" s="538" t="s">
        <v>818</v>
      </c>
      <c r="AP5" s="538" t="s">
        <v>1147</v>
      </c>
      <c r="AQ5" s="538" t="s">
        <v>765</v>
      </c>
      <c r="AR5" s="538" t="s">
        <v>792</v>
      </c>
      <c r="AS5" s="538" t="s">
        <v>944</v>
      </c>
      <c r="AT5" s="538" t="s">
        <v>831</v>
      </c>
      <c r="AU5" s="538" t="s">
        <v>1148</v>
      </c>
    </row>
    <row r="6" spans="1:47" s="652" customFormat="1" ht="11.25" hidden="1" x14ac:dyDescent="0.2">
      <c r="A6" s="657"/>
      <c r="B6" s="657"/>
      <c r="C6" s="658"/>
      <c r="D6" s="625" t="s">
        <v>554</v>
      </c>
      <c r="E6" s="625" t="s">
        <v>554</v>
      </c>
      <c r="F6" s="625" t="s">
        <v>555</v>
      </c>
      <c r="G6" s="625" t="s">
        <v>688</v>
      </c>
      <c r="H6" s="625" t="s">
        <v>555</v>
      </c>
      <c r="I6" s="849"/>
      <c r="J6" s="625" t="s">
        <v>555</v>
      </c>
      <c r="K6" s="625" t="s">
        <v>764</v>
      </c>
      <c r="L6" s="625" t="s">
        <v>764</v>
      </c>
      <c r="M6" s="625" t="s">
        <v>555</v>
      </c>
      <c r="N6" s="625" t="s">
        <v>555</v>
      </c>
      <c r="O6" s="625" t="s">
        <v>555</v>
      </c>
      <c r="P6" s="625" t="s">
        <v>555</v>
      </c>
      <c r="Q6" s="625" t="s">
        <v>555</v>
      </c>
      <c r="R6" s="625" t="s">
        <v>555</v>
      </c>
      <c r="S6" s="625" t="s">
        <v>765</v>
      </c>
      <c r="T6" s="625" t="s">
        <v>555</v>
      </c>
      <c r="U6" s="625" t="s">
        <v>554</v>
      </c>
      <c r="V6" s="625" t="s">
        <v>554</v>
      </c>
      <c r="W6" s="625" t="s">
        <v>555</v>
      </c>
      <c r="X6" s="625" t="s">
        <v>790</v>
      </c>
      <c r="Y6" s="625" t="s">
        <v>555</v>
      </c>
      <c r="Z6" s="625" t="s">
        <v>555</v>
      </c>
      <c r="AA6" s="625" t="s">
        <v>554</v>
      </c>
      <c r="AB6" s="625" t="s">
        <v>554</v>
      </c>
      <c r="AC6" s="625" t="s">
        <v>554</v>
      </c>
      <c r="AD6" s="625" t="s">
        <v>555</v>
      </c>
      <c r="AE6" s="625" t="s">
        <v>554</v>
      </c>
      <c r="AF6" s="625" t="s">
        <v>555</v>
      </c>
      <c r="AG6" s="625" t="s">
        <v>764</v>
      </c>
      <c r="AH6" s="625" t="s">
        <v>555</v>
      </c>
      <c r="AI6" s="625" t="s">
        <v>764</v>
      </c>
      <c r="AJ6" s="625" t="s">
        <v>555</v>
      </c>
      <c r="AK6" s="625" t="s">
        <v>555</v>
      </c>
      <c r="AL6" s="625" t="s">
        <v>555</v>
      </c>
      <c r="AM6" s="625" t="s">
        <v>555</v>
      </c>
      <c r="AN6" s="625" t="s">
        <v>555</v>
      </c>
      <c r="AO6" s="625" t="s">
        <v>555</v>
      </c>
      <c r="AP6" s="625" t="s">
        <v>555</v>
      </c>
      <c r="AQ6" s="625" t="s">
        <v>765</v>
      </c>
      <c r="AR6" s="625" t="s">
        <v>555</v>
      </c>
      <c r="AS6" s="625" t="s">
        <v>790</v>
      </c>
      <c r="AT6" s="625" t="s">
        <v>555</v>
      </c>
      <c r="AU6" s="625" t="s">
        <v>555</v>
      </c>
    </row>
    <row r="7" spans="1:47" s="19" customFormat="1" ht="29.25" customHeight="1" x14ac:dyDescent="0.2">
      <c r="A7" s="205">
        <v>396211</v>
      </c>
      <c r="B7" s="205" t="s">
        <v>429</v>
      </c>
      <c r="C7" s="206" t="s">
        <v>1321</v>
      </c>
      <c r="D7" s="207">
        <f>VLOOKUP(A7,'8A_2.1.20 RSD Op &amp; 5s'!$A$4:$F$10,6,FALSE)</f>
        <v>952</v>
      </c>
      <c r="E7" s="208">
        <f>'3_Levels 1&amp;2'!$AM$15</f>
        <v>4823.3034188034189</v>
      </c>
      <c r="F7" s="209">
        <f>D7*E7</f>
        <v>4591784.854700855</v>
      </c>
      <c r="G7" s="210">
        <f>'9_Per Pupil Summary'!$G$15</f>
        <v>744.76</v>
      </c>
      <c r="H7" s="209">
        <f>G7*D7</f>
        <v>709011.52</v>
      </c>
      <c r="I7" s="850">
        <f>VLOOKUP($A7,'3B_Pay Raise'!$A$7:$O$142,15,FALSE)</f>
        <v>134545</v>
      </c>
      <c r="J7" s="211">
        <f>ROUND(F7+H7+I7,0)</f>
        <v>5435341</v>
      </c>
      <c r="K7" s="212">
        <v>122497</v>
      </c>
      <c r="L7" s="212">
        <v>-108577</v>
      </c>
      <c r="M7" s="213">
        <f>SUM(K7:L7)</f>
        <v>13920</v>
      </c>
      <c r="N7" s="211">
        <f>M7+J7</f>
        <v>5449261</v>
      </c>
      <c r="O7" s="602"/>
      <c r="P7" s="602"/>
      <c r="Q7" s="212">
        <f>O7+P7</f>
        <v>0</v>
      </c>
      <c r="R7" s="211">
        <f>N7+Q7</f>
        <v>5449261</v>
      </c>
      <c r="S7" s="212">
        <v>0</v>
      </c>
      <c r="T7" s="211">
        <f>SUM(R7:S7)</f>
        <v>5449261</v>
      </c>
      <c r="U7" s="212">
        <f>VLOOKUP($A7,'4_Level 4'!$A$78:$R$140,5,FALSE)</f>
        <v>0</v>
      </c>
      <c r="V7" s="212">
        <f>VLOOKUP($A7,'4_Level 4'!$A$78:$R$140,17,FALSE)</f>
        <v>11328</v>
      </c>
      <c r="W7" s="214">
        <f>ROUND(SUM(T7:V7),0)</f>
        <v>5460589</v>
      </c>
      <c r="X7" s="210">
        <v>3663228</v>
      </c>
      <c r="Y7" s="210">
        <f>W7-X7</f>
        <v>1797361</v>
      </c>
      <c r="Z7" s="211">
        <f>ROUND(Y7/$Z$24,0)</f>
        <v>449340</v>
      </c>
      <c r="AA7" s="212">
        <f>VLOOKUP($A7,'4_Level 4'!$A$78:$R$140,10,FALSE)</f>
        <v>0</v>
      </c>
      <c r="AB7" s="212">
        <f>VLOOKUP($A7,'4_Level 4'!$A$78:$R$140,12,FALSE)</f>
        <v>0</v>
      </c>
      <c r="AC7" s="212">
        <f>VLOOKUP($A7,'4_Level 4'!$A$78:$R$140,13,FALSE)</f>
        <v>0</v>
      </c>
      <c r="AD7" s="214">
        <f>W7+AA7+AB7+AC7</f>
        <v>5460589</v>
      </c>
      <c r="AE7" s="212">
        <f>'9_Per Pupil Summary'!M15</f>
        <v>4945</v>
      </c>
      <c r="AF7" s="215">
        <f>AE7*D7</f>
        <v>4707640</v>
      </c>
      <c r="AG7" s="216">
        <v>22</v>
      </c>
      <c r="AH7" s="209">
        <f>ROUND(AE7*AG7,0)</f>
        <v>108790</v>
      </c>
      <c r="AI7" s="216">
        <v>-39</v>
      </c>
      <c r="AJ7" s="209">
        <f>ROUND(AE7*AI7*0.5,0)</f>
        <v>-96428</v>
      </c>
      <c r="AK7" s="213">
        <f>AJ7+AH7</f>
        <v>12362</v>
      </c>
      <c r="AL7" s="215">
        <f>AF7+AK7</f>
        <v>4720002</v>
      </c>
      <c r="AM7" s="602"/>
      <c r="AN7" s="602"/>
      <c r="AO7" s="209">
        <f>AM7+AN7</f>
        <v>0</v>
      </c>
      <c r="AP7" s="215">
        <f>AL7+AO7</f>
        <v>4720002</v>
      </c>
      <c r="AQ7" s="212">
        <v>0</v>
      </c>
      <c r="AR7" s="215">
        <f>ROUND(SUM(AP7:AQ7),0)</f>
        <v>4720002</v>
      </c>
      <c r="AS7" s="210">
        <v>3102648</v>
      </c>
      <c r="AT7" s="210">
        <f>AR7-AS7</f>
        <v>1617354</v>
      </c>
      <c r="AU7" s="215">
        <f>ROUND(AT7/$AU$24,0)</f>
        <v>404339</v>
      </c>
    </row>
    <row r="8" spans="1:47" s="19" customFormat="1" ht="29.25" customHeight="1" x14ac:dyDescent="0.2">
      <c r="A8" s="217" t="s">
        <v>1202</v>
      </c>
      <c r="B8" s="218" t="s">
        <v>435</v>
      </c>
      <c r="C8" s="206" t="s">
        <v>1322</v>
      </c>
      <c r="D8" s="207">
        <f>VLOOKUP(A8,'8A_2.1.20 RSD Op &amp; 5s'!$A$4:$F$10,6,FALSE)</f>
        <v>360</v>
      </c>
      <c r="E8" s="208">
        <f>'3_Levels 1&amp;2'!$AM$23</f>
        <v>3509.7761458148998</v>
      </c>
      <c r="F8" s="209">
        <f>D8*E8</f>
        <v>1263519.412493364</v>
      </c>
      <c r="G8" s="210">
        <f>'9_Per Pupil Summary'!$G$23</f>
        <v>801.48</v>
      </c>
      <c r="H8" s="209">
        <f>G8*D8</f>
        <v>288532.8</v>
      </c>
      <c r="I8" s="850">
        <f>VLOOKUP($A8,'3B_Pay Raise'!$A$7:$O$142,15,FALSE)</f>
        <v>38515</v>
      </c>
      <c r="J8" s="211">
        <f>ROUND(F8+H8+I8,0)</f>
        <v>1590567</v>
      </c>
      <c r="K8" s="212">
        <v>-94848</v>
      </c>
      <c r="L8" s="212">
        <v>-2156</v>
      </c>
      <c r="M8" s="213">
        <f>SUM(K8:L8)</f>
        <v>-97004</v>
      </c>
      <c r="N8" s="211">
        <f>M8+J8</f>
        <v>1493563</v>
      </c>
      <c r="O8" s="602"/>
      <c r="P8" s="602"/>
      <c r="Q8" s="212">
        <f>O8+P8</f>
        <v>0</v>
      </c>
      <c r="R8" s="211">
        <f>N8+Q8</f>
        <v>1493563</v>
      </c>
      <c r="S8" s="212">
        <v>0</v>
      </c>
      <c r="T8" s="211">
        <f>SUM(R8:S8)</f>
        <v>1493563</v>
      </c>
      <c r="U8" s="212">
        <f>VLOOKUP($A8,'4_Level 4'!$A$78:$R$140,5,FALSE)</f>
        <v>0</v>
      </c>
      <c r="V8" s="212">
        <f>VLOOKUP($A8,'4_Level 4'!$A$78:$R$140,17,FALSE)</f>
        <v>21240</v>
      </c>
      <c r="W8" s="214">
        <f>ROUND(SUM(T8:V8),0)</f>
        <v>1514803</v>
      </c>
      <c r="X8" s="210">
        <v>1044830</v>
      </c>
      <c r="Y8" s="210">
        <f>W8-X8</f>
        <v>469973</v>
      </c>
      <c r="Z8" s="211">
        <f>ROUND(Y8/$Z$24,0)</f>
        <v>117493</v>
      </c>
      <c r="AA8" s="212">
        <f>VLOOKUP($A8,'4_Level 4'!$A$78:$R$140,10,FALSE)</f>
        <v>0</v>
      </c>
      <c r="AB8" s="212">
        <f>VLOOKUP($A8,'4_Level 4'!$A$78:$R$140,12,FALSE)</f>
        <v>55430</v>
      </c>
      <c r="AC8" s="212">
        <f>VLOOKUP($A8,'4_Level 4'!$A$78:$R$140,13,FALSE)</f>
        <v>0</v>
      </c>
      <c r="AD8" s="214">
        <f>W8+AA8+AB8+AC8</f>
        <v>1570233</v>
      </c>
      <c r="AE8" s="212">
        <f>'9_Per Pupil Summary'!$M$23</f>
        <v>6829</v>
      </c>
      <c r="AF8" s="215">
        <f>AE8*D8</f>
        <v>2458440</v>
      </c>
      <c r="AG8" s="216">
        <v>-22</v>
      </c>
      <c r="AH8" s="209">
        <f>ROUND(AE8*AG8,0)</f>
        <v>-150238</v>
      </c>
      <c r="AI8" s="216">
        <v>-1</v>
      </c>
      <c r="AJ8" s="209">
        <f>ROUND(AE8*AI8*0.5,0)</f>
        <v>-3415</v>
      </c>
      <c r="AK8" s="213">
        <f>AJ8+AH8</f>
        <v>-153653</v>
      </c>
      <c r="AL8" s="215">
        <f>AF8+AK8</f>
        <v>2304787</v>
      </c>
      <c r="AM8" s="602"/>
      <c r="AN8" s="602"/>
      <c r="AO8" s="209">
        <f>AM8+AN8</f>
        <v>0</v>
      </c>
      <c r="AP8" s="215">
        <f>AL8+AO8</f>
        <v>2304787</v>
      </c>
      <c r="AQ8" s="212">
        <v>0</v>
      </c>
      <c r="AR8" s="215">
        <f>ROUND(SUM(AP8:AQ8),0)</f>
        <v>2304787</v>
      </c>
      <c r="AS8" s="210">
        <v>1557510</v>
      </c>
      <c r="AT8" s="210">
        <f>AR8-AS8</f>
        <v>747277</v>
      </c>
      <c r="AU8" s="215">
        <f>ROUND(AT8/$AU$24,0)</f>
        <v>186819</v>
      </c>
    </row>
    <row r="9" spans="1:47" s="20" customFormat="1" ht="29.25" customHeight="1" thickBot="1" x14ac:dyDescent="0.25">
      <c r="A9" s="1183"/>
      <c r="B9" s="1184" t="s">
        <v>283</v>
      </c>
      <c r="C9" s="1185" t="s">
        <v>1064</v>
      </c>
      <c r="D9" s="1186">
        <f>SUM(D7:D8)</f>
        <v>1312</v>
      </c>
      <c r="E9" s="1187"/>
      <c r="F9" s="1188">
        <f>SUM(F7:F8)</f>
        <v>5855304.2671942189</v>
      </c>
      <c r="G9" s="1189"/>
      <c r="H9" s="1188">
        <f t="shared" ref="H9:AD9" si="2">SUM(H7:H8)</f>
        <v>997544.32000000007</v>
      </c>
      <c r="I9" s="1188">
        <f t="shared" si="2"/>
        <v>173060</v>
      </c>
      <c r="J9" s="1190">
        <f t="shared" si="2"/>
        <v>7025908</v>
      </c>
      <c r="K9" s="1189">
        <f t="shared" si="2"/>
        <v>27649</v>
      </c>
      <c r="L9" s="1189">
        <f t="shared" ref="L9" si="3">SUM(L7:L8)</f>
        <v>-110733</v>
      </c>
      <c r="M9" s="1191">
        <f t="shared" si="2"/>
        <v>-83084</v>
      </c>
      <c r="N9" s="1190">
        <f t="shared" si="2"/>
        <v>6942824</v>
      </c>
      <c r="O9" s="1189">
        <f t="shared" si="2"/>
        <v>0</v>
      </c>
      <c r="P9" s="1189">
        <f t="shared" si="2"/>
        <v>0</v>
      </c>
      <c r="Q9" s="1189">
        <f t="shared" si="2"/>
        <v>0</v>
      </c>
      <c r="R9" s="1190">
        <f t="shared" si="2"/>
        <v>6942824</v>
      </c>
      <c r="S9" s="1188">
        <f t="shared" si="2"/>
        <v>0</v>
      </c>
      <c r="T9" s="1190">
        <f t="shared" si="2"/>
        <v>6942824</v>
      </c>
      <c r="U9" s="1188">
        <f t="shared" si="2"/>
        <v>0</v>
      </c>
      <c r="V9" s="1188">
        <f t="shared" si="2"/>
        <v>32568</v>
      </c>
      <c r="W9" s="1190">
        <f t="shared" si="2"/>
        <v>6975392</v>
      </c>
      <c r="X9" s="1192">
        <f t="shared" si="2"/>
        <v>4708058</v>
      </c>
      <c r="Y9" s="1192">
        <f t="shared" si="2"/>
        <v>2267334</v>
      </c>
      <c r="Z9" s="1190">
        <f t="shared" si="2"/>
        <v>566833</v>
      </c>
      <c r="AA9" s="1188">
        <f t="shared" si="2"/>
        <v>0</v>
      </c>
      <c r="AB9" s="1188">
        <f t="shared" si="2"/>
        <v>55430</v>
      </c>
      <c r="AC9" s="1188">
        <f t="shared" si="2"/>
        <v>0</v>
      </c>
      <c r="AD9" s="1190">
        <f t="shared" si="2"/>
        <v>7030822</v>
      </c>
      <c r="AE9" s="1188"/>
      <c r="AF9" s="1193">
        <f t="shared" ref="AF9:AU9" si="4">SUM(AF7:AF8)</f>
        <v>7166080</v>
      </c>
      <c r="AG9" s="1194">
        <f t="shared" si="4"/>
        <v>0</v>
      </c>
      <c r="AH9" s="1188">
        <f t="shared" si="4"/>
        <v>-41448</v>
      </c>
      <c r="AI9" s="1194">
        <f t="shared" ref="AI9" si="5">SUM(AI7:AI8)</f>
        <v>-40</v>
      </c>
      <c r="AJ9" s="1188">
        <f t="shared" si="4"/>
        <v>-99843</v>
      </c>
      <c r="AK9" s="1191">
        <f t="shared" si="4"/>
        <v>-141291</v>
      </c>
      <c r="AL9" s="1193">
        <f t="shared" si="4"/>
        <v>7024789</v>
      </c>
      <c r="AM9" s="1188">
        <f t="shared" si="4"/>
        <v>0</v>
      </c>
      <c r="AN9" s="1188">
        <f t="shared" si="4"/>
        <v>0</v>
      </c>
      <c r="AO9" s="1188">
        <f t="shared" si="4"/>
        <v>0</v>
      </c>
      <c r="AP9" s="1193">
        <f t="shared" si="4"/>
        <v>7024789</v>
      </c>
      <c r="AQ9" s="1188">
        <f t="shared" si="4"/>
        <v>0</v>
      </c>
      <c r="AR9" s="1193">
        <f t="shared" si="4"/>
        <v>7024789</v>
      </c>
      <c r="AS9" s="1192">
        <f t="shared" si="4"/>
        <v>4660158</v>
      </c>
      <c r="AT9" s="1192">
        <f t="shared" si="4"/>
        <v>2364631</v>
      </c>
      <c r="AU9" s="1193">
        <f t="shared" si="4"/>
        <v>591158</v>
      </c>
    </row>
    <row r="10" spans="1:47" s="19" customFormat="1" ht="9.75" customHeight="1" x14ac:dyDescent="0.2">
      <c r="A10" s="1178"/>
      <c r="B10" s="1178"/>
      <c r="C10" s="1179"/>
      <c r="D10" s="1180"/>
      <c r="E10" s="1181"/>
      <c r="F10" s="1181"/>
      <c r="G10" s="1181"/>
      <c r="H10" s="1181"/>
      <c r="I10" s="1181"/>
      <c r="J10" s="1181"/>
      <c r="K10" s="1181"/>
      <c r="L10" s="1181"/>
      <c r="M10" s="1181"/>
      <c r="N10" s="1181"/>
      <c r="O10" s="1181"/>
      <c r="P10" s="1181"/>
      <c r="Q10" s="1181"/>
      <c r="R10" s="1181"/>
      <c r="S10" s="1181"/>
      <c r="T10" s="1181"/>
      <c r="U10" s="1181"/>
      <c r="V10" s="1181"/>
      <c r="W10" s="1181"/>
      <c r="X10" s="1181"/>
      <c r="Y10" s="1181"/>
      <c r="Z10" s="1181"/>
      <c r="AA10" s="1181"/>
      <c r="AB10" s="1181"/>
      <c r="AC10" s="1181"/>
      <c r="AD10" s="1181"/>
      <c r="AE10" s="1181"/>
      <c r="AF10" s="1181"/>
      <c r="AG10" s="1182"/>
      <c r="AH10" s="1181"/>
      <c r="AI10" s="1182"/>
      <c r="AJ10" s="1181"/>
      <c r="AK10" s="1181"/>
      <c r="AL10" s="1181"/>
      <c r="AM10" s="1181"/>
      <c r="AN10" s="1181"/>
      <c r="AO10" s="1181"/>
      <c r="AP10" s="1181"/>
      <c r="AQ10" s="1181"/>
      <c r="AR10" s="1181"/>
      <c r="AS10" s="1181"/>
      <c r="AT10" s="1181"/>
      <c r="AU10" s="1181"/>
    </row>
    <row r="11" spans="1:47" s="19" customFormat="1" ht="21.75" customHeight="1" x14ac:dyDescent="0.2">
      <c r="A11" s="217" t="s">
        <v>433</v>
      </c>
      <c r="B11" s="218" t="s">
        <v>306</v>
      </c>
      <c r="C11" s="206" t="s">
        <v>1238</v>
      </c>
      <c r="D11" s="207">
        <f>VLOOKUP(A11,'8A_2.1.20 RSD Op &amp; 5s'!$A$4:$F$10,6,FALSE)</f>
        <v>259</v>
      </c>
      <c r="E11" s="208">
        <f>'3_Levels 1&amp;2'!$AM$23</f>
        <v>3509.7761458148998</v>
      </c>
      <c r="F11" s="209">
        <f>D11*E11</f>
        <v>909032.0217660591</v>
      </c>
      <c r="G11" s="210">
        <f>'9_Per Pupil Summary'!$G$23</f>
        <v>801.48</v>
      </c>
      <c r="H11" s="209">
        <f>G11*D11</f>
        <v>207583.32</v>
      </c>
      <c r="I11" s="850">
        <f>VLOOKUP($A11,'3B_Pay Raise'!$A$7:$O$142,15,FALSE)</f>
        <v>23872</v>
      </c>
      <c r="J11" s="211">
        <f>ROUND(F11+H11+I11,0)</f>
        <v>1140487</v>
      </c>
      <c r="K11" s="212">
        <v>-155205</v>
      </c>
      <c r="L11" s="212">
        <v>6467</v>
      </c>
      <c r="M11" s="213">
        <f>SUM(K11:L11)</f>
        <v>-148738</v>
      </c>
      <c r="N11" s="211">
        <f>M11+J11</f>
        <v>991749</v>
      </c>
      <c r="O11" s="212">
        <f>ROUND(N11*-1.75%,0)</f>
        <v>-17356</v>
      </c>
      <c r="P11" s="212">
        <f>ROUND(N11*-0.25%,0)</f>
        <v>-2479</v>
      </c>
      <c r="Q11" s="212">
        <f>O11+P11</f>
        <v>-19835</v>
      </c>
      <c r="R11" s="211">
        <f>N11+Q11</f>
        <v>971914</v>
      </c>
      <c r="S11" s="212">
        <v>0</v>
      </c>
      <c r="T11" s="211">
        <f>SUM(R11:S11)</f>
        <v>971914</v>
      </c>
      <c r="U11" s="212">
        <f>VLOOKUP($A11,'4_Level 4'!$A$78:$R$140,5,FALSE)</f>
        <v>0</v>
      </c>
      <c r="V11" s="212">
        <f>VLOOKUP($A11,'4_Level 4'!$A$78:$R$140,17,FALSE)</f>
        <v>0</v>
      </c>
      <c r="W11" s="214">
        <f>ROUND(SUM(T11:V11),0)</f>
        <v>971914</v>
      </c>
      <c r="X11" s="210">
        <v>699416</v>
      </c>
      <c r="Y11" s="210">
        <f>W11-X11</f>
        <v>272498</v>
      </c>
      <c r="Z11" s="211">
        <f>ROUND(Y11/$Z$24,0)</f>
        <v>68125</v>
      </c>
      <c r="AA11" s="212">
        <f>VLOOKUP($A11,'4_Level 4'!$A$78:$R$140,10,FALSE)</f>
        <v>0</v>
      </c>
      <c r="AB11" s="212">
        <f>VLOOKUP($A11,'4_Level 4'!$A$78:$R$140,12,FALSE)</f>
        <v>0</v>
      </c>
      <c r="AC11" s="212">
        <f>VLOOKUP($A11,'4_Level 4'!$A$78:$R$140,13,FALSE)</f>
        <v>8664</v>
      </c>
      <c r="AD11" s="214">
        <f>W11+AA11+AB11+AC11</f>
        <v>980578</v>
      </c>
      <c r="AE11" s="212">
        <f>'9_Per Pupil Summary'!$M$23</f>
        <v>6829</v>
      </c>
      <c r="AF11" s="215">
        <f>AE11*D11</f>
        <v>1768711</v>
      </c>
      <c r="AG11" s="216">
        <v>-36</v>
      </c>
      <c r="AH11" s="209">
        <f>ROUND(AE11*AG11,0)</f>
        <v>-245844</v>
      </c>
      <c r="AI11" s="216">
        <v>3</v>
      </c>
      <c r="AJ11" s="209">
        <f>ROUND(AE11*AI11*0.5,0)</f>
        <v>10244</v>
      </c>
      <c r="AK11" s="213">
        <f>AJ11+AH11</f>
        <v>-235600</v>
      </c>
      <c r="AL11" s="215">
        <f>AF11+AK11</f>
        <v>1533111</v>
      </c>
      <c r="AM11" s="209">
        <f>ROUND(-AL11*0.0175,0)</f>
        <v>-26829</v>
      </c>
      <c r="AN11" s="209">
        <f>ROUND(-AL11*0.0025,0)</f>
        <v>-3833</v>
      </c>
      <c r="AO11" s="209">
        <f>AM11+AN11</f>
        <v>-30662</v>
      </c>
      <c r="AP11" s="215">
        <f>AL11+AO11</f>
        <v>1502449</v>
      </c>
      <c r="AQ11" s="212">
        <v>0</v>
      </c>
      <c r="AR11" s="215">
        <f>ROUND(SUM(AP11:AQ11),0)</f>
        <v>1502449</v>
      </c>
      <c r="AS11" s="210">
        <v>1053084</v>
      </c>
      <c r="AT11" s="210">
        <f>AR11-AS11</f>
        <v>449365</v>
      </c>
      <c r="AU11" s="215">
        <f>ROUND(AT11/$AU$24,0)</f>
        <v>112341</v>
      </c>
    </row>
    <row r="12" spans="1:47" s="19" customFormat="1" ht="21.75" customHeight="1" x14ac:dyDescent="0.2">
      <c r="A12" s="217" t="s">
        <v>431</v>
      </c>
      <c r="B12" s="218" t="s">
        <v>281</v>
      </c>
      <c r="C12" s="206" t="s">
        <v>1239</v>
      </c>
      <c r="D12" s="207">
        <f>VLOOKUP(A12,'8A_2.1.20 RSD Op &amp; 5s'!$A$4:$F$10,6,FALSE)</f>
        <v>252</v>
      </c>
      <c r="E12" s="208">
        <f>'3_Levels 1&amp;2'!$AM$23</f>
        <v>3509.7761458148998</v>
      </c>
      <c r="F12" s="209">
        <f>D12*E12</f>
        <v>884463.58874535479</v>
      </c>
      <c r="G12" s="209">
        <f>'9_Per Pupil Summary'!$G$23</f>
        <v>801.48</v>
      </c>
      <c r="H12" s="209">
        <f>G12*D12</f>
        <v>201972.96</v>
      </c>
      <c r="I12" s="850">
        <f>VLOOKUP($A12,'3B_Pay Raise'!$A$7:$O$142,15,FALSE)</f>
        <v>25779</v>
      </c>
      <c r="J12" s="211">
        <f>ROUND(F12+H12+I12,0)</f>
        <v>1112216</v>
      </c>
      <c r="K12" s="212">
        <v>-17245</v>
      </c>
      <c r="L12" s="212">
        <v>2156</v>
      </c>
      <c r="M12" s="213">
        <f>SUM(K12:L12)</f>
        <v>-15089</v>
      </c>
      <c r="N12" s="211">
        <f>M12+J12</f>
        <v>1097127</v>
      </c>
      <c r="O12" s="212">
        <f>ROUND(N12*-1.75%,0)</f>
        <v>-19200</v>
      </c>
      <c r="P12" s="212">
        <f>ROUND(N12*-0.25%,0)</f>
        <v>-2743</v>
      </c>
      <c r="Q12" s="212">
        <f>O12+P12</f>
        <v>-21943</v>
      </c>
      <c r="R12" s="211">
        <f>N12+Q12</f>
        <v>1075184</v>
      </c>
      <c r="S12" s="212">
        <v>-1607</v>
      </c>
      <c r="T12" s="211">
        <f>SUM(R12:S12)</f>
        <v>1073577</v>
      </c>
      <c r="U12" s="212">
        <f>VLOOKUP($A12,'4_Level 4'!$A$78:$R$140,5,FALSE)</f>
        <v>0</v>
      </c>
      <c r="V12" s="212">
        <f>VLOOKUP($A12,'4_Level 4'!$A$78:$R$140,17,FALSE)</f>
        <v>0</v>
      </c>
      <c r="W12" s="214">
        <f>ROUND(SUM(T12:V12),0)</f>
        <v>1073577</v>
      </c>
      <c r="X12" s="210">
        <v>722236</v>
      </c>
      <c r="Y12" s="210">
        <f>W12-X12</f>
        <v>351341</v>
      </c>
      <c r="Z12" s="211">
        <f>ROUND(Y12/$Z$24,0)</f>
        <v>87835</v>
      </c>
      <c r="AA12" s="212">
        <f>VLOOKUP($A12,'4_Level 4'!$A$78:$R$140,10,FALSE)</f>
        <v>0</v>
      </c>
      <c r="AB12" s="212">
        <f>VLOOKUP($A12,'4_Level 4'!$A$78:$R$140,12,FALSE)</f>
        <v>0</v>
      </c>
      <c r="AC12" s="212">
        <f>VLOOKUP($A12,'4_Level 4'!$A$78:$R$140,13,FALSE)</f>
        <v>0</v>
      </c>
      <c r="AD12" s="214">
        <f>W12+AA12+AB12+AC12</f>
        <v>1073577</v>
      </c>
      <c r="AE12" s="212">
        <f>'9_Per Pupil Summary'!$M$23</f>
        <v>6829</v>
      </c>
      <c r="AF12" s="215">
        <f>AE12*D12</f>
        <v>1720908</v>
      </c>
      <c r="AG12" s="216">
        <v>-4</v>
      </c>
      <c r="AH12" s="209">
        <f>ROUND(AE12*AG12,0)</f>
        <v>-27316</v>
      </c>
      <c r="AI12" s="216">
        <v>1</v>
      </c>
      <c r="AJ12" s="209">
        <f>ROUND(AE12*AI12*0.5,0)</f>
        <v>3415</v>
      </c>
      <c r="AK12" s="213">
        <f>AJ12+AH12</f>
        <v>-23901</v>
      </c>
      <c r="AL12" s="215">
        <f>AF12+AK12</f>
        <v>1697007</v>
      </c>
      <c r="AM12" s="209">
        <f>ROUND(-AL12*0.0175,0)</f>
        <v>-29698</v>
      </c>
      <c r="AN12" s="209">
        <f>ROUND(-AL12*0.0025,0)</f>
        <v>-4243</v>
      </c>
      <c r="AO12" s="209">
        <f>AM12+AN12</f>
        <v>-33941</v>
      </c>
      <c r="AP12" s="215">
        <f>AL12+AO12</f>
        <v>1663066</v>
      </c>
      <c r="AQ12" s="212">
        <v>-3309</v>
      </c>
      <c r="AR12" s="215">
        <f>ROUND(SUM(AP12:AQ12),0)</f>
        <v>1659757</v>
      </c>
      <c r="AS12" s="210">
        <v>1091704</v>
      </c>
      <c r="AT12" s="210">
        <f>AR12-AS12</f>
        <v>568053</v>
      </c>
      <c r="AU12" s="215">
        <f>ROUND(AT12/$AU$24,0)</f>
        <v>142013</v>
      </c>
    </row>
    <row r="13" spans="1:47" s="19" customFormat="1" ht="21.75" customHeight="1" x14ac:dyDescent="0.2">
      <c r="A13" s="217" t="s">
        <v>341</v>
      </c>
      <c r="B13" s="218" t="s">
        <v>341</v>
      </c>
      <c r="C13" s="206" t="s">
        <v>331</v>
      </c>
      <c r="D13" s="207">
        <f>VLOOKUP(A13,'8A_2.1.20 RSD Op &amp; 5s'!$A$4:$F$10,6,FALSE)</f>
        <v>539</v>
      </c>
      <c r="E13" s="208">
        <f>'3_Levels 1&amp;2'!$AM$23</f>
        <v>3509.7761458148998</v>
      </c>
      <c r="F13" s="209">
        <f>D13*E13</f>
        <v>1891769.342594231</v>
      </c>
      <c r="G13" s="210">
        <f>'9_Per Pupil Summary'!$G$23</f>
        <v>801.48</v>
      </c>
      <c r="H13" s="209">
        <f>G13*D13</f>
        <v>431997.72000000003</v>
      </c>
      <c r="I13" s="850">
        <f>VLOOKUP($A13,'3B_Pay Raise'!$A$7:$O$142,15,FALSE)</f>
        <v>54325</v>
      </c>
      <c r="J13" s="211">
        <f>ROUND(F13+H13+I13,0)</f>
        <v>2378092</v>
      </c>
      <c r="K13" s="212">
        <v>-64669</v>
      </c>
      <c r="L13" s="212">
        <v>2156</v>
      </c>
      <c r="M13" s="213">
        <f>SUM(K13:L13)</f>
        <v>-62513</v>
      </c>
      <c r="N13" s="211">
        <f>M13+J13</f>
        <v>2315579</v>
      </c>
      <c r="O13" s="212">
        <f>ROUND(N13*-1.75%,0)</f>
        <v>-40523</v>
      </c>
      <c r="P13" s="212">
        <f>ROUND(N13*-0.25%,0)</f>
        <v>-5789</v>
      </c>
      <c r="Q13" s="212">
        <f>O13+P13</f>
        <v>-46312</v>
      </c>
      <c r="R13" s="211">
        <f>N13+Q13</f>
        <v>2269267</v>
      </c>
      <c r="S13" s="212">
        <v>0</v>
      </c>
      <c r="T13" s="211">
        <f>SUM(R13:S13)</f>
        <v>2269267</v>
      </c>
      <c r="U13" s="212">
        <f>VLOOKUP($A13,'4_Level 4'!$A$78:$R$140,5,FALSE)</f>
        <v>0</v>
      </c>
      <c r="V13" s="212">
        <f>VLOOKUP($A13,'4_Level 4'!$A$78:$R$140,17,FALSE)</f>
        <v>7198</v>
      </c>
      <c r="W13" s="214">
        <f>ROUND(SUM(T13:V13),0)</f>
        <v>2276465</v>
      </c>
      <c r="X13" s="210">
        <v>1537022</v>
      </c>
      <c r="Y13" s="210">
        <f>W13-X13</f>
        <v>739443</v>
      </c>
      <c r="Z13" s="211">
        <f>ROUND(Y13/$Z$24,0)</f>
        <v>184861</v>
      </c>
      <c r="AA13" s="212">
        <f>VLOOKUP($A13,'4_Level 4'!$A$78:$R$140,10,FALSE)</f>
        <v>0</v>
      </c>
      <c r="AB13" s="212">
        <f>VLOOKUP($A13,'4_Level 4'!$A$78:$R$140,12,FALSE)</f>
        <v>0</v>
      </c>
      <c r="AC13" s="212">
        <f>VLOOKUP($A13,'4_Level 4'!$A$78:$R$140,13,FALSE)</f>
        <v>0</v>
      </c>
      <c r="AD13" s="214">
        <f>W13+AA13+AB13+AC13</f>
        <v>2276465</v>
      </c>
      <c r="AE13" s="212">
        <f>'9_Per Pupil Summary'!$M$23</f>
        <v>6829</v>
      </c>
      <c r="AF13" s="215">
        <f>AE13*D13</f>
        <v>3680831</v>
      </c>
      <c r="AG13" s="216">
        <v>-15</v>
      </c>
      <c r="AH13" s="209">
        <f>ROUND(AE13*AG13,0)</f>
        <v>-102435</v>
      </c>
      <c r="AI13" s="216">
        <v>1</v>
      </c>
      <c r="AJ13" s="209">
        <f>ROUND(AE13*AI13*0.5,0)</f>
        <v>3415</v>
      </c>
      <c r="AK13" s="213">
        <f>AJ13+AH13</f>
        <v>-99020</v>
      </c>
      <c r="AL13" s="215">
        <f>AF13+AK13</f>
        <v>3581811</v>
      </c>
      <c r="AM13" s="209">
        <f>ROUND(-AL13*0.0175,0)</f>
        <v>-62682</v>
      </c>
      <c r="AN13" s="209">
        <f>ROUND(-AL13*0.0025,0)</f>
        <v>-8955</v>
      </c>
      <c r="AO13" s="209">
        <f>AM13+AN13</f>
        <v>-71637</v>
      </c>
      <c r="AP13" s="215">
        <f>AL13+AO13</f>
        <v>3510174</v>
      </c>
      <c r="AQ13" s="212">
        <v>0</v>
      </c>
      <c r="AR13" s="215">
        <f>ROUND(SUM(AP13:AQ13),0)</f>
        <v>3510174</v>
      </c>
      <c r="AS13" s="210">
        <v>2325358</v>
      </c>
      <c r="AT13" s="210">
        <f>AR13-AS13</f>
        <v>1184816</v>
      </c>
      <c r="AU13" s="215">
        <f>ROUND(AT13/$AU$24,0)</f>
        <v>296204</v>
      </c>
    </row>
    <row r="14" spans="1:47" s="19" customFormat="1" ht="21.75" customHeight="1" x14ac:dyDescent="0.2">
      <c r="A14" s="205" t="s">
        <v>430</v>
      </c>
      <c r="B14" s="228">
        <v>389002</v>
      </c>
      <c r="C14" s="206" t="s">
        <v>1063</v>
      </c>
      <c r="D14" s="207">
        <f>VLOOKUP(A14,'8A_2.1.20 RSD Op &amp; 5s'!$A$4:$F$10,6,FALSE)</f>
        <v>402</v>
      </c>
      <c r="E14" s="208">
        <f>'3_Levels 1&amp;2'!$AM$23</f>
        <v>3509.7761458148998</v>
      </c>
      <c r="F14" s="209">
        <f>D14*E14</f>
        <v>1410930.0106175898</v>
      </c>
      <c r="G14" s="210">
        <f>'9_Per Pupil Summary'!$G$23</f>
        <v>801.48</v>
      </c>
      <c r="H14" s="209">
        <f>G14*D14</f>
        <v>322194.96000000002</v>
      </c>
      <c r="I14" s="850">
        <f>VLOOKUP($A14,'3B_Pay Raise'!$A$7:$O$142,15,FALSE)</f>
        <v>54426</v>
      </c>
      <c r="J14" s="211">
        <f>ROUND(F14+H14+I14,0)</f>
        <v>1787551</v>
      </c>
      <c r="K14" s="212">
        <v>17245</v>
      </c>
      <c r="L14" s="212">
        <v>-36646</v>
      </c>
      <c r="M14" s="213">
        <f>SUM(K14:L14)</f>
        <v>-19401</v>
      </c>
      <c r="N14" s="211">
        <f>M14+J14</f>
        <v>1768150</v>
      </c>
      <c r="O14" s="212">
        <f>ROUND(N14*-1.75%,0)</f>
        <v>-30943</v>
      </c>
      <c r="P14" s="212">
        <f>ROUND(N14*-0.25%,0)</f>
        <v>-4420</v>
      </c>
      <c r="Q14" s="212">
        <f>O14+P14</f>
        <v>-35363</v>
      </c>
      <c r="R14" s="211">
        <f>N14+Q14</f>
        <v>1732787</v>
      </c>
      <c r="S14" s="212">
        <v>0</v>
      </c>
      <c r="T14" s="211">
        <f>SUM(R14:S14)</f>
        <v>1732787</v>
      </c>
      <c r="U14" s="212">
        <f>VLOOKUP($A14,'4_Level 4'!$A$78:$R$140,5,FALSE)</f>
        <v>0</v>
      </c>
      <c r="V14" s="212">
        <f>VLOOKUP($A14,'4_Level 4'!$A$78:$R$140,17,FALSE)</f>
        <v>15399</v>
      </c>
      <c r="W14" s="214">
        <f>ROUND(SUM(T14:V14),0)</f>
        <v>1748186</v>
      </c>
      <c r="X14" s="210">
        <v>1150744</v>
      </c>
      <c r="Y14" s="210">
        <f>W14-X14</f>
        <v>597442</v>
      </c>
      <c r="Z14" s="211">
        <f>ROUND(Y14/$Z$24,0)</f>
        <v>149361</v>
      </c>
      <c r="AA14" s="212">
        <f>VLOOKUP($A14,'4_Level 4'!$A$78:$R$140,10,FALSE)</f>
        <v>0</v>
      </c>
      <c r="AB14" s="212">
        <f>VLOOKUP($A14,'4_Level 4'!$A$78:$R$140,12,FALSE)</f>
        <v>0</v>
      </c>
      <c r="AC14" s="212">
        <f>VLOOKUP($A14,'4_Level 4'!$A$78:$R$140,13,FALSE)</f>
        <v>0</v>
      </c>
      <c r="AD14" s="214">
        <f>W14+AA14+AB14+AC14</f>
        <v>1748186</v>
      </c>
      <c r="AE14" s="212">
        <f>'9_Per Pupil Summary'!$M$23</f>
        <v>6829</v>
      </c>
      <c r="AF14" s="215">
        <f>AE14*D14</f>
        <v>2745258</v>
      </c>
      <c r="AG14" s="216">
        <v>4</v>
      </c>
      <c r="AH14" s="209">
        <f>ROUND(AE14*AG14,0)</f>
        <v>27316</v>
      </c>
      <c r="AI14" s="216">
        <v>-17</v>
      </c>
      <c r="AJ14" s="209">
        <f>ROUND(AE14*AI14*0.5,0)</f>
        <v>-58047</v>
      </c>
      <c r="AK14" s="213">
        <f>AJ14+AH14</f>
        <v>-30731</v>
      </c>
      <c r="AL14" s="215">
        <f>AF14+AK14</f>
        <v>2714527</v>
      </c>
      <c r="AM14" s="209">
        <f>ROUND(-AL14*0.0175,0)</f>
        <v>-47504</v>
      </c>
      <c r="AN14" s="209">
        <f>ROUND(-AL14*0.0025,0)</f>
        <v>-6786</v>
      </c>
      <c r="AO14" s="209">
        <f>AM14+AN14</f>
        <v>-54290</v>
      </c>
      <c r="AP14" s="215">
        <f>AL14+AO14</f>
        <v>2660237</v>
      </c>
      <c r="AQ14" s="212">
        <v>0</v>
      </c>
      <c r="AR14" s="215">
        <f>ROUND(SUM(AP14:AQ14),0)</f>
        <v>2660237</v>
      </c>
      <c r="AS14" s="210">
        <v>1714634</v>
      </c>
      <c r="AT14" s="210">
        <f>AR14-AS14</f>
        <v>945603</v>
      </c>
      <c r="AU14" s="215">
        <f>ROUND(AT14/$AU$24,0)</f>
        <v>236401</v>
      </c>
    </row>
    <row r="15" spans="1:47" s="19" customFormat="1" ht="21.75" customHeight="1" x14ac:dyDescent="0.2">
      <c r="A15" s="217" t="s">
        <v>1203</v>
      </c>
      <c r="B15" s="218" t="s">
        <v>1204</v>
      </c>
      <c r="C15" s="206" t="s">
        <v>1240</v>
      </c>
      <c r="D15" s="207">
        <f>VLOOKUP(A15,'8A_2.1.20 RSD Op &amp; 5s'!$A$4:$F$10,6,FALSE)</f>
        <v>258</v>
      </c>
      <c r="E15" s="208">
        <f>'3_Levels 1&amp;2'!$AM$23</f>
        <v>3509.7761458148998</v>
      </c>
      <c r="F15" s="209">
        <f>D15*E15</f>
        <v>905522.24562024418</v>
      </c>
      <c r="G15" s="210">
        <f>'9_Per Pupil Summary'!$G$23</f>
        <v>801.48</v>
      </c>
      <c r="H15" s="209">
        <f>G15*D15</f>
        <v>206781.84</v>
      </c>
      <c r="I15" s="850">
        <f>VLOOKUP($A15,'3B_Pay Raise'!$A$7:$O$142,15,FALSE)</f>
        <v>23259</v>
      </c>
      <c r="J15" s="211">
        <f>ROUND(F15+H15+I15,0)</f>
        <v>1135563</v>
      </c>
      <c r="K15" s="212">
        <v>-68980</v>
      </c>
      <c r="L15" s="212">
        <v>0</v>
      </c>
      <c r="M15" s="213">
        <f>SUM(K15:L15)</f>
        <v>-68980</v>
      </c>
      <c r="N15" s="211">
        <f>M15+J15</f>
        <v>1066583</v>
      </c>
      <c r="O15" s="212">
        <f>ROUND(N15*-1.75%,0)</f>
        <v>-18665</v>
      </c>
      <c r="P15" s="212">
        <f>ROUND(N15*-0.25%,0)</f>
        <v>-2666</v>
      </c>
      <c r="Q15" s="212">
        <f>O15+P15</f>
        <v>-21331</v>
      </c>
      <c r="R15" s="211">
        <f>N15+Q15</f>
        <v>1045252</v>
      </c>
      <c r="S15" s="212">
        <v>0</v>
      </c>
      <c r="T15" s="211">
        <f>SUM(R15:S15)</f>
        <v>1045252</v>
      </c>
      <c r="U15" s="212">
        <f>VLOOKUP($A15,'4_Level 4'!$A$78:$R$140,5,FALSE)</f>
        <v>0</v>
      </c>
      <c r="V15" s="212">
        <f>VLOOKUP($A15,'4_Level 4'!$A$78:$R$140,17,FALSE)</f>
        <v>10443</v>
      </c>
      <c r="W15" s="214">
        <f>ROUND(SUM(T15:V15),0)</f>
        <v>1055695</v>
      </c>
      <c r="X15" s="210">
        <v>730714</v>
      </c>
      <c r="Y15" s="210">
        <f>W15-X15</f>
        <v>324981</v>
      </c>
      <c r="Z15" s="211">
        <f>ROUND(Y15/$Z$24,0)</f>
        <v>81245</v>
      </c>
      <c r="AA15" s="212">
        <f>VLOOKUP($A15,'4_Level 4'!$A$78:$R$140,10,FALSE)</f>
        <v>0</v>
      </c>
      <c r="AB15" s="212">
        <f>VLOOKUP($A15,'4_Level 4'!$A$78:$R$140,12,FALSE)</f>
        <v>0</v>
      </c>
      <c r="AC15" s="212">
        <f>VLOOKUP($A15,'4_Level 4'!$A$78:$R$140,13,FALSE)</f>
        <v>0</v>
      </c>
      <c r="AD15" s="214">
        <f>W15+AA15+AB15+AC15</f>
        <v>1055695</v>
      </c>
      <c r="AE15" s="212">
        <f>'9_Per Pupil Summary'!$M$23</f>
        <v>6829</v>
      </c>
      <c r="AF15" s="215">
        <f>AE15*D15</f>
        <v>1761882</v>
      </c>
      <c r="AG15" s="216">
        <v>-16</v>
      </c>
      <c r="AH15" s="209">
        <f>ROUND(AE15*AG15,0)</f>
        <v>-109264</v>
      </c>
      <c r="AI15" s="216">
        <v>0</v>
      </c>
      <c r="AJ15" s="209">
        <f>ROUND(AE15*AI15*0.5,0)</f>
        <v>0</v>
      </c>
      <c r="AK15" s="213">
        <f>AJ15+AH15</f>
        <v>-109264</v>
      </c>
      <c r="AL15" s="215">
        <f>AF15+AK15</f>
        <v>1652618</v>
      </c>
      <c r="AM15" s="209">
        <f>ROUND(-AL15*0.0175,0)</f>
        <v>-28921</v>
      </c>
      <c r="AN15" s="209">
        <f>ROUND(-AL15*0.0025,0)</f>
        <v>-4132</v>
      </c>
      <c r="AO15" s="209">
        <f>AM15+AN15</f>
        <v>-33053</v>
      </c>
      <c r="AP15" s="215">
        <f>AL15+AO15</f>
        <v>1619565</v>
      </c>
      <c r="AQ15" s="212">
        <v>0</v>
      </c>
      <c r="AR15" s="215">
        <f>ROUND(SUM(AP15:AQ15),0)</f>
        <v>1619565</v>
      </c>
      <c r="AS15" s="210">
        <v>1093368</v>
      </c>
      <c r="AT15" s="210">
        <f>AR15-AS15</f>
        <v>526197</v>
      </c>
      <c r="AU15" s="215">
        <f>ROUND(AT15/$AU$24,0)</f>
        <v>131549</v>
      </c>
    </row>
    <row r="16" spans="1:47" s="20" customFormat="1" ht="29.25" customHeight="1" thickBot="1" x14ac:dyDescent="0.25">
      <c r="A16" s="1184"/>
      <c r="B16" s="1184"/>
      <c r="C16" s="1185" t="s">
        <v>1319</v>
      </c>
      <c r="D16" s="1186">
        <f>SUM(D11:D15)</f>
        <v>1710</v>
      </c>
      <c r="E16" s="1187"/>
      <c r="F16" s="1188">
        <f>SUM(F11:F15)</f>
        <v>6001717.209343479</v>
      </c>
      <c r="G16" s="1188"/>
      <c r="H16" s="1188">
        <f t="shared" ref="H16:AD16" si="6">SUM(H11:H15)</f>
        <v>1370530.8</v>
      </c>
      <c r="I16" s="1188">
        <f t="shared" si="6"/>
        <v>181661</v>
      </c>
      <c r="J16" s="1190">
        <f t="shared" si="6"/>
        <v>7553909</v>
      </c>
      <c r="K16" s="1189">
        <f t="shared" si="6"/>
        <v>-288854</v>
      </c>
      <c r="L16" s="1189">
        <f t="shared" si="6"/>
        <v>-25867</v>
      </c>
      <c r="M16" s="1191">
        <f t="shared" si="6"/>
        <v>-314721</v>
      </c>
      <c r="N16" s="1190">
        <f t="shared" si="6"/>
        <v>7239188</v>
      </c>
      <c r="O16" s="1189">
        <f t="shared" si="6"/>
        <v>-126687</v>
      </c>
      <c r="P16" s="1189">
        <f t="shared" si="6"/>
        <v>-18097</v>
      </c>
      <c r="Q16" s="1189">
        <f t="shared" si="6"/>
        <v>-144784</v>
      </c>
      <c r="R16" s="1190">
        <f t="shared" si="6"/>
        <v>7094404</v>
      </c>
      <c r="S16" s="1188">
        <f t="shared" si="6"/>
        <v>-1607</v>
      </c>
      <c r="T16" s="1190">
        <f t="shared" si="6"/>
        <v>7092797</v>
      </c>
      <c r="U16" s="1188">
        <f t="shared" si="6"/>
        <v>0</v>
      </c>
      <c r="V16" s="1188">
        <f t="shared" si="6"/>
        <v>33040</v>
      </c>
      <c r="W16" s="1190">
        <f t="shared" si="6"/>
        <v>7125837</v>
      </c>
      <c r="X16" s="1188">
        <f t="shared" si="6"/>
        <v>4840132</v>
      </c>
      <c r="Y16" s="1188">
        <f t="shared" si="6"/>
        <v>2285705</v>
      </c>
      <c r="Z16" s="1190">
        <f t="shared" si="6"/>
        <v>571427</v>
      </c>
      <c r="AA16" s="1188">
        <f t="shared" si="6"/>
        <v>0</v>
      </c>
      <c r="AB16" s="1188">
        <f t="shared" si="6"/>
        <v>0</v>
      </c>
      <c r="AC16" s="1188">
        <f t="shared" si="6"/>
        <v>8664</v>
      </c>
      <c r="AD16" s="1190">
        <f t="shared" si="6"/>
        <v>7134501</v>
      </c>
      <c r="AE16" s="1188"/>
      <c r="AF16" s="1193">
        <f t="shared" ref="AF16:AU16" si="7">SUM(AF11:AF15)</f>
        <v>11677590</v>
      </c>
      <c r="AG16" s="1195">
        <f t="shared" si="7"/>
        <v>-67</v>
      </c>
      <c r="AH16" s="1188">
        <f t="shared" si="7"/>
        <v>-457543</v>
      </c>
      <c r="AI16" s="1194">
        <f t="shared" si="7"/>
        <v>-12</v>
      </c>
      <c r="AJ16" s="1188">
        <f t="shared" si="7"/>
        <v>-40973</v>
      </c>
      <c r="AK16" s="1191">
        <f t="shared" si="7"/>
        <v>-498516</v>
      </c>
      <c r="AL16" s="1193">
        <f t="shared" si="7"/>
        <v>11179074</v>
      </c>
      <c r="AM16" s="1188">
        <f t="shared" si="7"/>
        <v>-195634</v>
      </c>
      <c r="AN16" s="1188">
        <f t="shared" si="7"/>
        <v>-27949</v>
      </c>
      <c r="AO16" s="1188">
        <f t="shared" si="7"/>
        <v>-223583</v>
      </c>
      <c r="AP16" s="1193">
        <f t="shared" si="7"/>
        <v>10955491</v>
      </c>
      <c r="AQ16" s="1188">
        <f t="shared" si="7"/>
        <v>-3309</v>
      </c>
      <c r="AR16" s="1193">
        <f t="shared" si="7"/>
        <v>10952182</v>
      </c>
      <c r="AS16" s="1192">
        <f t="shared" si="7"/>
        <v>7278148</v>
      </c>
      <c r="AT16" s="1192">
        <f t="shared" si="7"/>
        <v>3674034</v>
      </c>
      <c r="AU16" s="1193">
        <f t="shared" si="7"/>
        <v>918508</v>
      </c>
    </row>
    <row r="17" spans="1:47" s="19" customFormat="1" ht="9.75" customHeight="1" x14ac:dyDescent="0.2">
      <c r="A17" s="1178"/>
      <c r="B17" s="1178"/>
      <c r="C17" s="1179"/>
      <c r="D17" s="1180"/>
      <c r="E17" s="1181"/>
      <c r="F17" s="1181"/>
      <c r="G17" s="1181"/>
      <c r="H17" s="1181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  <c r="X17" s="1181"/>
      <c r="Y17" s="1181"/>
      <c r="Z17" s="1181"/>
      <c r="AA17" s="1181"/>
      <c r="AB17" s="1181"/>
      <c r="AC17" s="1181"/>
      <c r="AD17" s="1181"/>
      <c r="AE17" s="1181"/>
      <c r="AF17" s="1181"/>
      <c r="AG17" s="1182"/>
      <c r="AH17" s="1181"/>
      <c r="AI17" s="1182"/>
      <c r="AJ17" s="1181"/>
      <c r="AK17" s="1181"/>
      <c r="AL17" s="1181"/>
      <c r="AM17" s="1181"/>
      <c r="AN17" s="1181"/>
      <c r="AO17" s="1181"/>
      <c r="AP17" s="1181"/>
      <c r="AQ17" s="1181"/>
      <c r="AR17" s="1181"/>
      <c r="AS17" s="1181"/>
      <c r="AT17" s="1181"/>
      <c r="AU17" s="1181"/>
    </row>
    <row r="18" spans="1:47" s="20" customFormat="1" ht="39" thickBot="1" x14ac:dyDescent="0.25">
      <c r="A18" s="1184"/>
      <c r="B18" s="1184"/>
      <c r="C18" s="1185" t="s">
        <v>1320</v>
      </c>
      <c r="D18" s="1186">
        <f>D8+D16</f>
        <v>2070</v>
      </c>
      <c r="E18" s="1187"/>
      <c r="F18" s="1188">
        <f>F8+F16</f>
        <v>7265236.621836843</v>
      </c>
      <c r="G18" s="1188"/>
      <c r="H18" s="1188">
        <f t="shared" ref="H18:AD18" si="8">H8+H16</f>
        <v>1659063.6</v>
      </c>
      <c r="I18" s="1188">
        <f t="shared" si="8"/>
        <v>220176</v>
      </c>
      <c r="J18" s="1190">
        <f t="shared" si="8"/>
        <v>9144476</v>
      </c>
      <c r="K18" s="1189">
        <f t="shared" si="8"/>
        <v>-383702</v>
      </c>
      <c r="L18" s="1189">
        <f t="shared" si="8"/>
        <v>-28023</v>
      </c>
      <c r="M18" s="1191">
        <f t="shared" si="8"/>
        <v>-411725</v>
      </c>
      <c r="N18" s="1190">
        <f t="shared" si="8"/>
        <v>8732751</v>
      </c>
      <c r="O18" s="1189">
        <f t="shared" si="8"/>
        <v>-126687</v>
      </c>
      <c r="P18" s="1189">
        <f t="shared" si="8"/>
        <v>-18097</v>
      </c>
      <c r="Q18" s="1189">
        <f t="shared" si="8"/>
        <v>-144784</v>
      </c>
      <c r="R18" s="1190">
        <f t="shared" si="8"/>
        <v>8587967</v>
      </c>
      <c r="S18" s="1188">
        <f t="shared" si="8"/>
        <v>-1607</v>
      </c>
      <c r="T18" s="1190">
        <f t="shared" si="8"/>
        <v>8586360</v>
      </c>
      <c r="U18" s="1188">
        <f t="shared" si="8"/>
        <v>0</v>
      </c>
      <c r="V18" s="1188">
        <f t="shared" si="8"/>
        <v>54280</v>
      </c>
      <c r="W18" s="1190">
        <f t="shared" si="8"/>
        <v>8640640</v>
      </c>
      <c r="X18" s="1188">
        <f t="shared" si="8"/>
        <v>5884962</v>
      </c>
      <c r="Y18" s="1188">
        <f t="shared" si="8"/>
        <v>2755678</v>
      </c>
      <c r="Z18" s="1190">
        <f t="shared" si="8"/>
        <v>688920</v>
      </c>
      <c r="AA18" s="1188">
        <f t="shared" si="8"/>
        <v>0</v>
      </c>
      <c r="AB18" s="1188">
        <f t="shared" si="8"/>
        <v>55430</v>
      </c>
      <c r="AC18" s="1188">
        <f t="shared" si="8"/>
        <v>8664</v>
      </c>
      <c r="AD18" s="1190">
        <f t="shared" si="8"/>
        <v>8704734</v>
      </c>
      <c r="AE18" s="1188"/>
      <c r="AF18" s="1193">
        <f t="shared" ref="AF18:AU18" si="9">AF8+AF16</f>
        <v>14136030</v>
      </c>
      <c r="AG18" s="1195">
        <f t="shared" si="9"/>
        <v>-89</v>
      </c>
      <c r="AH18" s="1188">
        <f t="shared" si="9"/>
        <v>-607781</v>
      </c>
      <c r="AI18" s="1194">
        <f t="shared" si="9"/>
        <v>-13</v>
      </c>
      <c r="AJ18" s="1188">
        <f t="shared" si="9"/>
        <v>-44388</v>
      </c>
      <c r="AK18" s="1191">
        <f t="shared" si="9"/>
        <v>-652169</v>
      </c>
      <c r="AL18" s="1193">
        <f t="shared" si="9"/>
        <v>13483861</v>
      </c>
      <c r="AM18" s="1188">
        <f t="shared" si="9"/>
        <v>-195634</v>
      </c>
      <c r="AN18" s="1188">
        <f t="shared" si="9"/>
        <v>-27949</v>
      </c>
      <c r="AO18" s="1188">
        <f t="shared" si="9"/>
        <v>-223583</v>
      </c>
      <c r="AP18" s="1193">
        <f t="shared" si="9"/>
        <v>13260278</v>
      </c>
      <c r="AQ18" s="1188">
        <f t="shared" si="9"/>
        <v>-3309</v>
      </c>
      <c r="AR18" s="1193">
        <f t="shared" si="9"/>
        <v>13256969</v>
      </c>
      <c r="AS18" s="1192">
        <f t="shared" si="9"/>
        <v>8835658</v>
      </c>
      <c r="AT18" s="1192">
        <f t="shared" si="9"/>
        <v>4421311</v>
      </c>
      <c r="AU18" s="1193">
        <f t="shared" si="9"/>
        <v>1105327</v>
      </c>
    </row>
    <row r="19" spans="1:47" s="19" customFormat="1" ht="9.75" customHeight="1" x14ac:dyDescent="0.2">
      <c r="A19" s="1178"/>
      <c r="B19" s="1178"/>
      <c r="C19" s="1179"/>
      <c r="D19" s="1180"/>
      <c r="E19" s="1181"/>
      <c r="F19" s="1181"/>
      <c r="G19" s="1181"/>
      <c r="H19" s="1181"/>
      <c r="I19" s="1181"/>
      <c r="J19" s="1181"/>
      <c r="K19" s="1181"/>
      <c r="L19" s="1181"/>
      <c r="M19" s="1181"/>
      <c r="N19" s="1181"/>
      <c r="O19" s="1181"/>
      <c r="P19" s="1181"/>
      <c r="Q19" s="1181"/>
      <c r="R19" s="1181"/>
      <c r="S19" s="1181"/>
      <c r="T19" s="1181"/>
      <c r="U19" s="1181"/>
      <c r="V19" s="1181"/>
      <c r="W19" s="1181"/>
      <c r="X19" s="1181"/>
      <c r="Y19" s="1181"/>
      <c r="Z19" s="1181"/>
      <c r="AA19" s="1181"/>
      <c r="AB19" s="1181"/>
      <c r="AC19" s="1181"/>
      <c r="AD19" s="1181"/>
      <c r="AE19" s="1181"/>
      <c r="AF19" s="1181"/>
      <c r="AG19" s="1182"/>
      <c r="AH19" s="1181"/>
      <c r="AI19" s="1182"/>
      <c r="AJ19" s="1181"/>
      <c r="AK19" s="1181"/>
      <c r="AL19" s="1181"/>
      <c r="AM19" s="1181"/>
      <c r="AN19" s="1181"/>
      <c r="AO19" s="1181"/>
      <c r="AP19" s="1181"/>
      <c r="AQ19" s="1181"/>
      <c r="AR19" s="1181"/>
      <c r="AS19" s="1181"/>
      <c r="AT19" s="1181"/>
      <c r="AU19" s="1181"/>
    </row>
    <row r="20" spans="1:47" s="20" customFormat="1" ht="29.25" customHeight="1" thickBot="1" x14ac:dyDescent="0.25">
      <c r="A20" s="1196"/>
      <c r="B20" s="1196"/>
      <c r="C20" s="1197" t="s">
        <v>1318</v>
      </c>
      <c r="D20" s="1198">
        <f>D9+D16</f>
        <v>3022</v>
      </c>
      <c r="E20" s="1199"/>
      <c r="F20" s="1200">
        <f>F9+F16</f>
        <v>11857021.476537697</v>
      </c>
      <c r="G20" s="1200"/>
      <c r="H20" s="1200">
        <f t="shared" ref="H20:AD20" si="10">H9+H16</f>
        <v>2368075.12</v>
      </c>
      <c r="I20" s="1200">
        <f t="shared" si="10"/>
        <v>354721</v>
      </c>
      <c r="J20" s="1201">
        <f t="shared" si="10"/>
        <v>14579817</v>
      </c>
      <c r="K20" s="1202">
        <f t="shared" si="10"/>
        <v>-261205</v>
      </c>
      <c r="L20" s="1202">
        <f t="shared" si="10"/>
        <v>-136600</v>
      </c>
      <c r="M20" s="1203">
        <f t="shared" si="10"/>
        <v>-397805</v>
      </c>
      <c r="N20" s="1201">
        <f t="shared" si="10"/>
        <v>14182012</v>
      </c>
      <c r="O20" s="1202">
        <f t="shared" si="10"/>
        <v>-126687</v>
      </c>
      <c r="P20" s="1202">
        <f t="shared" si="10"/>
        <v>-18097</v>
      </c>
      <c r="Q20" s="1202">
        <f t="shared" si="10"/>
        <v>-144784</v>
      </c>
      <c r="R20" s="1201">
        <f t="shared" si="10"/>
        <v>14037228</v>
      </c>
      <c r="S20" s="1204">
        <f t="shared" si="10"/>
        <v>-1607</v>
      </c>
      <c r="T20" s="1201">
        <f t="shared" si="10"/>
        <v>14035621</v>
      </c>
      <c r="U20" s="1204">
        <f t="shared" si="10"/>
        <v>0</v>
      </c>
      <c r="V20" s="1204">
        <f t="shared" si="10"/>
        <v>65608</v>
      </c>
      <c r="W20" s="1201">
        <f t="shared" si="10"/>
        <v>14101229</v>
      </c>
      <c r="X20" s="1200">
        <f t="shared" si="10"/>
        <v>9548190</v>
      </c>
      <c r="Y20" s="1200">
        <f t="shared" si="10"/>
        <v>4553039</v>
      </c>
      <c r="Z20" s="1201">
        <f t="shared" si="10"/>
        <v>1138260</v>
      </c>
      <c r="AA20" s="1204">
        <f t="shared" si="10"/>
        <v>0</v>
      </c>
      <c r="AB20" s="1204">
        <f t="shared" si="10"/>
        <v>55430</v>
      </c>
      <c r="AC20" s="1204">
        <f t="shared" si="10"/>
        <v>8664</v>
      </c>
      <c r="AD20" s="1201">
        <f t="shared" si="10"/>
        <v>14165323</v>
      </c>
      <c r="AE20" s="1200"/>
      <c r="AF20" s="1205">
        <f t="shared" ref="AF20:AU20" si="11">AF9+AF16</f>
        <v>18843670</v>
      </c>
      <c r="AG20" s="1206">
        <f t="shared" si="11"/>
        <v>-67</v>
      </c>
      <c r="AH20" s="1200">
        <f t="shared" si="11"/>
        <v>-498991</v>
      </c>
      <c r="AI20" s="1207">
        <f t="shared" si="11"/>
        <v>-52</v>
      </c>
      <c r="AJ20" s="1200">
        <f t="shared" si="11"/>
        <v>-140816</v>
      </c>
      <c r="AK20" s="1203">
        <f t="shared" si="11"/>
        <v>-639807</v>
      </c>
      <c r="AL20" s="1205">
        <f t="shared" si="11"/>
        <v>18203863</v>
      </c>
      <c r="AM20" s="1200">
        <f t="shared" si="11"/>
        <v>-195634</v>
      </c>
      <c r="AN20" s="1200">
        <f t="shared" si="11"/>
        <v>-27949</v>
      </c>
      <c r="AO20" s="1200">
        <f t="shared" si="11"/>
        <v>-223583</v>
      </c>
      <c r="AP20" s="1205">
        <f t="shared" si="11"/>
        <v>17980280</v>
      </c>
      <c r="AQ20" s="1200">
        <f t="shared" si="11"/>
        <v>-3309</v>
      </c>
      <c r="AR20" s="1205">
        <f t="shared" si="11"/>
        <v>17976971</v>
      </c>
      <c r="AS20" s="1200">
        <f t="shared" si="11"/>
        <v>11938306</v>
      </c>
      <c r="AT20" s="1200">
        <f t="shared" si="11"/>
        <v>6038665</v>
      </c>
      <c r="AU20" s="1205">
        <f t="shared" si="11"/>
        <v>1509666</v>
      </c>
    </row>
    <row r="21" spans="1:47" s="1132" customFormat="1" ht="16.149999999999999" hidden="1" customHeight="1" thickTop="1" x14ac:dyDescent="0.2">
      <c r="A21" s="1125"/>
      <c r="B21" s="1125"/>
      <c r="C21" s="1126"/>
      <c r="D21" s="1127"/>
      <c r="E21" s="1128"/>
      <c r="F21" s="1129"/>
      <c r="G21" s="1129"/>
      <c r="H21" s="1129"/>
      <c r="I21" s="1129"/>
      <c r="J21" s="1129"/>
      <c r="K21" s="1129"/>
      <c r="L21" s="1129"/>
      <c r="M21" s="1129"/>
      <c r="N21" s="1129"/>
      <c r="O21" s="1129">
        <f>-O20</f>
        <v>126687</v>
      </c>
      <c r="P21" s="1129">
        <f>-P20</f>
        <v>18097</v>
      </c>
      <c r="Q21" s="1129" t="s">
        <v>1046</v>
      </c>
      <c r="R21" s="1129"/>
      <c r="S21" s="1129"/>
      <c r="T21" s="1129"/>
      <c r="U21" s="1129"/>
      <c r="V21" s="1129"/>
      <c r="W21" s="1129"/>
      <c r="X21" s="1129"/>
      <c r="Y21" s="1129"/>
      <c r="Z21" s="1129"/>
      <c r="AA21" s="1129"/>
      <c r="AB21" s="1129"/>
      <c r="AC21" s="1129"/>
      <c r="AD21" s="1129"/>
      <c r="AE21" s="1129"/>
      <c r="AF21" s="1129"/>
      <c r="AG21" s="1130"/>
      <c r="AH21" s="1129"/>
      <c r="AI21" s="1131"/>
      <c r="AJ21" s="1129"/>
      <c r="AK21" s="1129"/>
      <c r="AL21" s="1129"/>
      <c r="AM21" s="1129">
        <f>-AM20</f>
        <v>195634</v>
      </c>
      <c r="AN21" s="1129">
        <f>-AN20</f>
        <v>27949</v>
      </c>
      <c r="AO21" s="1129" t="s">
        <v>1046</v>
      </c>
      <c r="AP21" s="1129"/>
      <c r="AQ21" s="1129"/>
      <c r="AR21" s="1129"/>
      <c r="AS21" s="1129"/>
      <c r="AT21" s="1129"/>
      <c r="AU21" s="1129"/>
    </row>
    <row r="22" spans="1:47" s="1132" customFormat="1" ht="16.149999999999999" hidden="1" customHeight="1" x14ac:dyDescent="0.2">
      <c r="A22" s="1125"/>
      <c r="B22" s="1125"/>
      <c r="C22" s="1126"/>
      <c r="D22" s="1127"/>
      <c r="E22" s="1128"/>
      <c r="F22" s="1129"/>
      <c r="G22" s="1129"/>
      <c r="H22" s="1129"/>
      <c r="I22" s="1129"/>
      <c r="J22" s="1129"/>
      <c r="K22" s="1129"/>
      <c r="L22" s="1129"/>
      <c r="M22" s="1129"/>
      <c r="N22" s="1129"/>
      <c r="O22" s="1133">
        <v>132843</v>
      </c>
      <c r="P22" s="1133">
        <v>18977</v>
      </c>
      <c r="Q22" s="1134" t="s">
        <v>1323</v>
      </c>
      <c r="R22" s="1129"/>
      <c r="S22" s="1129"/>
      <c r="T22" s="1129"/>
      <c r="U22" s="1129"/>
      <c r="V22" s="1129"/>
      <c r="W22" s="1129"/>
      <c r="X22" s="1129"/>
      <c r="Y22" s="1129"/>
      <c r="Z22" s="1129"/>
      <c r="AA22" s="1129"/>
      <c r="AB22" s="1129"/>
      <c r="AC22" s="1129"/>
      <c r="AD22" s="1129"/>
      <c r="AE22" s="1129"/>
      <c r="AF22" s="1129"/>
      <c r="AG22" s="1130"/>
      <c r="AH22" s="1129"/>
      <c r="AI22" s="1131"/>
      <c r="AJ22" s="1129"/>
      <c r="AK22" s="1129"/>
      <c r="AL22" s="1129"/>
      <c r="AM22" s="1133">
        <v>196339</v>
      </c>
      <c r="AN22" s="1133">
        <v>28048</v>
      </c>
      <c r="AO22" s="1134" t="s">
        <v>1323</v>
      </c>
      <c r="AP22" s="1129"/>
      <c r="AQ22" s="1129"/>
      <c r="AR22" s="1129"/>
      <c r="AS22" s="1129"/>
      <c r="AT22" s="1129"/>
      <c r="AU22" s="1129"/>
    </row>
    <row r="23" spans="1:47" s="1132" customFormat="1" ht="16.149999999999999" hidden="1" customHeight="1" x14ac:dyDescent="0.2">
      <c r="A23" s="1125"/>
      <c r="B23" s="1125"/>
      <c r="C23" s="1126"/>
      <c r="D23" s="1127"/>
      <c r="E23" s="1128"/>
      <c r="F23" s="1129"/>
      <c r="G23" s="1129"/>
      <c r="H23" s="1129"/>
      <c r="I23" s="1129"/>
      <c r="J23" s="1133"/>
      <c r="K23" s="1129"/>
      <c r="L23" s="1129"/>
      <c r="M23" s="1129"/>
      <c r="N23" s="1129"/>
      <c r="O23" s="1133">
        <f>O21-O22</f>
        <v>-6156</v>
      </c>
      <c r="P23" s="1133">
        <f>P21-P22</f>
        <v>-880</v>
      </c>
      <c r="Q23" s="1134" t="s">
        <v>348</v>
      </c>
      <c r="R23" s="1129"/>
      <c r="S23" s="1129"/>
      <c r="T23" s="1129"/>
      <c r="U23" s="1129"/>
      <c r="V23" s="1129"/>
      <c r="W23" s="1129"/>
      <c r="X23" s="1129"/>
      <c r="Y23" s="1129"/>
      <c r="Z23" s="1129"/>
      <c r="AA23" s="1129"/>
      <c r="AB23" s="1129"/>
      <c r="AC23" s="1129"/>
      <c r="AD23" s="1129"/>
      <c r="AE23" s="1129"/>
      <c r="AF23" s="1129"/>
      <c r="AG23" s="1130"/>
      <c r="AH23" s="1129"/>
      <c r="AI23" s="1131"/>
      <c r="AJ23" s="1129"/>
      <c r="AK23" s="1129"/>
      <c r="AL23" s="1129"/>
      <c r="AM23" s="1133">
        <f>AM21-AM22</f>
        <v>-705</v>
      </c>
      <c r="AN23" s="1133">
        <f>AN21-AN22</f>
        <v>-99</v>
      </c>
      <c r="AO23" s="1134" t="s">
        <v>347</v>
      </c>
      <c r="AP23" s="1129"/>
      <c r="AQ23" s="1129"/>
      <c r="AR23" s="1129"/>
      <c r="AS23" s="1129"/>
      <c r="AT23" s="1129"/>
      <c r="AU23" s="1129"/>
    </row>
    <row r="24" spans="1:47" s="19" customFormat="1" ht="13.5" thickTop="1" x14ac:dyDescent="0.2">
      <c r="A24" s="592"/>
      <c r="B24" s="592"/>
      <c r="C24" s="1123"/>
      <c r="D24" s="1123"/>
      <c r="E24" s="1123"/>
      <c r="F24" s="1123"/>
      <c r="G24" s="1123"/>
      <c r="H24" s="1123"/>
      <c r="I24" s="1123"/>
      <c r="J24" s="1123"/>
      <c r="K24" s="1124"/>
      <c r="L24" s="1124"/>
      <c r="M24" s="1124"/>
      <c r="N24" s="1124"/>
      <c r="O24" s="1124"/>
      <c r="P24" s="1124"/>
      <c r="Q24" s="1124"/>
      <c r="R24" s="1124"/>
      <c r="S24" s="1123"/>
      <c r="T24" s="1124"/>
      <c r="U24" s="1124"/>
      <c r="V24" s="1124"/>
      <c r="W24" s="1124"/>
      <c r="X24" s="1124"/>
      <c r="Y24" s="1124"/>
      <c r="Z24" s="1123">
        <v>4</v>
      </c>
      <c r="AA24" s="1123"/>
      <c r="AB24" s="1123"/>
      <c r="AC24" s="1123"/>
      <c r="AD24" s="1123"/>
      <c r="AE24" s="1123"/>
      <c r="AF24" s="1123"/>
      <c r="AG24" s="1123"/>
      <c r="AH24" s="1123"/>
      <c r="AI24" s="1123"/>
      <c r="AJ24" s="1123"/>
      <c r="AK24" s="1123"/>
      <c r="AL24" s="1123"/>
      <c r="AM24" s="1123"/>
      <c r="AN24" s="1123"/>
      <c r="AO24" s="1123"/>
      <c r="AP24" s="1123"/>
      <c r="AQ24" s="1123"/>
      <c r="AR24" s="1123"/>
      <c r="AS24" s="1123"/>
      <c r="AT24" s="1123"/>
      <c r="AU24" s="1123">
        <f>Z24</f>
        <v>4</v>
      </c>
    </row>
  </sheetData>
  <sheetProtection password="D893" sheet="1" objects="1" scenarios="1"/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P1:AU1"/>
    <mergeCell ref="A1:C3"/>
    <mergeCell ref="AG2:AK2"/>
    <mergeCell ref="K2:M2"/>
    <mergeCell ref="U2:V2"/>
    <mergeCell ref="AA2:AC2"/>
    <mergeCell ref="S1:AD1"/>
    <mergeCell ref="D1:R1"/>
    <mergeCell ref="AE1:AO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&amp;L&amp;"Arial,Bold"&amp;18&amp;K000000FY2020-21 Budget Letter
March 2021&amp;R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5"/>
  <sheetViews>
    <sheetView zoomScaleNormal="100" zoomScaleSheetLayoutView="100" workbookViewId="0">
      <pane xSplit="4" ySplit="6" topLeftCell="E7" activePane="bottomRight" state="frozen"/>
      <selection activeCell="C7" sqref="C7"/>
      <selection pane="topRight" activeCell="C7" sqref="C7"/>
      <selection pane="bottomLeft" activeCell="C7" sqref="C7"/>
      <selection pane="bottomRight" activeCell="E7" sqref="E7"/>
    </sheetView>
  </sheetViews>
  <sheetFormatPr defaultColWidth="8.85546875" defaultRowHeight="12.75" x14ac:dyDescent="0.2"/>
  <cols>
    <col min="1" max="1" width="8.5703125" style="14" bestFit="1" customWidth="1"/>
    <col min="2" max="2" width="8.5703125" style="14" hidden="1" customWidth="1"/>
    <col min="3" max="3" width="8" style="14" hidden="1" customWidth="1"/>
    <col min="4" max="4" width="35.140625" style="8" customWidth="1"/>
    <col min="5" max="5" width="14.7109375" style="8" customWidth="1"/>
    <col min="6" max="6" width="7.28515625" style="8" customWidth="1"/>
    <col min="7" max="7" width="14.7109375" style="8" customWidth="1"/>
    <col min="8" max="8" width="10.7109375" style="8" customWidth="1"/>
    <col min="9" max="9" width="7.28515625" style="8" customWidth="1"/>
    <col min="10" max="10" width="13.28515625" style="8" customWidth="1"/>
    <col min="11" max="11" width="10.7109375" style="8" customWidth="1"/>
    <col min="12" max="12" width="7.28515625" style="8" customWidth="1"/>
    <col min="13" max="13" width="13.28515625" style="8" customWidth="1"/>
    <col min="14" max="14" width="10.7109375" style="8" customWidth="1"/>
    <col min="15" max="15" width="7.28515625" style="8" customWidth="1"/>
    <col min="16" max="16" width="13.28515625" style="8" customWidth="1"/>
    <col min="17" max="17" width="10.7109375" style="8" customWidth="1"/>
    <col min="18" max="18" width="7.28515625" style="8" customWidth="1"/>
    <col min="19" max="20" width="13.28515625" style="8" customWidth="1"/>
    <col min="21" max="21" width="15.140625" style="8" customWidth="1"/>
    <col min="22" max="24" width="14.85546875" style="8" customWidth="1"/>
    <col min="25" max="25" width="15.42578125" style="8" customWidth="1"/>
    <col min="26" max="26" width="12.85546875" style="8" customWidth="1"/>
    <col min="27" max="28" width="15.42578125" style="8" customWidth="1"/>
    <col min="29" max="29" width="13.42578125" style="8" customWidth="1"/>
    <col min="30" max="30" width="17.7109375" style="8" customWidth="1"/>
    <col min="31" max="33" width="13.28515625" style="8" customWidth="1"/>
    <col min="34" max="34" width="12.28515625" style="8" customWidth="1"/>
    <col min="35" max="35" width="16.42578125" style="8" bestFit="1" customWidth="1"/>
    <col min="36" max="37" width="14.85546875" style="8" bestFit="1" customWidth="1"/>
    <col min="38" max="42" width="12.85546875" style="8" customWidth="1"/>
    <col min="43" max="43" width="14.85546875" style="8" bestFit="1" customWidth="1"/>
    <col min="44" max="44" width="12.140625" style="8" customWidth="1"/>
    <col min="45" max="45" width="14.85546875" style="8" bestFit="1" customWidth="1"/>
    <col min="46" max="46" width="12.140625" style="8" bestFit="1" customWidth="1"/>
    <col min="47" max="47" width="14.85546875" style="8" bestFit="1" customWidth="1"/>
    <col min="48" max="49" width="13" style="8" customWidth="1"/>
    <col min="50" max="50" width="14.85546875" style="8" bestFit="1" customWidth="1"/>
    <col min="51" max="16384" width="8.85546875" style="8"/>
  </cols>
  <sheetData>
    <row r="1" spans="1:50" ht="21" customHeight="1" x14ac:dyDescent="0.2">
      <c r="A1" s="1476" t="s">
        <v>380</v>
      </c>
      <c r="B1" s="1476"/>
      <c r="C1" s="1476"/>
      <c r="D1" s="1477"/>
      <c r="E1" s="1484" t="s">
        <v>291</v>
      </c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6"/>
      <c r="V1" s="1484" t="s">
        <v>291</v>
      </c>
      <c r="W1" s="1485"/>
      <c r="X1" s="1485"/>
      <c r="Y1" s="1485"/>
      <c r="Z1" s="1485"/>
      <c r="AA1" s="1485"/>
      <c r="AB1" s="1485"/>
      <c r="AC1" s="1485"/>
      <c r="AD1" s="1485"/>
      <c r="AE1" s="1485"/>
      <c r="AF1" s="1485"/>
      <c r="AG1" s="1485"/>
      <c r="AH1" s="1485"/>
      <c r="AI1" s="1486"/>
      <c r="AJ1" s="1481" t="s">
        <v>358</v>
      </c>
      <c r="AK1" s="1482"/>
      <c r="AL1" s="1482"/>
      <c r="AM1" s="1482"/>
      <c r="AN1" s="1482"/>
      <c r="AO1" s="1482"/>
      <c r="AP1" s="1482"/>
      <c r="AQ1" s="1482"/>
      <c r="AR1" s="1482"/>
      <c r="AS1" s="1482"/>
      <c r="AT1" s="1482"/>
      <c r="AU1" s="1482"/>
      <c r="AV1" s="1482"/>
      <c r="AW1" s="1482"/>
      <c r="AX1" s="1483"/>
    </row>
    <row r="2" spans="1:50" ht="18.75" customHeight="1" x14ac:dyDescent="0.2">
      <c r="A2" s="1477"/>
      <c r="B2" s="1477"/>
      <c r="C2" s="1477"/>
      <c r="D2" s="1477"/>
      <c r="E2" s="1475" t="s">
        <v>1286</v>
      </c>
      <c r="F2" s="1478" t="s">
        <v>502</v>
      </c>
      <c r="G2" s="1478"/>
      <c r="H2" s="1478" t="s">
        <v>902</v>
      </c>
      <c r="I2" s="1478"/>
      <c r="J2" s="1478"/>
      <c r="K2" s="1478" t="s">
        <v>899</v>
      </c>
      <c r="L2" s="1478"/>
      <c r="M2" s="1478"/>
      <c r="N2" s="1478" t="s">
        <v>900</v>
      </c>
      <c r="O2" s="1478"/>
      <c r="P2" s="1478"/>
      <c r="Q2" s="1478" t="s">
        <v>901</v>
      </c>
      <c r="R2" s="1478"/>
      <c r="S2" s="1478"/>
      <c r="T2" s="1479" t="s">
        <v>1107</v>
      </c>
      <c r="U2" s="1475" t="s">
        <v>394</v>
      </c>
      <c r="V2" s="1406" t="s">
        <v>223</v>
      </c>
      <c r="W2" s="1406"/>
      <c r="X2" s="1406"/>
      <c r="Y2" s="1475" t="s">
        <v>395</v>
      </c>
      <c r="Z2" s="1475" t="s">
        <v>946</v>
      </c>
      <c r="AA2" s="1475" t="s">
        <v>396</v>
      </c>
      <c r="AB2" s="1406" t="s">
        <v>1292</v>
      </c>
      <c r="AC2" s="1390" t="s">
        <v>1211</v>
      </c>
      <c r="AD2" s="1475" t="s">
        <v>908</v>
      </c>
      <c r="AE2" s="1475" t="s">
        <v>1367</v>
      </c>
      <c r="AF2" s="1475" t="s">
        <v>258</v>
      </c>
      <c r="AG2" s="1475" t="s">
        <v>225</v>
      </c>
      <c r="AH2" s="1487" t="s">
        <v>1212</v>
      </c>
      <c r="AI2" s="1475" t="s">
        <v>909</v>
      </c>
      <c r="AJ2" s="1480" t="s">
        <v>1418</v>
      </c>
      <c r="AK2" s="1480" t="s">
        <v>303</v>
      </c>
      <c r="AL2" s="1468" t="s">
        <v>223</v>
      </c>
      <c r="AM2" s="1468"/>
      <c r="AN2" s="1468"/>
      <c r="AO2" s="1468"/>
      <c r="AP2" s="1468"/>
      <c r="AQ2" s="1480" t="s">
        <v>377</v>
      </c>
      <c r="AR2" s="1480" t="s">
        <v>940</v>
      </c>
      <c r="AS2" s="1480" t="s">
        <v>378</v>
      </c>
      <c r="AT2" s="1406" t="s">
        <v>1292</v>
      </c>
      <c r="AU2" s="1480" t="s">
        <v>379</v>
      </c>
      <c r="AV2" s="1480" t="s">
        <v>1361</v>
      </c>
      <c r="AW2" s="1480" t="s">
        <v>258</v>
      </c>
      <c r="AX2" s="1480" t="s">
        <v>1362</v>
      </c>
    </row>
    <row r="3" spans="1:50" ht="108.75" customHeight="1" x14ac:dyDescent="0.2">
      <c r="A3" s="1477"/>
      <c r="B3" s="1477"/>
      <c r="C3" s="1477"/>
      <c r="D3" s="1477"/>
      <c r="E3" s="1475"/>
      <c r="F3" s="674" t="s">
        <v>372</v>
      </c>
      <c r="G3" s="674" t="s">
        <v>505</v>
      </c>
      <c r="H3" s="674" t="s">
        <v>1287</v>
      </c>
      <c r="I3" s="674" t="s">
        <v>372</v>
      </c>
      <c r="J3" s="674" t="s">
        <v>300</v>
      </c>
      <c r="K3" s="674" t="s">
        <v>1442</v>
      </c>
      <c r="L3" s="674" t="s">
        <v>372</v>
      </c>
      <c r="M3" s="674" t="s">
        <v>300</v>
      </c>
      <c r="N3" s="674" t="s">
        <v>1289</v>
      </c>
      <c r="O3" s="674" t="s">
        <v>372</v>
      </c>
      <c r="P3" s="674" t="s">
        <v>300</v>
      </c>
      <c r="Q3" s="674" t="s">
        <v>1289</v>
      </c>
      <c r="R3" s="674" t="s">
        <v>372</v>
      </c>
      <c r="S3" s="674" t="s">
        <v>300</v>
      </c>
      <c r="T3" s="1479"/>
      <c r="U3" s="1475"/>
      <c r="V3" s="587" t="s">
        <v>1290</v>
      </c>
      <c r="W3" s="587" t="s">
        <v>1291</v>
      </c>
      <c r="X3" s="587" t="s">
        <v>224</v>
      </c>
      <c r="Y3" s="1475"/>
      <c r="Z3" s="1475"/>
      <c r="AA3" s="1475"/>
      <c r="AB3" s="1406"/>
      <c r="AC3" s="1391"/>
      <c r="AD3" s="1475"/>
      <c r="AE3" s="1475"/>
      <c r="AF3" s="1475"/>
      <c r="AG3" s="1475"/>
      <c r="AH3" s="1487"/>
      <c r="AI3" s="1475"/>
      <c r="AJ3" s="1480"/>
      <c r="AK3" s="1480"/>
      <c r="AL3" s="587" t="s">
        <v>1293</v>
      </c>
      <c r="AM3" s="587" t="s">
        <v>1294</v>
      </c>
      <c r="AN3" s="587" t="s">
        <v>1295</v>
      </c>
      <c r="AO3" s="587" t="s">
        <v>1365</v>
      </c>
      <c r="AP3" s="587" t="s">
        <v>224</v>
      </c>
      <c r="AQ3" s="1480"/>
      <c r="AR3" s="1480"/>
      <c r="AS3" s="1480"/>
      <c r="AT3" s="1406"/>
      <c r="AU3" s="1480"/>
      <c r="AV3" s="1480"/>
      <c r="AW3" s="1480"/>
      <c r="AX3" s="1480"/>
    </row>
    <row r="4" spans="1:50" ht="14.25" customHeight="1" x14ac:dyDescent="0.2">
      <c r="A4" s="680"/>
      <c r="B4" s="681"/>
      <c r="C4" s="681"/>
      <c r="D4" s="678"/>
      <c r="E4" s="675">
        <v>1</v>
      </c>
      <c r="F4" s="675">
        <f t="shared" ref="F4:AB4" si="0">E4+1</f>
        <v>2</v>
      </c>
      <c r="G4" s="675">
        <f t="shared" si="0"/>
        <v>3</v>
      </c>
      <c r="H4" s="675">
        <f t="shared" si="0"/>
        <v>4</v>
      </c>
      <c r="I4" s="675">
        <f t="shared" si="0"/>
        <v>5</v>
      </c>
      <c r="J4" s="675">
        <f t="shared" si="0"/>
        <v>6</v>
      </c>
      <c r="K4" s="675">
        <f t="shared" si="0"/>
        <v>7</v>
      </c>
      <c r="L4" s="675">
        <f t="shared" si="0"/>
        <v>8</v>
      </c>
      <c r="M4" s="675">
        <f t="shared" si="0"/>
        <v>9</v>
      </c>
      <c r="N4" s="675">
        <f t="shared" si="0"/>
        <v>10</v>
      </c>
      <c r="O4" s="675">
        <f t="shared" si="0"/>
        <v>11</v>
      </c>
      <c r="P4" s="675">
        <f t="shared" si="0"/>
        <v>12</v>
      </c>
      <c r="Q4" s="675">
        <f t="shared" si="0"/>
        <v>13</v>
      </c>
      <c r="R4" s="675">
        <f t="shared" si="0"/>
        <v>14</v>
      </c>
      <c r="S4" s="675">
        <f t="shared" si="0"/>
        <v>15</v>
      </c>
      <c r="T4" s="767" t="s">
        <v>1149</v>
      </c>
      <c r="U4" s="675">
        <f>S4+1</f>
        <v>16</v>
      </c>
      <c r="V4" s="675">
        <f t="shared" si="0"/>
        <v>17</v>
      </c>
      <c r="W4" s="675">
        <f t="shared" si="0"/>
        <v>18</v>
      </c>
      <c r="X4" s="675">
        <f t="shared" si="0"/>
        <v>19</v>
      </c>
      <c r="Y4" s="675">
        <f t="shared" si="0"/>
        <v>20</v>
      </c>
      <c r="Z4" s="675">
        <f t="shared" si="0"/>
        <v>21</v>
      </c>
      <c r="AA4" s="675">
        <f t="shared" si="0"/>
        <v>22</v>
      </c>
      <c r="AB4" s="675">
        <f t="shared" si="0"/>
        <v>23</v>
      </c>
      <c r="AC4" s="675" t="s">
        <v>797</v>
      </c>
      <c r="AD4" s="675">
        <v>24</v>
      </c>
      <c r="AE4" s="675">
        <f>AD4+1</f>
        <v>25</v>
      </c>
      <c r="AF4" s="675">
        <f>AE4+1</f>
        <v>26</v>
      </c>
      <c r="AG4" s="675">
        <f>AF4+1</f>
        <v>27</v>
      </c>
      <c r="AH4" s="675" t="s">
        <v>798</v>
      </c>
      <c r="AI4" s="675">
        <v>28</v>
      </c>
      <c r="AJ4" s="675">
        <f t="shared" ref="AJ4:AX4" si="1">AI4+1</f>
        <v>29</v>
      </c>
      <c r="AK4" s="675">
        <f t="shared" si="1"/>
        <v>30</v>
      </c>
      <c r="AL4" s="675">
        <f t="shared" si="1"/>
        <v>31</v>
      </c>
      <c r="AM4" s="675">
        <f t="shared" si="1"/>
        <v>32</v>
      </c>
      <c r="AN4" s="675">
        <f t="shared" si="1"/>
        <v>33</v>
      </c>
      <c r="AO4" s="675">
        <f t="shared" si="1"/>
        <v>34</v>
      </c>
      <c r="AP4" s="675">
        <f t="shared" si="1"/>
        <v>35</v>
      </c>
      <c r="AQ4" s="675">
        <f t="shared" si="1"/>
        <v>36</v>
      </c>
      <c r="AR4" s="675">
        <f t="shared" si="1"/>
        <v>37</v>
      </c>
      <c r="AS4" s="675">
        <f t="shared" si="1"/>
        <v>38</v>
      </c>
      <c r="AT4" s="675">
        <f t="shared" si="1"/>
        <v>39</v>
      </c>
      <c r="AU4" s="675">
        <f t="shared" si="1"/>
        <v>40</v>
      </c>
      <c r="AV4" s="675">
        <f t="shared" si="1"/>
        <v>41</v>
      </c>
      <c r="AW4" s="675">
        <f t="shared" si="1"/>
        <v>42</v>
      </c>
      <c r="AX4" s="675">
        <f t="shared" si="1"/>
        <v>43</v>
      </c>
    </row>
    <row r="5" spans="1:50" s="438" customFormat="1" ht="35.25" customHeight="1" x14ac:dyDescent="0.2">
      <c r="A5" s="682"/>
      <c r="B5" s="683"/>
      <c r="C5" s="683"/>
      <c r="D5" s="694"/>
      <c r="E5" s="676" t="s">
        <v>760</v>
      </c>
      <c r="F5" s="539" t="s">
        <v>1433</v>
      </c>
      <c r="G5" s="539" t="s">
        <v>761</v>
      </c>
      <c r="H5" s="676" t="s">
        <v>898</v>
      </c>
      <c r="I5" s="676" t="s">
        <v>1428</v>
      </c>
      <c r="J5" s="676" t="s">
        <v>803</v>
      </c>
      <c r="K5" s="676" t="s">
        <v>897</v>
      </c>
      <c r="L5" s="676" t="s">
        <v>1429</v>
      </c>
      <c r="M5" s="676" t="s">
        <v>804</v>
      </c>
      <c r="N5" s="676" t="s">
        <v>895</v>
      </c>
      <c r="O5" s="676" t="s">
        <v>1430</v>
      </c>
      <c r="P5" s="676" t="s">
        <v>805</v>
      </c>
      <c r="Q5" s="676" t="s">
        <v>896</v>
      </c>
      <c r="R5" s="676" t="s">
        <v>1431</v>
      </c>
      <c r="S5" s="676" t="s">
        <v>806</v>
      </c>
      <c r="T5" s="765" t="s">
        <v>1108</v>
      </c>
      <c r="U5" s="676" t="s">
        <v>1150</v>
      </c>
      <c r="V5" s="676" t="s">
        <v>889</v>
      </c>
      <c r="W5" s="676" t="s">
        <v>890</v>
      </c>
      <c r="X5" s="676" t="s">
        <v>807</v>
      </c>
      <c r="Y5" s="676" t="s">
        <v>808</v>
      </c>
      <c r="Z5" s="676" t="s">
        <v>809</v>
      </c>
      <c r="AA5" s="676" t="s">
        <v>810</v>
      </c>
      <c r="AB5" s="676" t="s">
        <v>765</v>
      </c>
      <c r="AC5" s="676" t="s">
        <v>1043</v>
      </c>
      <c r="AD5" s="676" t="s">
        <v>935</v>
      </c>
      <c r="AE5" s="676" t="s">
        <v>936</v>
      </c>
      <c r="AF5" s="676" t="s">
        <v>811</v>
      </c>
      <c r="AG5" s="676" t="s">
        <v>937</v>
      </c>
      <c r="AH5" s="676" t="s">
        <v>1044</v>
      </c>
      <c r="AI5" s="676" t="s">
        <v>938</v>
      </c>
      <c r="AJ5" s="676" t="s">
        <v>1434</v>
      </c>
      <c r="AK5" s="676" t="s">
        <v>812</v>
      </c>
      <c r="AL5" s="676" t="s">
        <v>889</v>
      </c>
      <c r="AM5" s="676" t="s">
        <v>813</v>
      </c>
      <c r="AN5" s="676" t="s">
        <v>890</v>
      </c>
      <c r="AO5" s="676" t="s">
        <v>814</v>
      </c>
      <c r="AP5" s="676" t="s">
        <v>815</v>
      </c>
      <c r="AQ5" s="676" t="s">
        <v>816</v>
      </c>
      <c r="AR5" s="676" t="s">
        <v>817</v>
      </c>
      <c r="AS5" s="676" t="s">
        <v>818</v>
      </c>
      <c r="AT5" s="676" t="s">
        <v>765</v>
      </c>
      <c r="AU5" s="676" t="s">
        <v>795</v>
      </c>
      <c r="AV5" s="676" t="s">
        <v>931</v>
      </c>
      <c r="AW5" s="676" t="s">
        <v>796</v>
      </c>
      <c r="AX5" s="676" t="s">
        <v>939</v>
      </c>
    </row>
    <row r="6" spans="1:50" s="438" customFormat="1" ht="11.25" hidden="1" customHeight="1" x14ac:dyDescent="0.2">
      <c r="A6" s="677"/>
      <c r="B6" s="677"/>
      <c r="C6" s="770"/>
      <c r="D6" s="679"/>
      <c r="E6" s="651" t="s">
        <v>554</v>
      </c>
      <c r="F6" s="651"/>
      <c r="G6" s="651" t="s">
        <v>554</v>
      </c>
      <c r="H6" s="651" t="s">
        <v>554</v>
      </c>
      <c r="I6" s="651"/>
      <c r="J6" s="651" t="s">
        <v>554</v>
      </c>
      <c r="K6" s="651" t="s">
        <v>554</v>
      </c>
      <c r="L6" s="651"/>
      <c r="M6" s="651" t="s">
        <v>554</v>
      </c>
      <c r="N6" s="651" t="s">
        <v>554</v>
      </c>
      <c r="O6" s="651"/>
      <c r="P6" s="651" t="s">
        <v>554</v>
      </c>
      <c r="Q6" s="651" t="s">
        <v>554</v>
      </c>
      <c r="R6" s="651"/>
      <c r="S6" s="651" t="s">
        <v>554</v>
      </c>
      <c r="T6" s="765"/>
      <c r="U6" s="651" t="s">
        <v>554</v>
      </c>
      <c r="V6" s="651" t="s">
        <v>554</v>
      </c>
      <c r="W6" s="651" t="s">
        <v>554</v>
      </c>
      <c r="X6" s="651" t="s">
        <v>554</v>
      </c>
      <c r="Y6" s="651" t="s">
        <v>554</v>
      </c>
      <c r="Z6" s="651" t="s">
        <v>554</v>
      </c>
      <c r="AA6" s="651" t="s">
        <v>554</v>
      </c>
      <c r="AB6" s="651" t="s">
        <v>554</v>
      </c>
      <c r="AC6" s="651" t="s">
        <v>554</v>
      </c>
      <c r="AD6" s="651" t="s">
        <v>554</v>
      </c>
      <c r="AE6" s="651" t="s">
        <v>554</v>
      </c>
      <c r="AF6" s="651" t="s">
        <v>554</v>
      </c>
      <c r="AG6" s="651" t="s">
        <v>554</v>
      </c>
      <c r="AH6" s="651" t="s">
        <v>554</v>
      </c>
      <c r="AI6" s="651" t="s">
        <v>554</v>
      </c>
      <c r="AJ6" s="651"/>
      <c r="AK6" s="651" t="s">
        <v>554</v>
      </c>
      <c r="AL6" s="651" t="s">
        <v>554</v>
      </c>
      <c r="AM6" s="651" t="s">
        <v>554</v>
      </c>
      <c r="AN6" s="651" t="s">
        <v>554</v>
      </c>
      <c r="AO6" s="651" t="s">
        <v>554</v>
      </c>
      <c r="AP6" s="651" t="s">
        <v>554</v>
      </c>
      <c r="AQ6" s="651" t="s">
        <v>554</v>
      </c>
      <c r="AR6" s="651" t="s">
        <v>554</v>
      </c>
      <c r="AS6" s="651" t="s">
        <v>554</v>
      </c>
      <c r="AT6" s="651" t="s">
        <v>554</v>
      </c>
      <c r="AU6" s="651" t="s">
        <v>554</v>
      </c>
      <c r="AV6" s="651" t="s">
        <v>554</v>
      </c>
      <c r="AW6" s="651" t="s">
        <v>554</v>
      </c>
      <c r="AX6" s="651" t="s">
        <v>554</v>
      </c>
    </row>
    <row r="7" spans="1:50" ht="15.75" customHeight="1" x14ac:dyDescent="0.2">
      <c r="A7" s="687">
        <v>341001</v>
      </c>
      <c r="B7" s="688"/>
      <c r="C7" s="771"/>
      <c r="D7" s="689" t="s">
        <v>244</v>
      </c>
      <c r="E7" s="684">
        <f>'5C1B_DArbonne'!$C$84</f>
        <v>973</v>
      </c>
      <c r="F7" s="117"/>
      <c r="G7" s="118">
        <f>'5C1B_DArbonne'!$E$84</f>
        <v>4949132.015853947</v>
      </c>
      <c r="H7" s="119">
        <f>'5C1B_DArbonne'!$F$84</f>
        <v>544</v>
      </c>
      <c r="I7" s="117"/>
      <c r="J7" s="118">
        <f>'5C1B_DArbonne'!$H$84</f>
        <v>368914.60492495762</v>
      </c>
      <c r="K7" s="1106">
        <f>'5C1B_DArbonne'!$I$84</f>
        <v>599</v>
      </c>
      <c r="L7" s="117"/>
      <c r="M7" s="118">
        <f>'5C1B_DArbonne'!$K$84</f>
        <v>110685.57457559937</v>
      </c>
      <c r="N7" s="119">
        <f>'5C1B_DArbonne'!$L$84</f>
        <v>103</v>
      </c>
      <c r="O7" s="117"/>
      <c r="P7" s="118">
        <f>'5C1B_DArbonne'!$N$84</f>
        <v>473174.53257059766</v>
      </c>
      <c r="Q7" s="119">
        <f>'5C1B_DArbonne'!$O$84</f>
        <v>28</v>
      </c>
      <c r="R7" s="117"/>
      <c r="S7" s="118">
        <f>'5C1B_DArbonne'!$Q$84</f>
        <v>52127.097134822761</v>
      </c>
      <c r="T7" s="851">
        <f>'5C1B_DArbonne'!$R$77</f>
        <v>106488</v>
      </c>
      <c r="U7" s="120">
        <f>'5C1B_DArbonne'!$R$84</f>
        <v>6060522</v>
      </c>
      <c r="V7" s="117">
        <f>'5C1B_DArbonne'!$S$84</f>
        <v>-91803</v>
      </c>
      <c r="W7" s="117">
        <f>'5C1B_DArbonne'!$T$84</f>
        <v>-58584</v>
      </c>
      <c r="X7" s="121">
        <f>'5C1B_DArbonne'!$U$84</f>
        <v>-150387</v>
      </c>
      <c r="Y7" s="120">
        <f>'5C1B_DArbonne'!$V$84</f>
        <v>5910135</v>
      </c>
      <c r="Z7" s="118">
        <f>'5C1B_DArbonne'!$W$84</f>
        <v>-14775</v>
      </c>
      <c r="AA7" s="120">
        <f>'5C1B_DArbonne'!$X$84</f>
        <v>5895360</v>
      </c>
      <c r="AB7" s="117">
        <f>'5C1B_DArbonne'!$Y$84</f>
        <v>0</v>
      </c>
      <c r="AC7" s="132">
        <f>('5C1B_DArbonne'!$Z$79+'5C1B_DArbonne'!$Z$83)</f>
        <v>24544</v>
      </c>
      <c r="AD7" s="120">
        <f>'5C1B_DArbonne'!$Z$84</f>
        <v>5919904</v>
      </c>
      <c r="AE7" s="117">
        <f>'5C1B_DArbonne'!$AA$84</f>
        <v>4015470</v>
      </c>
      <c r="AF7" s="117">
        <f>'5C1B_DArbonne'!$AB$84</f>
        <v>1904434</v>
      </c>
      <c r="AG7" s="120">
        <f>'5C1B_DArbonne'!$AC$84</f>
        <v>476110</v>
      </c>
      <c r="AH7" s="132">
        <f>('5C1B_DArbonne'!$AD$80+'5C1B_DArbonne'!$AD$81+'5C1B_DArbonne'!$AD$82)</f>
        <v>48200</v>
      </c>
      <c r="AI7" s="122">
        <f>'5C1B_DArbonne'!$AD$84</f>
        <v>5968104</v>
      </c>
      <c r="AJ7" s="123"/>
      <c r="AK7" s="124">
        <f>'5C1B_DArbonne'!$AF$84</f>
        <v>4371308</v>
      </c>
      <c r="AL7" s="116">
        <f>'5C1B_DArbonne'!$AG$84</f>
        <v>-20</v>
      </c>
      <c r="AM7" s="123">
        <f>'5C1B_DArbonne'!$AH$84</f>
        <v>-113367</v>
      </c>
      <c r="AN7" s="116">
        <f>'5C1B_DArbonne'!$AI$84</f>
        <v>-21</v>
      </c>
      <c r="AO7" s="125">
        <f>'5C1B_DArbonne'!$AJ$84</f>
        <v>-48607</v>
      </c>
      <c r="AP7" s="126">
        <f>'5C1B_DArbonne'!$AK$84</f>
        <v>-161974</v>
      </c>
      <c r="AQ7" s="124">
        <f>'5C1B_DArbonne'!$AL$84</f>
        <v>4209334</v>
      </c>
      <c r="AR7" s="127">
        <f>'5C1B_DArbonne'!$AM$84</f>
        <v>-10523</v>
      </c>
      <c r="AS7" s="124">
        <f>'5C1B_DArbonne'!$AN$84</f>
        <v>4198811</v>
      </c>
      <c r="AT7" s="125">
        <f>'5C1B_DArbonne'!$AO$84</f>
        <v>0</v>
      </c>
      <c r="AU7" s="124">
        <f>'5C1B_DArbonne'!$AP$84</f>
        <v>4198811</v>
      </c>
      <c r="AV7" s="125">
        <f>'5C1B_DArbonne'!$AQ$84</f>
        <v>2753676</v>
      </c>
      <c r="AW7" s="125">
        <f>'5C1B_DArbonne'!$AR$84</f>
        <v>1445135</v>
      </c>
      <c r="AX7" s="124">
        <f>'5C1B_DArbonne'!$AS$84</f>
        <v>361285</v>
      </c>
    </row>
    <row r="8" spans="1:50" ht="15.75" customHeight="1" x14ac:dyDescent="0.2">
      <c r="A8" s="129">
        <v>343001</v>
      </c>
      <c r="B8" s="230"/>
      <c r="C8" s="772"/>
      <c r="D8" s="690" t="s">
        <v>328</v>
      </c>
      <c r="E8" s="685">
        <f>'5C1A_Madison'!$C$84</f>
        <v>569</v>
      </c>
      <c r="F8" s="135"/>
      <c r="G8" s="136">
        <f>'5C1A_Madison'!$E$84</f>
        <v>2059319.3397775341</v>
      </c>
      <c r="H8" s="137">
        <f>'5C1A_Madison'!$F$84</f>
        <v>422</v>
      </c>
      <c r="I8" s="135"/>
      <c r="J8" s="136">
        <f>'5C1A_Madison'!$H$84</f>
        <v>192953.93389726483</v>
      </c>
      <c r="K8" s="1107">
        <f>'5C1A_Madison'!$I$84</f>
        <v>713</v>
      </c>
      <c r="L8" s="135"/>
      <c r="M8" s="136">
        <f>'5C1A_Madison'!$K$84</f>
        <v>88830.921741039987</v>
      </c>
      <c r="N8" s="137">
        <f>'5C1A_Madison'!$L$84</f>
        <v>37</v>
      </c>
      <c r="O8" s="135"/>
      <c r="P8" s="136">
        <f>'5C1A_Madison'!$N$84</f>
        <v>113892.93260630443</v>
      </c>
      <c r="Q8" s="137">
        <f>'5C1A_Madison'!$O$84</f>
        <v>0</v>
      </c>
      <c r="R8" s="135"/>
      <c r="S8" s="136">
        <f>'5C1A_Madison'!$Q$84</f>
        <v>0</v>
      </c>
      <c r="T8" s="852">
        <f>'5C1A_Madison'!$R$77</f>
        <v>57798</v>
      </c>
      <c r="U8" s="138">
        <f>'5C1A_Madison'!$R$84</f>
        <v>2512796</v>
      </c>
      <c r="V8" s="135">
        <f>'5C1A_Madison'!$S$84</f>
        <v>108768</v>
      </c>
      <c r="W8" s="135">
        <f>'5C1A_Madison'!$T$84</f>
        <v>-32094</v>
      </c>
      <c r="X8" s="139">
        <f>'5C1A_Madison'!$U$84</f>
        <v>76674</v>
      </c>
      <c r="Y8" s="138">
        <f>'5C1A_Madison'!$V$84</f>
        <v>2589470</v>
      </c>
      <c r="Z8" s="136">
        <f>'5C1A_Madison'!$W$84</f>
        <v>-6473</v>
      </c>
      <c r="AA8" s="138">
        <f>'5C1A_Madison'!$X$84</f>
        <v>2582997</v>
      </c>
      <c r="AB8" s="135">
        <f>'5C1A_Madison'!$Y$84</f>
        <v>-1801</v>
      </c>
      <c r="AC8" s="140">
        <f>('5C1A_Madison'!$Z$79+'5C1A_Madison'!$Z$83)</f>
        <v>33571</v>
      </c>
      <c r="AD8" s="138">
        <f>'5C1A_Madison'!$Z$84</f>
        <v>2614767</v>
      </c>
      <c r="AE8" s="135">
        <f>'5C1A_Madison'!$AA$84</f>
        <v>1728334</v>
      </c>
      <c r="AF8" s="135">
        <f>'5C1A_Madison'!$AB$84</f>
        <v>886433</v>
      </c>
      <c r="AG8" s="138">
        <f>'5C1A_Madison'!$AC$84</f>
        <v>221608</v>
      </c>
      <c r="AH8" s="140">
        <f>('5C1A_Madison'!$AD$80+'5C1A_Madison'!$AD$81+'5C1A_Madison'!$AD$82)</f>
        <v>79530</v>
      </c>
      <c r="AI8" s="141">
        <f>'5C1A_Madison'!$AD$84</f>
        <v>2694297</v>
      </c>
      <c r="AJ8" s="142"/>
      <c r="AK8" s="143">
        <f>'5C1A_Madison'!$AF$84</f>
        <v>4296776</v>
      </c>
      <c r="AL8" s="134">
        <f>'5C1A_Madison'!$AG$84</f>
        <v>38</v>
      </c>
      <c r="AM8" s="142">
        <f>'5C1A_Madison'!$AH$84</f>
        <v>328445</v>
      </c>
      <c r="AN8" s="134">
        <f>'5C1A_Madison'!$AI$84</f>
        <v>-15</v>
      </c>
      <c r="AO8" s="144">
        <f>'5C1A_Madison'!$AJ$84</f>
        <v>-56790</v>
      </c>
      <c r="AP8" s="145">
        <f>'5C1A_Madison'!$AK$84</f>
        <v>271655</v>
      </c>
      <c r="AQ8" s="143">
        <f>'5C1A_Madison'!$AL$84</f>
        <v>4568431</v>
      </c>
      <c r="AR8" s="146">
        <f>'5C1A_Madison'!$AM$84</f>
        <v>-11421</v>
      </c>
      <c r="AS8" s="143">
        <f>'5C1A_Madison'!$AN$84</f>
        <v>4557010</v>
      </c>
      <c r="AT8" s="144">
        <f>'5C1A_Madison'!$AO$84</f>
        <v>-3781</v>
      </c>
      <c r="AU8" s="143">
        <f>'5C1A_Madison'!$AP$84</f>
        <v>4553229</v>
      </c>
      <c r="AV8" s="144">
        <f>'5C1A_Madison'!$AQ$84</f>
        <v>2914516</v>
      </c>
      <c r="AW8" s="144">
        <f>'5C1A_Madison'!$AR$84</f>
        <v>1638713</v>
      </c>
      <c r="AX8" s="143">
        <f>'5C1A_Madison'!$AS$84</f>
        <v>409680</v>
      </c>
    </row>
    <row r="9" spans="1:50" ht="15.75" customHeight="1" x14ac:dyDescent="0.2">
      <c r="A9" s="129">
        <v>344001</v>
      </c>
      <c r="B9" s="230"/>
      <c r="C9" s="772"/>
      <c r="D9" s="690" t="s">
        <v>245</v>
      </c>
      <c r="E9" s="685">
        <f>'5C1C_Intl High'!$C$84</f>
        <v>443</v>
      </c>
      <c r="F9" s="135"/>
      <c r="G9" s="136">
        <f>'5C1C_Intl High'!$E$84</f>
        <v>1516711.2868630595</v>
      </c>
      <c r="H9" s="137">
        <f>'5C1C_Intl High'!$F$84</f>
        <v>350</v>
      </c>
      <c r="I9" s="135"/>
      <c r="J9" s="136">
        <f>'5C1C_Intl High'!$H$84</f>
        <v>162142.343991539</v>
      </c>
      <c r="K9" s="1107">
        <f>'5C1C_Intl High'!$I$84</f>
        <v>0</v>
      </c>
      <c r="L9" s="135"/>
      <c r="M9" s="136">
        <f>'5C1C_Intl High'!$K$84</f>
        <v>0</v>
      </c>
      <c r="N9" s="137">
        <f>'5C1C_Intl High'!$L$84</f>
        <v>40</v>
      </c>
      <c r="O9" s="135"/>
      <c r="P9" s="136">
        <f>'5C1C_Intl High'!$N$84</f>
        <v>126829.16788344875</v>
      </c>
      <c r="Q9" s="137">
        <f>'5C1C_Intl High'!$O$84</f>
        <v>0</v>
      </c>
      <c r="R9" s="135"/>
      <c r="S9" s="136">
        <f>'5C1C_Intl High'!$Q$84</f>
        <v>0</v>
      </c>
      <c r="T9" s="852">
        <f>'5C1C_Intl High'!$R$77</f>
        <v>68081</v>
      </c>
      <c r="U9" s="138">
        <f>'5C1C_Intl High'!$R$84</f>
        <v>1873764</v>
      </c>
      <c r="V9" s="135">
        <f>'5C1C_Intl High'!$S$84</f>
        <v>-218129</v>
      </c>
      <c r="W9" s="135">
        <f>'5C1C_Intl High'!$T$84</f>
        <v>-30789</v>
      </c>
      <c r="X9" s="139">
        <f>'5C1C_Intl High'!$U$84</f>
        <v>-248918</v>
      </c>
      <c r="Y9" s="138">
        <f>'5C1C_Intl High'!$V$84</f>
        <v>1624846</v>
      </c>
      <c r="Z9" s="136">
        <f>'5C1C_Intl High'!$W$84</f>
        <v>-4061</v>
      </c>
      <c r="AA9" s="138">
        <f>'5C1C_Intl High'!$X$84</f>
        <v>1620785</v>
      </c>
      <c r="AB9" s="135">
        <f>'5C1C_Intl High'!$Y$84</f>
        <v>-1579</v>
      </c>
      <c r="AC9" s="140">
        <f>('5C1C_Intl High'!$Z$79+'5C1C_Intl High'!$Z$83)</f>
        <v>25960</v>
      </c>
      <c r="AD9" s="138">
        <f>'5C1C_Intl High'!$Z$84</f>
        <v>1645166</v>
      </c>
      <c r="AE9" s="135">
        <f>'5C1C_Intl High'!$AA$84</f>
        <v>1190730</v>
      </c>
      <c r="AF9" s="135">
        <f>'5C1C_Intl High'!$AB$84</f>
        <v>454436</v>
      </c>
      <c r="AG9" s="138">
        <f>'5C1C_Intl High'!$AC$84</f>
        <v>113610</v>
      </c>
      <c r="AH9" s="140">
        <f>('5C1C_Intl High'!$AD$80+'5C1C_Intl High'!$AD$81+'5C1C_Intl High'!$AD$82)</f>
        <v>63099</v>
      </c>
      <c r="AI9" s="141">
        <f>'5C1C_Intl High'!$AD$84</f>
        <v>1708265</v>
      </c>
      <c r="AJ9" s="142"/>
      <c r="AK9" s="143">
        <f>'5C1C_Intl High'!$AF$84</f>
        <v>2621029</v>
      </c>
      <c r="AL9" s="134">
        <f>'5C1C_Intl High'!$AG$84</f>
        <v>-50</v>
      </c>
      <c r="AM9" s="142">
        <f>'5C1C_Intl High'!$AH$84</f>
        <v>-295258</v>
      </c>
      <c r="AN9" s="134">
        <f>'5C1C_Intl High'!$AI$84</f>
        <v>-14</v>
      </c>
      <c r="AO9" s="144">
        <f>'5C1C_Intl High'!$AJ$84</f>
        <v>-40818</v>
      </c>
      <c r="AP9" s="145">
        <f>'5C1C_Intl High'!$AK$84</f>
        <v>-336076</v>
      </c>
      <c r="AQ9" s="143">
        <f>'5C1C_Intl High'!$AL$84</f>
        <v>2284953</v>
      </c>
      <c r="AR9" s="146">
        <f>'5C1C_Intl High'!$AM$84</f>
        <v>-5712</v>
      </c>
      <c r="AS9" s="143">
        <f>'5C1C_Intl High'!$AN$84</f>
        <v>2279241</v>
      </c>
      <c r="AT9" s="144">
        <f>'5C1C_Intl High'!$AO$84</f>
        <v>0</v>
      </c>
      <c r="AU9" s="143">
        <f>'5C1C_Intl High'!$AP$84</f>
        <v>2279241</v>
      </c>
      <c r="AV9" s="144">
        <f>'5C1C_Intl High'!$AQ$84</f>
        <v>1596966</v>
      </c>
      <c r="AW9" s="144">
        <f>'5C1C_Intl High'!$AR$84</f>
        <v>682275</v>
      </c>
      <c r="AX9" s="143">
        <f>'5C1C_Intl High'!$AS$84</f>
        <v>170569</v>
      </c>
    </row>
    <row r="10" spans="1:50" ht="15.75" customHeight="1" x14ac:dyDescent="0.2">
      <c r="A10" s="129">
        <v>345001</v>
      </c>
      <c r="B10" s="230"/>
      <c r="C10" s="772"/>
      <c r="D10" s="690" t="s">
        <v>510</v>
      </c>
      <c r="E10" s="685">
        <f>'5C3_UnvView'!$C$84</f>
        <v>3227</v>
      </c>
      <c r="F10" s="135"/>
      <c r="G10" s="136">
        <f>'5C3_UnvView'!$E$84</f>
        <v>12915411.328743961</v>
      </c>
      <c r="H10" s="137">
        <f>'5C3_UnvView'!$F$84</f>
        <v>1995</v>
      </c>
      <c r="I10" s="135"/>
      <c r="J10" s="136">
        <f>'5C3_UnvView'!$H$84</f>
        <v>1081310.1461702292</v>
      </c>
      <c r="K10" s="1107">
        <f>'5C3_UnvView'!$I$84</f>
        <v>1983.5</v>
      </c>
      <c r="L10" s="135"/>
      <c r="M10" s="136">
        <f>'5C3_UnvView'!$K$84</f>
        <v>293010.02697077527</v>
      </c>
      <c r="N10" s="137">
        <f>'5C3_UnvView'!$L$84</f>
        <v>392</v>
      </c>
      <c r="O10" s="135"/>
      <c r="P10" s="136">
        <f>'5C3_UnvView'!$N$84</f>
        <v>1461675.7506277773</v>
      </c>
      <c r="Q10" s="137">
        <f>'5C3_UnvView'!$O$84</f>
        <v>150</v>
      </c>
      <c r="R10" s="135"/>
      <c r="S10" s="136">
        <f>'5C3_UnvView'!$Q$84</f>
        <v>213478.06948929842</v>
      </c>
      <c r="T10" s="852">
        <f>'5C3_UnvView'!$R$77</f>
        <v>308562</v>
      </c>
      <c r="U10" s="138">
        <f>'5C3_UnvView'!$R$84</f>
        <v>16273447</v>
      </c>
      <c r="V10" s="135">
        <f>'5C3_UnvView'!$T$84</f>
        <v>1374234</v>
      </c>
      <c r="W10" s="135">
        <f>'5C3_UnvView'!$U$84</f>
        <v>-33903</v>
      </c>
      <c r="X10" s="139">
        <f>'5C3_UnvView'!$V$84</f>
        <v>1340331</v>
      </c>
      <c r="Y10" s="138">
        <f>'5C3_UnvView'!$W$84</f>
        <v>17613778</v>
      </c>
      <c r="Z10" s="136">
        <f>'5C3_UnvView'!$X$84</f>
        <v>-44036</v>
      </c>
      <c r="AA10" s="138">
        <f>'5C3_UnvView'!$Y$84</f>
        <v>17569742</v>
      </c>
      <c r="AB10" s="135">
        <f>'5C3_UnvView'!$Z$84</f>
        <v>-18809</v>
      </c>
      <c r="AC10" s="140">
        <f>('5C3_UnvView'!$AA$79+'5C3_UnvView'!$AA$83)</f>
        <v>127971</v>
      </c>
      <c r="AD10" s="138">
        <f>'5C3_UnvView'!$AA$84</f>
        <v>17678904</v>
      </c>
      <c r="AE10" s="135">
        <f>'5C3_UnvView'!$AB$84</f>
        <v>11352234</v>
      </c>
      <c r="AF10" s="135">
        <f>'5C3_UnvView'!$AC$84</f>
        <v>6326670</v>
      </c>
      <c r="AG10" s="138">
        <f>'5C3_UnvView'!$AD$84</f>
        <v>1581675</v>
      </c>
      <c r="AH10" s="140">
        <f>'5C3_UnvView'!$AE$80+'5C3_UnvView'!$AE$81+'5C3_UnvView'!$AE$82</f>
        <v>73505</v>
      </c>
      <c r="AI10" s="141">
        <f>'5C3_UnvView'!$AE$84</f>
        <v>17752409</v>
      </c>
      <c r="AJ10" s="142"/>
      <c r="AK10" s="143">
        <f>'5C3_UnvView'!$AG$84</f>
        <v>15194888</v>
      </c>
      <c r="AL10" s="134">
        <f>'5C3_UnvView'!$AH$84</f>
        <v>268</v>
      </c>
      <c r="AM10" s="142">
        <f>'5C3_UnvView'!$AI$84</f>
        <v>1286258</v>
      </c>
      <c r="AN10" s="134">
        <f>'5C3_UnvView'!$AJ$84</f>
        <v>-4</v>
      </c>
      <c r="AO10" s="144">
        <f>'5C3_UnvView'!$AK$84</f>
        <v>26555</v>
      </c>
      <c r="AP10" s="145">
        <f>'5C3_UnvView'!$AL$84</f>
        <v>1312813</v>
      </c>
      <c r="AQ10" s="143">
        <f>'5C3_UnvView'!$AM$84</f>
        <v>16507701</v>
      </c>
      <c r="AR10" s="146">
        <f>'5C3_UnvView'!$AN$84</f>
        <v>-41275</v>
      </c>
      <c r="AS10" s="143">
        <f>'5C3_UnvView'!$AO$84</f>
        <v>16466426</v>
      </c>
      <c r="AT10" s="144">
        <f>'5C3_UnvView'!$AP$84</f>
        <v>-19718</v>
      </c>
      <c r="AU10" s="143">
        <f>'5C3_UnvView'!$AQ$84</f>
        <v>16446708</v>
      </c>
      <c r="AV10" s="144">
        <f>'5C3_UnvView'!$AR$84</f>
        <v>10133388</v>
      </c>
      <c r="AW10" s="144">
        <f>'5C3_UnvView'!$AS$84</f>
        <v>6313320</v>
      </c>
      <c r="AX10" s="143">
        <f>'5C3_UnvView'!$AT$84</f>
        <v>1578337</v>
      </c>
    </row>
    <row r="11" spans="1:50" ht="15.75" customHeight="1" x14ac:dyDescent="0.2">
      <c r="A11" s="691">
        <v>346001</v>
      </c>
      <c r="B11" s="692"/>
      <c r="C11" s="773"/>
      <c r="D11" s="693" t="s">
        <v>246</v>
      </c>
      <c r="E11" s="686">
        <f>'5C1F_L.C. Charter'!$C$84</f>
        <v>917</v>
      </c>
      <c r="F11" s="149"/>
      <c r="G11" s="150">
        <f>'5C1F_L.C. Charter'!$E$84</f>
        <v>3109764.1273397366</v>
      </c>
      <c r="H11" s="151">
        <f>'5C1F_L.C. Charter'!$F$84</f>
        <v>911</v>
      </c>
      <c r="I11" s="149"/>
      <c r="J11" s="150">
        <f>'5C1F_L.C. Charter'!$H$84</f>
        <v>438573.47703671444</v>
      </c>
      <c r="K11" s="1108">
        <f>'5C1F_L.C. Charter'!$I$84</f>
        <v>62</v>
      </c>
      <c r="L11" s="149"/>
      <c r="M11" s="150">
        <f>'5C1F_L.C. Charter'!$K$84</f>
        <v>8119.6949802941454</v>
      </c>
      <c r="N11" s="151">
        <f>'5C1F_L.C. Charter'!$L$84</f>
        <v>103</v>
      </c>
      <c r="O11" s="149"/>
      <c r="P11" s="150">
        <f>'5C1F_L.C. Charter'!$N$84</f>
        <v>338684.54472817853</v>
      </c>
      <c r="Q11" s="151">
        <f>'5C1F_L.C. Charter'!$O$84</f>
        <v>15</v>
      </c>
      <c r="R11" s="149"/>
      <c r="S11" s="150">
        <f>'5C1F_L.C. Charter'!$Q$84</f>
        <v>19644.423339421319</v>
      </c>
      <c r="T11" s="853">
        <f>'5C1F_L.C. Charter'!$R$77</f>
        <v>98181</v>
      </c>
      <c r="U11" s="152">
        <f>'5C1F_L.C. Charter'!$R$84</f>
        <v>4012967</v>
      </c>
      <c r="V11" s="149">
        <f>'5C1F_L.C. Charter'!$S$84</f>
        <v>-71024</v>
      </c>
      <c r="W11" s="149">
        <f>'5C1F_L.C. Charter'!$T$84</f>
        <v>-170147</v>
      </c>
      <c r="X11" s="153">
        <f>'5C1F_L.C. Charter'!$U$84</f>
        <v>-241171</v>
      </c>
      <c r="Y11" s="152">
        <f>'5C1F_L.C. Charter'!$V$84</f>
        <v>3771796</v>
      </c>
      <c r="Z11" s="150">
        <f>'5C1F_L.C. Charter'!$W$84</f>
        <v>-9428</v>
      </c>
      <c r="AA11" s="152">
        <f>'5C1F_L.C. Charter'!$X$84</f>
        <v>3762368</v>
      </c>
      <c r="AB11" s="149">
        <f>'5C1F_L.C. Charter'!$Y$84</f>
        <v>-1969</v>
      </c>
      <c r="AC11" s="154">
        <f>('5C1F_L.C. Charter'!$Z$79+'5C1F_L.C. Charter'!$Z$83)</f>
        <v>12508</v>
      </c>
      <c r="AD11" s="152">
        <f>'5C1F_L.C. Charter'!$Z$84</f>
        <v>3772907</v>
      </c>
      <c r="AE11" s="155">
        <f>'5C1F_L.C. Charter'!$AA$84</f>
        <v>2652362</v>
      </c>
      <c r="AF11" s="149">
        <f>'5C1F_L.C. Charter'!$AB$84</f>
        <v>1120545</v>
      </c>
      <c r="AG11" s="156">
        <f>'5C1F_L.C. Charter'!$AC$84</f>
        <v>280139</v>
      </c>
      <c r="AH11" s="154">
        <f>('5C1F_L.C. Charter'!$AD$80+'5C1F_L.C. Charter'!$AD$81+'5C1F_L.C. Charter'!$AD$82)</f>
        <v>0</v>
      </c>
      <c r="AI11" s="156">
        <f>'5C1F_L.C. Charter'!$AD$84</f>
        <v>3772907</v>
      </c>
      <c r="AJ11" s="157"/>
      <c r="AK11" s="158">
        <f>'5C1F_L.C. Charter'!$AF$84</f>
        <v>6925762</v>
      </c>
      <c r="AL11" s="148">
        <f>'5C1F_L.C. Charter'!$AG$84</f>
        <v>6</v>
      </c>
      <c r="AM11" s="157">
        <f>'5C1F_L.C. Charter'!$AH$84</f>
        <v>52170</v>
      </c>
      <c r="AN11" s="148">
        <f>'5C1F_L.C. Charter'!$AI$84</f>
        <v>-100</v>
      </c>
      <c r="AO11" s="159">
        <f>'5C1F_L.C. Charter'!$AJ$84</f>
        <v>-381680</v>
      </c>
      <c r="AP11" s="160">
        <f>'5C1F_L.C. Charter'!$AK$84</f>
        <v>-329510</v>
      </c>
      <c r="AQ11" s="158">
        <f>'5C1F_L.C. Charter'!$AL$84</f>
        <v>6596252</v>
      </c>
      <c r="AR11" s="161">
        <f>'5C1F_L.C. Charter'!$AM$84</f>
        <v>-16489</v>
      </c>
      <c r="AS11" s="158">
        <f>'5C1F_L.C. Charter'!$AN$84</f>
        <v>6579763</v>
      </c>
      <c r="AT11" s="159">
        <f>'5C1F_L.C. Charter'!$AO$84</f>
        <v>-3907</v>
      </c>
      <c r="AU11" s="158">
        <f>'5C1F_L.C. Charter'!$AP$84</f>
        <v>6575856</v>
      </c>
      <c r="AV11" s="159">
        <f>'5C1F_L.C. Charter'!$AQ$84</f>
        <v>4439792</v>
      </c>
      <c r="AW11" s="159">
        <f>'5C1F_L.C. Charter'!$AR$84</f>
        <v>2136064</v>
      </c>
      <c r="AX11" s="158">
        <f>'5C1F_L.C. Charter'!$AS$84</f>
        <v>534017</v>
      </c>
    </row>
    <row r="12" spans="1:50" ht="15.75" customHeight="1" x14ac:dyDescent="0.2">
      <c r="A12" s="128">
        <v>347001</v>
      </c>
      <c r="B12" s="229"/>
      <c r="C12" s="688"/>
      <c r="D12" s="115" t="s">
        <v>247</v>
      </c>
      <c r="E12" s="116">
        <f>'5C1E_LFNO'!$C$84</f>
        <v>939</v>
      </c>
      <c r="F12" s="117"/>
      <c r="G12" s="118">
        <f>'5C1E_LFNO'!$E$84</f>
        <v>3274327.0070943153</v>
      </c>
      <c r="H12" s="119">
        <f>'5C1E_LFNO'!$F$84</f>
        <v>452</v>
      </c>
      <c r="I12" s="117"/>
      <c r="J12" s="118">
        <f>'5C1E_LFNO'!$H$84</f>
        <v>211905.75560472097</v>
      </c>
      <c r="K12" s="1106">
        <f>'5C1E_LFNO'!$I$84</f>
        <v>0</v>
      </c>
      <c r="L12" s="117"/>
      <c r="M12" s="118">
        <f>'5C1E_LFNO'!$K$84</f>
        <v>0</v>
      </c>
      <c r="N12" s="119">
        <f>'5C1E_LFNO'!$L$84</f>
        <v>101</v>
      </c>
      <c r="O12" s="117"/>
      <c r="P12" s="118">
        <f>'5C1E_LFNO'!$N$84</f>
        <v>323079.61220019485</v>
      </c>
      <c r="Q12" s="119">
        <f>'5C1E_LFNO'!$O$84</f>
        <v>121</v>
      </c>
      <c r="R12" s="117"/>
      <c r="S12" s="118">
        <f>'5C1E_LFNO'!$Q$84</f>
        <v>153220.57825323916</v>
      </c>
      <c r="T12" s="851">
        <f>'5C1E_LFNO'!$R$77</f>
        <v>160019</v>
      </c>
      <c r="U12" s="120">
        <f>'5C1E_LFNO'!$R$84</f>
        <v>4122552</v>
      </c>
      <c r="V12" s="117">
        <f>'5C1E_LFNO'!$S$84</f>
        <v>188442</v>
      </c>
      <c r="W12" s="117">
        <f>'5C1E_LFNO'!$T$84</f>
        <v>25110</v>
      </c>
      <c r="X12" s="121">
        <f>'5C1E_LFNO'!$U$84</f>
        <v>213552</v>
      </c>
      <c r="Y12" s="120">
        <f>'5C1E_LFNO'!$V$84</f>
        <v>4336104</v>
      </c>
      <c r="Z12" s="118">
        <f>'5C1E_LFNO'!$W$84</f>
        <v>-10840</v>
      </c>
      <c r="AA12" s="120">
        <f>'5C1E_LFNO'!$X$84</f>
        <v>4325264</v>
      </c>
      <c r="AB12" s="117">
        <f>'5C1E_LFNO'!$Y$84</f>
        <v>0</v>
      </c>
      <c r="AC12" s="132">
        <f>('5C1E_LFNO'!$Z$79+'5C1E_LFNO'!$Z$83)</f>
        <v>806083</v>
      </c>
      <c r="AD12" s="120">
        <f>'5C1E_LFNO'!$Z$84</f>
        <v>5131347</v>
      </c>
      <c r="AE12" s="117">
        <f>'5C1E_LFNO'!$AA$84</f>
        <v>3421186</v>
      </c>
      <c r="AF12" s="117">
        <f>'5C1E_LFNO'!$AB$84</f>
        <v>1710161</v>
      </c>
      <c r="AG12" s="120">
        <f>'5C1E_LFNO'!$AC$84</f>
        <v>427542</v>
      </c>
      <c r="AH12" s="132">
        <f>('5C1E_LFNO'!$AD$80+'5C1E_LFNO'!$AD$81+'5C1E_LFNO'!$AD$82)</f>
        <v>94000</v>
      </c>
      <c r="AI12" s="122">
        <f>'5C1E_LFNO'!$AD$84</f>
        <v>5225347</v>
      </c>
      <c r="AJ12" s="123"/>
      <c r="AK12" s="124">
        <f>'5C1E_LFNO'!$AF$84</f>
        <v>5850824</v>
      </c>
      <c r="AL12" s="116">
        <f>'5C1E_LFNO'!$AG$84</f>
        <v>58</v>
      </c>
      <c r="AM12" s="123">
        <f>'5C1E_LFNO'!$AH$84</f>
        <v>343737</v>
      </c>
      <c r="AN12" s="116">
        <f>'5C1E_LFNO'!$AI$84</f>
        <v>-3</v>
      </c>
      <c r="AO12" s="125">
        <f>'5C1E_LFNO'!$AJ$84</f>
        <v>-8986</v>
      </c>
      <c r="AP12" s="126">
        <f>'5C1E_LFNO'!$AK$84</f>
        <v>334751</v>
      </c>
      <c r="AQ12" s="124">
        <f>'5C1E_LFNO'!$AL$84</f>
        <v>6185575</v>
      </c>
      <c r="AR12" s="127">
        <f>'5C1E_LFNO'!$AM$84</f>
        <v>-15464</v>
      </c>
      <c r="AS12" s="124">
        <f>'5C1E_LFNO'!$AN$84</f>
        <v>6170111</v>
      </c>
      <c r="AT12" s="125">
        <f>'5C1E_LFNO'!$AO$84</f>
        <v>0</v>
      </c>
      <c r="AU12" s="124">
        <f>'5C1E_LFNO'!$AP$84</f>
        <v>6170111</v>
      </c>
      <c r="AV12" s="125">
        <f>'5C1E_LFNO'!$AQ$84</f>
        <v>4000280</v>
      </c>
      <c r="AW12" s="125">
        <f>'5C1E_LFNO'!$AR$84</f>
        <v>2169831</v>
      </c>
      <c r="AX12" s="124">
        <f>'5C1E_LFNO'!$AS$84</f>
        <v>542458</v>
      </c>
    </row>
    <row r="13" spans="1:50" ht="15.75" customHeight="1" x14ac:dyDescent="0.2">
      <c r="A13" s="129">
        <v>348001</v>
      </c>
      <c r="B13" s="230"/>
      <c r="C13" s="230"/>
      <c r="D13" s="133" t="s">
        <v>459</v>
      </c>
      <c r="E13" s="134">
        <f>'5C1D_NOMMA'!$C$84</f>
        <v>957</v>
      </c>
      <c r="F13" s="135"/>
      <c r="G13" s="136">
        <f>'5C1D_NOMMA'!$E$84</f>
        <v>3571376.9092544736</v>
      </c>
      <c r="H13" s="137">
        <f>'5C1D_NOMMA'!$F$84</f>
        <v>777</v>
      </c>
      <c r="I13" s="135"/>
      <c r="J13" s="136">
        <f>'5C1D_NOMMA'!$H$84</f>
        <v>370470.037549701</v>
      </c>
      <c r="K13" s="1107">
        <f>'5C1D_NOMMA'!$I$84</f>
        <v>1251</v>
      </c>
      <c r="L13" s="135"/>
      <c r="M13" s="136">
        <f>'5C1D_NOMMA'!$K$84</f>
        <v>162587.39197146933</v>
      </c>
      <c r="N13" s="137">
        <f>'5C1D_NOMMA'!$L$84</f>
        <v>92</v>
      </c>
      <c r="O13" s="135"/>
      <c r="P13" s="136">
        <f>'5C1D_NOMMA'!$N$84</f>
        <v>294183.50285995007</v>
      </c>
      <c r="Q13" s="137">
        <f>'5C1D_NOMMA'!$O$84</f>
        <v>0</v>
      </c>
      <c r="R13" s="135"/>
      <c r="S13" s="136">
        <f>'5C1D_NOMMA'!$Q$84</f>
        <v>0</v>
      </c>
      <c r="T13" s="852">
        <f>'5C1D_NOMMA'!$R$77</f>
        <v>133766</v>
      </c>
      <c r="U13" s="138">
        <f>'5C1D_NOMMA'!$R$84</f>
        <v>4532385</v>
      </c>
      <c r="V13" s="135">
        <f>'5C1D_NOMMA'!$S$84</f>
        <v>237481</v>
      </c>
      <c r="W13" s="135">
        <f>'5C1D_NOMMA'!$T$84</f>
        <v>-59287</v>
      </c>
      <c r="X13" s="139">
        <f>'5C1D_NOMMA'!$U$84</f>
        <v>178194</v>
      </c>
      <c r="Y13" s="138">
        <f>'5C1D_NOMMA'!$V$84</f>
        <v>4710579</v>
      </c>
      <c r="Z13" s="136">
        <f>'5C1D_NOMMA'!$W$84</f>
        <v>-11776</v>
      </c>
      <c r="AA13" s="138">
        <f>'5C1D_NOMMA'!$X$84</f>
        <v>4698803</v>
      </c>
      <c r="AB13" s="135">
        <f>'5C1D_NOMMA'!$Y$84</f>
        <v>-2118</v>
      </c>
      <c r="AC13" s="140">
        <f>('5C1D_NOMMA'!$Z$79+'5C1D_NOMMA'!$Z$83)</f>
        <v>56463</v>
      </c>
      <c r="AD13" s="138">
        <f>'5C1D_NOMMA'!$Z$84</f>
        <v>4753148</v>
      </c>
      <c r="AE13" s="135">
        <f>'5C1D_NOMMA'!$AA$84</f>
        <v>3120452</v>
      </c>
      <c r="AF13" s="135">
        <f>'5C1D_NOMMA'!$AB$84</f>
        <v>1632696</v>
      </c>
      <c r="AG13" s="138">
        <f>'5C1D_NOMMA'!$AC$84</f>
        <v>408175</v>
      </c>
      <c r="AH13" s="140">
        <f>('5C1D_NOMMA'!$AD$80+'5C1D_NOMMA'!$AD$81+'5C1D_NOMMA'!$AD$82)</f>
        <v>160368</v>
      </c>
      <c r="AI13" s="141">
        <f>'5C1D_NOMMA'!$AD$84</f>
        <v>4913516</v>
      </c>
      <c r="AJ13" s="142"/>
      <c r="AK13" s="143">
        <f>'5C1D_NOMMA'!$AF$84</f>
        <v>6016940</v>
      </c>
      <c r="AL13" s="134">
        <f>'5C1D_NOMMA'!$AG$84</f>
        <v>69</v>
      </c>
      <c r="AM13" s="142">
        <f>'5C1D_NOMMA'!$AH$84</f>
        <v>401296</v>
      </c>
      <c r="AN13" s="134">
        <f>'5C1D_NOMMA'!$AI$84</f>
        <v>-28</v>
      </c>
      <c r="AO13" s="144">
        <f>'5C1D_NOMMA'!$AJ$84</f>
        <v>-79867</v>
      </c>
      <c r="AP13" s="145">
        <f>'5C1D_NOMMA'!$AK$84</f>
        <v>321429</v>
      </c>
      <c r="AQ13" s="143">
        <f>'5C1D_NOMMA'!$AL$84</f>
        <v>6338369</v>
      </c>
      <c r="AR13" s="146">
        <f>'5C1D_NOMMA'!$AM$84</f>
        <v>-15847</v>
      </c>
      <c r="AS13" s="143">
        <f>'5C1D_NOMMA'!$AN$84</f>
        <v>6322522</v>
      </c>
      <c r="AT13" s="144">
        <f>'5C1D_NOMMA'!$AO$84</f>
        <v>-2632</v>
      </c>
      <c r="AU13" s="143">
        <f>'5C1D_NOMMA'!$AP$84</f>
        <v>6319890</v>
      </c>
      <c r="AV13" s="144">
        <f>'5C1D_NOMMA'!$AQ$84</f>
        <v>3916318</v>
      </c>
      <c r="AW13" s="144">
        <f>'5C1D_NOMMA'!$AR$84</f>
        <v>2403572</v>
      </c>
      <c r="AX13" s="143">
        <f>'5C1D_NOMMA'!$AS$84</f>
        <v>600893</v>
      </c>
    </row>
    <row r="14" spans="1:50" ht="15.75" customHeight="1" x14ac:dyDescent="0.2">
      <c r="A14" s="129" t="s">
        <v>643</v>
      </c>
      <c r="B14" s="230"/>
      <c r="C14" s="230"/>
      <c r="D14" s="133" t="s">
        <v>1276</v>
      </c>
      <c r="E14" s="134">
        <f>'5C1AE_Noble Minds'!$C$84</f>
        <v>97</v>
      </c>
      <c r="F14" s="135"/>
      <c r="G14" s="136">
        <f>'5C1AE_Noble Minds'!$E$84</f>
        <v>332739.49733541376</v>
      </c>
      <c r="H14" s="137">
        <f>'5C1AE_Noble Minds'!$F$84</f>
        <v>97</v>
      </c>
      <c r="I14" s="135"/>
      <c r="J14" s="136">
        <f>'5C1AE_Noble Minds'!$H$84</f>
        <v>45074.782028171212</v>
      </c>
      <c r="K14" s="1107">
        <f>'5C1AE_Noble Minds'!$I$84</f>
        <v>0</v>
      </c>
      <c r="L14" s="135"/>
      <c r="M14" s="136">
        <f>'5C1AE_Noble Minds'!$K$84</f>
        <v>0</v>
      </c>
      <c r="N14" s="137">
        <f>'5C1AE_Noble Minds'!$L$84</f>
        <v>19</v>
      </c>
      <c r="O14" s="135"/>
      <c r="P14" s="136">
        <f>'5C1AE_Noble Minds'!$N$84</f>
        <v>60017.639434621044</v>
      </c>
      <c r="Q14" s="137">
        <f>'5C1AE_Noble Minds'!$O$84</f>
        <v>0</v>
      </c>
      <c r="R14" s="135"/>
      <c r="S14" s="136">
        <f>'5C1AE_Noble Minds'!$Q$84</f>
        <v>0</v>
      </c>
      <c r="T14" s="852">
        <f>'5C1AE_Noble Minds'!$R$77</f>
        <v>15869</v>
      </c>
      <c r="U14" s="138">
        <f>'5C1AE_Noble Minds'!$R$84</f>
        <v>453701</v>
      </c>
      <c r="V14" s="135">
        <f>'5C1AE_Noble Minds'!$S$84</f>
        <v>75880</v>
      </c>
      <c r="W14" s="135">
        <f>'5C1AE_Noble Minds'!$T$84</f>
        <v>-17026</v>
      </c>
      <c r="X14" s="139">
        <f>'5C1AE_Noble Minds'!$U$84</f>
        <v>58854</v>
      </c>
      <c r="Y14" s="138">
        <f>'5C1AE_Noble Minds'!$V$84</f>
        <v>512555</v>
      </c>
      <c r="Z14" s="136">
        <f>'5C1AE_Noble Minds'!$W$84</f>
        <v>-1282</v>
      </c>
      <c r="AA14" s="138">
        <f>'5C1AE_Noble Minds'!$X$84</f>
        <v>511273</v>
      </c>
      <c r="AB14" s="135">
        <f>'5C1AE_Noble Minds'!$Y$84</f>
        <v>-5439</v>
      </c>
      <c r="AC14" s="140">
        <f>'5C1AE_Noble Minds'!$Z$79+'5C1AE_Noble Minds'!$Z$83</f>
        <v>0</v>
      </c>
      <c r="AD14" s="138">
        <f>'5C1AE_Noble Minds'!$Z$84</f>
        <v>505834</v>
      </c>
      <c r="AE14" s="135">
        <f>'5C1AE_Noble Minds'!$AA$84</f>
        <v>321744</v>
      </c>
      <c r="AF14" s="135">
        <f>'5C1AE_Noble Minds'!$AB$84</f>
        <v>184090</v>
      </c>
      <c r="AG14" s="138">
        <f>'5C1AE_Noble Minds'!$AC$84</f>
        <v>46022</v>
      </c>
      <c r="AH14" s="140">
        <f>'5C1AE_Noble Minds'!$AD$80+'5C1AE_Noble Minds'!$AD$81+'5C1AE_Noble Minds'!$AD$82</f>
        <v>20808</v>
      </c>
      <c r="AI14" s="141">
        <f>'5C1AE_Noble Minds'!$AD$84</f>
        <v>526642</v>
      </c>
      <c r="AJ14" s="142"/>
      <c r="AK14" s="143">
        <f>'5C1AE_Noble Minds'!$AF$84</f>
        <v>636146</v>
      </c>
      <c r="AL14" s="134">
        <f>'5C1AE_Noble Minds'!$AG$84</f>
        <v>17</v>
      </c>
      <c r="AM14" s="142">
        <f>'5C1AE_Noble Minds'!$AH$84</f>
        <v>119141</v>
      </c>
      <c r="AN14" s="134">
        <f>'5C1AE_Noble Minds'!$AI$84</f>
        <v>-7</v>
      </c>
      <c r="AO14" s="144">
        <f>'5C1AE_Noble Minds'!$AJ$84</f>
        <v>-22813</v>
      </c>
      <c r="AP14" s="145">
        <f>'5C1AE_Noble Minds'!$AK$84</f>
        <v>96328</v>
      </c>
      <c r="AQ14" s="143">
        <f>'5C1AE_Noble Minds'!$AL$84</f>
        <v>732474</v>
      </c>
      <c r="AR14" s="146">
        <f>'5C1AE_Noble Minds'!$AM$84</f>
        <v>-1833</v>
      </c>
      <c r="AS14" s="143">
        <f>'5C1AE_Noble Minds'!$AN$84</f>
        <v>730641</v>
      </c>
      <c r="AT14" s="144">
        <f>'5C1AE_Noble Minds'!$AO$84</f>
        <v>-6407</v>
      </c>
      <c r="AU14" s="143">
        <f>'5C1AE_Noble Minds'!$AP$84</f>
        <v>724234</v>
      </c>
      <c r="AV14" s="144">
        <f>'5C1AE_Noble Minds'!$AQ$84</f>
        <v>453258</v>
      </c>
      <c r="AW14" s="144">
        <f>'5C1AE_Noble Minds'!$AR$84</f>
        <v>270976</v>
      </c>
      <c r="AX14" s="143">
        <f>'5C1AE_Noble Minds'!$AS$84</f>
        <v>67745</v>
      </c>
    </row>
    <row r="15" spans="1:50" ht="15.75" customHeight="1" x14ac:dyDescent="0.2">
      <c r="A15" s="129" t="s">
        <v>412</v>
      </c>
      <c r="B15" s="230"/>
      <c r="C15" s="230"/>
      <c r="D15" s="133" t="s">
        <v>849</v>
      </c>
      <c r="E15" s="134">
        <f>'5C1J_JCFA-East'!$C$84</f>
        <v>217</v>
      </c>
      <c r="F15" s="135"/>
      <c r="G15" s="136">
        <f>'5C1J_JCFA-East'!$E$84</f>
        <v>824202.12794764782</v>
      </c>
      <c r="H15" s="137">
        <f>'5C1J_JCFA-East'!$F$84</f>
        <v>162</v>
      </c>
      <c r="I15" s="135"/>
      <c r="J15" s="136">
        <f>'5C1J_JCFA-East'!$H$84</f>
        <v>78351.791197001017</v>
      </c>
      <c r="K15" s="1107">
        <f>'5C1J_JCFA-East'!$I$84</f>
        <v>196</v>
      </c>
      <c r="L15" s="135"/>
      <c r="M15" s="136">
        <f>'5C1J_JCFA-East'!$K$84</f>
        <v>25658.584348379845</v>
      </c>
      <c r="N15" s="137">
        <f>'5C1J_JCFA-East'!$L$84</f>
        <v>34</v>
      </c>
      <c r="O15" s="135"/>
      <c r="P15" s="136">
        <f>'5C1J_JCFA-East'!$N$84</f>
        <v>113727.71791122961</v>
      </c>
      <c r="Q15" s="137">
        <f>'5C1J_JCFA-East'!$O$84</f>
        <v>0</v>
      </c>
      <c r="R15" s="135"/>
      <c r="S15" s="136">
        <f>'5C1J_JCFA-East'!$Q$84</f>
        <v>0</v>
      </c>
      <c r="T15" s="852">
        <f>'5C1J_JCFA-East'!$R$77</f>
        <v>24981</v>
      </c>
      <c r="U15" s="138">
        <f>'5C1J_JCFA-East'!$R$84</f>
        <v>1066921</v>
      </c>
      <c r="V15" s="135">
        <f>'5C1J_JCFA-East'!$S$84</f>
        <v>-300848</v>
      </c>
      <c r="W15" s="135">
        <f>'5C1J_JCFA-East'!$T$84</f>
        <v>63582</v>
      </c>
      <c r="X15" s="139">
        <f>'5C1J_JCFA-East'!$U$84</f>
        <v>-237266</v>
      </c>
      <c r="Y15" s="138">
        <f>'5C1J_JCFA-East'!$V$84</f>
        <v>829655</v>
      </c>
      <c r="Z15" s="136">
        <f>'5C1J_JCFA-East'!$W$84</f>
        <v>-2074</v>
      </c>
      <c r="AA15" s="138">
        <f>'5C1J_JCFA-East'!$X$84</f>
        <v>827581</v>
      </c>
      <c r="AB15" s="135">
        <f>'5C1J_JCFA-East'!$Y$84</f>
        <v>-2118</v>
      </c>
      <c r="AC15" s="140">
        <f>('5C1J_JCFA-East'!$Z$79+'5C1J_JCFA-East'!$Z$83)</f>
        <v>12803</v>
      </c>
      <c r="AD15" s="138">
        <f>'5C1J_JCFA-East'!$Z$84</f>
        <v>838266</v>
      </c>
      <c r="AE15" s="135">
        <f>'5C1J_JCFA-East'!$AA$84</f>
        <v>619820</v>
      </c>
      <c r="AF15" s="135">
        <f>'5C1J_JCFA-East'!$AB$84</f>
        <v>218446</v>
      </c>
      <c r="AG15" s="138">
        <f>'5C1J_JCFA-East'!$AC$84</f>
        <v>54612</v>
      </c>
      <c r="AH15" s="140">
        <f>('5C1J_JCFA-East'!$AD$80+'5C1J_JCFA-East'!$AD$81+'5C1J_JCFA-East'!$AD$82)</f>
        <v>12050</v>
      </c>
      <c r="AI15" s="141">
        <f>'5C1J_JCFA-East'!$AD$84</f>
        <v>850316</v>
      </c>
      <c r="AJ15" s="142"/>
      <c r="AK15" s="143">
        <f>'5C1J_JCFA-East'!$AF$84</f>
        <v>1350417</v>
      </c>
      <c r="AL15" s="134">
        <f>'5C1J_JCFA-East'!$AG$84</f>
        <v>-63</v>
      </c>
      <c r="AM15" s="142">
        <f>'5C1J_JCFA-East'!$AH$84</f>
        <v>-384909</v>
      </c>
      <c r="AN15" s="134">
        <f>'5C1J_JCFA-East'!$AI$84</f>
        <v>29</v>
      </c>
      <c r="AO15" s="144">
        <f>'5C1J_JCFA-East'!$AJ$84</f>
        <v>92205</v>
      </c>
      <c r="AP15" s="145">
        <f>'5C1J_JCFA-East'!$AK$84</f>
        <v>-292704</v>
      </c>
      <c r="AQ15" s="143">
        <f>'5C1J_JCFA-East'!$AL$84</f>
        <v>1057713</v>
      </c>
      <c r="AR15" s="146">
        <f>'5C1J_JCFA-East'!$AM$84</f>
        <v>-2645</v>
      </c>
      <c r="AS15" s="143">
        <f>'5C1J_JCFA-East'!$AN$84</f>
        <v>1055068</v>
      </c>
      <c r="AT15" s="144">
        <f>'5C1J_JCFA-East'!$AO$84</f>
        <v>-2632</v>
      </c>
      <c r="AU15" s="143">
        <f>'5C1J_JCFA-East'!$AP$84</f>
        <v>1052436</v>
      </c>
      <c r="AV15" s="144">
        <f>'5C1J_JCFA-East'!$AQ$84</f>
        <v>714892</v>
      </c>
      <c r="AW15" s="144">
        <f>'5C1J_JCFA-East'!$AR$84</f>
        <v>337544</v>
      </c>
      <c r="AX15" s="143">
        <f>'5C1J_JCFA-East'!$AS$84</f>
        <v>84387</v>
      </c>
    </row>
    <row r="16" spans="1:50" ht="15.75" customHeight="1" x14ac:dyDescent="0.2">
      <c r="A16" s="130" t="s">
        <v>413</v>
      </c>
      <c r="B16" s="231"/>
      <c r="C16" s="692"/>
      <c r="D16" s="147" t="s">
        <v>250</v>
      </c>
      <c r="E16" s="148">
        <f>'5C1Q_Advantage'!$C$84</f>
        <v>488</v>
      </c>
      <c r="F16" s="149"/>
      <c r="G16" s="150">
        <f>'5C1Q_Advantage'!$E$84</f>
        <v>2306001.771569679</v>
      </c>
      <c r="H16" s="151">
        <f>'5C1Q_Advantage'!$F$84</f>
        <v>467</v>
      </c>
      <c r="I16" s="149"/>
      <c r="J16" s="150">
        <f>'5C1Q_Advantage'!$H$84</f>
        <v>282043.23421623913</v>
      </c>
      <c r="K16" s="1108">
        <f>'5C1Q_Advantage'!$I$84</f>
        <v>44</v>
      </c>
      <c r="L16" s="149"/>
      <c r="M16" s="150">
        <f>'5C1Q_Advantage'!$K$84</f>
        <v>7661.1312906498151</v>
      </c>
      <c r="N16" s="151">
        <f>'5C1Q_Advantage'!$L$84</f>
        <v>52</v>
      </c>
      <c r="O16" s="149"/>
      <c r="P16" s="150">
        <f>'5C1Q_Advantage'!$N$84</f>
        <v>216697.53717824406</v>
      </c>
      <c r="Q16" s="151">
        <f>'5C1Q_Advantage'!$O$84</f>
        <v>0</v>
      </c>
      <c r="R16" s="149"/>
      <c r="S16" s="150">
        <f>'5C1Q_Advantage'!$Q$84</f>
        <v>0</v>
      </c>
      <c r="T16" s="853">
        <f>'5C1Q_Advantage'!$R$77</f>
        <v>62084</v>
      </c>
      <c r="U16" s="152">
        <f>'5C1Q_Advantage'!$R$84</f>
        <v>2874487</v>
      </c>
      <c r="V16" s="149">
        <f>'5C1Q_Advantage'!$S$84</f>
        <v>121039</v>
      </c>
      <c r="W16" s="149">
        <f>'5C1Q_Advantage'!$T$84</f>
        <v>-31870</v>
      </c>
      <c r="X16" s="153">
        <f>'5C1Q_Advantage'!$U$84</f>
        <v>89169</v>
      </c>
      <c r="Y16" s="152">
        <f>'5C1Q_Advantage'!$V$84</f>
        <v>2963656</v>
      </c>
      <c r="Z16" s="150">
        <f>'5C1Q_Advantage'!$W$84</f>
        <v>-7408</v>
      </c>
      <c r="AA16" s="152">
        <f>'5C1Q_Advantage'!$X$84</f>
        <v>2956248</v>
      </c>
      <c r="AB16" s="149">
        <f>'5C1Q_Advantage'!$Y$84</f>
        <v>0</v>
      </c>
      <c r="AC16" s="154">
        <f>('5C1Q_Advantage'!$Z$79+'5C1Q_Advantage'!$Z$83)</f>
        <v>7316</v>
      </c>
      <c r="AD16" s="152">
        <f>'5C1Q_Advantage'!$Z$84</f>
        <v>2963564</v>
      </c>
      <c r="AE16" s="155">
        <f>'5C1Q_Advantage'!$AA$84</f>
        <v>1955882</v>
      </c>
      <c r="AF16" s="149">
        <f>'5C1Q_Advantage'!$AB$84</f>
        <v>1007682</v>
      </c>
      <c r="AG16" s="156">
        <f>'5C1Q_Advantage'!$AC$84</f>
        <v>251922</v>
      </c>
      <c r="AH16" s="154">
        <f>('5C1Q_Advantage'!$AD$80+'5C1Q_Advantage'!$AD$81+'5C1Q_Advantage'!$AD$82)</f>
        <v>0</v>
      </c>
      <c r="AI16" s="156">
        <f>'5C1Q_Advantage'!$AD$84</f>
        <v>2963564</v>
      </c>
      <c r="AJ16" s="157"/>
      <c r="AK16" s="158">
        <f>'5C1Q_Advantage'!$AF$84</f>
        <v>2617945</v>
      </c>
      <c r="AL16" s="148">
        <f>'5C1Q_Advantage'!$AG$84</f>
        <v>37</v>
      </c>
      <c r="AM16" s="157">
        <f>'5C1Q_Advantage'!$AH$84</f>
        <v>258656</v>
      </c>
      <c r="AN16" s="148">
        <f>'5C1Q_Advantage'!$AI$84</f>
        <v>-7</v>
      </c>
      <c r="AO16" s="159">
        <f>'5C1Q_Advantage'!$AJ$84</f>
        <v>-10607</v>
      </c>
      <c r="AP16" s="160">
        <f>'5C1Q_Advantage'!$AK$84</f>
        <v>248049</v>
      </c>
      <c r="AQ16" s="158">
        <f>'5C1Q_Advantage'!$AL$84</f>
        <v>2865994</v>
      </c>
      <c r="AR16" s="161">
        <f>'5C1Q_Advantage'!$AM$84</f>
        <v>-7165</v>
      </c>
      <c r="AS16" s="158">
        <f>'5C1Q_Advantage'!$AN$84</f>
        <v>2858829</v>
      </c>
      <c r="AT16" s="159">
        <f>'5C1Q_Advantage'!$AO$84</f>
        <v>0</v>
      </c>
      <c r="AU16" s="158">
        <f>'5C1Q_Advantage'!$AP$84</f>
        <v>2858829</v>
      </c>
      <c r="AV16" s="159">
        <f>'5C1Q_Advantage'!$AQ$84</f>
        <v>1768036</v>
      </c>
      <c r="AW16" s="159">
        <f>'5C1Q_Advantage'!$AR$84</f>
        <v>1090793</v>
      </c>
      <c r="AX16" s="158">
        <f>'5C1Q_Advantage'!$AS$84</f>
        <v>272698</v>
      </c>
    </row>
    <row r="17" spans="1:50" ht="15.75" customHeight="1" x14ac:dyDescent="0.2">
      <c r="A17" s="128" t="s">
        <v>645</v>
      </c>
      <c r="B17" s="229"/>
      <c r="C17" s="688"/>
      <c r="D17" s="115" t="s">
        <v>834</v>
      </c>
      <c r="E17" s="116">
        <f>'5C1AF_JCFA-Laf'!$C$84</f>
        <v>65</v>
      </c>
      <c r="F17" s="117"/>
      <c r="G17" s="118">
        <f>'5C1AF_JCFA-Laf'!$E$84</f>
        <v>242341.97311121298</v>
      </c>
      <c r="H17" s="119">
        <f>'5C1AF_JCFA-Laf'!$F$84</f>
        <v>59</v>
      </c>
      <c r="I17" s="117"/>
      <c r="J17" s="118">
        <f>'5C1AF_JCFA-Laf'!$H$84</f>
        <v>30042.993351199606</v>
      </c>
      <c r="K17" s="1106">
        <f>'5C1AF_JCFA-Laf'!$I$84</f>
        <v>9.5</v>
      </c>
      <c r="L17" s="117"/>
      <c r="M17" s="118">
        <f>'5C1AF_JCFA-Laf'!$K$84</f>
        <v>1321.8079185219594</v>
      </c>
      <c r="N17" s="119">
        <f>'5C1AF_JCFA-Laf'!$L$84</f>
        <v>13</v>
      </c>
      <c r="O17" s="117"/>
      <c r="P17" s="118">
        <f>'5C1AF_JCFA-Laf'!$N$84</f>
        <v>46059.498821636815</v>
      </c>
      <c r="Q17" s="119">
        <f>'5C1AF_JCFA-Laf'!$O$84</f>
        <v>0</v>
      </c>
      <c r="R17" s="117"/>
      <c r="S17" s="118">
        <f>'5C1AF_JCFA-Laf'!$Q$84</f>
        <v>0</v>
      </c>
      <c r="T17" s="851">
        <f>'5C1AF_JCFA-Laf'!$R$77</f>
        <v>13311</v>
      </c>
      <c r="U17" s="120">
        <f>'5C1AF_JCFA-Laf'!$R$84</f>
        <v>333078</v>
      </c>
      <c r="V17" s="117">
        <f>'5C1AF_JCFA-Laf'!$S$84</f>
        <v>11335</v>
      </c>
      <c r="W17" s="117">
        <f>'5C1AF_JCFA-Laf'!$T$84</f>
        <v>273</v>
      </c>
      <c r="X17" s="121">
        <f>'5C1AF_JCFA-Laf'!$U$84</f>
        <v>11608</v>
      </c>
      <c r="Y17" s="120">
        <f>'5C1AF_JCFA-Laf'!$V$84</f>
        <v>344686</v>
      </c>
      <c r="Z17" s="118">
        <f>'5C1AF_JCFA-Laf'!$W$84</f>
        <v>-862</v>
      </c>
      <c r="AA17" s="120">
        <f>'5C1AF_JCFA-Laf'!$X$84</f>
        <v>343824</v>
      </c>
      <c r="AB17" s="117">
        <f>'5C1AF_JCFA-Laf'!$Y$84</f>
        <v>0</v>
      </c>
      <c r="AC17" s="132">
        <f>'5C1AF_JCFA-Laf'!$Z$79+'5C1AF_JCFA-Laf'!$Z$83</f>
        <v>3835</v>
      </c>
      <c r="AD17" s="120">
        <f>'5C1AF_JCFA-Laf'!$Z$84</f>
        <v>347659</v>
      </c>
      <c r="AE17" s="117">
        <f>'5C1AF_JCFA-Laf'!$AA$84</f>
        <v>227606</v>
      </c>
      <c r="AF17" s="117">
        <f>'5C1AF_JCFA-Laf'!$AB$84</f>
        <v>120053</v>
      </c>
      <c r="AG17" s="120">
        <f>'5C1AF_JCFA-Laf'!$AC$84</f>
        <v>30014</v>
      </c>
      <c r="AH17" s="132">
        <f>'5C1AF_JCFA-Laf'!$AD$80+'5C1AF_JCFA-Laf'!$AD$81+'5C1AF_JCFA-Laf'!$AD$82</f>
        <v>10000</v>
      </c>
      <c r="AI17" s="122">
        <f>'5C1AF_JCFA-Laf'!$AD$84</f>
        <v>357659</v>
      </c>
      <c r="AJ17" s="123"/>
      <c r="AK17" s="124">
        <f>'5C1AF_JCFA-Laf'!$AF$84</f>
        <v>356171</v>
      </c>
      <c r="AL17" s="116">
        <f>'5C1AF_JCFA-Laf'!$AG$84</f>
        <v>2</v>
      </c>
      <c r="AM17" s="123">
        <f>'5C1AF_JCFA-Laf'!$AH$84</f>
        <v>4786</v>
      </c>
      <c r="AN17" s="116">
        <f>'5C1AF_JCFA-Laf'!$AI$84</f>
        <v>0</v>
      </c>
      <c r="AO17" s="125">
        <f>'5C1AF_JCFA-Laf'!$AJ$84</f>
        <v>447</v>
      </c>
      <c r="AP17" s="126">
        <f>'5C1AF_JCFA-Laf'!$AK$84</f>
        <v>5233</v>
      </c>
      <c r="AQ17" s="124">
        <f>'5C1AF_JCFA-Laf'!$AL$84</f>
        <v>361404</v>
      </c>
      <c r="AR17" s="127">
        <f>'5C1AF_JCFA-Laf'!$AM$84</f>
        <v>-904</v>
      </c>
      <c r="AS17" s="124">
        <f>'5C1AF_JCFA-Laf'!$AN$84</f>
        <v>360500</v>
      </c>
      <c r="AT17" s="125">
        <f>'5C1AF_JCFA-Laf'!$AO$84</f>
        <v>0</v>
      </c>
      <c r="AU17" s="124">
        <f>'5C1AF_JCFA-Laf'!$AP$84</f>
        <v>360500</v>
      </c>
      <c r="AV17" s="125">
        <f>'5C1AF_JCFA-Laf'!$AQ$84</f>
        <v>236334</v>
      </c>
      <c r="AW17" s="125">
        <f>'5C1AF_JCFA-Laf'!$AR$84</f>
        <v>124166</v>
      </c>
      <c r="AX17" s="124">
        <f>'5C1AF_JCFA-Laf'!$AS$84</f>
        <v>31042</v>
      </c>
    </row>
    <row r="18" spans="1:50" ht="15.75" customHeight="1" x14ac:dyDescent="0.2">
      <c r="A18" s="129" t="s">
        <v>414</v>
      </c>
      <c r="B18" s="230"/>
      <c r="C18" s="230"/>
      <c r="D18" s="133" t="s">
        <v>322</v>
      </c>
      <c r="E18" s="134">
        <f>'5C1W_Willow'!$C$84</f>
        <v>595</v>
      </c>
      <c r="F18" s="135"/>
      <c r="G18" s="136">
        <f>'5C1W_Willow'!$E$84</f>
        <v>2208241.3382061473</v>
      </c>
      <c r="H18" s="137">
        <f>'5C1W_Willow'!$F$84</f>
        <v>583</v>
      </c>
      <c r="I18" s="135"/>
      <c r="J18" s="136">
        <f>'5C1W_Willow'!$H$84</f>
        <v>296803.41648976982</v>
      </c>
      <c r="K18" s="1107">
        <f>'5C1W_Willow'!$I$84</f>
        <v>95</v>
      </c>
      <c r="L18" s="135"/>
      <c r="M18" s="136">
        <f>'5C1W_Willow'!$K$84</f>
        <v>13421.184661227568</v>
      </c>
      <c r="N18" s="137">
        <f>'5C1W_Willow'!$L$84</f>
        <v>73</v>
      </c>
      <c r="O18" s="135"/>
      <c r="P18" s="136">
        <f>'5C1W_Willow'!$N$84</f>
        <v>253619.69191766609</v>
      </c>
      <c r="Q18" s="137">
        <f>'5C1W_Willow'!$O$84</f>
        <v>0</v>
      </c>
      <c r="R18" s="135"/>
      <c r="S18" s="136">
        <f>'5C1W_Willow'!$Q$84</f>
        <v>0</v>
      </c>
      <c r="T18" s="852">
        <f>'5C1W_Willow'!$R$77</f>
        <v>74539</v>
      </c>
      <c r="U18" s="138">
        <f>'5C1W_Willow'!$R$84</f>
        <v>2846625</v>
      </c>
      <c r="V18" s="135">
        <f>'5C1W_Willow'!$S$84</f>
        <v>203226</v>
      </c>
      <c r="W18" s="135">
        <f>'5C1W_Willow'!$T$84</f>
        <v>-66403</v>
      </c>
      <c r="X18" s="139">
        <f>'5C1W_Willow'!$U$84</f>
        <v>136823</v>
      </c>
      <c r="Y18" s="138">
        <f>'5C1W_Willow'!$V$84</f>
        <v>2983448</v>
      </c>
      <c r="Z18" s="136">
        <f>'5C1W_Willow'!$W$84</f>
        <v>-7458</v>
      </c>
      <c r="AA18" s="138">
        <f>'5C1W_Willow'!$X$84</f>
        <v>2975990</v>
      </c>
      <c r="AB18" s="135">
        <f>'5C1W_Willow'!$Y$84</f>
        <v>0</v>
      </c>
      <c r="AC18" s="140">
        <f>('5C1W_Willow'!$Z$79+'5C1W_Willow'!$Z$83)</f>
        <v>6136</v>
      </c>
      <c r="AD18" s="138">
        <f>'5C1W_Willow'!$Z$84</f>
        <v>2982126</v>
      </c>
      <c r="AE18" s="135">
        <f>'5C1W_Willow'!$AA$84</f>
        <v>1962620</v>
      </c>
      <c r="AF18" s="135">
        <f>'5C1W_Willow'!$AB$84</f>
        <v>1019506</v>
      </c>
      <c r="AG18" s="138">
        <f>'5C1W_Willow'!$AC$84</f>
        <v>254878</v>
      </c>
      <c r="AH18" s="140">
        <f>('5C1W_Willow'!$AD$80+'5C1W_Willow'!$AD$81+'5C1W_Willow'!$AD$82)</f>
        <v>0</v>
      </c>
      <c r="AI18" s="141">
        <f>'5C1W_Willow'!$AD$84</f>
        <v>2982126</v>
      </c>
      <c r="AJ18" s="142"/>
      <c r="AK18" s="143">
        <f>'5C1W_Willow'!$AF$84</f>
        <v>3259476</v>
      </c>
      <c r="AL18" s="134">
        <f>'5C1W_Willow'!$AG$84</f>
        <v>53</v>
      </c>
      <c r="AM18" s="142">
        <f>'5C1W_Willow'!$AH$84</f>
        <v>298530</v>
      </c>
      <c r="AN18" s="134">
        <f>'5C1W_Willow'!$AI$84</f>
        <v>-27</v>
      </c>
      <c r="AO18" s="144">
        <f>'5C1W_Willow'!$AJ$84</f>
        <v>-67355</v>
      </c>
      <c r="AP18" s="145">
        <f>'5C1W_Willow'!$AK$84</f>
        <v>231175</v>
      </c>
      <c r="AQ18" s="143">
        <f>'5C1W_Willow'!$AL$84</f>
        <v>3490651</v>
      </c>
      <c r="AR18" s="146">
        <f>'5C1W_Willow'!$AM$84</f>
        <v>-8727</v>
      </c>
      <c r="AS18" s="143">
        <f>'5C1W_Willow'!$AN$84</f>
        <v>3481924</v>
      </c>
      <c r="AT18" s="144">
        <f>'5C1W_Willow'!$AO$84</f>
        <v>0</v>
      </c>
      <c r="AU18" s="143">
        <f>'5C1W_Willow'!$AP$84</f>
        <v>3481924</v>
      </c>
      <c r="AV18" s="144">
        <f>'5C1W_Willow'!$AQ$84</f>
        <v>2247232</v>
      </c>
      <c r="AW18" s="144">
        <f>'5C1W_Willow'!$AR$84</f>
        <v>1234692</v>
      </c>
      <c r="AX18" s="143">
        <f>'5C1W_Willow'!$AS$84</f>
        <v>308673</v>
      </c>
    </row>
    <row r="19" spans="1:50" ht="15.75" customHeight="1" x14ac:dyDescent="0.2">
      <c r="A19" s="129" t="s">
        <v>460</v>
      </c>
      <c r="B19" s="230"/>
      <c r="C19" s="230"/>
      <c r="D19" s="133" t="s">
        <v>461</v>
      </c>
      <c r="E19" s="134">
        <f>'5C1Z_Lincoln Prep'!$C$84</f>
        <v>475</v>
      </c>
      <c r="F19" s="135"/>
      <c r="G19" s="136">
        <f>'5C1Z_Lincoln Prep'!$E$84</f>
        <v>2010402.2592514674</v>
      </c>
      <c r="H19" s="137">
        <f>'5C1Z_Lincoln Prep'!$F$84</f>
        <v>475</v>
      </c>
      <c r="I19" s="135"/>
      <c r="J19" s="136">
        <f>'5C1Z_Lincoln Prep'!$H$84</f>
        <v>270516.03780582472</v>
      </c>
      <c r="K19" s="1107">
        <f>'5C1Z_Lincoln Prep'!$I$84</f>
        <v>166</v>
      </c>
      <c r="L19" s="135"/>
      <c r="M19" s="136">
        <f>'5C1Z_Lincoln Prep'!$K$84</f>
        <v>25627.953451303682</v>
      </c>
      <c r="N19" s="137">
        <f>'5C1Z_Lincoln Prep'!$L$84</f>
        <v>89</v>
      </c>
      <c r="O19" s="135"/>
      <c r="P19" s="136">
        <f>'5C1Z_Lincoln Prep'!$N$84</f>
        <v>341986.53971402632</v>
      </c>
      <c r="Q19" s="137">
        <f>'5C1Z_Lincoln Prep'!$O$84</f>
        <v>7</v>
      </c>
      <c r="R19" s="135"/>
      <c r="S19" s="136">
        <f>'5C1Z_Lincoln Prep'!$Q$84</f>
        <v>11244.386558069871</v>
      </c>
      <c r="T19" s="852">
        <f>'5C1Z_Lincoln Prep'!$R$77</f>
        <v>82521</v>
      </c>
      <c r="U19" s="138">
        <f>'5C1Z_Lincoln Prep'!$R$84</f>
        <v>2742299</v>
      </c>
      <c r="V19" s="135">
        <f>'5C1Z_Lincoln Prep'!$S$84</f>
        <v>534249</v>
      </c>
      <c r="W19" s="135">
        <f>'5C1Z_Lincoln Prep'!$T$84</f>
        <v>-3737</v>
      </c>
      <c r="X19" s="139">
        <f>'5C1Z_Lincoln Prep'!$U$84</f>
        <v>530512</v>
      </c>
      <c r="Y19" s="138">
        <f>'5C1Z_Lincoln Prep'!$V$84</f>
        <v>3272811</v>
      </c>
      <c r="Z19" s="136">
        <f>'5C1Z_Lincoln Prep'!$W$84</f>
        <v>-8182</v>
      </c>
      <c r="AA19" s="138">
        <f>'5C1Z_Lincoln Prep'!$X$84</f>
        <v>3264629</v>
      </c>
      <c r="AB19" s="135">
        <f>'5C1Z_Lincoln Prep'!$Y$84</f>
        <v>0</v>
      </c>
      <c r="AC19" s="140">
        <f>('5C1Z_Lincoln Prep'!$Z$79+'5C1Z_Lincoln Prep'!$Z$83)</f>
        <v>14101</v>
      </c>
      <c r="AD19" s="138">
        <f>'5C1Z_Lincoln Prep'!$Z$84</f>
        <v>3278730</v>
      </c>
      <c r="AE19" s="135">
        <f>'5C1Z_Lincoln Prep'!$AA$84</f>
        <v>2188952</v>
      </c>
      <c r="AF19" s="135">
        <f>'5C1Z_Lincoln Prep'!$AB$84</f>
        <v>1089778</v>
      </c>
      <c r="AG19" s="138">
        <f>'5C1Z_Lincoln Prep'!$AC$84</f>
        <v>272445</v>
      </c>
      <c r="AH19" s="140">
        <f>('5C1Z_Lincoln Prep'!$AD$80+'5C1Z_Lincoln Prep'!$AD$81+'5C1Z_Lincoln Prep'!$AD$82)</f>
        <v>10000</v>
      </c>
      <c r="AI19" s="141">
        <f>'5C1Z_Lincoln Prep'!$AD$84</f>
        <v>3288730</v>
      </c>
      <c r="AJ19" s="142"/>
      <c r="AK19" s="143">
        <f>'5C1Z_Lincoln Prep'!$AF$84</f>
        <v>2989347</v>
      </c>
      <c r="AL19" s="134">
        <f>'5C1Z_Lincoln Prep'!$AG$84</f>
        <v>97</v>
      </c>
      <c r="AM19" s="142">
        <f>'5C1Z_Lincoln Prep'!$AH$84</f>
        <v>487888</v>
      </c>
      <c r="AN19" s="134">
        <f>'5C1Z_Lincoln Prep'!$AI$84</f>
        <v>-3</v>
      </c>
      <c r="AO19" s="144">
        <f>'5C1Z_Lincoln Prep'!$AJ$84</f>
        <v>-7402</v>
      </c>
      <c r="AP19" s="145">
        <f>'5C1Z_Lincoln Prep'!$AK$84</f>
        <v>480486</v>
      </c>
      <c r="AQ19" s="143">
        <f>'5C1Z_Lincoln Prep'!$AL$84</f>
        <v>3469833</v>
      </c>
      <c r="AR19" s="146">
        <f>'5C1Z_Lincoln Prep'!$AM$84</f>
        <v>-8675</v>
      </c>
      <c r="AS19" s="143">
        <f>'5C1Z_Lincoln Prep'!$AN$84</f>
        <v>3461158</v>
      </c>
      <c r="AT19" s="144">
        <f>'5C1Z_Lincoln Prep'!$AO$84</f>
        <v>0</v>
      </c>
      <c r="AU19" s="143">
        <f>'5C1Z_Lincoln Prep'!$AP$84</f>
        <v>3461158</v>
      </c>
      <c r="AV19" s="144">
        <f>'5C1Z_Lincoln Prep'!$AQ$84</f>
        <v>2283575</v>
      </c>
      <c r="AW19" s="144">
        <f>'5C1Z_Lincoln Prep'!$AR$84</f>
        <v>1177583</v>
      </c>
      <c r="AX19" s="143">
        <f>'5C1Z_Lincoln Prep'!$AS$84</f>
        <v>294397</v>
      </c>
    </row>
    <row r="20" spans="1:50" ht="15.75" customHeight="1" x14ac:dyDescent="0.2">
      <c r="A20" s="129" t="s">
        <v>416</v>
      </c>
      <c r="B20" s="230"/>
      <c r="C20" s="230"/>
      <c r="D20" s="133" t="s">
        <v>261</v>
      </c>
      <c r="E20" s="134">
        <f>'5C1R_Iberville'!$C$84</f>
        <v>396</v>
      </c>
      <c r="F20" s="135"/>
      <c r="G20" s="136">
        <f>'5C1R_Iberville'!$E$84</f>
        <v>1297315.5191994694</v>
      </c>
      <c r="H20" s="137">
        <f>'5C1R_Iberville'!$F$84</f>
        <v>259</v>
      </c>
      <c r="I20" s="135"/>
      <c r="J20" s="136">
        <f>'5C1R_Iberville'!$H$84</f>
        <v>87604.86793100572</v>
      </c>
      <c r="K20" s="1107">
        <f>'5C1R_Iberville'!$I$84</f>
        <v>66</v>
      </c>
      <c r="L20" s="135"/>
      <c r="M20" s="136">
        <f>'5C1R_Iberville'!$K$84</f>
        <v>5574.5690655471926</v>
      </c>
      <c r="N20" s="137">
        <f>'5C1R_Iberville'!$L$84</f>
        <v>49</v>
      </c>
      <c r="O20" s="135"/>
      <c r="P20" s="136">
        <f>'5C1R_Iberville'!$N$84</f>
        <v>122914.20815057329</v>
      </c>
      <c r="Q20" s="137">
        <f>'5C1R_Iberville'!$O$84</f>
        <v>1</v>
      </c>
      <c r="R20" s="135"/>
      <c r="S20" s="136">
        <f>'5C1R_Iberville'!$Q$84</f>
        <v>1121.0946677221748</v>
      </c>
      <c r="T20" s="852">
        <f>'5C1R_Iberville'!$R$77</f>
        <v>24295</v>
      </c>
      <c r="U20" s="138">
        <f>'5C1R_Iberville'!$R$84</f>
        <v>1538825</v>
      </c>
      <c r="V20" s="135">
        <f>'5C1R_Iberville'!$S$84</f>
        <v>581644</v>
      </c>
      <c r="W20" s="135">
        <f>'5C1R_Iberville'!$T$84</f>
        <v>36228</v>
      </c>
      <c r="X20" s="139">
        <f>'5C1R_Iberville'!$U$84</f>
        <v>617872</v>
      </c>
      <c r="Y20" s="138">
        <f>'5C1R_Iberville'!$V$84</f>
        <v>2156697</v>
      </c>
      <c r="Z20" s="136">
        <f>'5C1R_Iberville'!$W$84</f>
        <v>-5393</v>
      </c>
      <c r="AA20" s="138">
        <f>'5C1R_Iberville'!$X$84</f>
        <v>2151304</v>
      </c>
      <c r="AB20" s="135">
        <f>'5C1R_Iberville'!$Y$84</f>
        <v>0</v>
      </c>
      <c r="AC20" s="140">
        <f>('5C1R_Iberville'!$Z$79+'5C1R_Iberville'!$Z$83)</f>
        <v>5841</v>
      </c>
      <c r="AD20" s="138">
        <f>'5C1R_Iberville'!$Z$84</f>
        <v>2157145</v>
      </c>
      <c r="AE20" s="135">
        <f>'5C1R_Iberville'!$AA$84</f>
        <v>1224972</v>
      </c>
      <c r="AF20" s="135">
        <f>'5C1R_Iberville'!$AB$84</f>
        <v>932173</v>
      </c>
      <c r="AG20" s="138">
        <f>'5C1R_Iberville'!$AC$84</f>
        <v>233047</v>
      </c>
      <c r="AH20" s="140">
        <f>('5C1R_Iberville'!$AD$80+'5C1R_Iberville'!$AD$81+'5C1R_Iberville'!$AD$82)</f>
        <v>0</v>
      </c>
      <c r="AI20" s="141">
        <f>'5C1R_Iberville'!$AD$84</f>
        <v>2157145</v>
      </c>
      <c r="AJ20" s="142"/>
      <c r="AK20" s="143">
        <f>'5C1R_Iberville'!$AF$84</f>
        <v>4450718</v>
      </c>
      <c r="AL20" s="134">
        <f>'5C1R_Iberville'!$AG$84</f>
        <v>113</v>
      </c>
      <c r="AM20" s="142">
        <f>'5C1R_Iberville'!$AH$84</f>
        <v>317699</v>
      </c>
      <c r="AN20" s="134">
        <f>'5C1R_Iberville'!$AI$84</f>
        <v>17</v>
      </c>
      <c r="AO20" s="144">
        <f>'5C1R_Iberville'!$AJ$84</f>
        <v>63697</v>
      </c>
      <c r="AP20" s="145">
        <f>'5C1R_Iberville'!$AK$84</f>
        <v>381396</v>
      </c>
      <c r="AQ20" s="143">
        <f>'5C1R_Iberville'!$AL$84</f>
        <v>4832114</v>
      </c>
      <c r="AR20" s="146">
        <f>'5C1R_Iberville'!$AM$84</f>
        <v>-12079</v>
      </c>
      <c r="AS20" s="143">
        <f>'5C1R_Iberville'!$AN$84</f>
        <v>4820035</v>
      </c>
      <c r="AT20" s="144">
        <f>'5C1R_Iberville'!$AO$84</f>
        <v>0</v>
      </c>
      <c r="AU20" s="143">
        <f>'5C1R_Iberville'!$AP$84</f>
        <v>4820035</v>
      </c>
      <c r="AV20" s="144">
        <f>'5C1R_Iberville'!$AQ$84</f>
        <v>2890492</v>
      </c>
      <c r="AW20" s="144">
        <f>'5C1R_Iberville'!$AR$84</f>
        <v>1929543</v>
      </c>
      <c r="AX20" s="143">
        <f>'5C1R_Iberville'!$AS$84</f>
        <v>482391</v>
      </c>
    </row>
    <row r="21" spans="1:50" ht="15.75" customHeight="1" x14ac:dyDescent="0.2">
      <c r="A21" s="130" t="s">
        <v>417</v>
      </c>
      <c r="B21" s="231"/>
      <c r="C21" s="692"/>
      <c r="D21" s="147" t="s">
        <v>241</v>
      </c>
      <c r="E21" s="148">
        <f>'5C1N_Delta'!$C$84</f>
        <v>464</v>
      </c>
      <c r="F21" s="149"/>
      <c r="G21" s="150">
        <f>'5C1N_Delta'!$E$84</f>
        <v>2415870.9308842104</v>
      </c>
      <c r="H21" s="151">
        <f>'5C1N_Delta'!$F$84</f>
        <v>279</v>
      </c>
      <c r="I21" s="149"/>
      <c r="J21" s="150">
        <f>'5C1N_Delta'!$H$84</f>
        <v>193828.33999372052</v>
      </c>
      <c r="K21" s="1108">
        <f>'5C1N_Delta'!$I$84</f>
        <v>239.5</v>
      </c>
      <c r="L21" s="149"/>
      <c r="M21" s="150">
        <f>'5C1N_Delta'!$K$84</f>
        <v>45856.229609958798</v>
      </c>
      <c r="N21" s="151">
        <f>'5C1N_Delta'!$L$84</f>
        <v>50</v>
      </c>
      <c r="O21" s="149"/>
      <c r="P21" s="150">
        <f>'5C1N_Delta'!$N$84</f>
        <v>234214.00842306935</v>
      </c>
      <c r="Q21" s="151">
        <f>'5C1N_Delta'!$O$84</f>
        <v>4</v>
      </c>
      <c r="R21" s="149"/>
      <c r="S21" s="150">
        <f>'5C1N_Delta'!$Q$84</f>
        <v>7387.7101979895624</v>
      </c>
      <c r="T21" s="853">
        <f>'5C1N_Delta'!$R$77</f>
        <v>56333</v>
      </c>
      <c r="U21" s="152">
        <f>'5C1N_Delta'!$R$84</f>
        <v>2953491</v>
      </c>
      <c r="V21" s="149">
        <f>'5C1N_Delta'!$S$84</f>
        <v>34126</v>
      </c>
      <c r="W21" s="149">
        <f>'5C1N_Delta'!$T$84</f>
        <v>-30207</v>
      </c>
      <c r="X21" s="153">
        <f>'5C1N_Delta'!$U$84</f>
        <v>3919</v>
      </c>
      <c r="Y21" s="152">
        <f>'5C1N_Delta'!$V$84</f>
        <v>2957410</v>
      </c>
      <c r="Z21" s="150">
        <f>'5C1N_Delta'!$W$84</f>
        <v>-7394</v>
      </c>
      <c r="AA21" s="152">
        <f>'5C1N_Delta'!$X$84</f>
        <v>2950016</v>
      </c>
      <c r="AB21" s="149">
        <f>'5C1N_Delta'!$Y$84</f>
        <v>0</v>
      </c>
      <c r="AC21" s="154">
        <f>('5C1N_Delta'!$Z$79+'5C1N_Delta'!$Z$83)</f>
        <v>13098</v>
      </c>
      <c r="AD21" s="152">
        <f>'5C1N_Delta'!$Z$84</f>
        <v>2963114</v>
      </c>
      <c r="AE21" s="155">
        <f>'5C1N_Delta'!$AA$84</f>
        <v>1985190</v>
      </c>
      <c r="AF21" s="149">
        <f>'5C1N_Delta'!$AB$84</f>
        <v>977924</v>
      </c>
      <c r="AG21" s="156">
        <f>'5C1N_Delta'!$AC$84</f>
        <v>244482</v>
      </c>
      <c r="AH21" s="154">
        <f>('5C1N_Delta'!$AD$80+'5C1N_Delta'!$AD$81+'5C1N_Delta'!$AD$82)</f>
        <v>10000</v>
      </c>
      <c r="AI21" s="156">
        <f>'5C1N_Delta'!$AD$84</f>
        <v>2973114</v>
      </c>
      <c r="AJ21" s="157"/>
      <c r="AK21" s="158">
        <f>'5C1N_Delta'!$AF$84</f>
        <v>1633521</v>
      </c>
      <c r="AL21" s="148">
        <f>'5C1N_Delta'!$AG$84</f>
        <v>0</v>
      </c>
      <c r="AM21" s="157">
        <f>'5C1N_Delta'!$AH$84</f>
        <v>44603</v>
      </c>
      <c r="AN21" s="148">
        <f>'5C1N_Delta'!$AI$84</f>
        <v>-10</v>
      </c>
      <c r="AO21" s="159">
        <f>'5C1N_Delta'!$AJ$84</f>
        <v>-20008</v>
      </c>
      <c r="AP21" s="160">
        <f>'5C1N_Delta'!$AK$84</f>
        <v>24595</v>
      </c>
      <c r="AQ21" s="158">
        <f>'5C1N_Delta'!$AL$84</f>
        <v>1658116</v>
      </c>
      <c r="AR21" s="161">
        <f>'5C1N_Delta'!$AM$84</f>
        <v>-4145</v>
      </c>
      <c r="AS21" s="158">
        <f>'5C1N_Delta'!$AN$84</f>
        <v>1653971</v>
      </c>
      <c r="AT21" s="159">
        <f>'5C1N_Delta'!$AO$84</f>
        <v>0</v>
      </c>
      <c r="AU21" s="158">
        <f>'5C1N_Delta'!$AP$84</f>
        <v>1653971</v>
      </c>
      <c r="AV21" s="159">
        <f>'5C1N_Delta'!$AQ$84</f>
        <v>1045332</v>
      </c>
      <c r="AW21" s="159">
        <f>'5C1N_Delta'!$AR$84</f>
        <v>608639</v>
      </c>
      <c r="AX21" s="158">
        <f>'5C1N_Delta'!$AS$84</f>
        <v>152160</v>
      </c>
    </row>
    <row r="22" spans="1:50" ht="15.75" customHeight="1" x14ac:dyDescent="0.2">
      <c r="A22" s="128" t="s">
        <v>418</v>
      </c>
      <c r="B22" s="229"/>
      <c r="C22" s="688"/>
      <c r="D22" s="115" t="s">
        <v>251</v>
      </c>
      <c r="E22" s="116">
        <f>'5C1S_LC Col Prep'!$C$84</f>
        <v>494</v>
      </c>
      <c r="F22" s="117"/>
      <c r="G22" s="118">
        <f>'5C1S_LC Col Prep'!$E$84</f>
        <v>1672315.9376848289</v>
      </c>
      <c r="H22" s="119">
        <f>'5C1S_LC Col Prep'!$F$84</f>
        <v>359</v>
      </c>
      <c r="I22" s="117"/>
      <c r="J22" s="118">
        <f>'5C1S_LC Col Prep'!$H$84</f>
        <v>172390.72837194402</v>
      </c>
      <c r="K22" s="1106">
        <f>'5C1S_LC Col Prep'!$I$84</f>
        <v>733</v>
      </c>
      <c r="L22" s="117"/>
      <c r="M22" s="118">
        <f>'5C1S_LC Col Prep'!$K$84</f>
        <v>96208.667169909197</v>
      </c>
      <c r="N22" s="119">
        <f>'5C1S_LC Col Prep'!$L$84</f>
        <v>51</v>
      </c>
      <c r="O22" s="117"/>
      <c r="P22" s="118">
        <f>'5C1S_LC Col Prep'!$N$84</f>
        <v>166977.59838508122</v>
      </c>
      <c r="Q22" s="119">
        <f>'5C1S_LC Col Prep'!$O$84</f>
        <v>0</v>
      </c>
      <c r="R22" s="117"/>
      <c r="S22" s="118">
        <f>'5C1S_LC Col Prep'!$Q$84</f>
        <v>0</v>
      </c>
      <c r="T22" s="851">
        <f>'5C1S_LC Col Prep'!$R$77</f>
        <v>51200</v>
      </c>
      <c r="U22" s="120">
        <f>'5C1S_LC Col Prep'!$R$84</f>
        <v>2159093</v>
      </c>
      <c r="V22" s="117">
        <f>'5C1S_LC Col Prep'!$S$84</f>
        <v>271831</v>
      </c>
      <c r="W22" s="117">
        <f>'5C1S_LC Col Prep'!$T$84</f>
        <v>-85422</v>
      </c>
      <c r="X22" s="121">
        <f>'5C1S_LC Col Prep'!$U$84</f>
        <v>186409</v>
      </c>
      <c r="Y22" s="120">
        <f>'5C1S_LC Col Prep'!$V$84</f>
        <v>2345502</v>
      </c>
      <c r="Z22" s="118">
        <f>'5C1S_LC Col Prep'!$W$84</f>
        <v>-5864</v>
      </c>
      <c r="AA22" s="120">
        <f>'5C1S_LC Col Prep'!$X$84</f>
        <v>2339638</v>
      </c>
      <c r="AB22" s="117">
        <f>'5C1S_LC Col Prep'!$Y$84</f>
        <v>-1968</v>
      </c>
      <c r="AC22" s="132">
        <f>('5C1S_LC Col Prep'!$Z$79+'5C1S_LC Col Prep'!$Z$83)</f>
        <v>29146</v>
      </c>
      <c r="AD22" s="120">
        <f>'5C1S_LC Col Prep'!$Z$84</f>
        <v>2366816</v>
      </c>
      <c r="AE22" s="117">
        <f>'5C1S_LC Col Prep'!$AA$84</f>
        <v>1547226</v>
      </c>
      <c r="AF22" s="117">
        <f>'5C1S_LC Col Prep'!$AB$84</f>
        <v>819590</v>
      </c>
      <c r="AG22" s="120">
        <f>'5C1S_LC Col Prep'!$AC$84</f>
        <v>204898</v>
      </c>
      <c r="AH22" s="132">
        <f>('5C1S_LC Col Prep'!$AD$80+'5C1S_LC Col Prep'!$AD$81+'5C1S_LC Col Prep'!$AD$82)</f>
        <v>42898</v>
      </c>
      <c r="AI22" s="122">
        <f>'5C1S_LC Col Prep'!$AD$84</f>
        <v>2409714</v>
      </c>
      <c r="AJ22" s="123"/>
      <c r="AK22" s="124">
        <f>'5C1S_LC Col Prep'!$AF$84</f>
        <v>3737376</v>
      </c>
      <c r="AL22" s="116">
        <f>'5C1S_LC Col Prep'!$AG$84</f>
        <v>55</v>
      </c>
      <c r="AM22" s="123">
        <f>'5C1S_LC Col Prep'!$AH$84</f>
        <v>416570</v>
      </c>
      <c r="AN22" s="116">
        <f>'5C1S_LC Col Prep'!$AI$84</f>
        <v>-45</v>
      </c>
      <c r="AO22" s="125">
        <f>'5C1S_LC Col Prep'!$AJ$84</f>
        <v>-170415</v>
      </c>
      <c r="AP22" s="126">
        <f>'5C1S_LC Col Prep'!$AK$84</f>
        <v>246155</v>
      </c>
      <c r="AQ22" s="124">
        <f>'5C1S_LC Col Prep'!$AL$84</f>
        <v>3983531</v>
      </c>
      <c r="AR22" s="127">
        <f>'5C1S_LC Col Prep'!$AM$84</f>
        <v>-9958</v>
      </c>
      <c r="AS22" s="124">
        <f>'5C1S_LC Col Prep'!$AN$84</f>
        <v>3973573</v>
      </c>
      <c r="AT22" s="125">
        <f>'5C1S_LC Col Prep'!$AO$84</f>
        <v>-3906</v>
      </c>
      <c r="AU22" s="124">
        <f>'5C1S_LC Col Prep'!$AP$84</f>
        <v>3969667</v>
      </c>
      <c r="AV22" s="125">
        <f>'5C1S_LC Col Prep'!$AQ$84</f>
        <v>2523754</v>
      </c>
      <c r="AW22" s="125">
        <f>'5C1S_LC Col Prep'!$AR$84</f>
        <v>1445913</v>
      </c>
      <c r="AX22" s="124">
        <f>'5C1S_LC Col Prep'!$AS$84</f>
        <v>361479</v>
      </c>
    </row>
    <row r="23" spans="1:50" ht="15.75" customHeight="1" x14ac:dyDescent="0.2">
      <c r="A23" s="129" t="s">
        <v>419</v>
      </c>
      <c r="B23" s="230"/>
      <c r="C23" s="230"/>
      <c r="D23" s="133" t="s">
        <v>252</v>
      </c>
      <c r="E23" s="134">
        <f>'5C1T_Northeast'!$C$84</f>
        <v>184</v>
      </c>
      <c r="F23" s="135"/>
      <c r="G23" s="136">
        <f>'5C1T_Northeast'!$E$84</f>
        <v>952936.98064546636</v>
      </c>
      <c r="H23" s="137">
        <f>'5C1T_Northeast'!$F$84</f>
        <v>150</v>
      </c>
      <c r="I23" s="135"/>
      <c r="J23" s="136">
        <f>'5C1T_Northeast'!$H$84</f>
        <v>101042.19216481668</v>
      </c>
      <c r="K23" s="1107">
        <f>'5C1T_Northeast'!$I$84</f>
        <v>131.5</v>
      </c>
      <c r="L23" s="135"/>
      <c r="M23" s="136">
        <f>'5C1T_Northeast'!$K$84</f>
        <v>24051.610795965636</v>
      </c>
      <c r="N23" s="137">
        <f>'5C1T_Northeast'!$L$84</f>
        <v>22</v>
      </c>
      <c r="O23" s="135"/>
      <c r="P23" s="136">
        <f>'5C1T_Northeast'!$N$84</f>
        <v>100502.15078237817</v>
      </c>
      <c r="Q23" s="137">
        <f>'5C1T_Northeast'!$O$84</f>
        <v>0</v>
      </c>
      <c r="R23" s="135"/>
      <c r="S23" s="136">
        <f>'5C1T_Northeast'!$Q$84</f>
        <v>0</v>
      </c>
      <c r="T23" s="852">
        <f>'5C1T_Northeast'!$R$77</f>
        <v>11442</v>
      </c>
      <c r="U23" s="138">
        <f>'5C1T_Northeast'!$R$84</f>
        <v>1189975</v>
      </c>
      <c r="V23" s="135">
        <f>'5C1T_Northeast'!$S$84</f>
        <v>-17851</v>
      </c>
      <c r="W23" s="135">
        <f>'5C1T_Northeast'!$T$84</f>
        <v>-5703</v>
      </c>
      <c r="X23" s="139">
        <f>'5C1T_Northeast'!$U$84</f>
        <v>-23554</v>
      </c>
      <c r="Y23" s="138">
        <f>'5C1T_Northeast'!$V$84</f>
        <v>1166421</v>
      </c>
      <c r="Z23" s="136">
        <f>'5C1T_Northeast'!$W$84</f>
        <v>-2917</v>
      </c>
      <c r="AA23" s="138">
        <f>'5C1T_Northeast'!$X$84</f>
        <v>1163504</v>
      </c>
      <c r="AB23" s="135">
        <f>'5C1T_Northeast'!$Y$84</f>
        <v>0</v>
      </c>
      <c r="AC23" s="140">
        <f>('5C1T_Northeast'!$Z$79+'5C1T_Northeast'!$Z$83)</f>
        <v>4661</v>
      </c>
      <c r="AD23" s="138">
        <f>'5C1T_Northeast'!$Z$84</f>
        <v>1168165</v>
      </c>
      <c r="AE23" s="135">
        <f>'5C1T_Northeast'!$AA$84</f>
        <v>789142</v>
      </c>
      <c r="AF23" s="135">
        <f>'5C1T_Northeast'!$AB$84</f>
        <v>379023</v>
      </c>
      <c r="AG23" s="138">
        <f>'5C1T_Northeast'!$AC$84</f>
        <v>94756</v>
      </c>
      <c r="AH23" s="140">
        <f>('5C1T_Northeast'!$AD$80+'5C1T_Northeast'!$AD$81+'5C1T_Northeast'!$AD$82)</f>
        <v>10000</v>
      </c>
      <c r="AI23" s="141">
        <f>'5C1T_Northeast'!$AD$84</f>
        <v>1178165</v>
      </c>
      <c r="AJ23" s="142"/>
      <c r="AK23" s="143">
        <f>'5C1T_Northeast'!$AF$84</f>
        <v>805002</v>
      </c>
      <c r="AL23" s="134">
        <f>'5C1T_Northeast'!$AG$84</f>
        <v>-3</v>
      </c>
      <c r="AM23" s="142">
        <f>'5C1T_Northeast'!$AH$84</f>
        <v>-10549</v>
      </c>
      <c r="AN23" s="134">
        <f>'5C1T_Northeast'!$AI$84</f>
        <v>-1</v>
      </c>
      <c r="AO23" s="144">
        <f>'5C1T_Northeast'!$AJ$84</f>
        <v>-2379</v>
      </c>
      <c r="AP23" s="145">
        <f>'5C1T_Northeast'!$AK$84</f>
        <v>-12928</v>
      </c>
      <c r="AQ23" s="143">
        <f>'5C1T_Northeast'!$AL$84</f>
        <v>792074</v>
      </c>
      <c r="AR23" s="146">
        <f>'5C1T_Northeast'!$AM$84</f>
        <v>-1981</v>
      </c>
      <c r="AS23" s="143">
        <f>'5C1T_Northeast'!$AN$84</f>
        <v>790093</v>
      </c>
      <c r="AT23" s="144">
        <f>'5C1T_Northeast'!$AO$84</f>
        <v>0</v>
      </c>
      <c r="AU23" s="143">
        <f>'5C1T_Northeast'!$AP$84</f>
        <v>790093</v>
      </c>
      <c r="AV23" s="144">
        <f>'5C1T_Northeast'!$AQ$84</f>
        <v>509666</v>
      </c>
      <c r="AW23" s="144">
        <f>'5C1T_Northeast'!$AR$84</f>
        <v>280427</v>
      </c>
      <c r="AX23" s="143">
        <f>'5C1T_Northeast'!$AS$84</f>
        <v>70106</v>
      </c>
    </row>
    <row r="24" spans="1:50" ht="15.75" customHeight="1" x14ac:dyDescent="0.2">
      <c r="A24" s="129" t="s">
        <v>420</v>
      </c>
      <c r="B24" s="230"/>
      <c r="C24" s="230"/>
      <c r="D24" s="133" t="s">
        <v>253</v>
      </c>
      <c r="E24" s="134">
        <f>'5C1U_Acadiana Ren'!$C$84</f>
        <v>896</v>
      </c>
      <c r="F24" s="135"/>
      <c r="G24" s="136">
        <f>'5C1U_Acadiana Ren'!$E$84</f>
        <v>3414751.3966409038</v>
      </c>
      <c r="H24" s="137">
        <f>'5C1U_Acadiana Ren'!$F$84</f>
        <v>345</v>
      </c>
      <c r="I24" s="135"/>
      <c r="J24" s="136">
        <f>'5C1U_Acadiana Ren'!$H$84</f>
        <v>182351.3102239552</v>
      </c>
      <c r="K24" s="1107">
        <f>'5C1U_Acadiana Ren'!$I$84</f>
        <v>286</v>
      </c>
      <c r="L24" s="135"/>
      <c r="M24" s="136">
        <f>'5C1U_Acadiana Ren'!$K$84</f>
        <v>40785.078349252988</v>
      </c>
      <c r="N24" s="137">
        <f>'5C1U_Acadiana Ren'!$L$84</f>
        <v>51</v>
      </c>
      <c r="O24" s="135"/>
      <c r="P24" s="136">
        <f>'5C1U_Acadiana Ren'!$N$84</f>
        <v>184679.67474580961</v>
      </c>
      <c r="Q24" s="137">
        <f>'5C1U_Acadiana Ren'!$O$84</f>
        <v>44</v>
      </c>
      <c r="R24" s="135"/>
      <c r="S24" s="136">
        <f>'5C1U_Acadiana Ren'!$Q$84</f>
        <v>61600.104330553717</v>
      </c>
      <c r="T24" s="852">
        <f>'5C1U_Acadiana Ren'!$R$77</f>
        <v>126898</v>
      </c>
      <c r="U24" s="138">
        <f>'5C1U_Acadiana Ren'!$R$84</f>
        <v>4011066</v>
      </c>
      <c r="V24" s="135">
        <f>'5C1U_Acadiana Ren'!$S$84</f>
        <v>2341966</v>
      </c>
      <c r="W24" s="135">
        <f>'5C1U_Acadiana Ren'!$T$84</f>
        <v>-45530</v>
      </c>
      <c r="X24" s="139">
        <f>'5C1U_Acadiana Ren'!$U$84</f>
        <v>2296436</v>
      </c>
      <c r="Y24" s="138">
        <f>'5C1U_Acadiana Ren'!$V$84</f>
        <v>6307502</v>
      </c>
      <c r="Z24" s="136">
        <f>'5C1U_Acadiana Ren'!$W$84</f>
        <v>-15769</v>
      </c>
      <c r="AA24" s="138">
        <f>'5C1U_Acadiana Ren'!$X$84</f>
        <v>6291733</v>
      </c>
      <c r="AB24" s="135">
        <f>'5C1U_Acadiana Ren'!$Y$84</f>
        <v>0</v>
      </c>
      <c r="AC24" s="140">
        <f>('5C1U_Acadiana Ren'!$Z$79+'5C1U_Acadiana Ren'!$Z$83)</f>
        <v>11446</v>
      </c>
      <c r="AD24" s="138">
        <f>'5C1U_Acadiana Ren'!$Z$84</f>
        <v>6303179</v>
      </c>
      <c r="AE24" s="135">
        <f>'5C1U_Acadiana Ren'!$AA$84</f>
        <v>3439686</v>
      </c>
      <c r="AF24" s="135">
        <f>'5C1U_Acadiana Ren'!$AB$84</f>
        <v>2863493</v>
      </c>
      <c r="AG24" s="138">
        <f>'5C1U_Acadiana Ren'!$AC$84</f>
        <v>715875</v>
      </c>
      <c r="AH24" s="140">
        <f>('5C1U_Acadiana Ren'!$AD$80+'5C1U_Acadiana Ren'!$AD$81+'5C1U_Acadiana Ren'!$AD$82)</f>
        <v>13014</v>
      </c>
      <c r="AI24" s="141">
        <f>'5C1U_Acadiana Ren'!$AD$84</f>
        <v>6316193</v>
      </c>
      <c r="AJ24" s="142"/>
      <c r="AK24" s="143">
        <f>'5C1U_Acadiana Ren'!$AF$84</f>
        <v>4806912</v>
      </c>
      <c r="AL24" s="134">
        <f>'5C1U_Acadiana Ren'!$AG$84</f>
        <v>520</v>
      </c>
      <c r="AM24" s="142">
        <f>'5C1U_Acadiana Ren'!$AH$84</f>
        <v>2745125</v>
      </c>
      <c r="AN24" s="134">
        <f>'5C1U_Acadiana Ren'!$AI$84</f>
        <v>-16</v>
      </c>
      <c r="AO24" s="144">
        <f>'5C1U_Acadiana Ren'!$AJ$84</f>
        <v>-24218</v>
      </c>
      <c r="AP24" s="145">
        <f>'5C1U_Acadiana Ren'!$AK$84</f>
        <v>2720907</v>
      </c>
      <c r="AQ24" s="143">
        <f>'5C1U_Acadiana Ren'!$AL$84</f>
        <v>7527819</v>
      </c>
      <c r="AR24" s="146">
        <f>'5C1U_Acadiana Ren'!$AM$84</f>
        <v>-18819</v>
      </c>
      <c r="AS24" s="143">
        <f>'5C1U_Acadiana Ren'!$AN$84</f>
        <v>7509000</v>
      </c>
      <c r="AT24" s="144">
        <f>'5C1U_Acadiana Ren'!$AO$84</f>
        <v>0</v>
      </c>
      <c r="AU24" s="143">
        <f>'5C1U_Acadiana Ren'!$AP$84</f>
        <v>7509000</v>
      </c>
      <c r="AV24" s="144">
        <f>'5C1U_Acadiana Ren'!$AQ$84</f>
        <v>4074924</v>
      </c>
      <c r="AW24" s="144">
        <f>'5C1U_Acadiana Ren'!$AR$84</f>
        <v>3434076</v>
      </c>
      <c r="AX24" s="143">
        <f>'5C1U_Acadiana Ren'!$AS$84</f>
        <v>858520</v>
      </c>
    </row>
    <row r="25" spans="1:50" ht="15.75" customHeight="1" x14ac:dyDescent="0.2">
      <c r="A25" s="129" t="s">
        <v>421</v>
      </c>
      <c r="B25" s="230"/>
      <c r="C25" s="230"/>
      <c r="D25" s="133" t="s">
        <v>240</v>
      </c>
      <c r="E25" s="134">
        <f>'5C1I_LA Key'!$C$84</f>
        <v>390</v>
      </c>
      <c r="F25" s="135"/>
      <c r="G25" s="136">
        <f>'5C1I_LA Key'!$E$84</f>
        <v>1469572.742387115</v>
      </c>
      <c r="H25" s="137">
        <f>'5C1I_LA Key'!$F$84</f>
        <v>248</v>
      </c>
      <c r="I25" s="135"/>
      <c r="J25" s="136">
        <f>'5C1I_LA Key'!$H$84</f>
        <v>117485.49668507927</v>
      </c>
      <c r="K25" s="1107">
        <f>'5C1I_LA Key'!$I$84</f>
        <v>135</v>
      </c>
      <c r="L25" s="135"/>
      <c r="M25" s="136">
        <f>'5C1I_LA Key'!$K$84</f>
        <v>17778.701818614252</v>
      </c>
      <c r="N25" s="137">
        <f>'5C1I_LA Key'!$L$84</f>
        <v>238</v>
      </c>
      <c r="O25" s="135"/>
      <c r="P25" s="136">
        <f>'5C1I_LA Key'!$N$84</f>
        <v>781936.3448577997</v>
      </c>
      <c r="Q25" s="137">
        <f>'5C1I_LA Key'!$O$84</f>
        <v>0</v>
      </c>
      <c r="R25" s="135"/>
      <c r="S25" s="136">
        <f>'5C1I_LA Key'!$Q$84</f>
        <v>0</v>
      </c>
      <c r="T25" s="852">
        <f>'5C1I_LA Key'!$R$77</f>
        <v>73931</v>
      </c>
      <c r="U25" s="138">
        <f>'5C1I_LA Key'!$R$84</f>
        <v>2460705</v>
      </c>
      <c r="V25" s="135">
        <f>'5C1I_LA Key'!$S$84</f>
        <v>-42054</v>
      </c>
      <c r="W25" s="135">
        <f>'5C1I_LA Key'!$T$84</f>
        <v>121526</v>
      </c>
      <c r="X25" s="139">
        <f>'5C1I_LA Key'!$U$84</f>
        <v>79472</v>
      </c>
      <c r="Y25" s="138">
        <f>'5C1I_LA Key'!$V$84</f>
        <v>2540177</v>
      </c>
      <c r="Z25" s="136">
        <f>'5C1I_LA Key'!$W$84</f>
        <v>-6350</v>
      </c>
      <c r="AA25" s="138">
        <f>'5C1I_LA Key'!$X$84</f>
        <v>2533827</v>
      </c>
      <c r="AB25" s="135">
        <f>'5C1I_LA Key'!$Y$84</f>
        <v>0</v>
      </c>
      <c r="AC25" s="140">
        <f>('5C1I_LA Key'!$Z$79+'5C1I_LA Key'!$Z$83)</f>
        <v>5074</v>
      </c>
      <c r="AD25" s="138">
        <f>'5C1I_LA Key'!$Z$84</f>
        <v>2538901</v>
      </c>
      <c r="AE25" s="135">
        <f>'5C1I_LA Key'!$AA$84</f>
        <v>1623058</v>
      </c>
      <c r="AF25" s="135">
        <f>'5C1I_LA Key'!$AB$84</f>
        <v>915843</v>
      </c>
      <c r="AG25" s="138">
        <f>'5C1I_LA Key'!$AC$84</f>
        <v>228964</v>
      </c>
      <c r="AH25" s="140">
        <f>('5C1I_LA Key'!$AD$80+'5C1I_LA Key'!$AD$81+'5C1I_LA Key'!$AD$82)</f>
        <v>0</v>
      </c>
      <c r="AI25" s="141">
        <f>'5C1I_LA Key'!$AD$84</f>
        <v>2538901</v>
      </c>
      <c r="AJ25" s="142"/>
      <c r="AK25" s="143">
        <f>'5C1I_LA Key'!$AF$84</f>
        <v>2929111</v>
      </c>
      <c r="AL25" s="134">
        <f>'5C1I_LA Key'!$AG$84</f>
        <v>14</v>
      </c>
      <c r="AM25" s="142">
        <f>'5C1I_LA Key'!$AH$84</f>
        <v>62846</v>
      </c>
      <c r="AN25" s="134">
        <f>'5C1I_LA Key'!$AI$84</f>
        <v>25</v>
      </c>
      <c r="AO25" s="144">
        <f>'5C1I_LA Key'!$AJ$84</f>
        <v>87209</v>
      </c>
      <c r="AP25" s="145">
        <f>'5C1I_LA Key'!$AK$84</f>
        <v>150055</v>
      </c>
      <c r="AQ25" s="143">
        <f>'5C1I_LA Key'!$AL$84</f>
        <v>3079166</v>
      </c>
      <c r="AR25" s="146">
        <f>'5C1I_LA Key'!$AM$84</f>
        <v>-7696</v>
      </c>
      <c r="AS25" s="143">
        <f>'5C1I_LA Key'!$AN$84</f>
        <v>3071470</v>
      </c>
      <c r="AT25" s="144">
        <f>'5C1I_LA Key'!$AO$84</f>
        <v>0</v>
      </c>
      <c r="AU25" s="143">
        <f>'5C1I_LA Key'!$AP$84</f>
        <v>3071470</v>
      </c>
      <c r="AV25" s="144">
        <f>'5C1I_LA Key'!$AQ$84</f>
        <v>1914140</v>
      </c>
      <c r="AW25" s="144">
        <f>'5C1I_LA Key'!$AR$84</f>
        <v>1157330</v>
      </c>
      <c r="AX25" s="143">
        <f>'5C1I_LA Key'!$AS$84</f>
        <v>289336</v>
      </c>
    </row>
    <row r="26" spans="1:50" ht="15.75" customHeight="1" x14ac:dyDescent="0.2">
      <c r="A26" s="130" t="s">
        <v>422</v>
      </c>
      <c r="B26" s="231"/>
      <c r="C26" s="692"/>
      <c r="D26" s="147" t="s">
        <v>254</v>
      </c>
      <c r="E26" s="148">
        <f>'5C1V_Laf Ren'!$C$84</f>
        <v>968</v>
      </c>
      <c r="F26" s="149"/>
      <c r="G26" s="150">
        <f>'5C1V_Laf Ren'!$E$84</f>
        <v>3663487.9073891235</v>
      </c>
      <c r="H26" s="151">
        <f>'5C1V_Laf Ren'!$F$84</f>
        <v>835</v>
      </c>
      <c r="I26" s="149"/>
      <c r="J26" s="150">
        <f>'5C1V_Laf Ren'!$H$84</f>
        <v>432942.2212981293</v>
      </c>
      <c r="K26" s="1108">
        <f>'5C1V_Laf Ren'!$I$84</f>
        <v>68</v>
      </c>
      <c r="L26" s="149"/>
      <c r="M26" s="150">
        <f>'5C1V_Laf Ren'!$K$84</f>
        <v>9554.1241287653702</v>
      </c>
      <c r="N26" s="151">
        <f>'5C1V_Laf Ren'!$L$84</f>
        <v>67</v>
      </c>
      <c r="O26" s="149"/>
      <c r="P26" s="150">
        <f>'5C1V_Laf Ren'!$N$84</f>
        <v>238326.36861013871</v>
      </c>
      <c r="Q26" s="151">
        <f>'5C1V_Laf Ren'!$O$84</f>
        <v>23</v>
      </c>
      <c r="R26" s="149"/>
      <c r="S26" s="150">
        <f>'5C1V_Laf Ren'!$Q$84</f>
        <v>33364.681785818262</v>
      </c>
      <c r="T26" s="853">
        <f>'5C1V_Laf Ren'!$R$77</f>
        <v>95779</v>
      </c>
      <c r="U26" s="152">
        <f>'5C1V_Laf Ren'!$R$84</f>
        <v>4473454</v>
      </c>
      <c r="V26" s="149">
        <f>'5C1V_Laf Ren'!$S$84</f>
        <v>37865</v>
      </c>
      <c r="W26" s="149">
        <f>'5C1V_Laf Ren'!$T$84</f>
        <v>63867</v>
      </c>
      <c r="X26" s="153">
        <f>'5C1V_Laf Ren'!$U$84</f>
        <v>101732</v>
      </c>
      <c r="Y26" s="152">
        <f>'5C1V_Laf Ren'!$V$84</f>
        <v>4575186</v>
      </c>
      <c r="Z26" s="150">
        <f>'5C1V_Laf Ren'!$W$84</f>
        <v>-11438</v>
      </c>
      <c r="AA26" s="152">
        <f>'5C1V_Laf Ren'!$X$84</f>
        <v>4563748</v>
      </c>
      <c r="AB26" s="149">
        <f>'5C1V_Laf Ren'!$Y$84</f>
        <v>0</v>
      </c>
      <c r="AC26" s="154">
        <f>('5C1V_Laf Ren'!$Z$79+'5C1V_Laf Ren'!$Z$83)</f>
        <v>12390</v>
      </c>
      <c r="AD26" s="152">
        <f>'5C1V_Laf Ren'!$Z$84</f>
        <v>4576138</v>
      </c>
      <c r="AE26" s="155">
        <f>'5C1V_Laf Ren'!$AA$84</f>
        <v>2996928</v>
      </c>
      <c r="AF26" s="149">
        <f>'5C1V_Laf Ren'!$AB$84</f>
        <v>1579210</v>
      </c>
      <c r="AG26" s="156">
        <f>'5C1V_Laf Ren'!$AC$84</f>
        <v>394804</v>
      </c>
      <c r="AH26" s="154">
        <f>('5C1V_Laf Ren'!$AD$80+'5C1V_Laf Ren'!$AD$81+'5C1V_Laf Ren'!$AD$82)</f>
        <v>0</v>
      </c>
      <c r="AI26" s="156">
        <f>'5C1V_Laf Ren'!$AD$84</f>
        <v>4576138</v>
      </c>
      <c r="AJ26" s="157"/>
      <c r="AK26" s="158">
        <f>'5C1V_Laf Ren'!$AF$84</f>
        <v>5125816</v>
      </c>
      <c r="AL26" s="148">
        <f>'5C1V_Laf Ren'!$AG$84</f>
        <v>10</v>
      </c>
      <c r="AM26" s="157">
        <f>'5C1V_Laf Ren'!$AH$84</f>
        <v>43372</v>
      </c>
      <c r="AN26" s="148">
        <f>'5C1V_Laf Ren'!$AI$84</f>
        <v>22</v>
      </c>
      <c r="AO26" s="159">
        <f>'5C1V_Laf Ren'!$AJ$84</f>
        <v>48272</v>
      </c>
      <c r="AP26" s="160">
        <f>'5C1V_Laf Ren'!$AK$84</f>
        <v>91644</v>
      </c>
      <c r="AQ26" s="158">
        <f>'5C1V_Laf Ren'!$AL$84</f>
        <v>5217460</v>
      </c>
      <c r="AR26" s="161">
        <f>'5C1V_Laf Ren'!$AM$84</f>
        <v>-13043</v>
      </c>
      <c r="AS26" s="158">
        <f>'5C1V_Laf Ren'!$AN$84</f>
        <v>5204417</v>
      </c>
      <c r="AT26" s="159">
        <f>'5C1V_Laf Ren'!$AO$84</f>
        <v>0</v>
      </c>
      <c r="AU26" s="158">
        <f>'5C1V_Laf Ren'!$AP$84</f>
        <v>5204417</v>
      </c>
      <c r="AV26" s="159">
        <f>'5C1V_Laf Ren'!$AQ$84</f>
        <v>3389174</v>
      </c>
      <c r="AW26" s="159">
        <f>'5C1V_Laf Ren'!$AR$84</f>
        <v>1815243</v>
      </c>
      <c r="AX26" s="158">
        <f>'5C1V_Laf Ren'!$AS$84</f>
        <v>453814</v>
      </c>
    </row>
    <row r="27" spans="1:50" ht="15.75" customHeight="1" x14ac:dyDescent="0.2">
      <c r="A27" s="128" t="s">
        <v>423</v>
      </c>
      <c r="B27" s="229"/>
      <c r="C27" s="688"/>
      <c r="D27" s="115" t="s">
        <v>249</v>
      </c>
      <c r="E27" s="116">
        <f>'5C1O_Impact'!$C$84</f>
        <v>401</v>
      </c>
      <c r="F27" s="117"/>
      <c r="G27" s="118">
        <f>'5C1O_Impact'!$E$84</f>
        <v>1814312.783505952</v>
      </c>
      <c r="H27" s="119">
        <f>'5C1O_Impact'!$F$84</f>
        <v>348</v>
      </c>
      <c r="I27" s="117"/>
      <c r="J27" s="118">
        <f>'5C1O_Impact'!$H$84</f>
        <v>198980.23636930529</v>
      </c>
      <c r="K27" s="1106">
        <f>'5C1O_Impact'!$I$84</f>
        <v>21.5</v>
      </c>
      <c r="L27" s="117"/>
      <c r="M27" s="118">
        <f>'5C1O_Impact'!$K$84</f>
        <v>3474.692090192284</v>
      </c>
      <c r="N27" s="119">
        <f>'5C1O_Impact'!$L$84</f>
        <v>37</v>
      </c>
      <c r="O27" s="117"/>
      <c r="P27" s="118">
        <f>'5C1O_Impact'!$N$84</f>
        <v>134317.92298378985</v>
      </c>
      <c r="Q27" s="119">
        <f>'5C1O_Impact'!$O$84</f>
        <v>0</v>
      </c>
      <c r="R27" s="117"/>
      <c r="S27" s="118">
        <f>'5C1O_Impact'!$Q$84</f>
        <v>0</v>
      </c>
      <c r="T27" s="851">
        <f>'5C1O_Impact'!$R$77</f>
        <v>57443</v>
      </c>
      <c r="U27" s="120">
        <f>'5C1O_Impact'!$R$84</f>
        <v>2208529</v>
      </c>
      <c r="V27" s="117">
        <f>'5C1O_Impact'!$S$84</f>
        <v>-60018</v>
      </c>
      <c r="W27" s="117">
        <f>'5C1O_Impact'!$T$84</f>
        <v>-63814</v>
      </c>
      <c r="X27" s="121">
        <f>'5C1O_Impact'!$U$84</f>
        <v>-123832</v>
      </c>
      <c r="Y27" s="120">
        <f>'5C1O_Impact'!$V$84</f>
        <v>2084697</v>
      </c>
      <c r="Z27" s="118">
        <f>'5C1O_Impact'!$W$84</f>
        <v>-5213</v>
      </c>
      <c r="AA27" s="120">
        <f>'5C1O_Impact'!$X$84</f>
        <v>2079484</v>
      </c>
      <c r="AB27" s="117">
        <f>'5C1O_Impact'!$Y$84</f>
        <v>0</v>
      </c>
      <c r="AC27" s="132">
        <f>('5C1O_Impact'!$Z$79+'5C1O_Impact'!$Z$83)</f>
        <v>4071</v>
      </c>
      <c r="AD27" s="120">
        <f>'5C1O_Impact'!$Z$84</f>
        <v>2083555</v>
      </c>
      <c r="AE27" s="117">
        <f>'5C1O_Impact'!$AA$84</f>
        <v>1446444</v>
      </c>
      <c r="AF27" s="117">
        <f>'5C1O_Impact'!$AB$84</f>
        <v>637111</v>
      </c>
      <c r="AG27" s="120">
        <f>'5C1O_Impact'!$AC$84</f>
        <v>159278</v>
      </c>
      <c r="AH27" s="132">
        <f>('5C1O_Impact'!$AD$80+'5C1O_Impact'!$AD$81+'5C1O_Impact'!$AD$82)</f>
        <v>4579</v>
      </c>
      <c r="AI27" s="122">
        <f>'5C1O_Impact'!$AD$84</f>
        <v>2088134</v>
      </c>
      <c r="AJ27" s="123"/>
      <c r="AK27" s="124">
        <f>'5C1O_Impact'!$AF$84</f>
        <v>2308646</v>
      </c>
      <c r="AL27" s="116">
        <f>'5C1O_Impact'!$AG$84</f>
        <v>-18</v>
      </c>
      <c r="AM27" s="123">
        <f>'5C1O_Impact'!$AH$84</f>
        <v>-190987</v>
      </c>
      <c r="AN27" s="116">
        <f>'5C1O_Impact'!$AI$84</f>
        <v>-3</v>
      </c>
      <c r="AO27" s="125">
        <f>'5C1O_Impact'!$AJ$84</f>
        <v>91756</v>
      </c>
      <c r="AP27" s="126">
        <f>'5C1O_Impact'!$AK$84</f>
        <v>-99231</v>
      </c>
      <c r="AQ27" s="124">
        <f>'5C1O_Impact'!$AL$84</f>
        <v>2209415</v>
      </c>
      <c r="AR27" s="127">
        <f>'5C1O_Impact'!$AM$84</f>
        <v>-5524</v>
      </c>
      <c r="AS27" s="124">
        <f>'5C1O_Impact'!$AN$84</f>
        <v>2203891</v>
      </c>
      <c r="AT27" s="125">
        <f>'5C1O_Impact'!$AO$84</f>
        <v>0</v>
      </c>
      <c r="AU27" s="124">
        <f>'5C1O_Impact'!$AP$84</f>
        <v>2203891</v>
      </c>
      <c r="AV27" s="125">
        <f>'5C1O_Impact'!$AQ$84</f>
        <v>1430150</v>
      </c>
      <c r="AW27" s="125">
        <f>'5C1O_Impact'!$AR$84</f>
        <v>773741</v>
      </c>
      <c r="AX27" s="124">
        <f>'5C1O_Impact'!$AS$84</f>
        <v>193436</v>
      </c>
    </row>
    <row r="28" spans="1:50" ht="15.75" customHeight="1" x14ac:dyDescent="0.2">
      <c r="A28" s="129" t="s">
        <v>424</v>
      </c>
      <c r="B28" s="230"/>
      <c r="C28" s="230"/>
      <c r="D28" s="133" t="s">
        <v>373</v>
      </c>
      <c r="E28" s="134">
        <f>'5C2_LAVCA'!$C$84</f>
        <v>1920</v>
      </c>
      <c r="F28" s="135"/>
      <c r="G28" s="136">
        <f>'5C2_LAVCA'!$E$84</f>
        <v>7583388.5463061426</v>
      </c>
      <c r="H28" s="137">
        <f>'5C2_LAVCA'!$F$84</f>
        <v>1496</v>
      </c>
      <c r="I28" s="135"/>
      <c r="J28" s="136">
        <f>'5C2_LAVCA'!$H$84</f>
        <v>796450.36902226007</v>
      </c>
      <c r="K28" s="1107">
        <f>'5C2_LAVCA'!$I$84</f>
        <v>696</v>
      </c>
      <c r="L28" s="135"/>
      <c r="M28" s="136">
        <f>'5C2_LAVCA'!$K$84</f>
        <v>101702.51822098171</v>
      </c>
      <c r="N28" s="137">
        <f>'5C2_LAVCA'!$L$84</f>
        <v>280</v>
      </c>
      <c r="O28" s="135"/>
      <c r="P28" s="136">
        <f>'5C2_LAVCA'!$N$84</f>
        <v>1030114.2957141573</v>
      </c>
      <c r="Q28" s="137">
        <f>'5C2_LAVCA'!$O$84</f>
        <v>52</v>
      </c>
      <c r="R28" s="135"/>
      <c r="S28" s="136">
        <f>'5C2_LAVCA'!$Q$84</f>
        <v>74871.375432966888</v>
      </c>
      <c r="T28" s="852">
        <f>'5C2_LAVCA'!$R$77</f>
        <v>104389</v>
      </c>
      <c r="U28" s="138">
        <f>'5C2_LAVCA'!$R$84</f>
        <v>9690914</v>
      </c>
      <c r="V28" s="135">
        <f>'5C2_LAVCA'!$T$84</f>
        <v>73236</v>
      </c>
      <c r="W28" s="135">
        <f>'5C2_LAVCA'!$U$84</f>
        <v>-23899</v>
      </c>
      <c r="X28" s="139">
        <f>'5C2_LAVCA'!$V$84</f>
        <v>49337</v>
      </c>
      <c r="Y28" s="138">
        <f>'5C2_LAVCA'!$W$84</f>
        <v>9740251</v>
      </c>
      <c r="Z28" s="136">
        <f>'5C2_LAVCA'!$X$84</f>
        <v>-24354</v>
      </c>
      <c r="AA28" s="138">
        <f>'5C2_LAVCA'!$Y$84</f>
        <v>9715897</v>
      </c>
      <c r="AB28" s="135">
        <f>'5C2_LAVCA'!$Z$84</f>
        <v>-13051</v>
      </c>
      <c r="AC28" s="140">
        <f>'5C2_LAVCA'!$AA$79+'5C2_LAVCA'!$AA$83</f>
        <v>67555</v>
      </c>
      <c r="AD28" s="138">
        <f>'5C2_LAVCA'!$AA$84</f>
        <v>9770401</v>
      </c>
      <c r="AE28" s="135">
        <f>'5C2_LAVCA'!$AB$84</f>
        <v>6507280</v>
      </c>
      <c r="AF28" s="135">
        <f>'5C2_LAVCA'!$AC$84</f>
        <v>3263121</v>
      </c>
      <c r="AG28" s="138">
        <f>'5C2_LAVCA'!$AD$84</f>
        <v>815785</v>
      </c>
      <c r="AH28" s="140">
        <f>'5C2_LAVCA'!$AE$80+'5C2_LAVCA'!$AE$81+'5C2_LAVCA'!$AE$82</f>
        <v>62419</v>
      </c>
      <c r="AI28" s="141">
        <f>'5C2_LAVCA'!$AE$84</f>
        <v>9832820</v>
      </c>
      <c r="AJ28" s="142"/>
      <c r="AK28" s="143">
        <f>'5C2_LAVCA'!$AG$84</f>
        <v>9262488</v>
      </c>
      <c r="AL28" s="134">
        <f>'5C2_LAVCA'!$AH$84</f>
        <v>0</v>
      </c>
      <c r="AM28" s="142">
        <f>'5C2_LAVCA'!$AI$84</f>
        <v>-83437</v>
      </c>
      <c r="AN28" s="134">
        <f>'5C2_LAVCA'!$AJ$84</f>
        <v>-2</v>
      </c>
      <c r="AO28" s="144">
        <f>'5C2_LAVCA'!$AK$84</f>
        <v>4985</v>
      </c>
      <c r="AP28" s="145">
        <f>'5C2_LAVCA'!$AL$84</f>
        <v>-78452</v>
      </c>
      <c r="AQ28" s="143">
        <f>'5C2_LAVCA'!$AM$84</f>
        <v>9184036</v>
      </c>
      <c r="AR28" s="146">
        <f>'5C2_LAVCA'!$AN$84</f>
        <v>-22962</v>
      </c>
      <c r="AS28" s="143">
        <f>'5C2_LAVCA'!$AO$84</f>
        <v>9161074</v>
      </c>
      <c r="AT28" s="144">
        <f>'5C2_LAVCA'!$AP$84</f>
        <v>-17331</v>
      </c>
      <c r="AU28" s="143">
        <f>'5C2_LAVCA'!$AQ$84</f>
        <v>9143743</v>
      </c>
      <c r="AV28" s="144">
        <f>'5C2_LAVCA'!$AR$84</f>
        <v>5851872</v>
      </c>
      <c r="AW28" s="144">
        <f>'5C2_LAVCA'!$AS$84</f>
        <v>3291871</v>
      </c>
      <c r="AX28" s="143">
        <f>'5C2_LAVCA'!$AT$84</f>
        <v>822973</v>
      </c>
    </row>
    <row r="29" spans="1:50" ht="15.75" customHeight="1" x14ac:dyDescent="0.2">
      <c r="A29" s="129" t="s">
        <v>425</v>
      </c>
      <c r="B29" s="230"/>
      <c r="C29" s="230"/>
      <c r="D29" s="133" t="s">
        <v>243</v>
      </c>
      <c r="E29" s="134">
        <f>'5C1H_Southwest'!$C$84</f>
        <v>685</v>
      </c>
      <c r="F29" s="135"/>
      <c r="G29" s="136">
        <f>'5C1H_Southwest'!$E$84</f>
        <v>2317139.6864063102</v>
      </c>
      <c r="H29" s="137">
        <f>'5C1H_Southwest'!$F$84</f>
        <v>614</v>
      </c>
      <c r="I29" s="135"/>
      <c r="J29" s="136">
        <f>'5C1H_Southwest'!$H$84</f>
        <v>294716.87894665293</v>
      </c>
      <c r="K29" s="1107">
        <f>'5C1H_Southwest'!$I$84</f>
        <v>113</v>
      </c>
      <c r="L29" s="135"/>
      <c r="M29" s="136">
        <f>'5C1H_Southwest'!$K$84</f>
        <v>14798.798915697394</v>
      </c>
      <c r="N29" s="137">
        <f>'5C1H_Southwest'!$L$84</f>
        <v>81</v>
      </c>
      <c r="O29" s="135"/>
      <c r="P29" s="136">
        <f>'5C1H_Southwest'!$N$84</f>
        <v>266378.42893536558</v>
      </c>
      <c r="Q29" s="137">
        <f>'5C1H_Southwest'!$O$84</f>
        <v>1</v>
      </c>
      <c r="R29" s="135"/>
      <c r="S29" s="136">
        <f>'5C1H_Southwest'!$Q$84</f>
        <v>1309.628222628088</v>
      </c>
      <c r="T29" s="852">
        <f>'5C1H_Southwest'!$R$77</f>
        <v>74159</v>
      </c>
      <c r="U29" s="138">
        <f>'5C1H_Southwest'!$R$84</f>
        <v>2968502</v>
      </c>
      <c r="V29" s="135">
        <f>'5C1H_Southwest'!$S$84</f>
        <v>-331489</v>
      </c>
      <c r="W29" s="135">
        <f>'5C1H_Southwest'!$T$84</f>
        <v>-70749</v>
      </c>
      <c r="X29" s="139">
        <f>'5C1H_Southwest'!$U$84</f>
        <v>-402238</v>
      </c>
      <c r="Y29" s="138">
        <f>'5C1H_Southwest'!$V$84</f>
        <v>2566264</v>
      </c>
      <c r="Z29" s="136">
        <f>'5C1H_Southwest'!$W$84</f>
        <v>-6416</v>
      </c>
      <c r="AA29" s="138">
        <f>'5C1H_Southwest'!$X$84</f>
        <v>2559848</v>
      </c>
      <c r="AB29" s="135">
        <f>'5C1H_Southwest'!$Y$84</f>
        <v>0</v>
      </c>
      <c r="AC29" s="140">
        <f>('5C1H_Southwest'!$Z$79+'5C1H_Southwest'!$Z$83)</f>
        <v>10443</v>
      </c>
      <c r="AD29" s="138">
        <f>'5C1H_Southwest'!$Z$84</f>
        <v>2570291</v>
      </c>
      <c r="AE29" s="135">
        <f>'5C1H_Southwest'!$AA$84</f>
        <v>1872446</v>
      </c>
      <c r="AF29" s="135">
        <f>'5C1H_Southwest'!$AB$84</f>
        <v>697845</v>
      </c>
      <c r="AG29" s="138">
        <f>'5C1H_Southwest'!$AC$84</f>
        <v>174461</v>
      </c>
      <c r="AH29" s="140">
        <f>('5C1H_Southwest'!$AD$80+'5C1H_Southwest'!$AD$81+'5C1H_Southwest'!$AD$82)</f>
        <v>0</v>
      </c>
      <c r="AI29" s="141">
        <f>'5C1H_Southwest'!$AD$84</f>
        <v>2570291</v>
      </c>
      <c r="AJ29" s="142"/>
      <c r="AK29" s="143">
        <f>'5C1H_Southwest'!$AF$84</f>
        <v>5185457</v>
      </c>
      <c r="AL29" s="134">
        <f>'5C1H_Southwest'!$AG$84</f>
        <v>-65</v>
      </c>
      <c r="AM29" s="142">
        <f>'5C1H_Southwest'!$AH$84</f>
        <v>-479268</v>
      </c>
      <c r="AN29" s="134">
        <f>'5C1H_Southwest'!$AI$84</f>
        <v>-50</v>
      </c>
      <c r="AO29" s="144">
        <f>'5C1H_Southwest'!$AJ$84</f>
        <v>-194417</v>
      </c>
      <c r="AP29" s="145">
        <f>'5C1H_Southwest'!$AK$84</f>
        <v>-673685</v>
      </c>
      <c r="AQ29" s="143">
        <f>'5C1H_Southwest'!$AL$84</f>
        <v>4511772</v>
      </c>
      <c r="AR29" s="146">
        <f>'5C1H_Southwest'!$AM$84</f>
        <v>-11279</v>
      </c>
      <c r="AS29" s="143">
        <f>'5C1H_Southwest'!$AN$84</f>
        <v>4500493</v>
      </c>
      <c r="AT29" s="144">
        <f>'5C1H_Southwest'!$AO$84</f>
        <v>0</v>
      </c>
      <c r="AU29" s="143">
        <f>'5C1H_Southwest'!$AP$84</f>
        <v>4500493</v>
      </c>
      <c r="AV29" s="144">
        <f>'5C1H_Southwest'!$AQ$84</f>
        <v>3155204</v>
      </c>
      <c r="AW29" s="144">
        <f>'5C1H_Southwest'!$AR$84</f>
        <v>1345289</v>
      </c>
      <c r="AX29" s="143">
        <f>'5C1H_Southwest'!$AS$84</f>
        <v>336323</v>
      </c>
    </row>
    <row r="30" spans="1:50" ht="15.75" customHeight="1" x14ac:dyDescent="0.2">
      <c r="A30" s="129" t="s">
        <v>426</v>
      </c>
      <c r="B30" s="230"/>
      <c r="C30" s="230"/>
      <c r="D30" s="133" t="s">
        <v>248</v>
      </c>
      <c r="E30" s="134">
        <f>'5C1G_JS Clark'!$C$84</f>
        <v>244</v>
      </c>
      <c r="F30" s="135"/>
      <c r="G30" s="136">
        <f>'5C1G_JS Clark'!$E$84</f>
        <v>1120603.8020653112</v>
      </c>
      <c r="H30" s="137">
        <f>'5C1G_JS Clark'!$F$84</f>
        <v>230</v>
      </c>
      <c r="I30" s="135"/>
      <c r="J30" s="136">
        <f>'5C1G_JS Clark'!$H$84</f>
        <v>152953.24022123413</v>
      </c>
      <c r="K30" s="1107">
        <f>'5C1G_JS Clark'!$I$84</f>
        <v>278</v>
      </c>
      <c r="L30" s="135"/>
      <c r="M30" s="136">
        <f>'5C1G_JS Clark'!$K$84</f>
        <v>50426.564033680079</v>
      </c>
      <c r="N30" s="137">
        <f>'5C1G_JS Clark'!$L$84</f>
        <v>8</v>
      </c>
      <c r="O30" s="135"/>
      <c r="P30" s="136">
        <f>'5C1G_JS Clark'!$N$84</f>
        <v>36529.217888441475</v>
      </c>
      <c r="Q30" s="137">
        <f>'5C1G_JS Clark'!$O$84</f>
        <v>3</v>
      </c>
      <c r="R30" s="135"/>
      <c r="S30" s="136">
        <f>'5C1G_JS Clark'!$Q$84</f>
        <v>5548.0930831192845</v>
      </c>
      <c r="T30" s="852">
        <f>'5C1G_JS Clark'!$R$77</f>
        <v>40824</v>
      </c>
      <c r="U30" s="138">
        <f>'5C1G_JS Clark'!$R$84</f>
        <v>1406885</v>
      </c>
      <c r="V30" s="135">
        <f>'5C1G_JS Clark'!$S$84</f>
        <v>71870</v>
      </c>
      <c r="W30" s="135">
        <f>'5C1G_JS Clark'!$T$84</f>
        <v>-26614</v>
      </c>
      <c r="X30" s="139">
        <f>'5C1G_JS Clark'!$U$84</f>
        <v>45256</v>
      </c>
      <c r="Y30" s="138">
        <f>'5C1G_JS Clark'!$V$84</f>
        <v>1452141</v>
      </c>
      <c r="Z30" s="136">
        <f>'5C1G_JS Clark'!$W$84</f>
        <v>-3630</v>
      </c>
      <c r="AA30" s="138">
        <f>'5C1G_JS Clark'!$X$84</f>
        <v>1448511</v>
      </c>
      <c r="AB30" s="135">
        <f>'5C1G_JS Clark'!$Y$84</f>
        <v>0</v>
      </c>
      <c r="AC30" s="140">
        <f>('5C1G_JS Clark'!$Z$79+'5C1G_JS Clark'!$Z$83)</f>
        <v>10561</v>
      </c>
      <c r="AD30" s="138">
        <f>'5C1G_JS Clark'!$Z$84</f>
        <v>1459072</v>
      </c>
      <c r="AE30" s="135">
        <f>'5C1G_JS Clark'!$AA$84</f>
        <v>963908</v>
      </c>
      <c r="AF30" s="135">
        <f>'5C1G_JS Clark'!$AB$84</f>
        <v>495164</v>
      </c>
      <c r="AG30" s="138">
        <f>'5C1G_JS Clark'!$AC$84</f>
        <v>123791</v>
      </c>
      <c r="AH30" s="140">
        <f>('5C1G_JS Clark'!$AD$80+'5C1G_JS Clark'!$AD$81+'5C1G_JS Clark'!$AD$82)</f>
        <v>21931</v>
      </c>
      <c r="AI30" s="141">
        <f>'5C1G_JS Clark'!$AD$84</f>
        <v>1481003</v>
      </c>
      <c r="AJ30" s="142"/>
      <c r="AK30" s="143">
        <f>'5C1G_JS Clark'!$AF$84</f>
        <v>721706</v>
      </c>
      <c r="AL30" s="134">
        <f>'5C1G_JS Clark'!$AG$84</f>
        <v>16</v>
      </c>
      <c r="AM30" s="142">
        <f>'5C1G_JS Clark'!$AH$84</f>
        <v>49966</v>
      </c>
      <c r="AN30" s="134">
        <f>'5C1G_JS Clark'!$AI$84</f>
        <v>-12</v>
      </c>
      <c r="AO30" s="144">
        <f>'5C1G_JS Clark'!$AJ$84</f>
        <v>-18796</v>
      </c>
      <c r="AP30" s="145">
        <f>'5C1G_JS Clark'!$AK$84</f>
        <v>31170</v>
      </c>
      <c r="AQ30" s="143">
        <f>'5C1G_JS Clark'!$AL$84</f>
        <v>752876</v>
      </c>
      <c r="AR30" s="146">
        <f>'5C1G_JS Clark'!$AM$84</f>
        <v>-1883</v>
      </c>
      <c r="AS30" s="143">
        <f>'5C1G_JS Clark'!$AN$84</f>
        <v>750993</v>
      </c>
      <c r="AT30" s="144">
        <f>'5C1G_JS Clark'!$AO$84</f>
        <v>0</v>
      </c>
      <c r="AU30" s="143">
        <f>'5C1G_JS Clark'!$AP$84</f>
        <v>750993</v>
      </c>
      <c r="AV30" s="144">
        <f>'5C1G_JS Clark'!$AQ$84</f>
        <v>477064</v>
      </c>
      <c r="AW30" s="144">
        <f>'5C1G_JS Clark'!$AR$84</f>
        <v>273929</v>
      </c>
      <c r="AX30" s="143">
        <f>'5C1G_JS Clark'!$AS$84</f>
        <v>68483</v>
      </c>
    </row>
    <row r="31" spans="1:50" ht="15.75" customHeight="1" x14ac:dyDescent="0.2">
      <c r="A31" s="130" t="s">
        <v>434</v>
      </c>
      <c r="B31" s="231"/>
      <c r="C31" s="692"/>
      <c r="D31" s="147" t="s">
        <v>330</v>
      </c>
      <c r="E31" s="148">
        <f>'5C1AH_BRUP'!$C$84</f>
        <v>350</v>
      </c>
      <c r="F31" s="149"/>
      <c r="G31" s="150">
        <f>'5C1AH_BRUP'!$E$84</f>
        <v>1249366.2787241307</v>
      </c>
      <c r="H31" s="151">
        <f>'5C1AH_BRUP'!$F$84</f>
        <v>342</v>
      </c>
      <c r="I31" s="149"/>
      <c r="J31" s="150">
        <f>'5C1AH_BRUP'!$H$84</f>
        <v>154860.48251031272</v>
      </c>
      <c r="K31" s="1108">
        <f>'5C1AH_BRUP'!$I$84</f>
        <v>0</v>
      </c>
      <c r="L31" s="149"/>
      <c r="M31" s="150">
        <f>'5C1AH_BRUP'!$K$84</f>
        <v>0</v>
      </c>
      <c r="N31" s="151">
        <f>'5C1AH_BRUP'!$L$84</f>
        <v>47</v>
      </c>
      <c r="O31" s="149"/>
      <c r="P31" s="150">
        <f>'5C1AH_BRUP'!$N$84</f>
        <v>145909.00389456318</v>
      </c>
      <c r="Q31" s="151">
        <f>'5C1AH_BRUP'!$O$84</f>
        <v>0</v>
      </c>
      <c r="R31" s="149"/>
      <c r="S31" s="150">
        <f>'5C1AH_BRUP'!$Q$84</f>
        <v>0</v>
      </c>
      <c r="T31" s="853">
        <f>'5C1AH_BRUP'!$R$77</f>
        <v>32181</v>
      </c>
      <c r="U31" s="152">
        <f>'5C1AH_BRUP'!$R$84</f>
        <v>1582316</v>
      </c>
      <c r="V31" s="149">
        <f>'5C1AH_BRUP'!$S$84</f>
        <v>-90831</v>
      </c>
      <c r="W31" s="149">
        <f>'5C1AH_BRUP'!$T$84</f>
        <v>-4199</v>
      </c>
      <c r="X31" s="153">
        <f>'5C1AH_BRUP'!$U$84</f>
        <v>-95030</v>
      </c>
      <c r="Y31" s="152">
        <f>'5C1AH_BRUP'!$V$84</f>
        <v>1487286</v>
      </c>
      <c r="Z31" s="150">
        <f>'5C1AH_BRUP'!$W$84</f>
        <v>-3718</v>
      </c>
      <c r="AA31" s="152">
        <f>'5C1AH_BRUP'!$X$84</f>
        <v>1483568</v>
      </c>
      <c r="AB31" s="149">
        <f>'5C1AH_BRUP'!$Y$84</f>
        <v>0</v>
      </c>
      <c r="AC31" s="154">
        <f>'5C1AH_BRUP'!$Z$79+'5C1AH_BRUP'!$Z$83</f>
        <v>0</v>
      </c>
      <c r="AD31" s="152">
        <f>'5C1AH_BRUP'!$Z$84</f>
        <v>1483568</v>
      </c>
      <c r="AE31" s="155">
        <f>'5C1AH_BRUP'!$AA$84</f>
        <v>1021480</v>
      </c>
      <c r="AF31" s="149">
        <f>'5C1AH_BRUP'!$AB$84</f>
        <v>462088</v>
      </c>
      <c r="AG31" s="156">
        <f>'5C1AH_BRUP'!$AC$84</f>
        <v>115521</v>
      </c>
      <c r="AH31" s="154">
        <f>'5C1AH_BRUP'!$AD$80+'5C1AH_BRUP'!$AD$81+'5C1AH_BRUP'!$AD$82</f>
        <v>0</v>
      </c>
      <c r="AI31" s="156">
        <f>'5C1AH_BRUP'!$AD$84</f>
        <v>1483568</v>
      </c>
      <c r="AJ31" s="157"/>
      <c r="AK31" s="158">
        <f>'5C1AH_BRUP'!$AF$84</f>
        <v>2667740</v>
      </c>
      <c r="AL31" s="148">
        <f>'5C1AH_BRUP'!$AG$84</f>
        <v>-16</v>
      </c>
      <c r="AM31" s="157">
        <f>'5C1AH_BRUP'!$AH$84</f>
        <v>-149742</v>
      </c>
      <c r="AN31" s="148">
        <f>'5C1AH_BRUP'!$AI$84</f>
        <v>3</v>
      </c>
      <c r="AO31" s="159">
        <f>'5C1AH_BRUP'!$AJ$84</f>
        <v>27389</v>
      </c>
      <c r="AP31" s="160">
        <f>'5C1AH_BRUP'!$AK$84</f>
        <v>-122353</v>
      </c>
      <c r="AQ31" s="158">
        <f>'5C1AH_BRUP'!$AL$84</f>
        <v>2545387</v>
      </c>
      <c r="AR31" s="161">
        <f>'5C1AH_BRUP'!$AM$84</f>
        <v>-6364</v>
      </c>
      <c r="AS31" s="158">
        <f>'5C1AH_BRUP'!$AN$84</f>
        <v>2539023</v>
      </c>
      <c r="AT31" s="159">
        <f>'5C1AH_BRUP'!$AO$84</f>
        <v>0</v>
      </c>
      <c r="AU31" s="158">
        <f>'5C1AH_BRUP'!$AP$84</f>
        <v>2539023</v>
      </c>
      <c r="AV31" s="159">
        <f>'5C1AH_BRUP'!$AQ$84</f>
        <v>1695526</v>
      </c>
      <c r="AW31" s="159">
        <f>'5C1AH_BRUP'!$AR$84</f>
        <v>843497</v>
      </c>
      <c r="AX31" s="158">
        <f>'5C1AH_BRUP'!$AS$84</f>
        <v>210874</v>
      </c>
    </row>
    <row r="32" spans="1:50" ht="15.75" customHeight="1" x14ac:dyDescent="0.2">
      <c r="A32" s="128" t="s">
        <v>343</v>
      </c>
      <c r="B32" s="229"/>
      <c r="C32" s="688"/>
      <c r="D32" s="115" t="s">
        <v>436</v>
      </c>
      <c r="E32" s="116">
        <f>'5C1Y_GEO'!$C$84</f>
        <v>668</v>
      </c>
      <c r="F32" s="117"/>
      <c r="G32" s="118">
        <f>'5C1Y_GEO'!$E$84</f>
        <v>2411644.925861856</v>
      </c>
      <c r="H32" s="119">
        <f>'5C1Y_GEO'!$F$84</f>
        <v>595</v>
      </c>
      <c r="I32" s="117"/>
      <c r="J32" s="118">
        <f>'5C1Y_GEO'!$H$84</f>
        <v>273044.63177616196</v>
      </c>
      <c r="K32" s="1106">
        <f>'5C1Y_GEO'!$I$84</f>
        <v>23</v>
      </c>
      <c r="L32" s="117"/>
      <c r="M32" s="118">
        <f>'5C1Y_GEO'!$K$84</f>
        <v>2866.050051139428</v>
      </c>
      <c r="N32" s="119">
        <f>'5C1Y_GEO'!$L$84</f>
        <v>74</v>
      </c>
      <c r="O32" s="117"/>
      <c r="P32" s="118">
        <f>'5C1Y_GEO'!$N$84</f>
        <v>233532.91770734871</v>
      </c>
      <c r="Q32" s="119">
        <f>'5C1Y_GEO'!$O$84</f>
        <v>3</v>
      </c>
      <c r="R32" s="117"/>
      <c r="S32" s="118">
        <f>'5C1Y_GEO'!$Q$84</f>
        <v>4390.3807215399329</v>
      </c>
      <c r="T32" s="851">
        <f>'5C1Y_GEO'!$R$77</f>
        <v>102621</v>
      </c>
      <c r="U32" s="120">
        <f>'5C1Y_GEO'!$R$84</f>
        <v>3028100</v>
      </c>
      <c r="V32" s="117">
        <f>'5C1Y_GEO'!$S$84</f>
        <v>285604</v>
      </c>
      <c r="W32" s="117">
        <f>'5C1Y_GEO'!$T$84</f>
        <v>-61366</v>
      </c>
      <c r="X32" s="121">
        <f>'5C1Y_GEO'!$U$84</f>
        <v>224238</v>
      </c>
      <c r="Y32" s="120">
        <f>'5C1Y_GEO'!$V$84</f>
        <v>3252338</v>
      </c>
      <c r="Z32" s="118">
        <f>'5C1Y_GEO'!$W$84</f>
        <v>-8131</v>
      </c>
      <c r="AA32" s="120">
        <f>'5C1Y_GEO'!$X$84</f>
        <v>3244207</v>
      </c>
      <c r="AB32" s="117">
        <f>'5C1Y_GEO'!$Y$84</f>
        <v>0</v>
      </c>
      <c r="AC32" s="132">
        <f>('5C1Y_GEO'!$Z$79+'5C1Y_GEO'!$Z$83)</f>
        <v>3776</v>
      </c>
      <c r="AD32" s="120">
        <f>'5C1Y_GEO'!$Z$84</f>
        <v>3247983</v>
      </c>
      <c r="AE32" s="117">
        <f>'5C1Y_GEO'!$AA$84</f>
        <v>2109028</v>
      </c>
      <c r="AF32" s="117">
        <f>'5C1Y_GEO'!$AB$84</f>
        <v>1138955</v>
      </c>
      <c r="AG32" s="120">
        <f>'5C1Y_GEO'!$AC$84</f>
        <v>284740</v>
      </c>
      <c r="AH32" s="132">
        <f>('5C1Y_GEO'!$AD$80+'5C1Y_GEO'!$AD$81+'5C1Y_GEO'!$AD$82)</f>
        <v>12291</v>
      </c>
      <c r="AI32" s="122">
        <f>'5C1Y_GEO'!$AD$84</f>
        <v>3260274</v>
      </c>
      <c r="AJ32" s="123"/>
      <c r="AK32" s="124">
        <f>'5C1Y_GEO'!$AF$84</f>
        <v>5034981</v>
      </c>
      <c r="AL32" s="116">
        <f>'5C1Y_GEO'!$AG$84</f>
        <v>52</v>
      </c>
      <c r="AM32" s="123">
        <f>'5C1Y_GEO'!$AH$84</f>
        <v>364452</v>
      </c>
      <c r="AN32" s="116">
        <f>'5C1Y_GEO'!$AI$84</f>
        <v>-10</v>
      </c>
      <c r="AO32" s="125">
        <f>'5C1Y_GEO'!$AJ$84</f>
        <v>14191</v>
      </c>
      <c r="AP32" s="126">
        <f>'5C1Y_GEO'!$AK$84</f>
        <v>378643</v>
      </c>
      <c r="AQ32" s="124">
        <f>'5C1Y_GEO'!$AL$84</f>
        <v>5413624</v>
      </c>
      <c r="AR32" s="127">
        <f>'5C1Y_GEO'!$AM$84</f>
        <v>-13533</v>
      </c>
      <c r="AS32" s="124">
        <f>'5C1Y_GEO'!$AN$84</f>
        <v>5400091</v>
      </c>
      <c r="AT32" s="125">
        <f>'5C1Y_GEO'!$AO$84</f>
        <v>0</v>
      </c>
      <c r="AU32" s="124">
        <f>'5C1Y_GEO'!$AP$84</f>
        <v>5400091</v>
      </c>
      <c r="AV32" s="125">
        <f>'5C1Y_GEO'!$AQ$84</f>
        <v>3413306</v>
      </c>
      <c r="AW32" s="125">
        <f>'5C1Y_GEO'!$AR$84</f>
        <v>1986785</v>
      </c>
      <c r="AX32" s="124">
        <f>'5C1Y_GEO'!$AS$84</f>
        <v>496697</v>
      </c>
    </row>
    <row r="33" spans="1:50" ht="15.75" customHeight="1" x14ac:dyDescent="0.2">
      <c r="A33" s="129" t="s">
        <v>856</v>
      </c>
      <c r="B33" s="230"/>
      <c r="C33" s="230"/>
      <c r="D33" s="133" t="s">
        <v>853</v>
      </c>
      <c r="E33" s="134">
        <f>'5C1AI_Harmony'!$C$84</f>
        <v>103</v>
      </c>
      <c r="F33" s="135"/>
      <c r="G33" s="136">
        <f>'5C1AI_Harmony'!$E$84</f>
        <v>347375.54017148091</v>
      </c>
      <c r="H33" s="137">
        <f>'5C1AI_Harmony'!$F$84</f>
        <v>78</v>
      </c>
      <c r="I33" s="135"/>
      <c r="J33" s="136">
        <f>'5C1AI_Harmony'!$H$84</f>
        <v>35924.798928443117</v>
      </c>
      <c r="K33" s="1107">
        <f>'5C1AI_Harmony'!$I$84</f>
        <v>98</v>
      </c>
      <c r="L33" s="135"/>
      <c r="M33" s="136">
        <f>'5C1AI_Harmony'!$K$84</f>
        <v>12234.877997636842</v>
      </c>
      <c r="N33" s="137">
        <f>'5C1AI_Harmony'!$L$84</f>
        <v>26</v>
      </c>
      <c r="O33" s="135"/>
      <c r="P33" s="136">
        <f>'5C1AI_Harmony'!$N$84</f>
        <v>81713.173095899896</v>
      </c>
      <c r="Q33" s="137">
        <f>'5C1AI_Harmony'!$O$84</f>
        <v>0</v>
      </c>
      <c r="R33" s="135"/>
      <c r="S33" s="136">
        <f>'5C1AI_Harmony'!$Q$84</f>
        <v>0</v>
      </c>
      <c r="T33" s="852">
        <f>'5C1AI_Harmony'!$R$77</f>
        <v>32883</v>
      </c>
      <c r="U33" s="138">
        <f>'5C1AI_Harmony'!$R$84</f>
        <v>510131</v>
      </c>
      <c r="V33" s="135">
        <f>'5C1AI_Harmony'!$S$84</f>
        <v>327101</v>
      </c>
      <c r="W33" s="135">
        <f>'5C1AI_Harmony'!$T$84</f>
        <v>-24737</v>
      </c>
      <c r="X33" s="139">
        <f>'5C1AI_Harmony'!$U$84</f>
        <v>302364</v>
      </c>
      <c r="Y33" s="138">
        <f>'5C1AI_Harmony'!$V$84</f>
        <v>812495</v>
      </c>
      <c r="Z33" s="136">
        <f>'5C1AI_Harmony'!$W$84</f>
        <v>-2030</v>
      </c>
      <c r="AA33" s="138">
        <f>'5C1AI_Harmony'!$X$84</f>
        <v>810465</v>
      </c>
      <c r="AB33" s="135">
        <f>'5C1AI_Harmony'!$Y$84</f>
        <v>0</v>
      </c>
      <c r="AC33" s="140">
        <f>('5C1AI_Harmony'!$Z$79+'5C1AI_Harmony'!$Z$83)</f>
        <v>6077</v>
      </c>
      <c r="AD33" s="138">
        <f>'5C1AI_Harmony'!$Z$84</f>
        <v>816542</v>
      </c>
      <c r="AE33" s="135">
        <f>'5C1AI_Harmony'!$AA$84</f>
        <v>448172</v>
      </c>
      <c r="AF33" s="135">
        <f>'5C1AI_Harmony'!$AB$84</f>
        <v>368370</v>
      </c>
      <c r="AG33" s="138">
        <f>'5C1AI_Harmony'!$AC$84</f>
        <v>92093</v>
      </c>
      <c r="AH33" s="140">
        <f>('5C1AI_Harmony'!$AD$80+'5C1AI_Harmony'!$AD$81+'5C1AI_Harmony'!$AD$82)</f>
        <v>41187</v>
      </c>
      <c r="AI33" s="141">
        <f>'5C1AI_Harmony'!$AD$84</f>
        <v>857729</v>
      </c>
      <c r="AJ33" s="142"/>
      <c r="AK33" s="143">
        <f>'5C1AI_Harmony'!$AF$84</f>
        <v>680026</v>
      </c>
      <c r="AL33" s="134">
        <f>'5C1AI_Harmony'!$AG$84</f>
        <v>81</v>
      </c>
      <c r="AM33" s="142">
        <f>'5C1AI_Harmony'!$AH$84</f>
        <v>533719</v>
      </c>
      <c r="AN33" s="134">
        <f>'5C1AI_Harmony'!$AI$84</f>
        <v>-14</v>
      </c>
      <c r="AO33" s="144">
        <f>'5C1AI_Harmony'!$AJ$84</f>
        <v>-47310</v>
      </c>
      <c r="AP33" s="145">
        <f>'5C1AI_Harmony'!$AK$84</f>
        <v>486409</v>
      </c>
      <c r="AQ33" s="143">
        <f>'5C1AI_Harmony'!$AL$84</f>
        <v>1166435</v>
      </c>
      <c r="AR33" s="146">
        <f>'5C1AI_Harmony'!$AM$84</f>
        <v>-2916</v>
      </c>
      <c r="AS33" s="143">
        <f>'5C1AI_Harmony'!$AN$84</f>
        <v>1163519</v>
      </c>
      <c r="AT33" s="144">
        <f>'5C1AI_Harmony'!$AO$84</f>
        <v>0</v>
      </c>
      <c r="AU33" s="143">
        <f>'5C1AI_Harmony'!$AP$84</f>
        <v>1163519</v>
      </c>
      <c r="AV33" s="144">
        <f>'5C1AI_Harmony'!$AQ$84</f>
        <v>626066</v>
      </c>
      <c r="AW33" s="144">
        <f>'5C1AI_Harmony'!$AR$84</f>
        <v>537453</v>
      </c>
      <c r="AX33" s="143">
        <f>'5C1AI_Harmony'!$AS$84</f>
        <v>134363</v>
      </c>
    </row>
    <row r="34" spans="1:50" ht="15.75" customHeight="1" x14ac:dyDescent="0.2">
      <c r="A34" s="129" t="s">
        <v>858</v>
      </c>
      <c r="B34" s="230"/>
      <c r="C34" s="230"/>
      <c r="D34" s="133" t="s">
        <v>852</v>
      </c>
      <c r="E34" s="134">
        <f>'5C1AJ_Athlos'!$C$84</f>
        <v>1121</v>
      </c>
      <c r="F34" s="135"/>
      <c r="G34" s="136">
        <f>'5C1AJ_Athlos'!$E$84</f>
        <v>4315841.7750473665</v>
      </c>
      <c r="H34" s="137">
        <f>'5C1AJ_Athlos'!$F$84</f>
        <v>979</v>
      </c>
      <c r="I34" s="135"/>
      <c r="J34" s="136">
        <f>'5C1AJ_Athlos'!$H$84</f>
        <v>474613.92212742561</v>
      </c>
      <c r="K34" s="1107">
        <f>'5C1AJ_Athlos'!$I$84</f>
        <v>0</v>
      </c>
      <c r="L34" s="135"/>
      <c r="M34" s="136">
        <f>'5C1AJ_Athlos'!$K$84</f>
        <v>0</v>
      </c>
      <c r="N34" s="137">
        <f>'5C1AJ_Athlos'!$L$84</f>
        <v>109</v>
      </c>
      <c r="O34" s="135"/>
      <c r="P34" s="136">
        <f>'5C1AJ_Athlos'!$N$84</f>
        <v>359651.04042721691</v>
      </c>
      <c r="Q34" s="137">
        <f>'5C1AJ_Athlos'!$O$84</f>
        <v>30</v>
      </c>
      <c r="R34" s="135"/>
      <c r="S34" s="136">
        <f>'5C1AJ_Athlos'!$Q$84</f>
        <v>39587.439609830028</v>
      </c>
      <c r="T34" s="852">
        <f>'5C1AJ_Athlos'!$R$77</f>
        <v>121635</v>
      </c>
      <c r="U34" s="138">
        <f>'5C1AJ_Athlos'!$R$84</f>
        <v>5311330</v>
      </c>
      <c r="V34" s="135">
        <f>'5C1AJ_Athlos'!$S$84</f>
        <v>331396</v>
      </c>
      <c r="W34" s="135">
        <f>'5C1AJ_Athlos'!$T$84</f>
        <v>51873</v>
      </c>
      <c r="X34" s="139">
        <f>'5C1AJ_Athlos'!$U$84</f>
        <v>383269</v>
      </c>
      <c r="Y34" s="138">
        <f>'5C1AJ_Athlos'!$V$84</f>
        <v>5694599</v>
      </c>
      <c r="Z34" s="136">
        <f>'5C1AJ_Athlos'!$W$84</f>
        <v>-14235</v>
      </c>
      <c r="AA34" s="138">
        <f>'5C1AJ_Athlos'!$X$84</f>
        <v>5680364</v>
      </c>
      <c r="AB34" s="135">
        <f>'5C1AJ_Athlos'!$Y$84</f>
        <v>0</v>
      </c>
      <c r="AC34" s="140">
        <f>('5C1AJ_Athlos'!$Z$79+'5C1AJ_Athlos'!$Z$83)</f>
        <v>7552</v>
      </c>
      <c r="AD34" s="138">
        <f>'5C1AJ_Athlos'!$Z$84</f>
        <v>5687916</v>
      </c>
      <c r="AE34" s="135">
        <f>'5C1AJ_Athlos'!$AA$84</f>
        <v>3644414</v>
      </c>
      <c r="AF34" s="135">
        <f>'5C1AJ_Athlos'!$AB$84</f>
        <v>2043502</v>
      </c>
      <c r="AG34" s="138">
        <f>'5C1AJ_Athlos'!$AC$84</f>
        <v>510878</v>
      </c>
      <c r="AH34" s="140">
        <f>('5C1AJ_Athlos'!$AD$80+'5C1AJ_Athlos'!$AD$81+'5C1AJ_Athlos'!$AD$82)</f>
        <v>45524</v>
      </c>
      <c r="AI34" s="141">
        <f>'5C1AJ_Athlos'!$AD$84</f>
        <v>5733440</v>
      </c>
      <c r="AJ34" s="142"/>
      <c r="AK34" s="143">
        <f>'5C1AJ_Athlos'!$AF$84</f>
        <v>6857444</v>
      </c>
      <c r="AL34" s="134">
        <f>'5C1AJ_Athlos'!$AG$84</f>
        <v>97</v>
      </c>
      <c r="AM34" s="142">
        <f>'5C1AJ_Athlos'!$AH$84</f>
        <v>607352</v>
      </c>
      <c r="AN34" s="134">
        <f>'5C1AJ_Athlos'!$AI$84</f>
        <v>19</v>
      </c>
      <c r="AO34" s="144">
        <f>'5C1AJ_Athlos'!$AJ$84</f>
        <v>59386</v>
      </c>
      <c r="AP34" s="145">
        <f>'5C1AJ_Athlos'!$AK$84</f>
        <v>666738</v>
      </c>
      <c r="AQ34" s="143">
        <f>'5C1AJ_Athlos'!$AL$84</f>
        <v>7524182</v>
      </c>
      <c r="AR34" s="146">
        <f>'5C1AJ_Athlos'!$AM$84</f>
        <v>-18810</v>
      </c>
      <c r="AS34" s="143">
        <f>'5C1AJ_Athlos'!$AN$84</f>
        <v>7505372</v>
      </c>
      <c r="AT34" s="144">
        <f>'5C1AJ_Athlos'!$AO$84</f>
        <v>0</v>
      </c>
      <c r="AU34" s="143">
        <f>'5C1AJ_Athlos'!$AP$84</f>
        <v>7505372</v>
      </c>
      <c r="AV34" s="144">
        <f>'5C1AJ_Athlos'!$AQ$84</f>
        <v>4460046</v>
      </c>
      <c r="AW34" s="144">
        <f>'5C1AJ_Athlos'!$AR$84</f>
        <v>3045326</v>
      </c>
      <c r="AX34" s="143">
        <f>'5C1AJ_Athlos'!$AS$84</f>
        <v>761331</v>
      </c>
    </row>
    <row r="35" spans="1:50" ht="15.75" customHeight="1" x14ac:dyDescent="0.2">
      <c r="A35" s="129" t="s">
        <v>1198</v>
      </c>
      <c r="B35" s="230"/>
      <c r="C35" s="230"/>
      <c r="D35" s="133" t="s">
        <v>1199</v>
      </c>
      <c r="E35" s="134">
        <f>'5C1AK_NxtGen'!$C$84</f>
        <v>90</v>
      </c>
      <c r="F35" s="135"/>
      <c r="G35" s="136">
        <f>'5C1AK_NxtGen'!$E$84</f>
        <v>317534.70509679808</v>
      </c>
      <c r="H35" s="137">
        <f>'5C1AK_NxtGen'!$F$84</f>
        <v>75</v>
      </c>
      <c r="I35" s="135"/>
      <c r="J35" s="136">
        <f>'5C1AK_NxtGen'!$H$84</f>
        <v>33646.364387172369</v>
      </c>
      <c r="K35" s="1107">
        <f>'5C1AK_NxtGen'!$I$84</f>
        <v>55</v>
      </c>
      <c r="L35" s="135"/>
      <c r="M35" s="136">
        <f>'5C1AK_NxtGen'!$K$84</f>
        <v>6674.2829422099448</v>
      </c>
      <c r="N35" s="137">
        <f>'5C1AK_NxtGen'!$L$84</f>
        <v>7</v>
      </c>
      <c r="O35" s="135"/>
      <c r="P35" s="136">
        <f>'5C1AK_NxtGen'!$N$84</f>
        <v>21236.354816122548</v>
      </c>
      <c r="Q35" s="137">
        <f>'5C1AK_NxtGen'!$O$84</f>
        <v>0</v>
      </c>
      <c r="R35" s="135"/>
      <c r="S35" s="136">
        <f>'5C1AK_NxtGen'!$Q$84</f>
        <v>0</v>
      </c>
      <c r="T35" s="852">
        <f>'5C1AK_NxtGen'!$R$77</f>
        <v>24636</v>
      </c>
      <c r="U35" s="138">
        <f>'5C1AK_NxtGen'!$R$84</f>
        <v>403727</v>
      </c>
      <c r="V35" s="135">
        <f>'5C1AK_NxtGen'!$S$84</f>
        <v>487055</v>
      </c>
      <c r="W35" s="135">
        <f>'5C1AK_NxtGen'!$T$84</f>
        <v>-26500</v>
      </c>
      <c r="X35" s="139">
        <f>'5C1AK_NxtGen'!$U$84</f>
        <v>460555</v>
      </c>
      <c r="Y35" s="138">
        <f>'5C1AK_NxtGen'!$V$84</f>
        <v>864282</v>
      </c>
      <c r="Z35" s="136">
        <f>'5C1AK_NxtGen'!$W$84</f>
        <v>-2161</v>
      </c>
      <c r="AA35" s="138">
        <f>'5C1AK_NxtGen'!$X$84</f>
        <v>862121</v>
      </c>
      <c r="AB35" s="135">
        <f>'5C1AK_NxtGen'!$Y$84</f>
        <v>0</v>
      </c>
      <c r="AC35" s="140">
        <f>'5C1AK_NxtGen'!$Z$79+'5C1AK_NxtGen'!$Z$83</f>
        <v>5310</v>
      </c>
      <c r="AD35" s="138">
        <f>'5C1AK_NxtGen'!$Z$84</f>
        <v>867431</v>
      </c>
      <c r="AE35" s="135">
        <f>'5C1AK_NxtGen'!$AA$84</f>
        <v>577504</v>
      </c>
      <c r="AF35" s="135">
        <f>'5C1AK_NxtGen'!$AB$84</f>
        <v>289927</v>
      </c>
      <c r="AG35" s="138">
        <f>'5C1AK_NxtGen'!$AC$84</f>
        <v>72482</v>
      </c>
      <c r="AH35" s="140">
        <f>'5C1AK_NxtGen'!$AD$80+'5C1AK_NxtGen'!$AD$81+'5C1AK_NxtGen'!$AD$82</f>
        <v>21449</v>
      </c>
      <c r="AI35" s="141">
        <f>'5C1AK_NxtGen'!$AD$84</f>
        <v>888880</v>
      </c>
      <c r="AJ35" s="142"/>
      <c r="AK35" s="143">
        <f>'5C1AK_NxtGen'!$AF$84</f>
        <v>693117</v>
      </c>
      <c r="AL35" s="134">
        <f>'5C1AK_NxtGen'!$AG$84</f>
        <v>110</v>
      </c>
      <c r="AM35" s="142">
        <f>'5C1AK_NxtGen'!$AH$84</f>
        <v>795336</v>
      </c>
      <c r="AN35" s="134">
        <f>'5C1AK_NxtGen'!$AI$84</f>
        <v>-5</v>
      </c>
      <c r="AO35" s="144">
        <f>'5C1AK_NxtGen'!$AJ$84</f>
        <v>9154</v>
      </c>
      <c r="AP35" s="145">
        <f>'5C1AK_NxtGen'!$AK$84</f>
        <v>804490</v>
      </c>
      <c r="AQ35" s="143">
        <f>'5C1AK_NxtGen'!$AL$84</f>
        <v>1497607</v>
      </c>
      <c r="AR35" s="146">
        <f>'5C1AK_NxtGen'!$AM$84</f>
        <v>-3744</v>
      </c>
      <c r="AS35" s="143">
        <f>'5C1AK_NxtGen'!$AN$84</f>
        <v>1493863</v>
      </c>
      <c r="AT35" s="144">
        <f>'5C1AK_NxtGen'!$AO$84</f>
        <v>0</v>
      </c>
      <c r="AU35" s="143">
        <f>'5C1AK_NxtGen'!$AP$84</f>
        <v>1493863</v>
      </c>
      <c r="AV35" s="144">
        <f>'5C1AK_NxtGen'!$AQ$84</f>
        <v>954547</v>
      </c>
      <c r="AW35" s="144">
        <f>'5C1AK_NxtGen'!$AR$84</f>
        <v>539316</v>
      </c>
      <c r="AX35" s="143">
        <f>'5C1AK_NxtGen'!$AS$84</f>
        <v>134829</v>
      </c>
    </row>
    <row r="36" spans="1:50" ht="15.75" customHeight="1" x14ac:dyDescent="0.2">
      <c r="A36" s="130" t="s">
        <v>1200</v>
      </c>
      <c r="B36" s="231"/>
      <c r="C36" s="692"/>
      <c r="D36" s="147" t="s">
        <v>1201</v>
      </c>
      <c r="E36" s="148">
        <f>'5C1AL_Red River'!$C$84</f>
        <v>198</v>
      </c>
      <c r="F36" s="149"/>
      <c r="G36" s="150">
        <f>'5C1AL_Red River'!$E$84</f>
        <v>935379.74681431917</v>
      </c>
      <c r="H36" s="151">
        <f>'5C1AL_Red River'!$F$84</f>
        <v>151</v>
      </c>
      <c r="I36" s="149"/>
      <c r="J36" s="150">
        <f>'5C1AL_Red River'!$H$84</f>
        <v>107476.85341588051</v>
      </c>
      <c r="K36" s="1108">
        <f>'5C1AL_Red River'!$I$84</f>
        <v>0</v>
      </c>
      <c r="L36" s="149"/>
      <c r="M36" s="150">
        <f>'5C1AL_Red River'!$K$84</f>
        <v>0</v>
      </c>
      <c r="N36" s="151">
        <f>'5C1AL_Red River'!$L$84</f>
        <v>7</v>
      </c>
      <c r="O36" s="149"/>
      <c r="P36" s="150">
        <f>'5C1AL_Red River'!$N$84</f>
        <v>33970.709237409559</v>
      </c>
      <c r="Q36" s="151">
        <f>'5C1AL_Red River'!$O$84</f>
        <v>1</v>
      </c>
      <c r="R36" s="149"/>
      <c r="S36" s="150">
        <f>'5C1AL_Red River'!$Q$84</f>
        <v>1941.1833849948316</v>
      </c>
      <c r="T36" s="853">
        <f>'5C1AL_Red River'!$R$77</f>
        <v>27201</v>
      </c>
      <c r="U36" s="152">
        <f>'5C1AL_Red River'!$R$84</f>
        <v>1105969</v>
      </c>
      <c r="V36" s="149">
        <f>'5C1AL_Red River'!$S$84</f>
        <v>476460</v>
      </c>
      <c r="W36" s="149">
        <f>'5C1AL_Red River'!$T$84</f>
        <v>-15042</v>
      </c>
      <c r="X36" s="153">
        <f>'5C1AL_Red River'!$U$84</f>
        <v>461418</v>
      </c>
      <c r="Y36" s="152">
        <f>'5C1AL_Red River'!$V$84</f>
        <v>1567387</v>
      </c>
      <c r="Z36" s="150">
        <f>'5C1AL_Red River'!$W$84</f>
        <v>-3918</v>
      </c>
      <c r="AA36" s="152">
        <f>'5C1AL_Red River'!$X$84</f>
        <v>1563469</v>
      </c>
      <c r="AB36" s="149">
        <f>'5C1AL_Red River'!$Y$84</f>
        <v>0</v>
      </c>
      <c r="AC36" s="154">
        <f>'5C1AL_Red River'!$Z$79+'5C1AL_Red River'!$Z$83</f>
        <v>8201</v>
      </c>
      <c r="AD36" s="152">
        <f>'5C1AL_Red River'!$Z$84</f>
        <v>1571670</v>
      </c>
      <c r="AE36" s="155">
        <f>'5C1AL_Red River'!$AA$84</f>
        <v>988050</v>
      </c>
      <c r="AF36" s="149">
        <f>'5C1AL_Red River'!$AB$84</f>
        <v>583620</v>
      </c>
      <c r="AG36" s="156">
        <f>'5C1AL_Red River'!$AC$84</f>
        <v>145906</v>
      </c>
      <c r="AH36" s="154">
        <f>'5C1AL_Red River'!$AD$80+'5C1AL_Red River'!$AD$81+'5C1AL_Red River'!$AD$82</f>
        <v>10000</v>
      </c>
      <c r="AI36" s="156">
        <f>'5C1AL_Red River'!$AD$84</f>
        <v>1581670</v>
      </c>
      <c r="AJ36" s="157"/>
      <c r="AK36" s="158">
        <f>'5C1AL_Red River'!$AF$84</f>
        <v>455469</v>
      </c>
      <c r="AL36" s="148">
        <f>'5C1AL_Red River'!$AG$84</f>
        <v>74</v>
      </c>
      <c r="AM36" s="157">
        <f>'5C1AL_Red River'!$AH$84</f>
        <v>173247</v>
      </c>
      <c r="AN36" s="148">
        <f>'5C1AL_Red River'!$AI$84</f>
        <v>-2</v>
      </c>
      <c r="AO36" s="159">
        <f>'5C1AL_Red River'!$AJ$84</f>
        <v>-4263</v>
      </c>
      <c r="AP36" s="160">
        <f>'5C1AL_Red River'!$AK$84</f>
        <v>168984</v>
      </c>
      <c r="AQ36" s="158">
        <f>'5C1AL_Red River'!$AL$84</f>
        <v>624453</v>
      </c>
      <c r="AR36" s="161">
        <f>'5C1AL_Red River'!$AM$84</f>
        <v>-1561</v>
      </c>
      <c r="AS36" s="158">
        <f>'5C1AL_Red River'!$AN$84</f>
        <v>622892</v>
      </c>
      <c r="AT36" s="159">
        <f>'5C1AL_Red River'!$AO$84</f>
        <v>0</v>
      </c>
      <c r="AU36" s="158">
        <f>'5C1AL_Red River'!$AP$84</f>
        <v>622892</v>
      </c>
      <c r="AV36" s="159">
        <f>'5C1AL_Red River'!$AQ$84</f>
        <v>369050</v>
      </c>
      <c r="AW36" s="159">
        <f>'5C1AL_Red River'!$AR$84</f>
        <v>253842</v>
      </c>
      <c r="AX36" s="158">
        <f>'5C1AL_Red River'!$AS$84</f>
        <v>63461</v>
      </c>
    </row>
    <row r="37" spans="1:50" ht="15.75" customHeight="1" x14ac:dyDescent="0.2">
      <c r="A37" s="128" t="s">
        <v>646</v>
      </c>
      <c r="B37" s="229"/>
      <c r="C37" s="688"/>
      <c r="D37" s="115" t="s">
        <v>525</v>
      </c>
      <c r="E37" s="116">
        <f>'5C1AG_Collegiate'!$C$84</f>
        <v>399</v>
      </c>
      <c r="F37" s="117"/>
      <c r="G37" s="118">
        <f>'5C1AG_Collegiate'!$E$84</f>
        <v>1423537.7040959301</v>
      </c>
      <c r="H37" s="119">
        <f>'5C1AG_Collegiate'!$F$84</f>
        <v>368</v>
      </c>
      <c r="I37" s="117"/>
      <c r="J37" s="118">
        <f>'5C1AG_Collegiate'!$H$84</f>
        <v>166489.71086326486</v>
      </c>
      <c r="K37" s="1106">
        <f>'5C1AG_Collegiate'!$I$84</f>
        <v>229</v>
      </c>
      <c r="L37" s="117"/>
      <c r="M37" s="118">
        <f>'5C1AG_Collegiate'!$K$84</f>
        <v>28239.204811220294</v>
      </c>
      <c r="N37" s="119">
        <f>'5C1AG_Collegiate'!$L$84</f>
        <v>65</v>
      </c>
      <c r="O37" s="117"/>
      <c r="P37" s="118">
        <f>'5C1AG_Collegiate'!$N$84</f>
        <v>200944.03705787542</v>
      </c>
      <c r="Q37" s="119">
        <f>'5C1AG_Collegiate'!$O$84</f>
        <v>0</v>
      </c>
      <c r="R37" s="117"/>
      <c r="S37" s="118">
        <f>'5C1AG_Collegiate'!$Q$84</f>
        <v>0</v>
      </c>
      <c r="T37" s="851">
        <f>'5C1AG_Collegiate'!$R$77</f>
        <v>70832</v>
      </c>
      <c r="U37" s="120">
        <f>'5C1AG_Collegiate'!$R$84</f>
        <v>1890043</v>
      </c>
      <c r="V37" s="117">
        <f>'5C1AG_Collegiate'!$S$84</f>
        <v>357414</v>
      </c>
      <c r="W37" s="117">
        <f>'5C1AG_Collegiate'!$T$84</f>
        <v>-50190</v>
      </c>
      <c r="X37" s="121">
        <f>'5C1AG_Collegiate'!$U$84</f>
        <v>307224</v>
      </c>
      <c r="Y37" s="120">
        <f>'5C1AG_Collegiate'!$V$84</f>
        <v>2197267</v>
      </c>
      <c r="Z37" s="118">
        <f>'5C1AG_Collegiate'!$W$84</f>
        <v>-5493</v>
      </c>
      <c r="AA37" s="120">
        <f>'5C1AG_Collegiate'!$X$84</f>
        <v>2191774</v>
      </c>
      <c r="AB37" s="117">
        <f>'5C1AG_Collegiate'!$Y$84</f>
        <v>0</v>
      </c>
      <c r="AC37" s="132">
        <f>'5C1AG_Collegiate'!$Z$79+'5C1AG_Collegiate'!$Z$83</f>
        <v>23541</v>
      </c>
      <c r="AD37" s="120">
        <f>'5C1AG_Collegiate'!$Z$84</f>
        <v>2215315</v>
      </c>
      <c r="AE37" s="117">
        <f>'5C1AG_Collegiate'!$AA$84</f>
        <v>1382462</v>
      </c>
      <c r="AF37" s="117">
        <f>'5C1AG_Collegiate'!$AB$84</f>
        <v>832853</v>
      </c>
      <c r="AG37" s="120">
        <f>'5C1AG_Collegiate'!$AC$84</f>
        <v>208214</v>
      </c>
      <c r="AH37" s="132">
        <f>'5C1AG_Collegiate'!$AD$80+'5C1AG_Collegiate'!$AD$81+'5C1AG_Collegiate'!$AD$82</f>
        <v>104048</v>
      </c>
      <c r="AI37" s="122">
        <f>'5C1AG_Collegiate'!$AD$84</f>
        <v>2319363</v>
      </c>
      <c r="AJ37" s="123"/>
      <c r="AK37" s="124">
        <f>'5C1AG_Collegiate'!$AF$84</f>
        <v>3041361</v>
      </c>
      <c r="AL37" s="116">
        <f>'5C1AG_Collegiate'!$AG$84</f>
        <v>82</v>
      </c>
      <c r="AM37" s="123">
        <f>'5C1AG_Collegiate'!$AH$84</f>
        <v>646207</v>
      </c>
      <c r="AN37" s="116">
        <f>'5C1AG_Collegiate'!$AI$84</f>
        <v>-19</v>
      </c>
      <c r="AO37" s="125">
        <f>'5C1AG_Collegiate'!$AJ$84</f>
        <v>-66645</v>
      </c>
      <c r="AP37" s="126">
        <f>'5C1AG_Collegiate'!$AK$84</f>
        <v>579562</v>
      </c>
      <c r="AQ37" s="124">
        <f>'5C1AG_Collegiate'!$AL$84</f>
        <v>3620923</v>
      </c>
      <c r="AR37" s="127">
        <f>'5C1AG_Collegiate'!$AM$84</f>
        <v>-9052</v>
      </c>
      <c r="AS37" s="124">
        <f>'5C1AG_Collegiate'!$AN$84</f>
        <v>3611871</v>
      </c>
      <c r="AT37" s="125">
        <f>'5C1AG_Collegiate'!$AO$84</f>
        <v>0</v>
      </c>
      <c r="AU37" s="124">
        <f>'5C1AG_Collegiate'!$AP$84</f>
        <v>3611871</v>
      </c>
      <c r="AV37" s="125">
        <f>'5C1AG_Collegiate'!$AQ$84</f>
        <v>2197198</v>
      </c>
      <c r="AW37" s="125">
        <f>'5C1AG_Collegiate'!$AR$84</f>
        <v>1414673</v>
      </c>
      <c r="AX37" s="124">
        <f>'5C1AG_Collegiate'!$AS$84</f>
        <v>353668</v>
      </c>
    </row>
    <row r="38" spans="1:50" ht="15.75" customHeight="1" x14ac:dyDescent="0.2">
      <c r="A38" s="129" t="s">
        <v>647</v>
      </c>
      <c r="B38" s="230"/>
      <c r="C38" s="230"/>
      <c r="D38" s="133" t="s">
        <v>839</v>
      </c>
      <c r="E38" s="134">
        <f>'5C1M_GEO Mid'!$C$84</f>
        <v>707</v>
      </c>
      <c r="F38" s="135"/>
      <c r="G38" s="136">
        <f>'5C1M_GEO Mid'!$E$84</f>
        <v>2513288.4721809453</v>
      </c>
      <c r="H38" s="137">
        <f>'5C1M_GEO Mid'!$F$84</f>
        <v>648</v>
      </c>
      <c r="I38" s="135"/>
      <c r="J38" s="136">
        <f>'5C1M_GEO Mid'!$H$84</f>
        <v>292868.92790241778</v>
      </c>
      <c r="K38" s="1107">
        <f>'5C1M_GEO Mid'!$I$84</f>
        <v>24</v>
      </c>
      <c r="L38" s="135"/>
      <c r="M38" s="136">
        <f>'5C1M_GEO Mid'!$K$84</f>
        <v>2987.4006500886994</v>
      </c>
      <c r="N38" s="137">
        <f>'5C1M_GEO Mid'!$L$84</f>
        <v>77</v>
      </c>
      <c r="O38" s="135"/>
      <c r="P38" s="136">
        <f>'5C1M_GEO Mid'!$N$84</f>
        <v>235467.08004121052</v>
      </c>
      <c r="Q38" s="137">
        <f>'5C1M_GEO Mid'!$O$84</f>
        <v>0</v>
      </c>
      <c r="R38" s="135"/>
      <c r="S38" s="136">
        <f>'5C1M_GEO Mid'!$Q$84</f>
        <v>0</v>
      </c>
      <c r="T38" s="852">
        <f>'5C1M_GEO Mid'!$R$77</f>
        <v>86101</v>
      </c>
      <c r="U38" s="138">
        <f>'5C1M_GEO Mid'!$R$84</f>
        <v>3130713</v>
      </c>
      <c r="V38" s="135">
        <f>'5C1M_GEO Mid'!$S$84</f>
        <v>-97065</v>
      </c>
      <c r="W38" s="135">
        <f>'5C1M_GEO Mid'!$T$84</f>
        <v>-33891</v>
      </c>
      <c r="X38" s="139">
        <f>'5C1M_GEO Mid'!$U$84</f>
        <v>-130956</v>
      </c>
      <c r="Y38" s="138">
        <f>'5C1M_GEO Mid'!$V$84</f>
        <v>2999757</v>
      </c>
      <c r="Z38" s="136">
        <f>'5C1M_GEO Mid'!$W$84</f>
        <v>-7499</v>
      </c>
      <c r="AA38" s="138">
        <f>'5C1M_GEO Mid'!$X$84</f>
        <v>2992258</v>
      </c>
      <c r="AB38" s="135">
        <f>'5C1M_GEO Mid'!$Y$84</f>
        <v>0</v>
      </c>
      <c r="AC38" s="140">
        <f>('5C1M_GEO Mid'!$Z$79+'5C1M_GEO Mid'!$Z$83)</f>
        <v>8968</v>
      </c>
      <c r="AD38" s="138">
        <f>'5C1M_GEO Mid'!$Z$84</f>
        <v>3001226</v>
      </c>
      <c r="AE38" s="135">
        <f>'5C1M_GEO Mid'!$AA$84</f>
        <v>2058848</v>
      </c>
      <c r="AF38" s="135">
        <f>'5C1M_GEO Mid'!$AB$84</f>
        <v>942378</v>
      </c>
      <c r="AG38" s="138">
        <f>'5C1M_GEO Mid'!$AC$84</f>
        <v>235596</v>
      </c>
      <c r="AH38" s="140">
        <f>('5C1M_GEO Mid'!$AD$80+'5C1M_GEO Mid'!$AD$81+'5C1M_GEO Mid'!$AD$82)</f>
        <v>14942</v>
      </c>
      <c r="AI38" s="141">
        <f>'5C1M_GEO Mid'!$AD$84</f>
        <v>3016168</v>
      </c>
      <c r="AJ38" s="142"/>
      <c r="AK38" s="143">
        <f>'5C1M_GEO Mid'!$AF$84</f>
        <v>5403530</v>
      </c>
      <c r="AL38" s="134">
        <f>'5C1M_GEO Mid'!$AG$84</f>
        <v>-30</v>
      </c>
      <c r="AM38" s="142">
        <f>'5C1M_GEO Mid'!$AH$84</f>
        <v>-259084</v>
      </c>
      <c r="AN38" s="134">
        <f>'5C1M_GEO Mid'!$AI$84</f>
        <v>-9</v>
      </c>
      <c r="AO38" s="144">
        <f>'5C1M_GEO Mid'!$AJ$84</f>
        <v>9215</v>
      </c>
      <c r="AP38" s="145">
        <f>'5C1M_GEO Mid'!$AK$84</f>
        <v>-249869</v>
      </c>
      <c r="AQ38" s="143">
        <f>'5C1M_GEO Mid'!$AL$84</f>
        <v>5153661</v>
      </c>
      <c r="AR38" s="146">
        <f>'5C1M_GEO Mid'!$AM$84</f>
        <v>-12885</v>
      </c>
      <c r="AS38" s="143">
        <f>'5C1M_GEO Mid'!$AN$84</f>
        <v>5140776</v>
      </c>
      <c r="AT38" s="144">
        <f>'5C1M_GEO Mid'!$AO$84</f>
        <v>0</v>
      </c>
      <c r="AU38" s="143">
        <f>'5C1M_GEO Mid'!$AP$84</f>
        <v>5140776</v>
      </c>
      <c r="AV38" s="144">
        <f>'5C1M_GEO Mid'!$AQ$84</f>
        <v>3448994</v>
      </c>
      <c r="AW38" s="144">
        <f>'5C1M_GEO Mid'!$AR$84</f>
        <v>1691782</v>
      </c>
      <c r="AX38" s="143">
        <f>'5C1M_GEO Mid'!$AS$84</f>
        <v>422946</v>
      </c>
    </row>
    <row r="39" spans="1:50" s="33" customFormat="1" ht="15.75" customHeight="1" thickBot="1" x14ac:dyDescent="0.25">
      <c r="A39" s="1404" t="s">
        <v>346</v>
      </c>
      <c r="B39" s="1457"/>
      <c r="C39" s="1457"/>
      <c r="D39" s="1405"/>
      <c r="E39" s="162">
        <f>SUM(E7:E38)</f>
        <v>20640</v>
      </c>
      <c r="F39" s="163"/>
      <c r="G39" s="164">
        <f t="shared" ref="G39:AX39" si="2">SUM(G7:G38)</f>
        <v>80555636.363456249</v>
      </c>
      <c r="H39" s="162">
        <f t="shared" si="2"/>
        <v>15693</v>
      </c>
      <c r="I39" s="163"/>
      <c r="J39" s="164">
        <f t="shared" si="2"/>
        <v>8098774.1274025152</v>
      </c>
      <c r="K39" s="1113">
        <f t="shared" si="2"/>
        <v>8315.5</v>
      </c>
      <c r="L39" s="163"/>
      <c r="M39" s="164">
        <f t="shared" si="2"/>
        <v>1200137.6425601211</v>
      </c>
      <c r="N39" s="162">
        <f t="shared" si="2"/>
        <v>2494</v>
      </c>
      <c r="O39" s="163"/>
      <c r="P39" s="164">
        <f t="shared" si="2"/>
        <v>8772943.2042081282</v>
      </c>
      <c r="Q39" s="162">
        <f t="shared" si="2"/>
        <v>483</v>
      </c>
      <c r="R39" s="163"/>
      <c r="S39" s="164">
        <f t="shared" si="2"/>
        <v>680836.24621201423</v>
      </c>
      <c r="T39" s="164">
        <f t="shared" si="2"/>
        <v>2420983</v>
      </c>
      <c r="U39" s="165">
        <f t="shared" si="2"/>
        <v>101729312</v>
      </c>
      <c r="V39" s="163">
        <f t="shared" si="2"/>
        <v>7211110</v>
      </c>
      <c r="W39" s="163">
        <f t="shared" si="2"/>
        <v>-709244</v>
      </c>
      <c r="X39" s="166">
        <f t="shared" si="2"/>
        <v>6501866</v>
      </c>
      <c r="Y39" s="165">
        <f t="shared" si="2"/>
        <v>108231178</v>
      </c>
      <c r="Z39" s="164">
        <f t="shared" si="2"/>
        <v>-270578</v>
      </c>
      <c r="AA39" s="165">
        <f t="shared" si="2"/>
        <v>107960600</v>
      </c>
      <c r="AB39" s="164">
        <f t="shared" si="2"/>
        <v>-48852</v>
      </c>
      <c r="AC39" s="167">
        <f t="shared" si="2"/>
        <v>1369002</v>
      </c>
      <c r="AD39" s="165">
        <f t="shared" si="2"/>
        <v>109280750</v>
      </c>
      <c r="AE39" s="163">
        <f t="shared" si="2"/>
        <v>71383630</v>
      </c>
      <c r="AF39" s="163">
        <f t="shared" si="2"/>
        <v>37897120</v>
      </c>
      <c r="AG39" s="165">
        <f t="shared" si="2"/>
        <v>9474323</v>
      </c>
      <c r="AH39" s="167">
        <f t="shared" si="2"/>
        <v>985842</v>
      </c>
      <c r="AI39" s="168">
        <f t="shared" si="2"/>
        <v>110266592</v>
      </c>
      <c r="AJ39" s="169"/>
      <c r="AK39" s="170">
        <f t="shared" si="2"/>
        <v>122287450</v>
      </c>
      <c r="AL39" s="162">
        <f t="shared" si="2"/>
        <v>1604</v>
      </c>
      <c r="AM39" s="169">
        <f t="shared" si="2"/>
        <v>8414800</v>
      </c>
      <c r="AN39" s="162">
        <f t="shared" si="2"/>
        <v>-312</v>
      </c>
      <c r="AO39" s="171">
        <f t="shared" si="2"/>
        <v>-738915</v>
      </c>
      <c r="AP39" s="172">
        <f t="shared" si="2"/>
        <v>7675885</v>
      </c>
      <c r="AQ39" s="170">
        <f t="shared" si="2"/>
        <v>129963335</v>
      </c>
      <c r="AR39" s="173">
        <f t="shared" si="2"/>
        <v>-324914</v>
      </c>
      <c r="AS39" s="170">
        <f t="shared" si="2"/>
        <v>129638421</v>
      </c>
      <c r="AT39" s="171">
        <f t="shared" si="2"/>
        <v>-60314</v>
      </c>
      <c r="AU39" s="170">
        <f t="shared" si="2"/>
        <v>129578107</v>
      </c>
      <c r="AV39" s="171">
        <f t="shared" si="2"/>
        <v>81884768</v>
      </c>
      <c r="AW39" s="171">
        <f t="shared" si="2"/>
        <v>47693339</v>
      </c>
      <c r="AX39" s="170">
        <f t="shared" si="2"/>
        <v>11923371</v>
      </c>
    </row>
    <row r="40" spans="1:50" ht="15.75" customHeight="1" thickTop="1" x14ac:dyDescent="0.2">
      <c r="A40" s="129"/>
      <c r="B40" s="230"/>
      <c r="C40" s="230"/>
      <c r="D40" s="133" t="s">
        <v>1370</v>
      </c>
      <c r="E40" s="134">
        <f>Placeholder_Greater!$C$84</f>
        <v>69</v>
      </c>
      <c r="F40" s="135"/>
      <c r="G40" s="136">
        <f>Placeholder_Greater!$E$84</f>
        <v>200325.26859689009</v>
      </c>
      <c r="H40" s="137">
        <f>Placeholder_Greater!$F$84</f>
        <v>66</v>
      </c>
      <c r="I40" s="135"/>
      <c r="J40" s="136">
        <f>Placeholder_Greater!$H$84</f>
        <v>21739.798060075806</v>
      </c>
      <c r="K40" s="1107">
        <f>Placeholder_Greater!$I$84</f>
        <v>0</v>
      </c>
      <c r="L40" s="135"/>
      <c r="M40" s="136">
        <f>Placeholder_Greater!$K$84</f>
        <v>0</v>
      </c>
      <c r="N40" s="137">
        <f>Placeholder_Greater!$L$84</f>
        <v>19</v>
      </c>
      <c r="O40" s="135"/>
      <c r="P40" s="136">
        <f>Placeholder_Greater!$N$84</f>
        <v>41326.357159725114</v>
      </c>
      <c r="Q40" s="137">
        <f>Placeholder_Greater!$O$84</f>
        <v>0</v>
      </c>
      <c r="R40" s="135"/>
      <c r="S40" s="136">
        <f>Placeholder_Greater!$Q$84</f>
        <v>0</v>
      </c>
      <c r="T40" s="852">
        <f>Placeholder_Greater!$R$77</f>
        <v>0</v>
      </c>
      <c r="U40" s="138">
        <f>Placeholder_Greater!$R$84</f>
        <v>263392</v>
      </c>
      <c r="V40" s="135">
        <f>Placeholder_Greater!$S$84</f>
        <v>-263392</v>
      </c>
      <c r="W40" s="135">
        <f>Placeholder_Greater!$T$84</f>
        <v>0</v>
      </c>
      <c r="X40" s="139">
        <f>Placeholder_Greater!$U$84</f>
        <v>-263392</v>
      </c>
      <c r="Y40" s="138"/>
      <c r="Z40" s="136"/>
      <c r="AA40" s="138"/>
      <c r="AB40" s="135"/>
      <c r="AC40" s="140"/>
      <c r="AD40" s="138"/>
      <c r="AE40" s="135"/>
      <c r="AF40" s="135"/>
      <c r="AG40" s="138"/>
      <c r="AH40" s="140"/>
      <c r="AI40" s="141"/>
      <c r="AJ40" s="142"/>
      <c r="AK40" s="143"/>
      <c r="AL40" s="134"/>
      <c r="AM40" s="142"/>
      <c r="AN40" s="134"/>
      <c r="AO40" s="144"/>
      <c r="AP40" s="145"/>
      <c r="AQ40" s="143"/>
      <c r="AR40" s="146"/>
      <c r="AS40" s="143"/>
      <c r="AT40" s="144"/>
      <c r="AU40" s="143"/>
      <c r="AV40" s="144"/>
      <c r="AW40" s="144"/>
      <c r="AX40" s="143"/>
    </row>
    <row r="41" spans="1:50" s="33" customFormat="1" ht="15.75" customHeight="1" thickBot="1" x14ac:dyDescent="0.25">
      <c r="A41" s="1404" t="s">
        <v>346</v>
      </c>
      <c r="B41" s="1457"/>
      <c r="C41" s="1457"/>
      <c r="D41" s="1405"/>
      <c r="E41" s="162">
        <f>SUM(E39:E40)</f>
        <v>20709</v>
      </c>
      <c r="F41" s="163"/>
      <c r="G41" s="164">
        <f>SUM(G39:G40)</f>
        <v>80755961.632053137</v>
      </c>
      <c r="H41" s="162">
        <f>SUM(H39:H40)</f>
        <v>15759</v>
      </c>
      <c r="I41" s="163"/>
      <c r="J41" s="164">
        <f>SUM(J39:J40)</f>
        <v>8120513.9254625905</v>
      </c>
      <c r="K41" s="1113">
        <f>SUM(K39:K40)</f>
        <v>8315.5</v>
      </c>
      <c r="L41" s="163"/>
      <c r="M41" s="164">
        <f>SUM(M39:M40)</f>
        <v>1200137.6425601211</v>
      </c>
      <c r="N41" s="162">
        <f>SUM(N39:N40)</f>
        <v>2513</v>
      </c>
      <c r="O41" s="163"/>
      <c r="P41" s="164">
        <f>SUM(P39:P40)</f>
        <v>8814269.5613678526</v>
      </c>
      <c r="Q41" s="162">
        <f>SUM(Q39:Q40)</f>
        <v>483</v>
      </c>
      <c r="R41" s="163"/>
      <c r="S41" s="164">
        <f t="shared" ref="S41:AI41" si="3">SUM(S39:S40)</f>
        <v>680836.24621201423</v>
      </c>
      <c r="T41" s="164">
        <f t="shared" si="3"/>
        <v>2420983</v>
      </c>
      <c r="U41" s="165">
        <f t="shared" si="3"/>
        <v>101992704</v>
      </c>
      <c r="V41" s="163">
        <f t="shared" si="3"/>
        <v>6947718</v>
      </c>
      <c r="W41" s="163">
        <f t="shared" si="3"/>
        <v>-709244</v>
      </c>
      <c r="X41" s="166">
        <f t="shared" si="3"/>
        <v>6238474</v>
      </c>
      <c r="Y41" s="165">
        <f t="shared" si="3"/>
        <v>108231178</v>
      </c>
      <c r="Z41" s="164">
        <f t="shared" si="3"/>
        <v>-270578</v>
      </c>
      <c r="AA41" s="165">
        <f t="shared" si="3"/>
        <v>107960600</v>
      </c>
      <c r="AB41" s="164">
        <f t="shared" si="3"/>
        <v>-48852</v>
      </c>
      <c r="AC41" s="167">
        <f t="shared" si="3"/>
        <v>1369002</v>
      </c>
      <c r="AD41" s="165">
        <f t="shared" si="3"/>
        <v>109280750</v>
      </c>
      <c r="AE41" s="163">
        <f t="shared" si="3"/>
        <v>71383630</v>
      </c>
      <c r="AF41" s="163">
        <f t="shared" si="3"/>
        <v>37897120</v>
      </c>
      <c r="AG41" s="165">
        <f t="shared" si="3"/>
        <v>9474323</v>
      </c>
      <c r="AH41" s="167">
        <f t="shared" si="3"/>
        <v>985842</v>
      </c>
      <c r="AI41" s="168">
        <f t="shared" si="3"/>
        <v>110266592</v>
      </c>
      <c r="AJ41" s="169"/>
      <c r="AK41" s="170">
        <f t="shared" ref="AK41:AX41" si="4">SUM(AK39:AK40)</f>
        <v>122287450</v>
      </c>
      <c r="AL41" s="162">
        <f t="shared" si="4"/>
        <v>1604</v>
      </c>
      <c r="AM41" s="169">
        <f t="shared" si="4"/>
        <v>8414800</v>
      </c>
      <c r="AN41" s="162">
        <f t="shared" si="4"/>
        <v>-312</v>
      </c>
      <c r="AO41" s="171">
        <f t="shared" si="4"/>
        <v>-738915</v>
      </c>
      <c r="AP41" s="172">
        <f t="shared" si="4"/>
        <v>7675885</v>
      </c>
      <c r="AQ41" s="170">
        <f t="shared" si="4"/>
        <v>129963335</v>
      </c>
      <c r="AR41" s="173">
        <f t="shared" si="4"/>
        <v>-324914</v>
      </c>
      <c r="AS41" s="170">
        <f t="shared" si="4"/>
        <v>129638421</v>
      </c>
      <c r="AT41" s="171">
        <f t="shared" si="4"/>
        <v>-60314</v>
      </c>
      <c r="AU41" s="170">
        <f t="shared" si="4"/>
        <v>129578107</v>
      </c>
      <c r="AV41" s="171">
        <f t="shared" si="4"/>
        <v>81884768</v>
      </c>
      <c r="AW41" s="171">
        <f t="shared" si="4"/>
        <v>47693339</v>
      </c>
      <c r="AX41" s="170">
        <f t="shared" si="4"/>
        <v>11923371</v>
      </c>
    </row>
    <row r="42" spans="1:50" ht="13.5" hidden="1" thickTop="1" x14ac:dyDescent="0.2">
      <c r="A42" s="128" t="s">
        <v>424</v>
      </c>
      <c r="B42" s="229">
        <v>343002</v>
      </c>
      <c r="C42" s="688"/>
      <c r="D42" s="115" t="s">
        <v>401</v>
      </c>
      <c r="E42" s="116"/>
      <c r="F42" s="117"/>
      <c r="G42" s="118"/>
      <c r="H42" s="119"/>
      <c r="I42" s="117"/>
      <c r="J42" s="118"/>
      <c r="K42" s="119"/>
      <c r="L42" s="117"/>
      <c r="M42" s="118"/>
      <c r="N42" s="119"/>
      <c r="O42" s="117"/>
      <c r="P42" s="118"/>
      <c r="Q42" s="119"/>
      <c r="R42" s="117"/>
      <c r="S42" s="118"/>
      <c r="T42" s="851"/>
      <c r="U42" s="120">
        <f>'5C2_LAVCA'!$S$76</f>
        <v>1065170</v>
      </c>
    </row>
    <row r="43" spans="1:50" hidden="1" x14ac:dyDescent="0.2">
      <c r="A43" s="130">
        <v>345001</v>
      </c>
      <c r="B43" s="231">
        <v>345001</v>
      </c>
      <c r="C43" s="692"/>
      <c r="D43" s="147" t="s">
        <v>1045</v>
      </c>
      <c r="E43" s="148"/>
      <c r="F43" s="149"/>
      <c r="G43" s="150"/>
      <c r="H43" s="151"/>
      <c r="I43" s="149"/>
      <c r="J43" s="150"/>
      <c r="K43" s="151"/>
      <c r="L43" s="149"/>
      <c r="M43" s="150"/>
      <c r="N43" s="151"/>
      <c r="O43" s="149"/>
      <c r="P43" s="150"/>
      <c r="Q43" s="151"/>
      <c r="R43" s="149"/>
      <c r="S43" s="150"/>
      <c r="T43" s="853"/>
      <c r="U43" s="152">
        <f>'5C3_UnvView'!$S$76</f>
        <v>1773874</v>
      </c>
    </row>
    <row r="44" spans="1:50" ht="13.5" thickTop="1" x14ac:dyDescent="0.2"/>
    <row r="45" spans="1:50" x14ac:dyDescent="0.2">
      <c r="U45" s="750"/>
    </row>
  </sheetData>
  <sheetProtection password="D893" sheet="1" formatCells="0" formatColumns="0" formatRows="0" sort="0"/>
  <sortState ref="A20:BH39">
    <sortCondition sortBy="cellColor" ref="A20:A39" dxfId="56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7">
    <mergeCell ref="AJ1:AX1"/>
    <mergeCell ref="V1:AI1"/>
    <mergeCell ref="E1:U1"/>
    <mergeCell ref="AU2:AU3"/>
    <mergeCell ref="AV2:AV3"/>
    <mergeCell ref="AE2:AE3"/>
    <mergeCell ref="AH2:AH3"/>
    <mergeCell ref="AT2:AT3"/>
    <mergeCell ref="AF2:AF3"/>
    <mergeCell ref="AG2:AG3"/>
    <mergeCell ref="AS2:AS3"/>
    <mergeCell ref="AI2:AI3"/>
    <mergeCell ref="AJ2:AJ3"/>
    <mergeCell ref="AX2:AX3"/>
    <mergeCell ref="AA2:AA3"/>
    <mergeCell ref="AB2:AB3"/>
    <mergeCell ref="AD2:AD3"/>
    <mergeCell ref="AQ2:AQ3"/>
    <mergeCell ref="AK2:AK3"/>
    <mergeCell ref="AL2:AP2"/>
    <mergeCell ref="AR2:AR3"/>
    <mergeCell ref="AW2:AW3"/>
    <mergeCell ref="A41:D41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A39:D39"/>
    <mergeCell ref="N2:P2"/>
    <mergeCell ref="T2:T3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&amp;L&amp;"Arial,Bold"&amp;18&amp;K000000FY2020-21 Budget Letter
March 2021</oddHeader>
    <oddFooter>&amp;R&amp;P</oddFooter>
  </headerFooter>
  <colBreaks count="2" manualBreakCount="2">
    <brk id="21" max="40" man="1"/>
    <brk id="35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4.42578125" style="6" bestFit="1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1" t="s">
        <v>357</v>
      </c>
      <c r="B1" s="1501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2" t="s">
        <v>302</v>
      </c>
      <c r="AV1" s="1498" t="s">
        <v>1422</v>
      </c>
      <c r="AW1" s="1498"/>
      <c r="AX1" s="1498"/>
    </row>
    <row r="2" spans="1:51" ht="30" customHeight="1" x14ac:dyDescent="0.2">
      <c r="A2" s="1501"/>
      <c r="B2" s="1501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2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1"/>
      <c r="B3" s="1501"/>
      <c r="C3" s="1397"/>
      <c r="D3" s="474" t="s">
        <v>486</v>
      </c>
      <c r="E3" s="474" t="s">
        <v>300</v>
      </c>
      <c r="F3" s="474" t="s">
        <v>1287</v>
      </c>
      <c r="G3" s="474" t="s">
        <v>360</v>
      </c>
      <c r="H3" s="474" t="s">
        <v>300</v>
      </c>
      <c r="I3" s="474" t="s">
        <v>1442</v>
      </c>
      <c r="J3" s="474" t="s">
        <v>360</v>
      </c>
      <c r="K3" s="474" t="s">
        <v>300</v>
      </c>
      <c r="L3" s="474" t="s">
        <v>1289</v>
      </c>
      <c r="M3" s="474" t="s">
        <v>372</v>
      </c>
      <c r="N3" s="474" t="s">
        <v>300</v>
      </c>
      <c r="O3" s="474" t="s">
        <v>1289</v>
      </c>
      <c r="P3" s="474" t="s">
        <v>372</v>
      </c>
      <c r="Q3" s="474" t="s">
        <v>300</v>
      </c>
      <c r="R3" s="1397"/>
      <c r="S3" s="1064" t="s">
        <v>1290</v>
      </c>
      <c r="T3" s="1064" t="s">
        <v>1291</v>
      </c>
      <c r="U3" s="1064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476" t="s">
        <v>1420</v>
      </c>
      <c r="AH3" s="476" t="s">
        <v>1294</v>
      </c>
      <c r="AI3" s="476" t="s">
        <v>1295</v>
      </c>
      <c r="AJ3" s="584" t="s">
        <v>1296</v>
      </c>
      <c r="AK3" s="476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25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44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8299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19968</v>
      </c>
      <c r="AM9" s="146"/>
      <c r="AN9" s="143"/>
      <c r="AO9" s="144">
        <v>0</v>
      </c>
      <c r="AP9" s="143"/>
      <c r="AQ9" s="144"/>
      <c r="AR9" s="144"/>
      <c r="AS9" s="143">
        <v>2226</v>
      </c>
      <c r="AT9" s="697"/>
      <c r="AU9" s="698"/>
      <c r="AV9" s="136"/>
      <c r="AW9" s="136"/>
      <c r="AX9" s="136">
        <v>17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44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5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25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44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44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44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5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25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44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44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44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5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25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2206898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4397557</v>
      </c>
      <c r="AM23" s="146"/>
      <c r="AN23" s="143"/>
      <c r="AO23" s="144">
        <v>-3781</v>
      </c>
      <c r="AP23" s="143"/>
      <c r="AQ23" s="144"/>
      <c r="AR23" s="144"/>
      <c r="AS23" s="143">
        <v>397812</v>
      </c>
      <c r="AT23" s="697"/>
      <c r="AU23" s="698"/>
      <c r="AV23" s="136"/>
      <c r="AW23" s="136"/>
      <c r="AX23" s="136">
        <v>1137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44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4392</v>
      </c>
      <c r="AM25" s="146"/>
      <c r="AN25" s="143"/>
      <c r="AO25" s="144">
        <v>0</v>
      </c>
      <c r="AP25" s="143"/>
      <c r="AQ25" s="144"/>
      <c r="AR25" s="144"/>
      <c r="AS25" s="143">
        <v>730</v>
      </c>
      <c r="AT25" s="697"/>
      <c r="AU25" s="698"/>
      <c r="AV25" s="136"/>
      <c r="AW25" s="136"/>
      <c r="AX25" s="136">
        <v>11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5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25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44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44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5743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32536</v>
      </c>
      <c r="AM30" s="146"/>
      <c r="AN30" s="143"/>
      <c r="AO30" s="144">
        <v>0</v>
      </c>
      <c r="AP30" s="143"/>
      <c r="AQ30" s="144"/>
      <c r="AR30" s="144"/>
      <c r="AS30" s="143">
        <v>2985</v>
      </c>
      <c r="AT30" s="697"/>
      <c r="AU30" s="698"/>
      <c r="AV30" s="136"/>
      <c r="AW30" s="136"/>
      <c r="AX30" s="136">
        <v>8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5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25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44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44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44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5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25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40770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11396</v>
      </c>
      <c r="AM38" s="146"/>
      <c r="AN38" s="143"/>
      <c r="AO38" s="144">
        <v>0</v>
      </c>
      <c r="AP38" s="143"/>
      <c r="AQ38" s="144"/>
      <c r="AR38" s="144"/>
      <c r="AS38" s="143">
        <v>336</v>
      </c>
      <c r="AT38" s="697"/>
      <c r="AU38" s="698"/>
      <c r="AV38" s="136"/>
      <c r="AW38" s="136"/>
      <c r="AX38" s="136">
        <v>-19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44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44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5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25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44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44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44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5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25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44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44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44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5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25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44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44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44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5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25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44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5361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4278</v>
      </c>
      <c r="AM59" s="146"/>
      <c r="AN59" s="143"/>
      <c r="AO59" s="144">
        <v>0</v>
      </c>
      <c r="AP59" s="143"/>
      <c r="AQ59" s="144"/>
      <c r="AR59" s="144"/>
      <c r="AS59" s="143">
        <v>374</v>
      </c>
      <c r="AT59" s="697"/>
      <c r="AU59" s="698"/>
      <c r="AV59" s="136"/>
      <c r="AW59" s="136"/>
      <c r="AX59" s="136">
        <v>4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44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5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25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44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44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44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5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13299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22090</v>
      </c>
      <c r="AM67" s="127"/>
      <c r="AN67" s="124"/>
      <c r="AO67" s="125">
        <v>0</v>
      </c>
      <c r="AP67" s="124"/>
      <c r="AQ67" s="125"/>
      <c r="AR67" s="125"/>
      <c r="AS67" s="124">
        <v>1602</v>
      </c>
      <c r="AT67" s="695"/>
      <c r="AU67" s="696"/>
      <c r="AV67" s="118"/>
      <c r="AW67" s="118"/>
      <c r="AX67" s="118">
        <v>-7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44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44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44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5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25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38528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25076</v>
      </c>
      <c r="AM73" s="146"/>
      <c r="AN73" s="143"/>
      <c r="AO73" s="144">
        <v>0</v>
      </c>
      <c r="AP73" s="143"/>
      <c r="AQ73" s="144"/>
      <c r="AR73" s="144"/>
      <c r="AS73" s="143">
        <v>650</v>
      </c>
      <c r="AT73" s="697"/>
      <c r="AU73" s="698"/>
      <c r="AV73" s="701"/>
      <c r="AW73" s="701"/>
      <c r="AX73" s="701">
        <v>-43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106299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43200</v>
      </c>
      <c r="AM74" s="146"/>
      <c r="AN74" s="143"/>
      <c r="AO74" s="144">
        <v>0</v>
      </c>
      <c r="AP74" s="143"/>
      <c r="AQ74" s="144"/>
      <c r="AR74" s="144"/>
      <c r="AS74" s="143">
        <v>2549</v>
      </c>
      <c r="AT74" s="697"/>
      <c r="AU74" s="698"/>
      <c r="AV74" s="701"/>
      <c r="AW74" s="701"/>
      <c r="AX74" s="701">
        <v>-18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29801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7"/>
      <c r="AH75" s="142"/>
      <c r="AI75" s="137"/>
      <c r="AJ75" s="142"/>
      <c r="AK75" s="145"/>
      <c r="AL75" s="143">
        <v>7938</v>
      </c>
      <c r="AM75" s="146"/>
      <c r="AN75" s="143"/>
      <c r="AO75" s="144">
        <v>0</v>
      </c>
      <c r="AP75" s="143"/>
      <c r="AQ75" s="144"/>
      <c r="AR75" s="144"/>
      <c r="AS75" s="143">
        <v>416</v>
      </c>
      <c r="AT75" s="1172"/>
      <c r="AU75" s="1173"/>
      <c r="AV75" s="1174"/>
      <c r="AW75" s="1174"/>
      <c r="AX75" s="1174">
        <v>-27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569</v>
      </c>
      <c r="D76" s="914">
        <v>4268.9653302959669</v>
      </c>
      <c r="E76" s="915">
        <v>2059319.3397775341</v>
      </c>
      <c r="F76" s="916">
        <v>422</v>
      </c>
      <c r="G76" s="917">
        <v>570.35224473434255</v>
      </c>
      <c r="H76" s="918">
        <v>192953.93389726483</v>
      </c>
      <c r="I76" s="1109">
        <v>713</v>
      </c>
      <c r="J76" s="917">
        <v>158.37628411149953</v>
      </c>
      <c r="K76" s="918">
        <v>88830.921741039987</v>
      </c>
      <c r="L76" s="916">
        <v>37</v>
      </c>
      <c r="M76" s="917">
        <v>3936.5780458287281</v>
      </c>
      <c r="N76" s="918">
        <v>113892.93260630443</v>
      </c>
      <c r="O76" s="916">
        <v>0</v>
      </c>
      <c r="P76" s="917">
        <v>1527.9418817790604</v>
      </c>
      <c r="Q76" s="918">
        <v>0</v>
      </c>
      <c r="R76" s="919">
        <v>2454998</v>
      </c>
      <c r="S76" s="917">
        <v>108768</v>
      </c>
      <c r="T76" s="917">
        <v>-32094</v>
      </c>
      <c r="U76" s="920">
        <v>76674</v>
      </c>
      <c r="V76" s="919">
        <v>2531672</v>
      </c>
      <c r="W76" s="918">
        <v>-6329</v>
      </c>
      <c r="X76" s="919">
        <v>2525343</v>
      </c>
      <c r="Y76" s="918">
        <v>-1801</v>
      </c>
      <c r="Z76" s="919">
        <v>2523542</v>
      </c>
      <c r="AA76" s="917">
        <v>1667542</v>
      </c>
      <c r="AB76" s="917">
        <v>856000</v>
      </c>
      <c r="AC76" s="919">
        <v>214000</v>
      </c>
      <c r="AD76" s="921">
        <v>2523542</v>
      </c>
      <c r="AE76" s="917">
        <v>5688</v>
      </c>
      <c r="AF76" s="922">
        <v>4296776</v>
      </c>
      <c r="AG76" s="916">
        <v>38</v>
      </c>
      <c r="AH76" s="917">
        <v>328445</v>
      </c>
      <c r="AI76" s="916">
        <v>-15</v>
      </c>
      <c r="AJ76" s="917">
        <v>-56790</v>
      </c>
      <c r="AK76" s="920">
        <v>271655</v>
      </c>
      <c r="AL76" s="922">
        <v>4568431</v>
      </c>
      <c r="AM76" s="917">
        <v>-11421</v>
      </c>
      <c r="AN76" s="922">
        <v>4557010</v>
      </c>
      <c r="AO76" s="917">
        <v>-3781</v>
      </c>
      <c r="AP76" s="922">
        <v>4553229</v>
      </c>
      <c r="AQ76" s="917">
        <v>2914516</v>
      </c>
      <c r="AR76" s="917">
        <v>1638713</v>
      </c>
      <c r="AS76" s="922">
        <v>409680</v>
      </c>
      <c r="AT76" s="1176">
        <v>7076771</v>
      </c>
      <c r="AU76" s="1177">
        <v>623680</v>
      </c>
      <c r="AV76" s="917">
        <v>11421</v>
      </c>
      <c r="AW76" s="917">
        <v>10358</v>
      </c>
      <c r="AX76" s="917">
        <v>1063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57798</v>
      </c>
      <c r="S77" s="860"/>
      <c r="T77" s="860"/>
      <c r="U77" s="860"/>
      <c r="V77" s="861">
        <v>57798</v>
      </c>
      <c r="W77" s="910">
        <v>-144</v>
      </c>
      <c r="X77" s="861">
        <v>57654</v>
      </c>
      <c r="Y77" s="860"/>
      <c r="Z77" s="861">
        <v>57654</v>
      </c>
      <c r="AA77" s="860">
        <v>38410</v>
      </c>
      <c r="AB77" s="860">
        <v>19244</v>
      </c>
      <c r="AC77" s="861">
        <v>4811</v>
      </c>
      <c r="AD77" s="912">
        <v>57654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57654</v>
      </c>
      <c r="AU77" s="1175">
        <v>4811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79530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33571</v>
      </c>
      <c r="AA83" s="155">
        <v>22382</v>
      </c>
      <c r="AB83" s="709">
        <v>11189</v>
      </c>
      <c r="AC83" s="156">
        <v>2797</v>
      </c>
      <c r="AD83" s="156">
        <v>33571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33571</v>
      </c>
      <c r="AU83" s="710">
        <v>2797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569</v>
      </c>
      <c r="D84" s="914">
        <v>4268.9653302959669</v>
      </c>
      <c r="E84" s="915">
        <v>2059319.3397775341</v>
      </c>
      <c r="F84" s="916">
        <v>422</v>
      </c>
      <c r="G84" s="917">
        <v>570.35224473434255</v>
      </c>
      <c r="H84" s="918">
        <v>192953.93389726483</v>
      </c>
      <c r="I84" s="1109">
        <v>713</v>
      </c>
      <c r="J84" s="917">
        <v>158.37628411149953</v>
      </c>
      <c r="K84" s="918">
        <v>88830.921741039987</v>
      </c>
      <c r="L84" s="916">
        <v>37</v>
      </c>
      <c r="M84" s="917">
        <v>3936.5780458287281</v>
      </c>
      <c r="N84" s="918">
        <v>113892.93260630443</v>
      </c>
      <c r="O84" s="916">
        <v>0</v>
      </c>
      <c r="P84" s="917">
        <v>1527.9418817790604</v>
      </c>
      <c r="Q84" s="918">
        <v>0</v>
      </c>
      <c r="R84" s="919">
        <v>2512796</v>
      </c>
      <c r="S84" s="917">
        <v>108768</v>
      </c>
      <c r="T84" s="917">
        <v>-32094</v>
      </c>
      <c r="U84" s="920">
        <v>76674</v>
      </c>
      <c r="V84" s="919">
        <v>2589470</v>
      </c>
      <c r="W84" s="918">
        <v>-6473</v>
      </c>
      <c r="X84" s="919">
        <v>2582997</v>
      </c>
      <c r="Y84" s="918">
        <v>-1801</v>
      </c>
      <c r="Z84" s="919">
        <v>2614767</v>
      </c>
      <c r="AA84" s="917">
        <v>1728334</v>
      </c>
      <c r="AB84" s="917">
        <v>886433</v>
      </c>
      <c r="AC84" s="919">
        <v>221608</v>
      </c>
      <c r="AD84" s="921">
        <v>2694297</v>
      </c>
      <c r="AE84" s="917">
        <v>5688</v>
      </c>
      <c r="AF84" s="922">
        <v>4296776</v>
      </c>
      <c r="AG84" s="916">
        <v>38</v>
      </c>
      <c r="AH84" s="917">
        <v>328445</v>
      </c>
      <c r="AI84" s="916">
        <v>-15</v>
      </c>
      <c r="AJ84" s="917">
        <v>-56790</v>
      </c>
      <c r="AK84" s="920">
        <v>271655</v>
      </c>
      <c r="AL84" s="922">
        <v>4568431</v>
      </c>
      <c r="AM84" s="917">
        <v>-11421</v>
      </c>
      <c r="AN84" s="922">
        <v>4557010</v>
      </c>
      <c r="AO84" s="917">
        <v>-3781</v>
      </c>
      <c r="AP84" s="922">
        <v>4553229</v>
      </c>
      <c r="AQ84" s="917">
        <v>2914516</v>
      </c>
      <c r="AR84" s="917">
        <v>1638713</v>
      </c>
      <c r="AS84" s="922">
        <v>409680</v>
      </c>
      <c r="AT84" s="702">
        <v>7167996</v>
      </c>
      <c r="AU84" s="702">
        <v>631288</v>
      </c>
      <c r="AV84" s="917">
        <v>11421</v>
      </c>
      <c r="AW84" s="917">
        <v>10358</v>
      </c>
      <c r="AX84" s="917">
        <v>1063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A89" s="19"/>
      <c r="B89" s="19"/>
      <c r="C89" s="19"/>
      <c r="D89" s="19"/>
      <c r="E89" s="19"/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1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V1:AX1"/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  <mergeCell ref="F2:H2"/>
    <mergeCell ref="I2:K2"/>
    <mergeCell ref="A76:B76"/>
    <mergeCell ref="C2:C3"/>
    <mergeCell ref="D2:E2"/>
    <mergeCell ref="L1:U1"/>
    <mergeCell ref="O2:Q2"/>
    <mergeCell ref="R2:R3"/>
    <mergeCell ref="V2:V3"/>
    <mergeCell ref="W2:W3"/>
    <mergeCell ref="V1:AD1"/>
    <mergeCell ref="L2:N2"/>
    <mergeCell ref="AM2:AM3"/>
    <mergeCell ref="AL1:AS1"/>
    <mergeCell ref="X2:X3"/>
    <mergeCell ref="AE1:AK1"/>
    <mergeCell ref="Y2:Y3"/>
    <mergeCell ref="Z2:Z3"/>
    <mergeCell ref="AA2:AA3"/>
    <mergeCell ref="AB2:AB3"/>
    <mergeCell ref="AC2:AC3"/>
    <mergeCell ref="AF2:AF3"/>
    <mergeCell ref="AV2:AV3"/>
    <mergeCell ref="AW2:AW3"/>
    <mergeCell ref="AX2:AX3"/>
    <mergeCell ref="AL2:AL3"/>
    <mergeCell ref="S2:U2"/>
    <mergeCell ref="AG2:AK2"/>
    <mergeCell ref="AT1:AT3"/>
    <mergeCell ref="AU1:AU3"/>
    <mergeCell ref="AS2:AS3"/>
    <mergeCell ref="AN2:AN3"/>
    <mergeCell ref="AO2:AO3"/>
    <mergeCell ref="AP2:AP3"/>
    <mergeCell ref="AQ2:AQ3"/>
    <mergeCell ref="AR2:AR3"/>
    <mergeCell ref="AD2:AD3"/>
    <mergeCell ref="AE2:AE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364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7005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6449</v>
      </c>
      <c r="AM13" s="146"/>
      <c r="AN13" s="143"/>
      <c r="AO13" s="135">
        <v>0</v>
      </c>
      <c r="AP13" s="143"/>
      <c r="AQ13" s="144"/>
      <c r="AR13" s="144"/>
      <c r="AS13" s="143">
        <v>-1277</v>
      </c>
      <c r="AT13" s="697"/>
      <c r="AU13" s="698"/>
      <c r="AV13" s="136"/>
      <c r="AW13" s="136"/>
      <c r="AX13" s="136">
        <v>-39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3787</v>
      </c>
      <c r="AM16" s="161"/>
      <c r="AN16" s="158"/>
      <c r="AO16" s="149">
        <v>0</v>
      </c>
      <c r="AP16" s="158"/>
      <c r="AQ16" s="159"/>
      <c r="AR16" s="159"/>
      <c r="AS16" s="158">
        <v>945</v>
      </c>
      <c r="AT16" s="699"/>
      <c r="AU16" s="700"/>
      <c r="AV16" s="150"/>
      <c r="AW16" s="150"/>
      <c r="AX16" s="150">
        <v>9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6591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8362</v>
      </c>
      <c r="AM20" s="146"/>
      <c r="AN20" s="143"/>
      <c r="AO20" s="135">
        <v>0</v>
      </c>
      <c r="AP20" s="143"/>
      <c r="AQ20" s="144"/>
      <c r="AR20" s="144"/>
      <c r="AS20" s="143">
        <v>1073</v>
      </c>
      <c r="AT20" s="697"/>
      <c r="AU20" s="698"/>
      <c r="AV20" s="136"/>
      <c r="AW20" s="136"/>
      <c r="AX20" s="136">
        <v>11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265676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290225</v>
      </c>
      <c r="AM37" s="127"/>
      <c r="AN37" s="124"/>
      <c r="AO37" s="117">
        <v>0</v>
      </c>
      <c r="AP37" s="124"/>
      <c r="AQ37" s="125"/>
      <c r="AR37" s="125"/>
      <c r="AS37" s="124">
        <v>19507</v>
      </c>
      <c r="AT37" s="695"/>
      <c r="AU37" s="696"/>
      <c r="AV37" s="118"/>
      <c r="AW37" s="118"/>
      <c r="AX37" s="118">
        <v>-138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6062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11085</v>
      </c>
      <c r="AM40" s="146"/>
      <c r="AN40" s="143"/>
      <c r="AO40" s="135">
        <v>0</v>
      </c>
      <c r="AP40" s="143"/>
      <c r="AQ40" s="144"/>
      <c r="AR40" s="144"/>
      <c r="AS40" s="143">
        <v>1581</v>
      </c>
      <c r="AT40" s="697"/>
      <c r="AU40" s="698"/>
      <c r="AV40" s="136"/>
      <c r="AW40" s="136"/>
      <c r="AX40" s="136">
        <v>20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80796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28067</v>
      </c>
      <c r="AM43" s="146"/>
      <c r="AN43" s="143"/>
      <c r="AO43" s="135">
        <v>0</v>
      </c>
      <c r="AP43" s="143"/>
      <c r="AQ43" s="144"/>
      <c r="AR43" s="144"/>
      <c r="AS43" s="143">
        <v>828</v>
      </c>
      <c r="AT43" s="697"/>
      <c r="AU43" s="698"/>
      <c r="AV43" s="136"/>
      <c r="AW43" s="136"/>
      <c r="AX43" s="136">
        <v>-51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5587904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3861359</v>
      </c>
      <c r="AM62" s="127"/>
      <c r="AN62" s="124"/>
      <c r="AO62" s="117">
        <v>0</v>
      </c>
      <c r="AP62" s="124"/>
      <c r="AQ62" s="125"/>
      <c r="AR62" s="125"/>
      <c r="AS62" s="124">
        <v>338628</v>
      </c>
      <c r="AT62" s="695"/>
      <c r="AU62" s="696"/>
      <c r="AV62" s="118"/>
      <c r="AW62" s="118"/>
      <c r="AX62" s="118">
        <v>651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973</v>
      </c>
      <c r="D76" s="914">
        <v>4268.9653302959669</v>
      </c>
      <c r="E76" s="915">
        <v>4949132.015853947</v>
      </c>
      <c r="F76" s="916">
        <v>544</v>
      </c>
      <c r="G76" s="917">
        <v>570.35224473434255</v>
      </c>
      <c r="H76" s="918">
        <v>368914.60492495762</v>
      </c>
      <c r="I76" s="1109">
        <v>599</v>
      </c>
      <c r="J76" s="917">
        <v>158.37628411149953</v>
      </c>
      <c r="K76" s="918">
        <v>110685.57457559937</v>
      </c>
      <c r="L76" s="916">
        <v>103</v>
      </c>
      <c r="M76" s="917">
        <v>3936.5780458287281</v>
      </c>
      <c r="N76" s="918">
        <v>473174.53257059766</v>
      </c>
      <c r="O76" s="916">
        <v>28</v>
      </c>
      <c r="P76" s="917">
        <v>1527.9418817790604</v>
      </c>
      <c r="Q76" s="918">
        <v>52127.097134822761</v>
      </c>
      <c r="R76" s="919">
        <v>5954034</v>
      </c>
      <c r="S76" s="917">
        <v>-91803</v>
      </c>
      <c r="T76" s="917">
        <v>-58584</v>
      </c>
      <c r="U76" s="920">
        <v>-150387</v>
      </c>
      <c r="V76" s="919">
        <v>5803647</v>
      </c>
      <c r="W76" s="918">
        <v>-14509</v>
      </c>
      <c r="X76" s="919">
        <v>5789138</v>
      </c>
      <c r="Y76" s="918">
        <v>0</v>
      </c>
      <c r="Z76" s="919">
        <v>5789138</v>
      </c>
      <c r="AA76" s="917">
        <v>3928908</v>
      </c>
      <c r="AB76" s="917">
        <v>1860230</v>
      </c>
      <c r="AC76" s="919">
        <v>465058</v>
      </c>
      <c r="AD76" s="921">
        <v>5789138</v>
      </c>
      <c r="AE76" s="917">
        <v>5688</v>
      </c>
      <c r="AF76" s="922">
        <v>4371308</v>
      </c>
      <c r="AG76" s="916">
        <v>-20</v>
      </c>
      <c r="AH76" s="917">
        <v>-113367</v>
      </c>
      <c r="AI76" s="916">
        <v>-21</v>
      </c>
      <c r="AJ76" s="917">
        <v>-48607</v>
      </c>
      <c r="AK76" s="920">
        <v>-161974</v>
      </c>
      <c r="AL76" s="922">
        <v>4209334</v>
      </c>
      <c r="AM76" s="917">
        <v>-10523</v>
      </c>
      <c r="AN76" s="922">
        <v>4198811</v>
      </c>
      <c r="AO76" s="917">
        <v>0</v>
      </c>
      <c r="AP76" s="922">
        <v>4198811</v>
      </c>
      <c r="AQ76" s="917">
        <v>2753676</v>
      </c>
      <c r="AR76" s="917">
        <v>1445135</v>
      </c>
      <c r="AS76" s="922">
        <v>361285</v>
      </c>
      <c r="AT76" s="1176">
        <v>9987949</v>
      </c>
      <c r="AU76" s="1177">
        <v>826343</v>
      </c>
      <c r="AV76" s="917">
        <v>10523</v>
      </c>
      <c r="AW76" s="917">
        <v>10060</v>
      </c>
      <c r="AX76" s="917">
        <v>463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106488</v>
      </c>
      <c r="S77" s="860"/>
      <c r="T77" s="860"/>
      <c r="U77" s="860"/>
      <c r="V77" s="861">
        <v>106488</v>
      </c>
      <c r="W77" s="910">
        <v>-266</v>
      </c>
      <c r="X77" s="861">
        <v>106222</v>
      </c>
      <c r="Y77" s="860"/>
      <c r="Z77" s="861">
        <v>106222</v>
      </c>
      <c r="AA77" s="860">
        <v>70200</v>
      </c>
      <c r="AB77" s="860">
        <v>36022</v>
      </c>
      <c r="AC77" s="861">
        <v>9006</v>
      </c>
      <c r="AD77" s="912">
        <v>106222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106222</v>
      </c>
      <c r="AU77" s="1175">
        <v>9006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48200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24544</v>
      </c>
      <c r="AA83" s="155">
        <v>16362</v>
      </c>
      <c r="AB83" s="709">
        <v>8182</v>
      </c>
      <c r="AC83" s="156">
        <v>2046</v>
      </c>
      <c r="AD83" s="156">
        <v>24544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24544</v>
      </c>
      <c r="AU83" s="710">
        <v>2046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973</v>
      </c>
      <c r="D84" s="914">
        <v>4268.9653302959669</v>
      </c>
      <c r="E84" s="915">
        <v>4949132.015853947</v>
      </c>
      <c r="F84" s="916">
        <v>544</v>
      </c>
      <c r="G84" s="917">
        <v>570.35224473434255</v>
      </c>
      <c r="H84" s="918">
        <v>368914.60492495762</v>
      </c>
      <c r="I84" s="1109">
        <v>599</v>
      </c>
      <c r="J84" s="917">
        <v>158.37628411149953</v>
      </c>
      <c r="K84" s="918">
        <v>110685.57457559937</v>
      </c>
      <c r="L84" s="916">
        <v>103</v>
      </c>
      <c r="M84" s="917">
        <v>3936.5780458287281</v>
      </c>
      <c r="N84" s="918">
        <v>473174.53257059766</v>
      </c>
      <c r="O84" s="916">
        <v>28</v>
      </c>
      <c r="P84" s="917">
        <v>1527.9418817790604</v>
      </c>
      <c r="Q84" s="918">
        <v>52127.097134822761</v>
      </c>
      <c r="R84" s="919">
        <v>6060522</v>
      </c>
      <c r="S84" s="917">
        <v>-91803</v>
      </c>
      <c r="T84" s="917">
        <v>-58584</v>
      </c>
      <c r="U84" s="920">
        <v>-150387</v>
      </c>
      <c r="V84" s="919">
        <v>5910135</v>
      </c>
      <c r="W84" s="918">
        <v>-14775</v>
      </c>
      <c r="X84" s="919">
        <v>5895360</v>
      </c>
      <c r="Y84" s="918">
        <v>0</v>
      </c>
      <c r="Z84" s="919">
        <v>5919904</v>
      </c>
      <c r="AA84" s="917">
        <v>4015470</v>
      </c>
      <c r="AB84" s="917">
        <v>1904434</v>
      </c>
      <c r="AC84" s="919">
        <v>476110</v>
      </c>
      <c r="AD84" s="921">
        <v>5968104</v>
      </c>
      <c r="AE84" s="917">
        <v>5688</v>
      </c>
      <c r="AF84" s="922">
        <v>4371308</v>
      </c>
      <c r="AG84" s="916">
        <v>-20</v>
      </c>
      <c r="AH84" s="917">
        <v>-113367</v>
      </c>
      <c r="AI84" s="916">
        <v>-21</v>
      </c>
      <c r="AJ84" s="917">
        <v>-48607</v>
      </c>
      <c r="AK84" s="920">
        <v>-161974</v>
      </c>
      <c r="AL84" s="922">
        <v>4209334</v>
      </c>
      <c r="AM84" s="917">
        <v>-10523</v>
      </c>
      <c r="AN84" s="922">
        <v>4198811</v>
      </c>
      <c r="AO84" s="917">
        <v>0</v>
      </c>
      <c r="AP84" s="922">
        <v>4198811</v>
      </c>
      <c r="AQ84" s="917">
        <v>2753676</v>
      </c>
      <c r="AR84" s="917">
        <v>1445135</v>
      </c>
      <c r="AS84" s="922">
        <v>361285</v>
      </c>
      <c r="AT84" s="702">
        <v>10118715</v>
      </c>
      <c r="AU84" s="702">
        <v>837395</v>
      </c>
      <c r="AV84" s="917">
        <v>10523</v>
      </c>
      <c r="AW84" s="917">
        <v>10060</v>
      </c>
      <c r="AX84" s="917">
        <v>463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1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32" t="s">
        <v>1029</v>
      </c>
      <c r="B1" s="1433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34"/>
      <c r="B2" s="1435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36"/>
      <c r="B3" s="1437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187857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257125</v>
      </c>
      <c r="AM32" s="127"/>
      <c r="AN32" s="124"/>
      <c r="AO32" s="117">
        <v>0</v>
      </c>
      <c r="AP32" s="124"/>
      <c r="AQ32" s="125"/>
      <c r="AR32" s="125"/>
      <c r="AS32" s="124">
        <v>23484</v>
      </c>
      <c r="AT32" s="695"/>
      <c r="AU32" s="696"/>
      <c r="AV32" s="118"/>
      <c r="AW32" s="118"/>
      <c r="AX32" s="118">
        <v>86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4328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-400</v>
      </c>
      <c r="AT35" s="697"/>
      <c r="AU35" s="698"/>
      <c r="AV35" s="136"/>
      <c r="AW35" s="136"/>
      <c r="AX35" s="136">
        <v>-12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1573109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063"/>
      <c r="AF42" s="124"/>
      <c r="AG42" s="116"/>
      <c r="AH42" s="123"/>
      <c r="AI42" s="116"/>
      <c r="AJ42" s="125"/>
      <c r="AK42" s="126"/>
      <c r="AL42" s="124">
        <v>1995714</v>
      </c>
      <c r="AM42" s="127"/>
      <c r="AN42" s="124"/>
      <c r="AO42" s="117">
        <v>0</v>
      </c>
      <c r="AP42" s="124"/>
      <c r="AQ42" s="125"/>
      <c r="AR42" s="125"/>
      <c r="AS42" s="124">
        <v>144855</v>
      </c>
      <c r="AT42" s="695"/>
      <c r="AU42" s="696"/>
      <c r="AV42" s="118"/>
      <c r="AW42" s="118"/>
      <c r="AX42" s="118">
        <v>-547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31318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19197</v>
      </c>
      <c r="AM50" s="146"/>
      <c r="AN50" s="143"/>
      <c r="AO50" s="135">
        <v>0</v>
      </c>
      <c r="AP50" s="143"/>
      <c r="AQ50" s="144"/>
      <c r="AR50" s="144"/>
      <c r="AS50" s="143">
        <v>1327</v>
      </c>
      <c r="AT50" s="697"/>
      <c r="AU50" s="698"/>
      <c r="AV50" s="136"/>
      <c r="AW50" s="136"/>
      <c r="AX50" s="136">
        <v>-3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8769</v>
      </c>
      <c r="AM54" s="146"/>
      <c r="AN54" s="143"/>
      <c r="AO54" s="135">
        <v>0</v>
      </c>
      <c r="AP54" s="143"/>
      <c r="AQ54" s="144"/>
      <c r="AR54" s="144"/>
      <c r="AS54" s="143">
        <v>1631</v>
      </c>
      <c r="AT54" s="697"/>
      <c r="AU54" s="698"/>
      <c r="AV54" s="136"/>
      <c r="AW54" s="136"/>
      <c r="AX54" s="136">
        <v>22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9071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-1018</v>
      </c>
      <c r="AT58" s="697"/>
      <c r="AU58" s="698"/>
      <c r="AV58" s="136"/>
      <c r="AW58" s="136"/>
      <c r="AX58" s="136">
        <v>-31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4148</v>
      </c>
      <c r="AM61" s="161"/>
      <c r="AN61" s="158"/>
      <c r="AO61" s="149">
        <v>0</v>
      </c>
      <c r="AP61" s="158"/>
      <c r="AQ61" s="159"/>
      <c r="AR61" s="159"/>
      <c r="AS61" s="158">
        <v>690</v>
      </c>
      <c r="AT61" s="699"/>
      <c r="AU61" s="700"/>
      <c r="AV61" s="150"/>
      <c r="AW61" s="150"/>
      <c r="AX61" s="150">
        <v>10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443</v>
      </c>
      <c r="D76" s="914">
        <v>4268.9653302959669</v>
      </c>
      <c r="E76" s="915">
        <v>1516711.2868630595</v>
      </c>
      <c r="F76" s="916">
        <v>350</v>
      </c>
      <c r="G76" s="917">
        <v>570.35224473434255</v>
      </c>
      <c r="H76" s="918">
        <v>162142.343991539</v>
      </c>
      <c r="I76" s="1109">
        <v>0</v>
      </c>
      <c r="J76" s="917">
        <v>158.37628411149953</v>
      </c>
      <c r="K76" s="918">
        <v>0</v>
      </c>
      <c r="L76" s="916">
        <v>40</v>
      </c>
      <c r="M76" s="917">
        <v>3936.5780458287281</v>
      </c>
      <c r="N76" s="918">
        <v>126829.16788344875</v>
      </c>
      <c r="O76" s="916">
        <v>0</v>
      </c>
      <c r="P76" s="917">
        <v>1527.9418817790604</v>
      </c>
      <c r="Q76" s="918">
        <v>0</v>
      </c>
      <c r="R76" s="919">
        <v>1805683</v>
      </c>
      <c r="S76" s="917">
        <v>-218129</v>
      </c>
      <c r="T76" s="917">
        <v>-30789</v>
      </c>
      <c r="U76" s="920">
        <v>-248918</v>
      </c>
      <c r="V76" s="919">
        <v>1556765</v>
      </c>
      <c r="W76" s="918">
        <v>-3891</v>
      </c>
      <c r="X76" s="919">
        <v>1552874</v>
      </c>
      <c r="Y76" s="918">
        <v>-1579</v>
      </c>
      <c r="Z76" s="919">
        <v>1551295</v>
      </c>
      <c r="AA76" s="917">
        <v>1127202</v>
      </c>
      <c r="AB76" s="917">
        <v>424093</v>
      </c>
      <c r="AC76" s="919">
        <v>106024</v>
      </c>
      <c r="AD76" s="921">
        <v>1551295</v>
      </c>
      <c r="AE76" s="917">
        <v>5688</v>
      </c>
      <c r="AF76" s="922">
        <v>2621029</v>
      </c>
      <c r="AG76" s="916">
        <v>-50</v>
      </c>
      <c r="AH76" s="917">
        <v>-295258</v>
      </c>
      <c r="AI76" s="916">
        <v>-14</v>
      </c>
      <c r="AJ76" s="917">
        <v>-40818</v>
      </c>
      <c r="AK76" s="920">
        <v>-336076</v>
      </c>
      <c r="AL76" s="922">
        <v>2284953</v>
      </c>
      <c r="AM76" s="917">
        <v>-5712</v>
      </c>
      <c r="AN76" s="922">
        <v>2279241</v>
      </c>
      <c r="AO76" s="917">
        <v>0</v>
      </c>
      <c r="AP76" s="922">
        <v>2279241</v>
      </c>
      <c r="AQ76" s="917">
        <v>1596966</v>
      </c>
      <c r="AR76" s="917">
        <v>682275</v>
      </c>
      <c r="AS76" s="922">
        <v>170569</v>
      </c>
      <c r="AT76" s="1176">
        <v>3830536</v>
      </c>
      <c r="AU76" s="1177">
        <v>276593</v>
      </c>
      <c r="AV76" s="917">
        <v>5712</v>
      </c>
      <c r="AW76" s="917">
        <v>6187</v>
      </c>
      <c r="AX76" s="917">
        <v>-475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68081</v>
      </c>
      <c r="S77" s="860"/>
      <c r="T77" s="860"/>
      <c r="U77" s="860"/>
      <c r="V77" s="861">
        <v>68081</v>
      </c>
      <c r="W77" s="910">
        <v>-170</v>
      </c>
      <c r="X77" s="861">
        <v>67911</v>
      </c>
      <c r="Y77" s="860"/>
      <c r="Z77" s="861">
        <v>67911</v>
      </c>
      <c r="AA77" s="860">
        <v>46222</v>
      </c>
      <c r="AB77" s="860">
        <v>21689</v>
      </c>
      <c r="AC77" s="861">
        <v>5422</v>
      </c>
      <c r="AD77" s="912">
        <v>67911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67911</v>
      </c>
      <c r="AU77" s="1175">
        <v>5422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53099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25960</v>
      </c>
      <c r="AA83" s="155">
        <v>17306</v>
      </c>
      <c r="AB83" s="709">
        <v>8654</v>
      </c>
      <c r="AC83" s="156">
        <v>2164</v>
      </c>
      <c r="AD83" s="156">
        <v>25960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25960</v>
      </c>
      <c r="AU83" s="710">
        <v>2164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443</v>
      </c>
      <c r="D84" s="914">
        <v>4268.9653302959669</v>
      </c>
      <c r="E84" s="915">
        <v>1516711.2868630595</v>
      </c>
      <c r="F84" s="916">
        <v>350</v>
      </c>
      <c r="G84" s="917">
        <v>570.35224473434255</v>
      </c>
      <c r="H84" s="918">
        <v>162142.343991539</v>
      </c>
      <c r="I84" s="1109">
        <v>0</v>
      </c>
      <c r="J84" s="917">
        <v>158.37628411149953</v>
      </c>
      <c r="K84" s="918">
        <v>0</v>
      </c>
      <c r="L84" s="916">
        <v>40</v>
      </c>
      <c r="M84" s="917">
        <v>3936.5780458287281</v>
      </c>
      <c r="N84" s="918">
        <v>126829.16788344875</v>
      </c>
      <c r="O84" s="916">
        <v>0</v>
      </c>
      <c r="P84" s="917">
        <v>1527.9418817790604</v>
      </c>
      <c r="Q84" s="918">
        <v>0</v>
      </c>
      <c r="R84" s="919">
        <v>1873764</v>
      </c>
      <c r="S84" s="917">
        <v>-218129</v>
      </c>
      <c r="T84" s="917">
        <v>-30789</v>
      </c>
      <c r="U84" s="920">
        <v>-248918</v>
      </c>
      <c r="V84" s="919">
        <v>1624846</v>
      </c>
      <c r="W84" s="918">
        <v>-4061</v>
      </c>
      <c r="X84" s="919">
        <v>1620785</v>
      </c>
      <c r="Y84" s="918">
        <v>-1579</v>
      </c>
      <c r="Z84" s="919">
        <v>1645166</v>
      </c>
      <c r="AA84" s="917">
        <v>1190730</v>
      </c>
      <c r="AB84" s="917">
        <v>454436</v>
      </c>
      <c r="AC84" s="919">
        <v>113610</v>
      </c>
      <c r="AD84" s="921">
        <v>1708265</v>
      </c>
      <c r="AE84" s="917">
        <v>5688</v>
      </c>
      <c r="AF84" s="922">
        <v>2621029</v>
      </c>
      <c r="AG84" s="916">
        <v>-50</v>
      </c>
      <c r="AH84" s="917">
        <v>-295258</v>
      </c>
      <c r="AI84" s="916">
        <v>-14</v>
      </c>
      <c r="AJ84" s="917">
        <v>-40818</v>
      </c>
      <c r="AK84" s="920">
        <v>-336076</v>
      </c>
      <c r="AL84" s="922">
        <v>2284953</v>
      </c>
      <c r="AM84" s="917">
        <v>-5712</v>
      </c>
      <c r="AN84" s="922">
        <v>2279241</v>
      </c>
      <c r="AO84" s="917">
        <v>0</v>
      </c>
      <c r="AP84" s="922">
        <v>2279241</v>
      </c>
      <c r="AQ84" s="917">
        <v>1596966</v>
      </c>
      <c r="AR84" s="917">
        <v>682275</v>
      </c>
      <c r="AS84" s="922">
        <v>170569</v>
      </c>
      <c r="AT84" s="702">
        <v>3924407</v>
      </c>
      <c r="AU84" s="702">
        <v>284179</v>
      </c>
      <c r="AV84" s="917">
        <v>5712</v>
      </c>
      <c r="AW84" s="917">
        <v>6187</v>
      </c>
      <c r="AX84" s="917">
        <v>-475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  <c r="AQ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  <c r="AQ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  <c r="AQ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1028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3266952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4455825</v>
      </c>
      <c r="AM32" s="127"/>
      <c r="AN32" s="124"/>
      <c r="AO32" s="117">
        <v>-2632</v>
      </c>
      <c r="AP32" s="124"/>
      <c r="AQ32" s="125"/>
      <c r="AR32" s="125"/>
      <c r="AS32" s="124">
        <v>434122</v>
      </c>
      <c r="AT32" s="695"/>
      <c r="AU32" s="696"/>
      <c r="AV32" s="118"/>
      <c r="AW32" s="118"/>
      <c r="AX32" s="118">
        <v>2145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2852</v>
      </c>
      <c r="AM34" s="146"/>
      <c r="AN34" s="143"/>
      <c r="AO34" s="135">
        <v>0</v>
      </c>
      <c r="AP34" s="143"/>
      <c r="AQ34" s="144"/>
      <c r="AR34" s="144"/>
      <c r="AS34" s="143">
        <v>711</v>
      </c>
      <c r="AT34" s="697"/>
      <c r="AU34" s="698"/>
      <c r="AV34" s="136"/>
      <c r="AW34" s="136"/>
      <c r="AX34" s="136">
        <v>7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1054535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1649000</v>
      </c>
      <c r="AM42" s="127"/>
      <c r="AN42" s="124"/>
      <c r="AO42" s="117">
        <v>0</v>
      </c>
      <c r="AP42" s="124"/>
      <c r="AQ42" s="125"/>
      <c r="AR42" s="125"/>
      <c r="AS42" s="124">
        <v>144508</v>
      </c>
      <c r="AT42" s="695"/>
      <c r="AU42" s="696"/>
      <c r="AV42" s="118"/>
      <c r="AW42" s="118"/>
      <c r="AX42" s="118">
        <v>233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45091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154784</v>
      </c>
      <c r="AM44" s="146"/>
      <c r="AN44" s="143"/>
      <c r="AO44" s="135">
        <v>0</v>
      </c>
      <c r="AP44" s="143"/>
      <c r="AQ44" s="144"/>
      <c r="AR44" s="144"/>
      <c r="AS44" s="143">
        <v>13350</v>
      </c>
      <c r="AT44" s="697"/>
      <c r="AU44" s="698"/>
      <c r="AV44" s="136"/>
      <c r="AW44" s="136"/>
      <c r="AX44" s="136">
        <v>-13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11541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17064</v>
      </c>
      <c r="AM50" s="146"/>
      <c r="AN50" s="143"/>
      <c r="AO50" s="135">
        <v>0</v>
      </c>
      <c r="AP50" s="143"/>
      <c r="AQ50" s="144"/>
      <c r="AR50" s="144"/>
      <c r="AS50" s="143">
        <v>2162</v>
      </c>
      <c r="AT50" s="697"/>
      <c r="AU50" s="698"/>
      <c r="AV50" s="136"/>
      <c r="AW50" s="136"/>
      <c r="AX50" s="136">
        <v>23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5612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30020</v>
      </c>
      <c r="AM51" s="161"/>
      <c r="AN51" s="158"/>
      <c r="AO51" s="149">
        <v>0</v>
      </c>
      <c r="AP51" s="158"/>
      <c r="AQ51" s="159"/>
      <c r="AR51" s="159"/>
      <c r="AS51" s="158">
        <v>2485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9404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25972</v>
      </c>
      <c r="AM58" s="146"/>
      <c r="AN58" s="143"/>
      <c r="AO58" s="135">
        <v>0</v>
      </c>
      <c r="AP58" s="143"/>
      <c r="AQ58" s="144"/>
      <c r="AR58" s="144"/>
      <c r="AS58" s="143">
        <v>3300</v>
      </c>
      <c r="AT58" s="697"/>
      <c r="AU58" s="698"/>
      <c r="AV58" s="136"/>
      <c r="AW58" s="136"/>
      <c r="AX58" s="136">
        <v>34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5484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2852</v>
      </c>
      <c r="AM59" s="146"/>
      <c r="AN59" s="143"/>
      <c r="AO59" s="135">
        <v>0</v>
      </c>
      <c r="AP59" s="143"/>
      <c r="AQ59" s="144"/>
      <c r="AR59" s="144"/>
      <c r="AS59" s="143">
        <v>255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957</v>
      </c>
      <c r="D76" s="914">
        <v>4268.9653302959669</v>
      </c>
      <c r="E76" s="915">
        <v>3571376.9092544736</v>
      </c>
      <c r="F76" s="916">
        <v>777</v>
      </c>
      <c r="G76" s="917">
        <v>570.35224473434255</v>
      </c>
      <c r="H76" s="918">
        <v>370470.037549701</v>
      </c>
      <c r="I76" s="1109">
        <v>1251</v>
      </c>
      <c r="J76" s="917">
        <v>158.37628411149953</v>
      </c>
      <c r="K76" s="918">
        <v>162587.39197146933</v>
      </c>
      <c r="L76" s="916">
        <v>92</v>
      </c>
      <c r="M76" s="917">
        <v>3936.5780458287281</v>
      </c>
      <c r="N76" s="918">
        <v>294183.50285995007</v>
      </c>
      <c r="O76" s="916">
        <v>0</v>
      </c>
      <c r="P76" s="917">
        <v>1527.9418817790604</v>
      </c>
      <c r="Q76" s="918">
        <v>0</v>
      </c>
      <c r="R76" s="919">
        <v>4398619</v>
      </c>
      <c r="S76" s="917">
        <v>237481</v>
      </c>
      <c r="T76" s="917">
        <v>-59287</v>
      </c>
      <c r="U76" s="920">
        <v>178194</v>
      </c>
      <c r="V76" s="919">
        <v>4576813</v>
      </c>
      <c r="W76" s="918">
        <v>-11442</v>
      </c>
      <c r="X76" s="919">
        <v>4565371</v>
      </c>
      <c r="Y76" s="918">
        <v>-2118</v>
      </c>
      <c r="Z76" s="919">
        <v>4563253</v>
      </c>
      <c r="AA76" s="917">
        <v>3001340</v>
      </c>
      <c r="AB76" s="917">
        <v>1561913</v>
      </c>
      <c r="AC76" s="919">
        <v>390479</v>
      </c>
      <c r="AD76" s="921">
        <v>4563253</v>
      </c>
      <c r="AE76" s="917">
        <v>5688</v>
      </c>
      <c r="AF76" s="922">
        <v>6016940</v>
      </c>
      <c r="AG76" s="916">
        <v>69</v>
      </c>
      <c r="AH76" s="917">
        <v>401296</v>
      </c>
      <c r="AI76" s="916">
        <v>-28</v>
      </c>
      <c r="AJ76" s="917">
        <v>-79867</v>
      </c>
      <c r="AK76" s="920">
        <v>321429</v>
      </c>
      <c r="AL76" s="922">
        <v>6338369</v>
      </c>
      <c r="AM76" s="917">
        <v>-15847</v>
      </c>
      <c r="AN76" s="922">
        <v>6322522</v>
      </c>
      <c r="AO76" s="917">
        <v>-2632</v>
      </c>
      <c r="AP76" s="922">
        <v>6319890</v>
      </c>
      <c r="AQ76" s="917">
        <v>3916318</v>
      </c>
      <c r="AR76" s="917">
        <v>2403572</v>
      </c>
      <c r="AS76" s="922">
        <v>600893</v>
      </c>
      <c r="AT76" s="1176">
        <v>10883143</v>
      </c>
      <c r="AU76" s="1177">
        <v>991372</v>
      </c>
      <c r="AV76" s="917">
        <v>15847</v>
      </c>
      <c r="AW76" s="917">
        <v>13418</v>
      </c>
      <c r="AX76" s="917">
        <v>2429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133766</v>
      </c>
      <c r="S77" s="860"/>
      <c r="T77" s="860"/>
      <c r="U77" s="860"/>
      <c r="V77" s="861">
        <v>133766</v>
      </c>
      <c r="W77" s="910">
        <v>-334</v>
      </c>
      <c r="X77" s="861">
        <v>133432</v>
      </c>
      <c r="Y77" s="860"/>
      <c r="Z77" s="861">
        <v>133432</v>
      </c>
      <c r="AA77" s="860">
        <v>81470</v>
      </c>
      <c r="AB77" s="860">
        <v>51962</v>
      </c>
      <c r="AC77" s="861">
        <v>12991</v>
      </c>
      <c r="AD77" s="912">
        <v>133432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133432</v>
      </c>
      <c r="AU77" s="1175">
        <v>12991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38560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121808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56463</v>
      </c>
      <c r="AA83" s="155">
        <v>37642</v>
      </c>
      <c r="AB83" s="709">
        <v>18821</v>
      </c>
      <c r="AC83" s="156">
        <v>4705</v>
      </c>
      <c r="AD83" s="156">
        <v>56463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56463</v>
      </c>
      <c r="AU83" s="710">
        <v>4705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957</v>
      </c>
      <c r="D84" s="914">
        <v>4268.9653302959669</v>
      </c>
      <c r="E84" s="915">
        <v>3571376.9092544736</v>
      </c>
      <c r="F84" s="916">
        <v>777</v>
      </c>
      <c r="G84" s="917">
        <v>570.35224473434255</v>
      </c>
      <c r="H84" s="918">
        <v>370470.037549701</v>
      </c>
      <c r="I84" s="1109">
        <v>1251</v>
      </c>
      <c r="J84" s="917">
        <v>158.37628411149953</v>
      </c>
      <c r="K84" s="918">
        <v>162587.39197146933</v>
      </c>
      <c r="L84" s="916">
        <v>92</v>
      </c>
      <c r="M84" s="917">
        <v>3936.5780458287281</v>
      </c>
      <c r="N84" s="918">
        <v>294183.50285995007</v>
      </c>
      <c r="O84" s="916">
        <v>0</v>
      </c>
      <c r="P84" s="917">
        <v>1527.9418817790604</v>
      </c>
      <c r="Q84" s="918">
        <v>0</v>
      </c>
      <c r="R84" s="919">
        <v>4532385</v>
      </c>
      <c r="S84" s="917">
        <v>237481</v>
      </c>
      <c r="T84" s="917">
        <v>-59287</v>
      </c>
      <c r="U84" s="920">
        <v>178194</v>
      </c>
      <c r="V84" s="919">
        <v>4710579</v>
      </c>
      <c r="W84" s="918">
        <v>-11776</v>
      </c>
      <c r="X84" s="919">
        <v>4698803</v>
      </c>
      <c r="Y84" s="918">
        <v>-2118</v>
      </c>
      <c r="Z84" s="919">
        <v>4753148</v>
      </c>
      <c r="AA84" s="917">
        <v>3120452</v>
      </c>
      <c r="AB84" s="917">
        <v>1632696</v>
      </c>
      <c r="AC84" s="919">
        <v>408175</v>
      </c>
      <c r="AD84" s="921">
        <v>4913516</v>
      </c>
      <c r="AE84" s="917">
        <v>5688</v>
      </c>
      <c r="AF84" s="922">
        <v>6016940</v>
      </c>
      <c r="AG84" s="916">
        <v>69</v>
      </c>
      <c r="AH84" s="917">
        <v>401296</v>
      </c>
      <c r="AI84" s="916">
        <v>-28</v>
      </c>
      <c r="AJ84" s="917">
        <v>-79867</v>
      </c>
      <c r="AK84" s="920">
        <v>321429</v>
      </c>
      <c r="AL84" s="922">
        <v>6338369</v>
      </c>
      <c r="AM84" s="917">
        <v>-15847</v>
      </c>
      <c r="AN84" s="922">
        <v>6322522</v>
      </c>
      <c r="AO84" s="917">
        <v>-2632</v>
      </c>
      <c r="AP84" s="922">
        <v>6319890</v>
      </c>
      <c r="AQ84" s="917">
        <v>3916318</v>
      </c>
      <c r="AR84" s="917">
        <v>2403572</v>
      </c>
      <c r="AS84" s="922">
        <v>600893</v>
      </c>
      <c r="AT84" s="702">
        <v>11073038</v>
      </c>
      <c r="AU84" s="702">
        <v>1009068</v>
      </c>
      <c r="AV84" s="917">
        <v>15847</v>
      </c>
      <c r="AW84" s="917">
        <v>13418</v>
      </c>
      <c r="AX84" s="917">
        <v>2429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42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2.140625" style="8" bestFit="1" customWidth="1"/>
    <col min="4" max="4" width="13.85546875" style="8" customWidth="1"/>
    <col min="5" max="5" width="12.28515625" style="8" customWidth="1"/>
    <col min="6" max="6" width="11.28515625" style="8" customWidth="1"/>
    <col min="7" max="7" width="10.85546875" style="8" customWidth="1"/>
    <col min="8" max="9" width="11.28515625" style="8" customWidth="1"/>
    <col min="10" max="10" width="10.85546875" style="8" customWidth="1"/>
    <col min="11" max="12" width="11.28515625" style="8" customWidth="1"/>
    <col min="13" max="13" width="8.5703125" style="8" customWidth="1"/>
    <col min="14" max="15" width="11.28515625" style="8" customWidth="1"/>
    <col min="16" max="16" width="8.5703125" style="8" customWidth="1"/>
    <col min="17" max="17" width="11.28515625" style="8" customWidth="1"/>
    <col min="18" max="18" width="10.7109375" style="8" bestFit="1" customWidth="1"/>
    <col min="19" max="21" width="13.85546875" style="8" customWidth="1"/>
    <col min="22" max="22" width="11.85546875" style="8" bestFit="1" customWidth="1"/>
    <col min="23" max="23" width="10.85546875" style="8" bestFit="1" customWidth="1"/>
    <col min="24" max="24" width="12.7109375" style="8" customWidth="1"/>
    <col min="25" max="25" width="13.28515625" style="8" bestFit="1" customWidth="1"/>
    <col min="26" max="26" width="17.5703125" style="8" customWidth="1"/>
    <col min="27" max="28" width="11.28515625" style="8" customWidth="1"/>
    <col min="29" max="29" width="10.710937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3.42578125" style="8" customWidth="1"/>
    <col min="42" max="42" width="16.28515625" style="8" customWidth="1"/>
    <col min="43" max="44" width="13.85546875" style="8" customWidth="1"/>
    <col min="45" max="45" width="15.570312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432" t="s">
        <v>1231</v>
      </c>
      <c r="B1" s="1433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0" ht="30" customHeight="1" x14ac:dyDescent="0.2">
      <c r="A2" s="1434"/>
      <c r="B2" s="1435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0" ht="95.25" customHeight="1" x14ac:dyDescent="0.2">
      <c r="A3" s="1436"/>
      <c r="B3" s="1437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0" ht="14.25" customHeight="1" x14ac:dyDescent="0.2">
      <c r="A4" s="1003"/>
      <c r="B4" s="1004"/>
      <c r="C4" s="131">
        <v>1</v>
      </c>
      <c r="D4" s="131">
        <v>2</v>
      </c>
      <c r="E4" s="131">
        <v>3</v>
      </c>
      <c r="F4" s="131">
        <v>4</v>
      </c>
      <c r="G4" s="131">
        <v>5</v>
      </c>
      <c r="H4" s="131">
        <v>6</v>
      </c>
      <c r="I4" s="131">
        <v>7</v>
      </c>
      <c r="J4" s="131">
        <v>8</v>
      </c>
      <c r="K4" s="131">
        <v>9</v>
      </c>
      <c r="L4" s="131">
        <v>10</v>
      </c>
      <c r="M4" s="131">
        <v>11</v>
      </c>
      <c r="N4" s="131">
        <v>12</v>
      </c>
      <c r="O4" s="131">
        <v>13</v>
      </c>
      <c r="P4" s="131">
        <v>14</v>
      </c>
      <c r="Q4" s="131">
        <v>15</v>
      </c>
      <c r="R4" s="131">
        <v>16</v>
      </c>
      <c r="S4" s="131">
        <v>17</v>
      </c>
      <c r="T4" s="131">
        <v>18</v>
      </c>
      <c r="U4" s="131">
        <v>19</v>
      </c>
      <c r="V4" s="131">
        <v>20</v>
      </c>
      <c r="W4" s="131">
        <v>21</v>
      </c>
      <c r="X4" s="131">
        <v>22</v>
      </c>
      <c r="Y4" s="131">
        <v>23</v>
      </c>
      <c r="Z4" s="131">
        <v>24</v>
      </c>
      <c r="AA4" s="131">
        <v>25</v>
      </c>
      <c r="AB4" s="131">
        <v>26</v>
      </c>
      <c r="AC4" s="131">
        <v>27</v>
      </c>
      <c r="AD4" s="131">
        <v>28</v>
      </c>
      <c r="AE4" s="131">
        <v>29</v>
      </c>
      <c r="AF4" s="131">
        <v>30</v>
      </c>
      <c r="AG4" s="131">
        <v>31</v>
      </c>
      <c r="AH4" s="131">
        <v>32</v>
      </c>
      <c r="AI4" s="131">
        <v>33</v>
      </c>
      <c r="AJ4" s="131">
        <v>34</v>
      </c>
      <c r="AK4" s="131">
        <v>35</v>
      </c>
      <c r="AL4" s="131">
        <v>36</v>
      </c>
      <c r="AM4" s="131">
        <v>37</v>
      </c>
      <c r="AN4" s="131">
        <v>38</v>
      </c>
      <c r="AO4" s="131">
        <v>39</v>
      </c>
      <c r="AP4" s="131">
        <v>40</v>
      </c>
      <c r="AQ4" s="131">
        <v>41</v>
      </c>
      <c r="AR4" s="131">
        <v>42</v>
      </c>
      <c r="AS4" s="131">
        <v>43</v>
      </c>
      <c r="AT4" s="1212">
        <v>44</v>
      </c>
      <c r="AU4" s="1212">
        <v>45</v>
      </c>
      <c r="AV4" s="422">
        <v>46</v>
      </c>
      <c r="AW4" s="422">
        <v>47</v>
      </c>
      <c r="AX4" s="422">
        <v>48</v>
      </c>
    </row>
    <row r="5" spans="1:50" s="438" customFormat="1" ht="31.5" customHeight="1" x14ac:dyDescent="0.2">
      <c r="A5" s="1005"/>
      <c r="B5" s="1005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0" s="438" customFormat="1" ht="31.5" hidden="1" customHeight="1" x14ac:dyDescent="0.2">
      <c r="A6" s="655"/>
      <c r="B6" s="655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0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</row>
    <row r="8" spans="1:50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</row>
    <row r="9" spans="1:50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</row>
    <row r="10" spans="1:50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</row>
    <row r="11" spans="1:50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</row>
    <row r="12" spans="1:50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</row>
    <row r="13" spans="1:50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</row>
    <row r="14" spans="1:50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</row>
    <row r="15" spans="1:50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</row>
    <row r="16" spans="1:50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</row>
    <row r="17" spans="1:50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</row>
    <row r="18" spans="1:50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</row>
    <row r="19" spans="1:50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</row>
    <row r="20" spans="1:50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</row>
    <row r="21" spans="1:50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</row>
    <row r="22" spans="1:50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</row>
    <row r="23" spans="1:50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</row>
    <row r="24" spans="1:50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</row>
    <row r="25" spans="1:50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</row>
    <row r="26" spans="1:50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</row>
    <row r="27" spans="1:50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</row>
    <row r="28" spans="1:50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</row>
    <row r="29" spans="1:50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</row>
    <row r="30" spans="1:50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</row>
    <row r="31" spans="1:50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</row>
    <row r="32" spans="1:50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1073376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1482250</v>
      </c>
      <c r="AM32" s="127"/>
      <c r="AN32" s="124"/>
      <c r="AO32" s="117">
        <v>0</v>
      </c>
      <c r="AP32" s="124"/>
      <c r="AQ32" s="125"/>
      <c r="AR32" s="125"/>
      <c r="AS32" s="124">
        <v>140283</v>
      </c>
      <c r="AT32" s="695"/>
      <c r="AU32" s="696"/>
      <c r="AV32" s="118"/>
      <c r="AW32" s="118"/>
      <c r="AX32" s="118">
        <v>742</v>
      </c>
    </row>
    <row r="33" spans="1:50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</row>
    <row r="34" spans="1:50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</row>
    <row r="35" spans="1:50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</row>
    <row r="36" spans="1:50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</row>
    <row r="37" spans="1:50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</row>
    <row r="38" spans="1:50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</row>
    <row r="39" spans="1:50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</row>
    <row r="40" spans="1:50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</row>
    <row r="41" spans="1:50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</row>
    <row r="42" spans="1:50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2792337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4456195</v>
      </c>
      <c r="AM42" s="127"/>
      <c r="AN42" s="124"/>
      <c r="AO42" s="117">
        <v>0</v>
      </c>
      <c r="AP42" s="124"/>
      <c r="AQ42" s="125"/>
      <c r="AR42" s="125"/>
      <c r="AS42" s="124">
        <v>377159</v>
      </c>
      <c r="AT42" s="695"/>
      <c r="AU42" s="696"/>
      <c r="AV42" s="118"/>
      <c r="AW42" s="118"/>
      <c r="AX42" s="118">
        <v>787</v>
      </c>
    </row>
    <row r="43" spans="1:50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</row>
    <row r="44" spans="1:50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11290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33168</v>
      </c>
      <c r="AM44" s="146"/>
      <c r="AN44" s="143"/>
      <c r="AO44" s="135">
        <v>0</v>
      </c>
      <c r="AP44" s="143"/>
      <c r="AQ44" s="144"/>
      <c r="AR44" s="144"/>
      <c r="AS44" s="143">
        <v>2854</v>
      </c>
      <c r="AT44" s="697"/>
      <c r="AU44" s="698"/>
      <c r="AV44" s="136"/>
      <c r="AW44" s="136"/>
      <c r="AX44" s="136">
        <v>-35</v>
      </c>
    </row>
    <row r="45" spans="1:50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</row>
    <row r="46" spans="1:50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</row>
    <row r="47" spans="1:50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</row>
    <row r="48" spans="1:50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</row>
    <row r="49" spans="1:50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</row>
    <row r="50" spans="1:50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18292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25596</v>
      </c>
      <c r="AM50" s="146"/>
      <c r="AN50" s="143"/>
      <c r="AO50" s="135">
        <v>0</v>
      </c>
      <c r="AP50" s="143"/>
      <c r="AQ50" s="144"/>
      <c r="AR50" s="144"/>
      <c r="AS50" s="143">
        <v>2973</v>
      </c>
      <c r="AT50" s="697"/>
      <c r="AU50" s="698"/>
      <c r="AV50" s="136"/>
      <c r="AW50" s="136"/>
      <c r="AX50" s="136">
        <v>34</v>
      </c>
    </row>
    <row r="51" spans="1:50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11856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90060</v>
      </c>
      <c r="AM51" s="161"/>
      <c r="AN51" s="158"/>
      <c r="AO51" s="149">
        <v>0</v>
      </c>
      <c r="AP51" s="158"/>
      <c r="AQ51" s="159"/>
      <c r="AR51" s="159"/>
      <c r="AS51" s="158">
        <v>7957</v>
      </c>
      <c r="AT51" s="699"/>
      <c r="AU51" s="700"/>
      <c r="AV51" s="150"/>
      <c r="AW51" s="150"/>
      <c r="AX51" s="150">
        <v>74</v>
      </c>
    </row>
    <row r="52" spans="1:50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</row>
    <row r="53" spans="1:50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</row>
    <row r="54" spans="1:50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8963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17538</v>
      </c>
      <c r="AM54" s="146"/>
      <c r="AN54" s="143"/>
      <c r="AO54" s="135">
        <v>0</v>
      </c>
      <c r="AP54" s="143"/>
      <c r="AQ54" s="144"/>
      <c r="AR54" s="144"/>
      <c r="AS54" s="143">
        <v>2150</v>
      </c>
      <c r="AT54" s="697"/>
      <c r="AU54" s="698"/>
      <c r="AV54" s="136"/>
      <c r="AW54" s="136"/>
      <c r="AX54" s="136">
        <v>11</v>
      </c>
    </row>
    <row r="55" spans="1:50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</row>
    <row r="56" spans="1:50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</row>
    <row r="57" spans="1:50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</row>
    <row r="58" spans="1:50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46419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77916</v>
      </c>
      <c r="AM58" s="146"/>
      <c r="AN58" s="143"/>
      <c r="AO58" s="135">
        <v>0</v>
      </c>
      <c r="AP58" s="143"/>
      <c r="AQ58" s="144"/>
      <c r="AR58" s="144"/>
      <c r="AS58" s="143">
        <v>8608</v>
      </c>
      <c r="AT58" s="697"/>
      <c r="AU58" s="698"/>
      <c r="AV58" s="136"/>
      <c r="AW58" s="136"/>
      <c r="AX58" s="136">
        <v>73</v>
      </c>
    </row>
    <row r="59" spans="1:50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2852</v>
      </c>
      <c r="AM59" s="146"/>
      <c r="AN59" s="143"/>
      <c r="AO59" s="135">
        <v>0</v>
      </c>
      <c r="AP59" s="143"/>
      <c r="AQ59" s="144"/>
      <c r="AR59" s="144"/>
      <c r="AS59" s="143">
        <v>474</v>
      </c>
      <c r="AT59" s="697"/>
      <c r="AU59" s="698"/>
      <c r="AV59" s="136"/>
      <c r="AW59" s="136"/>
      <c r="AX59" s="136">
        <v>7</v>
      </c>
    </row>
    <row r="60" spans="1:50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</row>
    <row r="61" spans="1:50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</row>
    <row r="62" spans="1:50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</row>
    <row r="63" spans="1:50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</row>
    <row r="64" spans="1:50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</row>
    <row r="65" spans="1:50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</row>
    <row r="66" spans="1:50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</row>
    <row r="67" spans="1:50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</row>
    <row r="68" spans="1:50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</row>
    <row r="69" spans="1:50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</row>
    <row r="70" spans="1:50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</row>
    <row r="71" spans="1:50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</row>
    <row r="72" spans="1:50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</row>
    <row r="73" spans="1:50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</row>
    <row r="74" spans="1:50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</row>
    <row r="75" spans="1:50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</row>
    <row r="76" spans="1:50" s="33" customFormat="1" ht="15" customHeight="1" thickBot="1" x14ac:dyDescent="0.25">
      <c r="A76" s="1499" t="s">
        <v>365</v>
      </c>
      <c r="B76" s="1500"/>
      <c r="C76" s="913">
        <v>939</v>
      </c>
      <c r="D76" s="914">
        <v>4268.9653302959669</v>
      </c>
      <c r="E76" s="915">
        <v>3274327.0070943153</v>
      </c>
      <c r="F76" s="916">
        <v>452</v>
      </c>
      <c r="G76" s="917">
        <v>570.35224473434255</v>
      </c>
      <c r="H76" s="918">
        <v>211905.75560472097</v>
      </c>
      <c r="I76" s="1109">
        <v>0</v>
      </c>
      <c r="J76" s="917">
        <v>158.37628411149953</v>
      </c>
      <c r="K76" s="918">
        <v>0</v>
      </c>
      <c r="L76" s="916">
        <v>101</v>
      </c>
      <c r="M76" s="917">
        <v>3936.5780458287281</v>
      </c>
      <c r="N76" s="918">
        <v>323079.61220019485</v>
      </c>
      <c r="O76" s="916">
        <v>121</v>
      </c>
      <c r="P76" s="917">
        <v>1527.9418817790604</v>
      </c>
      <c r="Q76" s="918">
        <v>153220.57825323916</v>
      </c>
      <c r="R76" s="919">
        <v>3962533</v>
      </c>
      <c r="S76" s="917">
        <v>188442</v>
      </c>
      <c r="T76" s="917">
        <v>25110</v>
      </c>
      <c r="U76" s="920">
        <v>213552</v>
      </c>
      <c r="V76" s="919">
        <v>4176085</v>
      </c>
      <c r="W76" s="918">
        <v>-10440</v>
      </c>
      <c r="X76" s="919">
        <v>4165645</v>
      </c>
      <c r="Y76" s="918">
        <v>0</v>
      </c>
      <c r="Z76" s="919">
        <v>4165645</v>
      </c>
      <c r="AA76" s="917">
        <v>2779920</v>
      </c>
      <c r="AB76" s="917">
        <v>1385725</v>
      </c>
      <c r="AC76" s="919">
        <v>346433</v>
      </c>
      <c r="AD76" s="921">
        <v>4165645</v>
      </c>
      <c r="AE76" s="917">
        <v>5688</v>
      </c>
      <c r="AF76" s="922">
        <v>5850824</v>
      </c>
      <c r="AG76" s="916">
        <v>58</v>
      </c>
      <c r="AH76" s="917">
        <v>343737</v>
      </c>
      <c r="AI76" s="916">
        <v>-3</v>
      </c>
      <c r="AJ76" s="917">
        <v>-8986</v>
      </c>
      <c r="AK76" s="920">
        <v>334751</v>
      </c>
      <c r="AL76" s="922">
        <v>6185575</v>
      </c>
      <c r="AM76" s="917">
        <v>-15464</v>
      </c>
      <c r="AN76" s="922">
        <v>6170111</v>
      </c>
      <c r="AO76" s="917">
        <v>0</v>
      </c>
      <c r="AP76" s="922">
        <v>6170111</v>
      </c>
      <c r="AQ76" s="917">
        <v>4000280</v>
      </c>
      <c r="AR76" s="917">
        <v>2169831</v>
      </c>
      <c r="AS76" s="922">
        <v>542458</v>
      </c>
      <c r="AT76" s="1176">
        <v>10335756</v>
      </c>
      <c r="AU76" s="1177">
        <v>888891</v>
      </c>
      <c r="AV76" s="917">
        <v>15464</v>
      </c>
      <c r="AW76" s="917">
        <v>13771</v>
      </c>
      <c r="AX76" s="917">
        <v>1693</v>
      </c>
    </row>
    <row r="77" spans="1:50" s="33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160019</v>
      </c>
      <c r="S77" s="860"/>
      <c r="T77" s="860"/>
      <c r="U77" s="860"/>
      <c r="V77" s="861">
        <v>160019</v>
      </c>
      <c r="W77" s="910">
        <v>-400</v>
      </c>
      <c r="X77" s="861">
        <v>159619</v>
      </c>
      <c r="Y77" s="860"/>
      <c r="Z77" s="861">
        <v>159619</v>
      </c>
      <c r="AA77" s="860">
        <v>103876</v>
      </c>
      <c r="AB77" s="860">
        <v>55743</v>
      </c>
      <c r="AC77" s="861">
        <v>13936</v>
      </c>
      <c r="AD77" s="912">
        <v>159619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159619</v>
      </c>
      <c r="AU77" s="1175">
        <v>13936</v>
      </c>
      <c r="AV77" s="860">
        <v>0</v>
      </c>
      <c r="AW77" s="860"/>
      <c r="AX77" s="860">
        <v>0</v>
      </c>
    </row>
    <row r="78" spans="1:50" s="457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</row>
    <row r="79" spans="1:50" s="33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798000</v>
      </c>
      <c r="AA79" s="705">
        <v>532000</v>
      </c>
      <c r="AB79" s="704">
        <v>266000</v>
      </c>
      <c r="AC79" s="141">
        <v>66500</v>
      </c>
      <c r="AD79" s="141">
        <v>798000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798000</v>
      </c>
      <c r="AU79" s="706">
        <v>66500</v>
      </c>
      <c r="AV79" s="704"/>
      <c r="AW79" s="704"/>
      <c r="AX79" s="704"/>
    </row>
    <row r="80" spans="1:50" s="33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84000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</row>
    <row r="81" spans="1:50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</row>
    <row r="82" spans="1:50" s="33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</row>
    <row r="83" spans="1:50" s="33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8083</v>
      </c>
      <c r="AA83" s="155">
        <v>5390</v>
      </c>
      <c r="AB83" s="709">
        <v>2693</v>
      </c>
      <c r="AC83" s="156">
        <v>673</v>
      </c>
      <c r="AD83" s="156">
        <v>8083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8083</v>
      </c>
      <c r="AU83" s="710">
        <v>673</v>
      </c>
      <c r="AV83" s="709"/>
      <c r="AW83" s="709"/>
      <c r="AX83" s="709"/>
    </row>
    <row r="84" spans="1:50" s="33" customFormat="1" ht="15" customHeight="1" thickBot="1" x14ac:dyDescent="0.25">
      <c r="A84" s="1499" t="s">
        <v>366</v>
      </c>
      <c r="B84" s="1500"/>
      <c r="C84" s="913">
        <v>939</v>
      </c>
      <c r="D84" s="914">
        <v>4268.9653302959669</v>
      </c>
      <c r="E84" s="915">
        <v>3274327.0070943153</v>
      </c>
      <c r="F84" s="916">
        <v>452</v>
      </c>
      <c r="G84" s="917">
        <v>570.35224473434255</v>
      </c>
      <c r="H84" s="918">
        <v>211905.75560472097</v>
      </c>
      <c r="I84" s="1109">
        <v>0</v>
      </c>
      <c r="J84" s="917">
        <v>158.37628411149953</v>
      </c>
      <c r="K84" s="918">
        <v>0</v>
      </c>
      <c r="L84" s="916">
        <v>101</v>
      </c>
      <c r="M84" s="917">
        <v>3936.5780458287281</v>
      </c>
      <c r="N84" s="918">
        <v>323079.61220019485</v>
      </c>
      <c r="O84" s="916">
        <v>121</v>
      </c>
      <c r="P84" s="917">
        <v>1527.9418817790604</v>
      </c>
      <c r="Q84" s="918">
        <v>153220.57825323916</v>
      </c>
      <c r="R84" s="919">
        <v>4122552</v>
      </c>
      <c r="S84" s="917">
        <v>188442</v>
      </c>
      <c r="T84" s="917">
        <v>25110</v>
      </c>
      <c r="U84" s="920">
        <v>213552</v>
      </c>
      <c r="V84" s="919">
        <v>4336104</v>
      </c>
      <c r="W84" s="918">
        <v>-10840</v>
      </c>
      <c r="X84" s="919">
        <v>4325264</v>
      </c>
      <c r="Y84" s="918">
        <v>0</v>
      </c>
      <c r="Z84" s="919">
        <v>5131347</v>
      </c>
      <c r="AA84" s="917">
        <v>3421186</v>
      </c>
      <c r="AB84" s="917">
        <v>1710161</v>
      </c>
      <c r="AC84" s="919">
        <v>427542</v>
      </c>
      <c r="AD84" s="921">
        <v>5225347</v>
      </c>
      <c r="AE84" s="917">
        <v>5688</v>
      </c>
      <c r="AF84" s="922">
        <v>5850824</v>
      </c>
      <c r="AG84" s="916">
        <v>58</v>
      </c>
      <c r="AH84" s="917">
        <v>343737</v>
      </c>
      <c r="AI84" s="916">
        <v>-3</v>
      </c>
      <c r="AJ84" s="917">
        <v>-8986</v>
      </c>
      <c r="AK84" s="920">
        <v>334751</v>
      </c>
      <c r="AL84" s="922">
        <v>6185575</v>
      </c>
      <c r="AM84" s="917">
        <v>-15464</v>
      </c>
      <c r="AN84" s="922">
        <v>6170111</v>
      </c>
      <c r="AO84" s="917">
        <v>0</v>
      </c>
      <c r="AP84" s="922">
        <v>6170111</v>
      </c>
      <c r="AQ84" s="917">
        <v>4000280</v>
      </c>
      <c r="AR84" s="917">
        <v>2169831</v>
      </c>
      <c r="AS84" s="922">
        <v>542458</v>
      </c>
      <c r="AT84" s="702">
        <v>11301458</v>
      </c>
      <c r="AU84" s="702">
        <v>970000</v>
      </c>
      <c r="AV84" s="917">
        <v>15464</v>
      </c>
      <c r="AW84" s="917">
        <v>13771</v>
      </c>
      <c r="AX84" s="917">
        <v>1693</v>
      </c>
    </row>
    <row r="85" spans="1:50" s="908" customFormat="1" ht="8.4499999999999993" customHeight="1" thickTop="1" x14ac:dyDescent="0.2"/>
    <row r="86" spans="1:50" s="908" customFormat="1" ht="15" customHeight="1" x14ac:dyDescent="0.2">
      <c r="A86" s="1033"/>
      <c r="B86" s="1034"/>
      <c r="C86" s="1035"/>
      <c r="D86" s="1061"/>
      <c r="E86" s="1061"/>
      <c r="F86" s="1061"/>
      <c r="G86" s="1061"/>
      <c r="H86" s="1061"/>
      <c r="I86" s="1061"/>
      <c r="J86" s="1061"/>
      <c r="K86" s="1061"/>
      <c r="L86" s="1061"/>
      <c r="M86" s="1061"/>
      <c r="N86" s="1061"/>
      <c r="O86" s="1061"/>
      <c r="P86" s="1061"/>
      <c r="Q86" s="1061"/>
      <c r="R86" s="1061"/>
      <c r="S86" s="1061"/>
      <c r="T86" s="1061"/>
      <c r="U86" s="1061"/>
      <c r="V86" s="1061"/>
      <c r="W86" s="1061"/>
      <c r="X86" s="1061"/>
      <c r="Y86" s="1061"/>
      <c r="Z86" s="1061"/>
      <c r="AA86" s="1061"/>
      <c r="AB86" s="1061"/>
      <c r="AC86" s="1061"/>
      <c r="AD86" s="1061"/>
      <c r="AE86" s="1036"/>
      <c r="AF86" s="769"/>
      <c r="AG86" s="1037"/>
      <c r="AH86" s="1038"/>
      <c r="AI86" s="1037"/>
      <c r="AJ86" s="1016"/>
      <c r="AK86" s="1039"/>
      <c r="AL86" s="1061"/>
      <c r="AM86" s="1061"/>
      <c r="AN86" s="1061"/>
      <c r="AO86" s="1061"/>
      <c r="AP86" s="1061"/>
      <c r="AQ86" s="1061"/>
      <c r="AR86" s="1061"/>
      <c r="AS86" s="1061"/>
    </row>
    <row r="87" spans="1:50" s="908" customFormat="1" ht="15" customHeight="1" x14ac:dyDescent="0.2">
      <c r="A87" s="1040"/>
      <c r="B87" s="1041"/>
      <c r="C87" s="988"/>
      <c r="D87" s="1061"/>
      <c r="E87" s="1061"/>
      <c r="F87" s="1061"/>
      <c r="G87" s="1061"/>
      <c r="H87" s="1061"/>
      <c r="I87" s="1061"/>
      <c r="J87" s="1061"/>
      <c r="K87" s="1061"/>
      <c r="L87" s="1061"/>
      <c r="M87" s="1061"/>
      <c r="N87" s="1061"/>
      <c r="O87" s="1061"/>
      <c r="P87" s="1061"/>
      <c r="Q87" s="1061"/>
      <c r="R87" s="1061"/>
      <c r="S87" s="1061"/>
      <c r="T87" s="1061"/>
      <c r="U87" s="1061"/>
      <c r="V87" s="1061"/>
      <c r="W87" s="1061"/>
      <c r="X87" s="1061"/>
      <c r="Y87" s="1061"/>
      <c r="Z87" s="1061"/>
      <c r="AA87" s="1061"/>
      <c r="AB87" s="1061"/>
      <c r="AC87" s="1061"/>
      <c r="AD87" s="1061"/>
      <c r="AE87" s="1042"/>
      <c r="AF87" s="1043"/>
      <c r="AG87" s="1007"/>
      <c r="AH87" s="1006"/>
      <c r="AI87" s="1007"/>
      <c r="AJ87" s="1044"/>
      <c r="AK87" s="1045"/>
      <c r="AL87" s="1061"/>
      <c r="AM87" s="1061"/>
      <c r="AN87" s="1061"/>
      <c r="AO87" s="1061"/>
      <c r="AP87" s="1061"/>
      <c r="AQ87" s="1061"/>
      <c r="AR87" s="1061"/>
      <c r="AS87" s="1061"/>
    </row>
    <row r="88" spans="1:50" ht="16.149999999999999" customHeight="1" x14ac:dyDescent="0.2">
      <c r="C88" s="1046"/>
      <c r="H88" s="11"/>
      <c r="I88" s="11"/>
      <c r="J88" s="1146"/>
      <c r="K88" s="1145"/>
      <c r="L88" s="1145"/>
      <c r="M88" s="1146"/>
      <c r="N88" s="1145"/>
      <c r="O88" s="1145"/>
      <c r="P88" s="1146"/>
      <c r="Q88" s="1145"/>
      <c r="AF88" s="769"/>
      <c r="AG88" s="1037"/>
      <c r="AH88" s="1038"/>
      <c r="AI88" s="1037"/>
      <c r="AJ88" s="1016"/>
      <c r="AK88" s="1039"/>
    </row>
    <row r="89" spans="1:50" x14ac:dyDescent="0.2">
      <c r="C89" s="1046"/>
      <c r="H89" s="11"/>
      <c r="I89" s="11"/>
      <c r="J89" s="1146"/>
      <c r="K89" s="1145"/>
      <c r="L89" s="1145"/>
      <c r="M89" s="1146"/>
      <c r="N89" s="1145"/>
      <c r="O89" s="1145"/>
      <c r="P89" s="1146"/>
      <c r="Q89" s="1145"/>
      <c r="AF89" s="1043"/>
      <c r="AG89" s="1043"/>
      <c r="AH89" s="1043"/>
      <c r="AI89" s="1043"/>
      <c r="AJ89" s="1043"/>
      <c r="AK89" s="1043"/>
    </row>
    <row r="90" spans="1:50" ht="13.5" thickBot="1" x14ac:dyDescent="0.25">
      <c r="H90" s="11"/>
      <c r="I90" s="11"/>
      <c r="J90" s="11"/>
      <c r="K90" s="11"/>
      <c r="L90" s="11"/>
      <c r="M90" s="11"/>
      <c r="N90" s="11"/>
      <c r="O90" s="11"/>
      <c r="P90" s="11"/>
      <c r="Q90" s="11"/>
      <c r="AW90" s="917"/>
    </row>
    <row r="91" spans="1:50" ht="13.5" thickTop="1" x14ac:dyDescent="0.2">
      <c r="B91" s="754"/>
      <c r="AW91" s="1227"/>
    </row>
    <row r="92" spans="1:50" x14ac:dyDescent="0.2">
      <c r="B92" s="753"/>
    </row>
    <row r="93" spans="1:50" x14ac:dyDescent="0.2">
      <c r="B93" s="753"/>
    </row>
    <row r="94" spans="1:50" x14ac:dyDescent="0.2">
      <c r="B94" s="753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362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6540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3394</v>
      </c>
      <c r="AM8" s="146"/>
      <c r="AN8" s="143"/>
      <c r="AO8" s="135">
        <v>0</v>
      </c>
      <c r="AP8" s="143"/>
      <c r="AQ8" s="144"/>
      <c r="AR8" s="144"/>
      <c r="AS8" s="143">
        <v>280</v>
      </c>
      <c r="AT8" s="697"/>
      <c r="AU8" s="698"/>
      <c r="AV8" s="136"/>
      <c r="AW8" s="136"/>
      <c r="AX8" s="136">
        <v>-1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9962</v>
      </c>
      <c r="AM12" s="127"/>
      <c r="AN12" s="124"/>
      <c r="AO12" s="117">
        <v>0</v>
      </c>
      <c r="AP12" s="124"/>
      <c r="AQ12" s="125"/>
      <c r="AR12" s="125"/>
      <c r="AS12" s="124">
        <v>1656</v>
      </c>
      <c r="AT12" s="695"/>
      <c r="AU12" s="696"/>
      <c r="AV12" s="118"/>
      <c r="AW12" s="118"/>
      <c r="AX12" s="118">
        <v>25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3879664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6562871</v>
      </c>
      <c r="AM16" s="161"/>
      <c r="AN16" s="158"/>
      <c r="AO16" s="149">
        <v>-3907</v>
      </c>
      <c r="AP16" s="158"/>
      <c r="AQ16" s="159"/>
      <c r="AR16" s="159"/>
      <c r="AS16" s="158">
        <v>529879</v>
      </c>
      <c r="AT16" s="699"/>
      <c r="AU16" s="700"/>
      <c r="AV16" s="150"/>
      <c r="AW16" s="150"/>
      <c r="AX16" s="150">
        <v>497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7749</v>
      </c>
      <c r="AM23" s="146"/>
      <c r="AN23" s="143"/>
      <c r="AO23" s="135">
        <v>0</v>
      </c>
      <c r="AP23" s="143"/>
      <c r="AQ23" s="144"/>
      <c r="AR23" s="144"/>
      <c r="AS23" s="143">
        <v>643</v>
      </c>
      <c r="AT23" s="697"/>
      <c r="AU23" s="698"/>
      <c r="AV23" s="136"/>
      <c r="AW23" s="136"/>
      <c r="AX23" s="136">
        <v>19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28582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3720</v>
      </c>
      <c r="AM33" s="146"/>
      <c r="AN33" s="143"/>
      <c r="AO33" s="135">
        <v>0</v>
      </c>
      <c r="AP33" s="143"/>
      <c r="AQ33" s="144"/>
      <c r="AR33" s="144"/>
      <c r="AS33" s="143">
        <v>-575</v>
      </c>
      <c r="AT33" s="697"/>
      <c r="AU33" s="698"/>
      <c r="AV33" s="136"/>
      <c r="AW33" s="136"/>
      <c r="AX33" s="136">
        <v>-27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8556</v>
      </c>
      <c r="AM34" s="146"/>
      <c r="AN34" s="143"/>
      <c r="AO34" s="135">
        <v>0</v>
      </c>
      <c r="AP34" s="143"/>
      <c r="AQ34" s="144"/>
      <c r="AR34" s="144"/>
      <c r="AS34" s="143">
        <v>2134</v>
      </c>
      <c r="AT34" s="697"/>
      <c r="AU34" s="698"/>
      <c r="AV34" s="136"/>
      <c r="AW34" s="136"/>
      <c r="AX34" s="136">
        <v>21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917</v>
      </c>
      <c r="D76" s="914">
        <v>4268.9653302959669</v>
      </c>
      <c r="E76" s="915">
        <v>3109764.1273397366</v>
      </c>
      <c r="F76" s="916">
        <v>911</v>
      </c>
      <c r="G76" s="917">
        <v>570.35224473434255</v>
      </c>
      <c r="H76" s="918">
        <v>438573.47703671444</v>
      </c>
      <c r="I76" s="1109">
        <v>62</v>
      </c>
      <c r="J76" s="917">
        <v>158.37628411149953</v>
      </c>
      <c r="K76" s="918">
        <v>8119.6949802941454</v>
      </c>
      <c r="L76" s="916">
        <v>103</v>
      </c>
      <c r="M76" s="917">
        <v>3936.5780458287281</v>
      </c>
      <c r="N76" s="918">
        <v>338684.54472817853</v>
      </c>
      <c r="O76" s="916">
        <v>15</v>
      </c>
      <c r="P76" s="917">
        <v>1527.9418817790604</v>
      </c>
      <c r="Q76" s="918">
        <v>19644.423339421319</v>
      </c>
      <c r="R76" s="919">
        <v>3914786</v>
      </c>
      <c r="S76" s="917">
        <v>-71024</v>
      </c>
      <c r="T76" s="917">
        <v>-170147</v>
      </c>
      <c r="U76" s="920">
        <v>-241171</v>
      </c>
      <c r="V76" s="919">
        <v>3673615</v>
      </c>
      <c r="W76" s="918">
        <v>-9183</v>
      </c>
      <c r="X76" s="919">
        <v>3664432</v>
      </c>
      <c r="Y76" s="918">
        <v>-1969</v>
      </c>
      <c r="Z76" s="919">
        <v>3662463</v>
      </c>
      <c r="AA76" s="917">
        <v>2578406</v>
      </c>
      <c r="AB76" s="917">
        <v>1084057</v>
      </c>
      <c r="AC76" s="919">
        <v>271016</v>
      </c>
      <c r="AD76" s="921">
        <v>3662463</v>
      </c>
      <c r="AE76" s="917">
        <v>5688</v>
      </c>
      <c r="AF76" s="922">
        <v>6925762</v>
      </c>
      <c r="AG76" s="916">
        <v>6</v>
      </c>
      <c r="AH76" s="917">
        <v>52170</v>
      </c>
      <c r="AI76" s="916">
        <v>-100</v>
      </c>
      <c r="AJ76" s="917">
        <v>-381680</v>
      </c>
      <c r="AK76" s="920">
        <v>-329510</v>
      </c>
      <c r="AL76" s="922">
        <v>6596252</v>
      </c>
      <c r="AM76" s="917">
        <v>-16489</v>
      </c>
      <c r="AN76" s="922">
        <v>6579763</v>
      </c>
      <c r="AO76" s="917">
        <v>-3907</v>
      </c>
      <c r="AP76" s="922">
        <v>6575856</v>
      </c>
      <c r="AQ76" s="917">
        <v>4439792</v>
      </c>
      <c r="AR76" s="917">
        <v>2136064</v>
      </c>
      <c r="AS76" s="922">
        <v>534017</v>
      </c>
      <c r="AT76" s="1176">
        <v>10238319</v>
      </c>
      <c r="AU76" s="1177">
        <v>805033</v>
      </c>
      <c r="AV76" s="917">
        <v>16489</v>
      </c>
      <c r="AW76" s="917">
        <v>15955</v>
      </c>
      <c r="AX76" s="917">
        <v>534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98181</v>
      </c>
      <c r="S77" s="860"/>
      <c r="T77" s="860"/>
      <c r="U77" s="860"/>
      <c r="V77" s="861">
        <v>98181</v>
      </c>
      <c r="W77" s="910">
        <v>-245</v>
      </c>
      <c r="X77" s="861">
        <v>97936</v>
      </c>
      <c r="Y77" s="860"/>
      <c r="Z77" s="861">
        <v>97936</v>
      </c>
      <c r="AA77" s="860">
        <v>65618</v>
      </c>
      <c r="AB77" s="860">
        <v>32318</v>
      </c>
      <c r="AC77" s="861">
        <v>8080</v>
      </c>
      <c r="AD77" s="912">
        <v>97936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97936</v>
      </c>
      <c r="AU77" s="1175">
        <v>8080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12508</v>
      </c>
      <c r="AA83" s="155">
        <v>8338</v>
      </c>
      <c r="AB83" s="709">
        <v>4170</v>
      </c>
      <c r="AC83" s="156">
        <v>1043</v>
      </c>
      <c r="AD83" s="156">
        <v>12508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12508</v>
      </c>
      <c r="AU83" s="710">
        <v>1043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917</v>
      </c>
      <c r="D84" s="914">
        <v>4268.9653302959669</v>
      </c>
      <c r="E84" s="915">
        <v>3109764.1273397366</v>
      </c>
      <c r="F84" s="916">
        <v>911</v>
      </c>
      <c r="G84" s="917">
        <v>570.35224473434255</v>
      </c>
      <c r="H84" s="918">
        <v>438573.47703671444</v>
      </c>
      <c r="I84" s="1109">
        <v>62</v>
      </c>
      <c r="J84" s="917">
        <v>158.37628411149953</v>
      </c>
      <c r="K84" s="918">
        <v>8119.6949802941454</v>
      </c>
      <c r="L84" s="916">
        <v>103</v>
      </c>
      <c r="M84" s="917">
        <v>3936.5780458287281</v>
      </c>
      <c r="N84" s="918">
        <v>338684.54472817853</v>
      </c>
      <c r="O84" s="916">
        <v>15</v>
      </c>
      <c r="P84" s="917">
        <v>1527.9418817790604</v>
      </c>
      <c r="Q84" s="918">
        <v>19644.423339421319</v>
      </c>
      <c r="R84" s="919">
        <v>4012967</v>
      </c>
      <c r="S84" s="917">
        <v>-71024</v>
      </c>
      <c r="T84" s="917">
        <v>-170147</v>
      </c>
      <c r="U84" s="920">
        <v>-241171</v>
      </c>
      <c r="V84" s="919">
        <v>3771796</v>
      </c>
      <c r="W84" s="918">
        <v>-9428</v>
      </c>
      <c r="X84" s="919">
        <v>3762368</v>
      </c>
      <c r="Y84" s="918">
        <v>-1969</v>
      </c>
      <c r="Z84" s="919">
        <v>3772907</v>
      </c>
      <c r="AA84" s="917">
        <v>2652362</v>
      </c>
      <c r="AB84" s="917">
        <v>1120545</v>
      </c>
      <c r="AC84" s="919">
        <v>280139</v>
      </c>
      <c r="AD84" s="921">
        <v>3772907</v>
      </c>
      <c r="AE84" s="917">
        <v>5688</v>
      </c>
      <c r="AF84" s="922">
        <v>6925762</v>
      </c>
      <c r="AG84" s="916">
        <v>6</v>
      </c>
      <c r="AH84" s="917">
        <v>52170</v>
      </c>
      <c r="AI84" s="916">
        <v>-100</v>
      </c>
      <c r="AJ84" s="917">
        <v>-381680</v>
      </c>
      <c r="AK84" s="920">
        <v>-329510</v>
      </c>
      <c r="AL84" s="922">
        <v>6596252</v>
      </c>
      <c r="AM84" s="917">
        <v>-16489</v>
      </c>
      <c r="AN84" s="922">
        <v>6579763</v>
      </c>
      <c r="AO84" s="917">
        <v>-3907</v>
      </c>
      <c r="AP84" s="922">
        <v>6575856</v>
      </c>
      <c r="AQ84" s="917">
        <v>4439792</v>
      </c>
      <c r="AR84" s="917">
        <v>2136064</v>
      </c>
      <c r="AS84" s="922">
        <v>534017</v>
      </c>
      <c r="AT84" s="702">
        <v>10348763</v>
      </c>
      <c r="AU84" s="702">
        <v>814156</v>
      </c>
      <c r="AV84" s="917">
        <v>16489</v>
      </c>
      <c r="AW84" s="917">
        <v>15955</v>
      </c>
      <c r="AX84" s="917">
        <v>534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6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M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8" bestFit="1" customWidth="1"/>
    <col min="2" max="2" width="18.28515625" style="8" customWidth="1"/>
    <col min="3" max="3" width="16.140625" style="8" customWidth="1"/>
    <col min="4" max="9" width="14" style="8" customWidth="1"/>
    <col min="10" max="32" width="13.7109375" style="8" customWidth="1"/>
    <col min="33" max="37" width="14" style="8" customWidth="1"/>
    <col min="38" max="39" width="16.42578125" style="8" customWidth="1"/>
    <col min="40" max="16384" width="8.85546875" style="8"/>
  </cols>
  <sheetData>
    <row r="1" spans="1:39" ht="19.5" customHeight="1" x14ac:dyDescent="0.2">
      <c r="A1" s="1286" t="s">
        <v>79</v>
      </c>
      <c r="B1" s="1286"/>
      <c r="C1" s="1272" t="s">
        <v>1005</v>
      </c>
      <c r="D1" s="1287" t="s">
        <v>410</v>
      </c>
      <c r="E1" s="1287"/>
      <c r="F1" s="1287"/>
      <c r="G1" s="1287"/>
      <c r="H1" s="1287"/>
      <c r="I1" s="1287"/>
      <c r="J1" s="1287" t="s">
        <v>410</v>
      </c>
      <c r="K1" s="1287"/>
      <c r="L1" s="1287"/>
      <c r="M1" s="1287"/>
      <c r="N1" s="1287"/>
      <c r="O1" s="1287"/>
      <c r="P1" s="1287"/>
      <c r="Q1" s="1287"/>
      <c r="R1" s="1287" t="s">
        <v>410</v>
      </c>
      <c r="S1" s="1287"/>
      <c r="T1" s="1287"/>
      <c r="U1" s="1287"/>
      <c r="V1" s="1287"/>
      <c r="W1" s="1287"/>
      <c r="X1" s="1287"/>
      <c r="Y1" s="1287"/>
      <c r="Z1" s="1287" t="s">
        <v>410</v>
      </c>
      <c r="AA1" s="1287"/>
      <c r="AB1" s="1287"/>
      <c r="AC1" s="1287"/>
      <c r="AD1" s="1287"/>
      <c r="AE1" s="1287"/>
      <c r="AF1" s="1287"/>
      <c r="AG1" s="1287" t="s">
        <v>410</v>
      </c>
      <c r="AH1" s="1287"/>
      <c r="AI1" s="1287"/>
      <c r="AJ1" s="1287"/>
      <c r="AK1" s="1287"/>
      <c r="AL1" s="1287"/>
      <c r="AM1" s="1285" t="s">
        <v>403</v>
      </c>
    </row>
    <row r="2" spans="1:39" ht="96.75" customHeight="1" x14ac:dyDescent="0.2">
      <c r="A2" s="1286"/>
      <c r="B2" s="1286"/>
      <c r="C2" s="1272"/>
      <c r="D2" s="535" t="s">
        <v>406</v>
      </c>
      <c r="E2" s="535" t="s">
        <v>1156</v>
      </c>
      <c r="F2" s="536" t="s">
        <v>1065</v>
      </c>
      <c r="G2" s="536" t="s">
        <v>1066</v>
      </c>
      <c r="H2" s="536" t="s">
        <v>1067</v>
      </c>
      <c r="I2" s="536" t="s">
        <v>1068</v>
      </c>
      <c r="J2" s="536" t="s">
        <v>1069</v>
      </c>
      <c r="K2" s="536" t="s">
        <v>1070</v>
      </c>
      <c r="L2" s="536" t="s">
        <v>1071</v>
      </c>
      <c r="M2" s="536" t="s">
        <v>1072</v>
      </c>
      <c r="N2" s="536" t="s">
        <v>1073</v>
      </c>
      <c r="O2" s="536" t="s">
        <v>1074</v>
      </c>
      <c r="P2" s="536" t="s">
        <v>1075</v>
      </c>
      <c r="Q2" s="536" t="s">
        <v>1076</v>
      </c>
      <c r="R2" s="536" t="s">
        <v>1077</v>
      </c>
      <c r="S2" s="536" t="s">
        <v>1078</v>
      </c>
      <c r="T2" s="536" t="s">
        <v>1079</v>
      </c>
      <c r="U2" s="536" t="s">
        <v>1080</v>
      </c>
      <c r="V2" s="536" t="s">
        <v>1081</v>
      </c>
      <c r="W2" s="536" t="s">
        <v>1082</v>
      </c>
      <c r="X2" s="536" t="s">
        <v>1083</v>
      </c>
      <c r="Y2" s="536" t="s">
        <v>1084</v>
      </c>
      <c r="Z2" s="535" t="s">
        <v>1085</v>
      </c>
      <c r="AA2" s="535" t="s">
        <v>1086</v>
      </c>
      <c r="AB2" s="535" t="s">
        <v>1274</v>
      </c>
      <c r="AC2" s="535" t="s">
        <v>1088</v>
      </c>
      <c r="AD2" s="535" t="s">
        <v>1089</v>
      </c>
      <c r="AE2" s="535" t="s">
        <v>1090</v>
      </c>
      <c r="AF2" s="535" t="s">
        <v>1091</v>
      </c>
      <c r="AG2" s="535" t="s">
        <v>1092</v>
      </c>
      <c r="AH2" s="1000" t="s">
        <v>1206</v>
      </c>
      <c r="AI2" s="1000" t="s">
        <v>1207</v>
      </c>
      <c r="AJ2" s="536" t="s">
        <v>1093</v>
      </c>
      <c r="AK2" s="536" t="s">
        <v>1094</v>
      </c>
      <c r="AL2" s="535" t="s">
        <v>407</v>
      </c>
      <c r="AM2" s="1285"/>
    </row>
    <row r="3" spans="1:39" ht="12.75" hidden="1" customHeight="1" x14ac:dyDescent="0.2">
      <c r="A3" s="467"/>
      <c r="B3" s="467"/>
      <c r="C3" s="468"/>
      <c r="D3" s="478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478"/>
      <c r="AA3" s="478"/>
      <c r="AB3" s="478"/>
      <c r="AC3" s="478"/>
      <c r="AD3" s="478"/>
      <c r="AE3" s="478"/>
      <c r="AF3" s="535"/>
      <c r="AG3" s="535"/>
      <c r="AH3" s="1000"/>
      <c r="AI3" s="1000"/>
      <c r="AJ3" s="225"/>
      <c r="AK3" s="225"/>
      <c r="AL3" s="478"/>
      <c r="AM3" s="469"/>
    </row>
    <row r="4" spans="1:39" s="14" customFormat="1" x14ac:dyDescent="0.2">
      <c r="A4" s="2"/>
      <c r="B4" s="3"/>
      <c r="C4" s="951">
        <v>1</v>
      </c>
      <c r="D4" s="951">
        <f t="shared" ref="D4:AA4" si="0">C4+1</f>
        <v>2</v>
      </c>
      <c r="E4" s="951">
        <f t="shared" si="0"/>
        <v>3</v>
      </c>
      <c r="F4" s="951">
        <f t="shared" si="0"/>
        <v>4</v>
      </c>
      <c r="G4" s="951">
        <f t="shared" si="0"/>
        <v>5</v>
      </c>
      <c r="H4" s="951">
        <f t="shared" si="0"/>
        <v>6</v>
      </c>
      <c r="I4" s="951">
        <f t="shared" si="0"/>
        <v>7</v>
      </c>
      <c r="J4" s="951">
        <f t="shared" si="0"/>
        <v>8</v>
      </c>
      <c r="K4" s="951">
        <f t="shared" si="0"/>
        <v>9</v>
      </c>
      <c r="L4" s="951">
        <f t="shared" si="0"/>
        <v>10</v>
      </c>
      <c r="M4" s="951">
        <f t="shared" si="0"/>
        <v>11</v>
      </c>
      <c r="N4" s="951">
        <f t="shared" si="0"/>
        <v>12</v>
      </c>
      <c r="O4" s="951">
        <f t="shared" si="0"/>
        <v>13</v>
      </c>
      <c r="P4" s="951">
        <f t="shared" si="0"/>
        <v>14</v>
      </c>
      <c r="Q4" s="951">
        <f t="shared" si="0"/>
        <v>15</v>
      </c>
      <c r="R4" s="951">
        <f t="shared" si="0"/>
        <v>16</v>
      </c>
      <c r="S4" s="951">
        <f t="shared" si="0"/>
        <v>17</v>
      </c>
      <c r="T4" s="951">
        <f t="shared" si="0"/>
        <v>18</v>
      </c>
      <c r="U4" s="951">
        <f t="shared" si="0"/>
        <v>19</v>
      </c>
      <c r="V4" s="951">
        <f t="shared" si="0"/>
        <v>20</v>
      </c>
      <c r="W4" s="951">
        <f t="shared" si="0"/>
        <v>21</v>
      </c>
      <c r="X4" s="951">
        <f t="shared" si="0"/>
        <v>22</v>
      </c>
      <c r="Y4" s="951">
        <f t="shared" si="0"/>
        <v>23</v>
      </c>
      <c r="Z4" s="951">
        <f t="shared" si="0"/>
        <v>24</v>
      </c>
      <c r="AA4" s="951">
        <f t="shared" si="0"/>
        <v>25</v>
      </c>
      <c r="AB4" s="951">
        <f t="shared" ref="AB4:AM4" si="1">AA4+1</f>
        <v>26</v>
      </c>
      <c r="AC4" s="951">
        <f t="shared" si="1"/>
        <v>27</v>
      </c>
      <c r="AD4" s="951">
        <f t="shared" si="1"/>
        <v>28</v>
      </c>
      <c r="AE4" s="951">
        <f t="shared" si="1"/>
        <v>29</v>
      </c>
      <c r="AF4" s="951">
        <f t="shared" si="1"/>
        <v>30</v>
      </c>
      <c r="AG4" s="951">
        <f t="shared" si="1"/>
        <v>31</v>
      </c>
      <c r="AH4" s="951">
        <f t="shared" si="1"/>
        <v>32</v>
      </c>
      <c r="AI4" s="951">
        <f t="shared" si="1"/>
        <v>33</v>
      </c>
      <c r="AJ4" s="951">
        <f t="shared" si="1"/>
        <v>34</v>
      </c>
      <c r="AK4" s="951">
        <f t="shared" si="1"/>
        <v>35</v>
      </c>
      <c r="AL4" s="951">
        <f t="shared" si="1"/>
        <v>36</v>
      </c>
      <c r="AM4" s="951">
        <f t="shared" si="1"/>
        <v>37</v>
      </c>
    </row>
    <row r="5" spans="1:39" s="540" customFormat="1" ht="11.25" hidden="1" x14ac:dyDescent="0.2">
      <c r="A5" s="537"/>
      <c r="B5" s="537"/>
      <c r="C5" s="957" t="s">
        <v>554</v>
      </c>
      <c r="D5" s="952" t="s">
        <v>554</v>
      </c>
      <c r="E5" s="952" t="s">
        <v>554</v>
      </c>
      <c r="F5" s="952" t="s">
        <v>554</v>
      </c>
      <c r="G5" s="952" t="s">
        <v>554</v>
      </c>
      <c r="H5" s="952" t="s">
        <v>554</v>
      </c>
      <c r="I5" s="952" t="s">
        <v>554</v>
      </c>
      <c r="J5" s="952" t="s">
        <v>554</v>
      </c>
      <c r="K5" s="952" t="s">
        <v>554</v>
      </c>
      <c r="L5" s="952" t="s">
        <v>554</v>
      </c>
      <c r="M5" s="952" t="s">
        <v>554</v>
      </c>
      <c r="N5" s="952" t="s">
        <v>554</v>
      </c>
      <c r="O5" s="952" t="s">
        <v>554</v>
      </c>
      <c r="P5" s="952" t="s">
        <v>554</v>
      </c>
      <c r="Q5" s="952" t="s">
        <v>554</v>
      </c>
      <c r="R5" s="952" t="s">
        <v>554</v>
      </c>
      <c r="S5" s="952" t="s">
        <v>554</v>
      </c>
      <c r="T5" s="952" t="s">
        <v>554</v>
      </c>
      <c r="U5" s="952" t="s">
        <v>554</v>
      </c>
      <c r="V5" s="952" t="s">
        <v>554</v>
      </c>
      <c r="W5" s="952" t="s">
        <v>554</v>
      </c>
      <c r="X5" s="952" t="s">
        <v>554</v>
      </c>
      <c r="Y5" s="952" t="s">
        <v>554</v>
      </c>
      <c r="Z5" s="952" t="s">
        <v>554</v>
      </c>
      <c r="AA5" s="952" t="s">
        <v>554</v>
      </c>
      <c r="AB5" s="952" t="s">
        <v>554</v>
      </c>
      <c r="AC5" s="952" t="s">
        <v>554</v>
      </c>
      <c r="AD5" s="952" t="s">
        <v>554</v>
      </c>
      <c r="AE5" s="952" t="s">
        <v>554</v>
      </c>
      <c r="AF5" s="952" t="s">
        <v>554</v>
      </c>
      <c r="AG5" s="952" t="s">
        <v>554</v>
      </c>
      <c r="AH5" s="1001" t="s">
        <v>554</v>
      </c>
      <c r="AI5" s="1001" t="s">
        <v>554</v>
      </c>
      <c r="AJ5" s="952" t="s">
        <v>554</v>
      </c>
      <c r="AK5" s="952" t="s">
        <v>554</v>
      </c>
      <c r="AL5" s="957" t="s">
        <v>555</v>
      </c>
      <c r="AM5" s="952" t="s">
        <v>555</v>
      </c>
    </row>
    <row r="6" spans="1:39" s="540" customFormat="1" ht="22.5" x14ac:dyDescent="0.2">
      <c r="A6" s="537"/>
      <c r="B6" s="537"/>
      <c r="C6" s="957" t="s">
        <v>1317</v>
      </c>
      <c r="D6" s="952" t="s">
        <v>690</v>
      </c>
      <c r="E6" s="952" t="s">
        <v>1157</v>
      </c>
      <c r="F6" s="952" t="s">
        <v>693</v>
      </c>
      <c r="G6" s="952" t="s">
        <v>694</v>
      </c>
      <c r="H6" s="952" t="s">
        <v>695</v>
      </c>
      <c r="I6" s="952" t="s">
        <v>696</v>
      </c>
      <c r="J6" s="952" t="s">
        <v>697</v>
      </c>
      <c r="K6" s="952" t="s">
        <v>698</v>
      </c>
      <c r="L6" s="952" t="s">
        <v>699</v>
      </c>
      <c r="M6" s="952" t="s">
        <v>700</v>
      </c>
      <c r="N6" s="952" t="s">
        <v>701</v>
      </c>
      <c r="O6" s="952" t="s">
        <v>702</v>
      </c>
      <c r="P6" s="952" t="s">
        <v>703</v>
      </c>
      <c r="Q6" s="952" t="s">
        <v>704</v>
      </c>
      <c r="R6" s="952" t="s">
        <v>705</v>
      </c>
      <c r="S6" s="952" t="s">
        <v>706</v>
      </c>
      <c r="T6" s="952" t="s">
        <v>707</v>
      </c>
      <c r="U6" s="952" t="s">
        <v>708</v>
      </c>
      <c r="V6" s="952" t="s">
        <v>709</v>
      </c>
      <c r="W6" s="952" t="s">
        <v>710</v>
      </c>
      <c r="X6" s="952" t="s">
        <v>711</v>
      </c>
      <c r="Y6" s="952" t="s">
        <v>712</v>
      </c>
      <c r="Z6" s="952" t="s">
        <v>713</v>
      </c>
      <c r="AA6" s="952" t="s">
        <v>714</v>
      </c>
      <c r="AB6" s="952" t="s">
        <v>715</v>
      </c>
      <c r="AC6" s="952" t="s">
        <v>716</v>
      </c>
      <c r="AD6" s="952" t="s">
        <v>717</v>
      </c>
      <c r="AE6" s="952" t="s">
        <v>718</v>
      </c>
      <c r="AF6" s="952" t="s">
        <v>862</v>
      </c>
      <c r="AG6" s="952" t="s">
        <v>863</v>
      </c>
      <c r="AH6" s="1002" t="s">
        <v>1163</v>
      </c>
      <c r="AI6" s="1002" t="s">
        <v>1164</v>
      </c>
      <c r="AJ6" s="952" t="s">
        <v>691</v>
      </c>
      <c r="AK6" s="952" t="s">
        <v>692</v>
      </c>
      <c r="AL6" s="957" t="s">
        <v>1300</v>
      </c>
      <c r="AM6" s="952" t="s">
        <v>1301</v>
      </c>
    </row>
    <row r="7" spans="1:39" ht="15.6" customHeight="1" x14ac:dyDescent="0.2">
      <c r="A7" s="303">
        <v>1</v>
      </c>
      <c r="B7" s="304" t="s">
        <v>4</v>
      </c>
      <c r="C7" s="305">
        <f>'2_State Distrib and Adjs'!BF7</f>
        <v>56131640</v>
      </c>
      <c r="D7" s="305">
        <f>-'5A3_OJJ'!P7</f>
        <v>-6440</v>
      </c>
      <c r="E7" s="305"/>
      <c r="F7" s="305">
        <f>-('5C1A_Madison'!AL7+'5C1A_Madison'!AO7)</f>
        <v>0</v>
      </c>
      <c r="G7" s="305">
        <f>-('5C1B_DArbonne'!AL7+'5C1B_DArbonne'!AO7)</f>
        <v>0</v>
      </c>
      <c r="H7" s="305">
        <f>-('5C1C_Intl High'!AL7+'5C1C_Intl High'!AO7)</f>
        <v>0</v>
      </c>
      <c r="I7" s="305">
        <f>-('5C1D_NOMMA'!AL7+'5C1D_NOMMA'!AO7)</f>
        <v>0</v>
      </c>
      <c r="J7" s="305">
        <f>-('5C1E_LFNO'!AL7+'5C1E_LFNO'!AO7)</f>
        <v>0</v>
      </c>
      <c r="K7" s="305">
        <f>-('5C1F_L.C. Charter'!AL7+'5C1F_L.C. Charter'!AO7)</f>
        <v>0</v>
      </c>
      <c r="L7" s="305">
        <f>-('5C1G_JS Clark'!AL7+'5C1G_JS Clark'!AO7)</f>
        <v>-2624</v>
      </c>
      <c r="M7" s="305">
        <f>-('5C1H_Southwest'!AL7+'5C1H_Southwest'!AO7)</f>
        <v>0</v>
      </c>
      <c r="N7" s="305">
        <f>-('5C1I_LA Key'!AL7+'5C1I_LA Key'!AO7)</f>
        <v>0</v>
      </c>
      <c r="O7" s="305">
        <f>-('5C1J_JCFA-East'!AL7+'5C1J_JCFA-East'!AO7)</f>
        <v>0</v>
      </c>
      <c r="P7" s="305">
        <f>-('5C1M_GEO Mid'!AL7+'5C1M_GEO Mid'!AO7)</f>
        <v>0</v>
      </c>
      <c r="Q7" s="305">
        <f>-('5C1N_Delta'!AL7+'5C1N_Delta'!AO7)</f>
        <v>0</v>
      </c>
      <c r="R7" s="305">
        <f>-('5C1O_Impact'!AL7+'5C1O_Impact'!AO7)</f>
        <v>0</v>
      </c>
      <c r="S7" s="305">
        <f>-('5C1Q_Advantage'!AL7+'5C1Q_Advantage'!AO7)</f>
        <v>0</v>
      </c>
      <c r="T7" s="305">
        <f>-('5C1R_Iberville'!AL7+'5C1R_Iberville'!AO7)</f>
        <v>0</v>
      </c>
      <c r="U7" s="305">
        <f>-('5C1S_LC Col Prep'!AL7+'5C1S_LC Col Prep'!AO7)</f>
        <v>0</v>
      </c>
      <c r="V7" s="305">
        <f>-('5C1T_Northeast'!AL7+'5C1T_Northeast'!AO7)</f>
        <v>0</v>
      </c>
      <c r="W7" s="305">
        <f>-('5C1U_Acadiana Ren'!AL7+'5C1U_Acadiana Ren'!AO7)</f>
        <v>-10496</v>
      </c>
      <c r="X7" s="305">
        <f>-('5C1V_Laf Ren'!AL7+'5C1V_Laf Ren'!AO7)</f>
        <v>-53792</v>
      </c>
      <c r="Y7" s="305">
        <f>-('5C1W_Willow'!AL7+'5C1W_Willow'!AO7)</f>
        <v>-17056</v>
      </c>
      <c r="Z7" s="305">
        <f>-('5C1Y_GEO'!AL7+'5C1Y_GEO'!AO7)</f>
        <v>0</v>
      </c>
      <c r="AA7" s="306">
        <f>-('5C1Z_Lincoln Prep'!AL7+'5C1Z_Lincoln Prep'!AO7)</f>
        <v>0</v>
      </c>
      <c r="AB7" s="306">
        <f>-('5C1AE_Noble Minds'!$AL7+'5C1AE_Noble Minds'!$AO7)</f>
        <v>0</v>
      </c>
      <c r="AC7" s="306">
        <f>-('5C1AF_JCFA-Laf'!$AL7+'5C1AF_JCFA-Laf'!$AO7)</f>
        <v>-5248</v>
      </c>
      <c r="AD7" s="306">
        <f>-('5C1AG_Collegiate'!$AL7+'5C1AG_Collegiate'!$AO7)</f>
        <v>0</v>
      </c>
      <c r="AE7" s="306">
        <f>-('5C1AH_BRUP'!$AL7+'5C1AH_BRUP'!$AO7)</f>
        <v>0</v>
      </c>
      <c r="AF7" s="585">
        <f>-('5C1AI_Harmony'!$AL7+'5C1AI_Harmony'!$AO7)</f>
        <v>0</v>
      </c>
      <c r="AG7" s="585">
        <f>-('5C1AJ_Athlos'!$AL7+'5C1AJ_Athlos'!$AO7)</f>
        <v>0</v>
      </c>
      <c r="AH7" s="585">
        <f>-('5C1AK_NxtGen'!$AL7+'5C1AK_NxtGen'!$AO7)</f>
        <v>0</v>
      </c>
      <c r="AI7" s="585">
        <f>-('5C1AL_Red River'!$AL7+'5C1AL_Red River'!$AO7)</f>
        <v>0</v>
      </c>
      <c r="AJ7" s="305">
        <f>-('5C2_LAVCA'!AM7+'5C2_LAVCA'!AP7)</f>
        <v>-63763</v>
      </c>
      <c r="AK7" s="305">
        <f>-('5C3_UnvView'!AM7+'5C3_UnvView'!AP7)</f>
        <v>-80294</v>
      </c>
      <c r="AL7" s="307">
        <f t="shared" ref="AL7:AL38" si="2">SUM(D7:AK7)</f>
        <v>-239713</v>
      </c>
      <c r="AM7" s="308">
        <f t="shared" ref="AM7:AM38" si="3">SUM(C7:AK7)</f>
        <v>55891927</v>
      </c>
    </row>
    <row r="8" spans="1:39" ht="15.6" customHeight="1" x14ac:dyDescent="0.2">
      <c r="A8" s="309">
        <v>2</v>
      </c>
      <c r="B8" s="310" t="s">
        <v>5</v>
      </c>
      <c r="C8" s="311">
        <f>'2_State Distrib and Adjs'!BF8</f>
        <v>29221170</v>
      </c>
      <c r="D8" s="311">
        <f>-'5A3_OJJ'!P8</f>
        <v>0</v>
      </c>
      <c r="E8" s="311"/>
      <c r="F8" s="311">
        <f>-('5C1A_Madison'!AL8+'5C1A_Madison'!AO8)</f>
        <v>0</v>
      </c>
      <c r="G8" s="311">
        <f>-('5C1B_DArbonne'!AL8+'5C1B_DArbonne'!AO8)</f>
        <v>0</v>
      </c>
      <c r="H8" s="311">
        <f>-('5C1C_Intl High'!AL8+'5C1C_Intl High'!AO8)</f>
        <v>0</v>
      </c>
      <c r="I8" s="311">
        <f>-('5C1D_NOMMA'!AL8+'5C1D_NOMMA'!AO8)</f>
        <v>0</v>
      </c>
      <c r="J8" s="311">
        <f>-('5C1E_LFNO'!AL8+'5C1E_LFNO'!AO8)</f>
        <v>0</v>
      </c>
      <c r="K8" s="311">
        <f>-('5C1F_L.C. Charter'!AL8+'5C1F_L.C. Charter'!AO8)</f>
        <v>-3394</v>
      </c>
      <c r="L8" s="311">
        <f>-('5C1G_JS Clark'!AL8+'5C1G_JS Clark'!AO8)</f>
        <v>0</v>
      </c>
      <c r="M8" s="311">
        <f>-('5C1H_Southwest'!AL8+'5C1H_Southwest'!AO8)</f>
        <v>0</v>
      </c>
      <c r="N8" s="311">
        <f>-('5C1I_LA Key'!AL8+'5C1I_LA Key'!AO8)</f>
        <v>0</v>
      </c>
      <c r="O8" s="311">
        <f>-('5C1J_JCFA-East'!AL8+'5C1J_JCFA-East'!AO8)</f>
        <v>0</v>
      </c>
      <c r="P8" s="311">
        <f>-('5C1M_GEO Mid'!AL8+'5C1M_GEO Mid'!AO8)</f>
        <v>0</v>
      </c>
      <c r="Q8" s="311">
        <f>-('5C1N_Delta'!AL8+'5C1N_Delta'!AO8)</f>
        <v>0</v>
      </c>
      <c r="R8" s="311">
        <f>-('5C1O_Impact'!AL8+'5C1O_Impact'!AO8)</f>
        <v>0</v>
      </c>
      <c r="S8" s="311">
        <f>-('5C1Q_Advantage'!AL8+'5C1Q_Advantage'!AO8)</f>
        <v>0</v>
      </c>
      <c r="T8" s="311">
        <f>-('5C1R_Iberville'!AL8+'5C1R_Iberville'!AO8)</f>
        <v>0</v>
      </c>
      <c r="U8" s="311">
        <f>-('5C1S_LC Col Prep'!AL8+'5C1S_LC Col Prep'!AO8)</f>
        <v>-3394</v>
      </c>
      <c r="V8" s="311">
        <f>-('5C1T_Northeast'!AL8+'5C1T_Northeast'!AO8)</f>
        <v>0</v>
      </c>
      <c r="W8" s="311">
        <f>-('5C1U_Acadiana Ren'!AL8+'5C1U_Acadiana Ren'!AO8)</f>
        <v>0</v>
      </c>
      <c r="X8" s="311">
        <f>-('5C1V_Laf Ren'!AL8+'5C1V_Laf Ren'!AO8)</f>
        <v>0</v>
      </c>
      <c r="Y8" s="311">
        <f>-('5C1W_Willow'!AL8+'5C1W_Willow'!AO8)</f>
        <v>0</v>
      </c>
      <c r="Z8" s="311">
        <f>-('5C1Y_GEO'!AL8+'5C1Y_GEO'!AO8)</f>
        <v>0</v>
      </c>
      <c r="AA8" s="311">
        <f>-('5C1Z_Lincoln Prep'!AL8+'5C1Z_Lincoln Prep'!AO8)</f>
        <v>0</v>
      </c>
      <c r="AB8" s="311">
        <f>-('5C1AE_Noble Minds'!$AL8+'5C1AE_Noble Minds'!$AO8)</f>
        <v>0</v>
      </c>
      <c r="AC8" s="311">
        <f>-('5C1AF_JCFA-Laf'!$AL8+'5C1AF_JCFA-Laf'!$AO8)</f>
        <v>0</v>
      </c>
      <c r="AD8" s="311">
        <f>-('5C1AG_Collegiate'!$AL8+'5C1AG_Collegiate'!$AO8)</f>
        <v>0</v>
      </c>
      <c r="AE8" s="311">
        <f>-('5C1AH_BRUP'!$AL8+'5C1AH_BRUP'!$AO8)</f>
        <v>0</v>
      </c>
      <c r="AF8" s="311">
        <f>-('5C1AI_Harmony'!$AL8+'5C1AI_Harmony'!$AO8)</f>
        <v>0</v>
      </c>
      <c r="AG8" s="311">
        <f>-('5C1AJ_Athlos'!$AL8+'5C1AJ_Athlos'!$AO8)</f>
        <v>0</v>
      </c>
      <c r="AH8" s="311">
        <f>-('5C1AK_NxtGen'!$AL8+'5C1AK_NxtGen'!$AO8)</f>
        <v>0</v>
      </c>
      <c r="AI8" s="311">
        <f>-('5C1AL_Red River'!$AL8+'5C1AL_Red River'!$AO8)</f>
        <v>0</v>
      </c>
      <c r="AJ8" s="311">
        <f>-('5C2_LAVCA'!AM8+'5C2_LAVCA'!AP8)</f>
        <v>-32074</v>
      </c>
      <c r="AK8" s="311">
        <f>-('5C3_UnvView'!AM8+'5C3_UnvView'!AP8)</f>
        <v>-94693</v>
      </c>
      <c r="AL8" s="312">
        <f t="shared" si="2"/>
        <v>-133555</v>
      </c>
      <c r="AM8" s="313">
        <f t="shared" si="3"/>
        <v>29087615</v>
      </c>
    </row>
    <row r="9" spans="1:39" ht="15.6" customHeight="1" x14ac:dyDescent="0.2">
      <c r="A9" s="309">
        <v>3</v>
      </c>
      <c r="B9" s="310" t="s">
        <v>6</v>
      </c>
      <c r="C9" s="311">
        <f>'2_State Distrib and Adjs'!BF9</f>
        <v>113139470</v>
      </c>
      <c r="D9" s="311">
        <f>-'5A3_OJJ'!P9</f>
        <v>-139</v>
      </c>
      <c r="E9" s="311"/>
      <c r="F9" s="311">
        <f>-('5C1A_Madison'!AL9+'5C1A_Madison'!AO9)</f>
        <v>-19968</v>
      </c>
      <c r="G9" s="311">
        <f>-('5C1B_DArbonne'!AL9+'5C1B_DArbonne'!AO9)</f>
        <v>0</v>
      </c>
      <c r="H9" s="311">
        <f>-('5C1C_Intl High'!AL9+'5C1C_Intl High'!AO9)</f>
        <v>0</v>
      </c>
      <c r="I9" s="311">
        <f>-('5C1D_NOMMA'!AL9+'5C1D_NOMMA'!AO9)</f>
        <v>0</v>
      </c>
      <c r="J9" s="311">
        <f>-('5C1E_LFNO'!AL9+'5C1E_LFNO'!AO9)</f>
        <v>0</v>
      </c>
      <c r="K9" s="311">
        <f>-('5C1F_L.C. Charter'!AL9+'5C1F_L.C. Charter'!AO9)</f>
        <v>0</v>
      </c>
      <c r="L9" s="311">
        <f>-('5C1G_JS Clark'!AL9+'5C1G_JS Clark'!AO9)</f>
        <v>0</v>
      </c>
      <c r="M9" s="311">
        <f>-('5C1H_Southwest'!AL9+'5C1H_Southwest'!AO9)</f>
        <v>0</v>
      </c>
      <c r="N9" s="311">
        <f>-('5C1I_LA Key'!AL9+'5C1I_LA Key'!AO9)</f>
        <v>-126464</v>
      </c>
      <c r="O9" s="311">
        <f>-('5C1J_JCFA-East'!AL9+'5C1J_JCFA-East'!AO9)</f>
        <v>0</v>
      </c>
      <c r="P9" s="311">
        <f>-('5C1M_GEO Mid'!AL9+'5C1M_GEO Mid'!AO9)</f>
        <v>0</v>
      </c>
      <c r="Q9" s="311">
        <f>-('5C1N_Delta'!AL9+'5C1N_Delta'!AO9)</f>
        <v>0</v>
      </c>
      <c r="R9" s="311">
        <f>-('5C1O_Impact'!AL9+'5C1O_Impact'!AO9)</f>
        <v>0</v>
      </c>
      <c r="S9" s="311">
        <f>-('5C1Q_Advantage'!AL9+'5C1Q_Advantage'!AO9)</f>
        <v>0</v>
      </c>
      <c r="T9" s="311">
        <f>-('5C1R_Iberville'!AL9+'5C1R_Iberville'!AO9)</f>
        <v>-129792</v>
      </c>
      <c r="U9" s="311">
        <f>-('5C1S_LC Col Prep'!AL9+'5C1S_LC Col Prep'!AO9)</f>
        <v>0</v>
      </c>
      <c r="V9" s="311">
        <f>-('5C1T_Northeast'!AL9+'5C1T_Northeast'!AO9)</f>
        <v>0</v>
      </c>
      <c r="W9" s="311">
        <f>-('5C1U_Acadiana Ren'!AL9+'5C1U_Acadiana Ren'!AO9)</f>
        <v>-6656</v>
      </c>
      <c r="X9" s="311">
        <f>-('5C1V_Laf Ren'!AL9+'5C1V_Laf Ren'!AO9)</f>
        <v>0</v>
      </c>
      <c r="Y9" s="311">
        <f>-('5C1W_Willow'!AL9+'5C1W_Willow'!AO9)</f>
        <v>0</v>
      </c>
      <c r="Z9" s="311">
        <f>-('5C1Y_GEO'!AL9+'5C1Y_GEO'!AO9)</f>
        <v>-13312</v>
      </c>
      <c r="AA9" s="311">
        <f>-('5C1Z_Lincoln Prep'!AL9+'5C1Z_Lincoln Prep'!AO9)</f>
        <v>0</v>
      </c>
      <c r="AB9" s="311">
        <f>-('5C1AE_Noble Minds'!$AL9+'5C1AE_Noble Minds'!$AO9)</f>
        <v>0</v>
      </c>
      <c r="AC9" s="311">
        <f>-('5C1AF_JCFA-Laf'!$AL9+'5C1AF_JCFA-Laf'!$AO9)</f>
        <v>0</v>
      </c>
      <c r="AD9" s="311">
        <f>-('5C1AG_Collegiate'!$AL9+'5C1AG_Collegiate'!$AO9)</f>
        <v>0</v>
      </c>
      <c r="AE9" s="311">
        <f>-('5C1AH_BRUP'!$AL9+'5C1AH_BRUP'!$AO9)</f>
        <v>0</v>
      </c>
      <c r="AF9" s="311">
        <f>-('5C1AI_Harmony'!$AL9+'5C1AI_Harmony'!$AO9)</f>
        <v>0</v>
      </c>
      <c r="AG9" s="311">
        <f>-('5C1AJ_Athlos'!$AL9+'5C1AJ_Athlos'!$AO9)</f>
        <v>0</v>
      </c>
      <c r="AH9" s="311">
        <f>-('5C1AK_NxtGen'!$AL9+'5C1AK_NxtGen'!$AO9)</f>
        <v>0</v>
      </c>
      <c r="AI9" s="311">
        <f>-('5C1AL_Red River'!$AL9+'5C1AL_Red River'!$AO9)</f>
        <v>0</v>
      </c>
      <c r="AJ9" s="311">
        <f>-('5C2_LAVCA'!AM9+'5C2_LAVCA'!AP9)</f>
        <v>-164736</v>
      </c>
      <c r="AK9" s="311">
        <f>-('5C3_UnvView'!AM9+'5C3_UnvView'!AP9)</f>
        <v>-658944</v>
      </c>
      <c r="AL9" s="312">
        <f t="shared" si="2"/>
        <v>-1120011</v>
      </c>
      <c r="AM9" s="313">
        <f t="shared" si="3"/>
        <v>112019459</v>
      </c>
    </row>
    <row r="10" spans="1:39" ht="15.6" customHeight="1" x14ac:dyDescent="0.2">
      <c r="A10" s="309">
        <v>4</v>
      </c>
      <c r="B10" s="310" t="s">
        <v>7</v>
      </c>
      <c r="C10" s="311">
        <f>'2_State Distrib and Adjs'!BF10</f>
        <v>20500379</v>
      </c>
      <c r="D10" s="311">
        <f>-'5A3_OJJ'!P10</f>
        <v>0</v>
      </c>
      <c r="E10" s="311"/>
      <c r="F10" s="311">
        <f>-('5C1A_Madison'!AL10+'5C1A_Madison'!AO10)</f>
        <v>0</v>
      </c>
      <c r="G10" s="311">
        <f>-('5C1B_DArbonne'!AL10+'5C1B_DArbonne'!AO10)</f>
        <v>0</v>
      </c>
      <c r="H10" s="311">
        <f>-('5C1C_Intl High'!AL10+'5C1C_Intl High'!AO10)</f>
        <v>0</v>
      </c>
      <c r="I10" s="311">
        <f>-('5C1D_NOMMA'!AL10+'5C1D_NOMMA'!AO10)</f>
        <v>0</v>
      </c>
      <c r="J10" s="311">
        <f>-('5C1E_LFNO'!AL10+'5C1E_LFNO'!AO10)</f>
        <v>0</v>
      </c>
      <c r="K10" s="311">
        <f>-('5C1F_L.C. Charter'!AL10+'5C1F_L.C. Charter'!AO10)</f>
        <v>0</v>
      </c>
      <c r="L10" s="311">
        <f>-('5C1G_JS Clark'!AL10+'5C1G_JS Clark'!AO10)</f>
        <v>0</v>
      </c>
      <c r="M10" s="311">
        <f>-('5C1H_Southwest'!AL10+'5C1H_Southwest'!AO10)</f>
        <v>0</v>
      </c>
      <c r="N10" s="311">
        <f>-('5C1I_LA Key'!AL10+'5C1I_LA Key'!AO10)</f>
        <v>0</v>
      </c>
      <c r="O10" s="311">
        <f>-('5C1J_JCFA-East'!AL10+'5C1J_JCFA-East'!AO10)</f>
        <v>0</v>
      </c>
      <c r="P10" s="311">
        <f>-('5C1M_GEO Mid'!AL10+'5C1M_GEO Mid'!AO10)</f>
        <v>0</v>
      </c>
      <c r="Q10" s="311">
        <f>-('5C1N_Delta'!AL10+'5C1N_Delta'!AO10)</f>
        <v>0</v>
      </c>
      <c r="R10" s="311">
        <f>-('5C1O_Impact'!AL10+'5C1O_Impact'!AO10)</f>
        <v>0</v>
      </c>
      <c r="S10" s="311">
        <f>-('5C1Q_Advantage'!AL10+'5C1Q_Advantage'!AO10)</f>
        <v>0</v>
      </c>
      <c r="T10" s="311">
        <f>-('5C1R_Iberville'!AL10+'5C1R_Iberville'!AO10)</f>
        <v>-42678</v>
      </c>
      <c r="U10" s="311">
        <f>-('5C1S_LC Col Prep'!AL10+'5C1S_LC Col Prep'!AO10)</f>
        <v>0</v>
      </c>
      <c r="V10" s="311">
        <f>-('5C1T_Northeast'!AL10+'5C1T_Northeast'!AO10)</f>
        <v>0</v>
      </c>
      <c r="W10" s="311">
        <f>-('5C1U_Acadiana Ren'!AL10+'5C1U_Acadiana Ren'!AO10)</f>
        <v>-16597</v>
      </c>
      <c r="X10" s="311">
        <f>-('5C1V_Laf Ren'!AL10+'5C1V_Laf Ren'!AO10)</f>
        <v>0</v>
      </c>
      <c r="Y10" s="311">
        <f>-('5C1W_Willow'!AL10+'5C1W_Willow'!AO10)</f>
        <v>0</v>
      </c>
      <c r="Z10" s="311">
        <f>-('5C1Y_GEO'!AL10+'5C1Y_GEO'!AO10)</f>
        <v>0</v>
      </c>
      <c r="AA10" s="311">
        <f>-('5C1Z_Lincoln Prep'!AL10+'5C1Z_Lincoln Prep'!AO10)</f>
        <v>0</v>
      </c>
      <c r="AB10" s="311">
        <f>-('5C1AE_Noble Minds'!$AL10+'5C1AE_Noble Minds'!$AO10)</f>
        <v>0</v>
      </c>
      <c r="AC10" s="311">
        <f>-('5C1AF_JCFA-Laf'!$AL10+'5C1AF_JCFA-Laf'!$AO10)</f>
        <v>0</v>
      </c>
      <c r="AD10" s="311">
        <f>-('5C1AG_Collegiate'!$AL10+'5C1AG_Collegiate'!$AO10)</f>
        <v>0</v>
      </c>
      <c r="AE10" s="311">
        <f>-('5C1AH_BRUP'!$AL10+'5C1AH_BRUP'!$AO10)</f>
        <v>0</v>
      </c>
      <c r="AF10" s="311">
        <f>-('5C1AI_Harmony'!$AL10+'5C1AI_Harmony'!$AO10)</f>
        <v>0</v>
      </c>
      <c r="AG10" s="311">
        <f>-('5C1AJ_Athlos'!$AL10+'5C1AJ_Athlos'!$AO10)</f>
        <v>0</v>
      </c>
      <c r="AH10" s="311">
        <f>-('5C1AK_NxtGen'!$AL10+'5C1AK_NxtGen'!$AO10)</f>
        <v>0</v>
      </c>
      <c r="AI10" s="311">
        <f>-('5C1AL_Red River'!$AL10+'5C1AL_Red River'!$AO10)</f>
        <v>0</v>
      </c>
      <c r="AJ10" s="311">
        <f>-('5C2_LAVCA'!AM10+'5C2_LAVCA'!AP10)</f>
        <v>-38410</v>
      </c>
      <c r="AK10" s="311">
        <f>-('5C3_UnvView'!AM10+'5C3_UnvView'!AP10)</f>
        <v>-64018</v>
      </c>
      <c r="AL10" s="312">
        <f t="shared" si="2"/>
        <v>-161703</v>
      </c>
      <c r="AM10" s="313">
        <f t="shared" si="3"/>
        <v>20338676</v>
      </c>
    </row>
    <row r="11" spans="1:39" ht="15.6" customHeight="1" x14ac:dyDescent="0.2">
      <c r="A11" s="314">
        <v>5</v>
      </c>
      <c r="B11" s="315" t="s">
        <v>8</v>
      </c>
      <c r="C11" s="316">
        <f>'2_State Distrib and Adjs'!BF11</f>
        <v>31553857</v>
      </c>
      <c r="D11" s="316">
        <f>-'5A3_OJJ'!P11</f>
        <v>-4470</v>
      </c>
      <c r="E11" s="316"/>
      <c r="F11" s="316">
        <f>-('5C1A_Madison'!AL11+'5C1A_Madison'!AO11)</f>
        <v>0</v>
      </c>
      <c r="G11" s="316">
        <f>-('5C1B_DArbonne'!AL11+'5C1B_DArbonne'!AO11)</f>
        <v>0</v>
      </c>
      <c r="H11" s="316">
        <f>-('5C1C_Intl High'!AL11+'5C1C_Intl High'!AO11)</f>
        <v>0</v>
      </c>
      <c r="I11" s="316">
        <f>-('5C1D_NOMMA'!AL11+'5C1D_NOMMA'!AO11)</f>
        <v>0</v>
      </c>
      <c r="J11" s="316">
        <f>-('5C1E_LFNO'!AL11+'5C1E_LFNO'!AO11)</f>
        <v>0</v>
      </c>
      <c r="K11" s="316">
        <f>-('5C1F_L.C. Charter'!AL11+'5C1F_L.C. Charter'!AO11)</f>
        <v>0</v>
      </c>
      <c r="L11" s="316">
        <f>-('5C1G_JS Clark'!AL11+'5C1G_JS Clark'!AO11)</f>
        <v>0</v>
      </c>
      <c r="M11" s="316">
        <f>-('5C1H_Southwest'!AL11+'5C1H_Southwest'!AO11)</f>
        <v>0</v>
      </c>
      <c r="N11" s="316">
        <f>-('5C1I_LA Key'!AL11+'5C1I_LA Key'!AO11)</f>
        <v>0</v>
      </c>
      <c r="O11" s="316">
        <f>-('5C1J_JCFA-East'!AL11+'5C1J_JCFA-East'!AO11)</f>
        <v>0</v>
      </c>
      <c r="P11" s="316">
        <f>-('5C1M_GEO Mid'!AL11+'5C1M_GEO Mid'!AO11)</f>
        <v>0</v>
      </c>
      <c r="Q11" s="316">
        <f>-('5C1N_Delta'!AL11+'5C1N_Delta'!AO11)</f>
        <v>0</v>
      </c>
      <c r="R11" s="316">
        <f>-('5C1O_Impact'!AL11+'5C1O_Impact'!AO11)</f>
        <v>0</v>
      </c>
      <c r="S11" s="316">
        <f>-('5C1Q_Advantage'!AL11+'5C1Q_Advantage'!AO11)</f>
        <v>0</v>
      </c>
      <c r="T11" s="316">
        <f>-('5C1R_Iberville'!AL11+'5C1R_Iberville'!AO11)</f>
        <v>0</v>
      </c>
      <c r="U11" s="316">
        <f>-('5C1S_LC Col Prep'!AL11+'5C1S_LC Col Prep'!AO11)</f>
        <v>0</v>
      </c>
      <c r="V11" s="316">
        <f>-('5C1T_Northeast'!AL11+'5C1T_Northeast'!AO11)</f>
        <v>0</v>
      </c>
      <c r="W11" s="316">
        <f>-('5C1U_Acadiana Ren'!AL11+'5C1U_Acadiana Ren'!AO11)</f>
        <v>0</v>
      </c>
      <c r="X11" s="316">
        <f>-('5C1V_Laf Ren'!AL11+'5C1V_Laf Ren'!AO11)</f>
        <v>0</v>
      </c>
      <c r="Y11" s="316">
        <f>-('5C1W_Willow'!AL11+'5C1W_Willow'!AO11)</f>
        <v>0</v>
      </c>
      <c r="Z11" s="316">
        <f>-('5C1Y_GEO'!AL11+'5C1Y_GEO'!AO11)</f>
        <v>0</v>
      </c>
      <c r="AA11" s="316">
        <f>-('5C1Z_Lincoln Prep'!AL11+'5C1Z_Lincoln Prep'!AO11)</f>
        <v>0</v>
      </c>
      <c r="AB11" s="316">
        <f>-('5C1AE_Noble Minds'!$AL11+'5C1AE_Noble Minds'!$AO11)</f>
        <v>0</v>
      </c>
      <c r="AC11" s="316">
        <f>-('5C1AF_JCFA-Laf'!$AL11+'5C1AF_JCFA-Laf'!$AO11)</f>
        <v>0</v>
      </c>
      <c r="AD11" s="316">
        <f>-('5C1AG_Collegiate'!$AL11+'5C1AG_Collegiate'!$AO11)</f>
        <v>0</v>
      </c>
      <c r="AE11" s="316">
        <f>-('5C1AH_BRUP'!$AL11+'5C1AH_BRUP'!$AO11)</f>
        <v>0</v>
      </c>
      <c r="AF11" s="586">
        <f>-('5C1AI_Harmony'!$AL11+'5C1AI_Harmony'!$AO11)</f>
        <v>0</v>
      </c>
      <c r="AG11" s="586">
        <f>-('5C1AJ_Athlos'!$AL11+'5C1AJ_Athlos'!$AO11)</f>
        <v>0</v>
      </c>
      <c r="AH11" s="781">
        <f>-('5C1AK_NxtGen'!$AL11+'5C1AK_NxtGen'!$AO11)</f>
        <v>0</v>
      </c>
      <c r="AI11" s="781">
        <f>-('5C1AL_Red River'!$AL11+'5C1AL_Red River'!$AO11)</f>
        <v>-620190</v>
      </c>
      <c r="AJ11" s="316">
        <f>-('5C2_LAVCA'!AM11+'5C2_LAVCA'!AP11)</f>
        <v>-47548</v>
      </c>
      <c r="AK11" s="316">
        <f>-('5C3_UnvView'!AM11+'5C3_UnvView'!AP11)</f>
        <v>-81658</v>
      </c>
      <c r="AL11" s="317">
        <f t="shared" si="2"/>
        <v>-753866</v>
      </c>
      <c r="AM11" s="318">
        <f t="shared" si="3"/>
        <v>30799991</v>
      </c>
    </row>
    <row r="12" spans="1:39" ht="15.6" customHeight="1" x14ac:dyDescent="0.2">
      <c r="A12" s="303">
        <v>6</v>
      </c>
      <c r="B12" s="304" t="s">
        <v>9</v>
      </c>
      <c r="C12" s="305">
        <f>'2_State Distrib and Adjs'!BF12</f>
        <v>36556521</v>
      </c>
      <c r="D12" s="305">
        <f>-'5A3_OJJ'!P12</f>
        <v>-4687</v>
      </c>
      <c r="E12" s="305"/>
      <c r="F12" s="305">
        <f>-('5C1A_Madison'!AL12+'5C1A_Madison'!AO12)</f>
        <v>0</v>
      </c>
      <c r="G12" s="305">
        <f>-('5C1B_DArbonne'!AL12+'5C1B_DArbonne'!AO12)</f>
        <v>0</v>
      </c>
      <c r="H12" s="305">
        <f>-('5C1C_Intl High'!AL12+'5C1C_Intl High'!AO12)</f>
        <v>0</v>
      </c>
      <c r="I12" s="305">
        <f>-('5C1D_NOMMA'!AL12+'5C1D_NOMMA'!AO12)</f>
        <v>0</v>
      </c>
      <c r="J12" s="305">
        <f>-('5C1E_LFNO'!AL12+'5C1E_LFNO'!AO12)</f>
        <v>0</v>
      </c>
      <c r="K12" s="305">
        <f>-('5C1F_L.C. Charter'!AL12+'5C1F_L.C. Charter'!AO12)</f>
        <v>-9962</v>
      </c>
      <c r="L12" s="305">
        <f>-('5C1G_JS Clark'!AL12+'5C1G_JS Clark'!AO12)</f>
        <v>0</v>
      </c>
      <c r="M12" s="305">
        <f>-('5C1H_Southwest'!AL12+'5C1H_Southwest'!AO12)</f>
        <v>0</v>
      </c>
      <c r="N12" s="305">
        <f>-('5C1I_LA Key'!AL12+'5C1I_LA Key'!AO12)</f>
        <v>0</v>
      </c>
      <c r="O12" s="305">
        <f>-('5C1J_JCFA-East'!AL12+'5C1J_JCFA-East'!AO12)</f>
        <v>0</v>
      </c>
      <c r="P12" s="305">
        <f>-('5C1M_GEO Mid'!AL12+'5C1M_GEO Mid'!AO12)</f>
        <v>0</v>
      </c>
      <c r="Q12" s="305">
        <f>-('5C1N_Delta'!AL12+'5C1N_Delta'!AO12)</f>
        <v>0</v>
      </c>
      <c r="R12" s="305">
        <f>-('5C1O_Impact'!AL12+'5C1O_Impact'!AO12)</f>
        <v>0</v>
      </c>
      <c r="S12" s="305">
        <f>-('5C1Q_Advantage'!AL12+'5C1Q_Advantage'!AO12)</f>
        <v>0</v>
      </c>
      <c r="T12" s="305">
        <f>-('5C1R_Iberville'!AL12+'5C1R_Iberville'!AO12)</f>
        <v>0</v>
      </c>
      <c r="U12" s="305">
        <f>-('5C1S_LC Col Prep'!AL12+'5C1S_LC Col Prep'!AO12)</f>
        <v>0</v>
      </c>
      <c r="V12" s="305">
        <f>-('5C1T_Northeast'!AL12+'5C1T_Northeast'!AO12)</f>
        <v>0</v>
      </c>
      <c r="W12" s="305">
        <f>-('5C1U_Acadiana Ren'!AL12+'5C1U_Acadiana Ren'!AO12)</f>
        <v>0</v>
      </c>
      <c r="X12" s="305">
        <f>-('5C1V_Laf Ren'!AL12+'5C1V_Laf Ren'!AO12)</f>
        <v>0</v>
      </c>
      <c r="Y12" s="305">
        <f>-('5C1W_Willow'!AL12+'5C1W_Willow'!AO12)</f>
        <v>0</v>
      </c>
      <c r="Z12" s="305">
        <f>-('5C1Y_GEO'!AL12+'5C1Y_GEO'!AO12)</f>
        <v>0</v>
      </c>
      <c r="AA12" s="306">
        <f>-('5C1Z_Lincoln Prep'!AL12+'5C1Z_Lincoln Prep'!AO12)</f>
        <v>0</v>
      </c>
      <c r="AB12" s="306">
        <f>-('5C1AE_Noble Minds'!$AL12+'5C1AE_Noble Minds'!$AO12)</f>
        <v>0</v>
      </c>
      <c r="AC12" s="306">
        <f>-('5C1AF_JCFA-Laf'!$AL12+'5C1AF_JCFA-Laf'!$AO12)</f>
        <v>0</v>
      </c>
      <c r="AD12" s="306">
        <f>-('5C1AG_Collegiate'!$AL12+'5C1AG_Collegiate'!$AO12)</f>
        <v>0</v>
      </c>
      <c r="AE12" s="306">
        <f>-('5C1AH_BRUP'!$AL12+'5C1AH_BRUP'!$AO12)</f>
        <v>0</v>
      </c>
      <c r="AF12" s="585">
        <f>-('5C1AI_Harmony'!$AL12+'5C1AI_Harmony'!$AO12)</f>
        <v>0</v>
      </c>
      <c r="AG12" s="585">
        <f>-('5C1AJ_Athlos'!$AL12+'5C1AJ_Athlos'!$AO12)</f>
        <v>0</v>
      </c>
      <c r="AH12" s="585">
        <f>-('5C1AK_NxtGen'!$AL12+'5C1AK_NxtGen'!$AO12)</f>
        <v>0</v>
      </c>
      <c r="AI12" s="585">
        <f>-('5C1AL_Red River'!$AL12+'5C1AL_Red River'!$AO12)</f>
        <v>0</v>
      </c>
      <c r="AJ12" s="305">
        <f>-('5C2_LAVCA'!AM12+'5C2_LAVCA'!AP12)</f>
        <v>-71726</v>
      </c>
      <c r="AK12" s="305">
        <f>-('5C3_UnvView'!AM12+'5C3_UnvView'!AP12)</f>
        <v>-58278</v>
      </c>
      <c r="AL12" s="307">
        <f t="shared" si="2"/>
        <v>-144653</v>
      </c>
      <c r="AM12" s="308">
        <f t="shared" si="3"/>
        <v>36411868</v>
      </c>
    </row>
    <row r="13" spans="1:39" ht="15.6" customHeight="1" x14ac:dyDescent="0.2">
      <c r="A13" s="309">
        <v>7</v>
      </c>
      <c r="B13" s="310" t="s">
        <v>10</v>
      </c>
      <c r="C13" s="311">
        <f>'2_State Distrib and Adjs'!BF13</f>
        <v>8533580</v>
      </c>
      <c r="D13" s="311">
        <f>-'5A3_OJJ'!P13</f>
        <v>-4828</v>
      </c>
      <c r="E13" s="311"/>
      <c r="F13" s="311">
        <f>-('5C1A_Madison'!AL13+'5C1A_Madison'!AO13)</f>
        <v>0</v>
      </c>
      <c r="G13" s="311">
        <f>-('5C1B_DArbonne'!AL13+'5C1B_DArbonne'!AO13)</f>
        <v>-6449</v>
      </c>
      <c r="H13" s="311">
        <f>-('5C1C_Intl High'!AL13+'5C1C_Intl High'!AO13)</f>
        <v>0</v>
      </c>
      <c r="I13" s="311">
        <f>-('5C1D_NOMMA'!AL13+'5C1D_NOMMA'!AO13)</f>
        <v>0</v>
      </c>
      <c r="J13" s="311">
        <f>-('5C1E_LFNO'!AL13+'5C1E_LFNO'!AO13)</f>
        <v>0</v>
      </c>
      <c r="K13" s="311">
        <f>-('5C1F_L.C. Charter'!AL13+'5C1F_L.C. Charter'!AO13)</f>
        <v>0</v>
      </c>
      <c r="L13" s="311">
        <f>-('5C1G_JS Clark'!AL13+'5C1G_JS Clark'!AO13)</f>
        <v>0</v>
      </c>
      <c r="M13" s="311">
        <f>-('5C1H_Southwest'!AL13+'5C1H_Southwest'!AO13)</f>
        <v>0</v>
      </c>
      <c r="N13" s="311">
        <f>-('5C1I_LA Key'!AL13+'5C1I_LA Key'!AO13)</f>
        <v>0</v>
      </c>
      <c r="O13" s="311">
        <f>-('5C1J_JCFA-East'!AL13+'5C1J_JCFA-East'!AO13)</f>
        <v>0</v>
      </c>
      <c r="P13" s="311">
        <f>-('5C1M_GEO Mid'!AL13+'5C1M_GEO Mid'!AO13)</f>
        <v>0</v>
      </c>
      <c r="Q13" s="311">
        <f>-('5C1N_Delta'!AL13+'5C1N_Delta'!AO13)</f>
        <v>0</v>
      </c>
      <c r="R13" s="311">
        <f>-('5C1O_Impact'!AL13+'5C1O_Impact'!AO13)</f>
        <v>0</v>
      </c>
      <c r="S13" s="311">
        <f>-('5C1Q_Advantage'!AL13+'5C1Q_Advantage'!AO13)</f>
        <v>0</v>
      </c>
      <c r="T13" s="311">
        <f>-('5C1R_Iberville'!AL13+'5C1R_Iberville'!AO13)</f>
        <v>0</v>
      </c>
      <c r="U13" s="311">
        <f>-('5C1S_LC Col Prep'!AL13+'5C1S_LC Col Prep'!AO13)</f>
        <v>0</v>
      </c>
      <c r="V13" s="311">
        <f>-('5C1T_Northeast'!AL13+'5C1T_Northeast'!AO13)</f>
        <v>0</v>
      </c>
      <c r="W13" s="311">
        <f>-('5C1U_Acadiana Ren'!AL13+'5C1U_Acadiana Ren'!AO13)</f>
        <v>0</v>
      </c>
      <c r="X13" s="311">
        <f>-('5C1V_Laf Ren'!AL13+'5C1V_Laf Ren'!AO13)</f>
        <v>0</v>
      </c>
      <c r="Y13" s="311">
        <f>-('5C1W_Willow'!AL13+'5C1W_Willow'!AO13)</f>
        <v>0</v>
      </c>
      <c r="Z13" s="311">
        <f>-('5C1Y_GEO'!AL13+'5C1Y_GEO'!AO13)</f>
        <v>0</v>
      </c>
      <c r="AA13" s="311">
        <f>-('5C1Z_Lincoln Prep'!AL13+'5C1Z_Lincoln Prep'!AO13)</f>
        <v>-354722</v>
      </c>
      <c r="AB13" s="311">
        <f>-('5C1AE_Noble Minds'!$AL13+'5C1AE_Noble Minds'!$AO13)</f>
        <v>0</v>
      </c>
      <c r="AC13" s="311">
        <f>-('5C1AF_JCFA-Laf'!$AL13+'5C1AF_JCFA-Laf'!$AO13)</f>
        <v>0</v>
      </c>
      <c r="AD13" s="311">
        <f>-('5C1AG_Collegiate'!$AL13+'5C1AG_Collegiate'!$AO13)</f>
        <v>0</v>
      </c>
      <c r="AE13" s="311">
        <f>-('5C1AH_BRUP'!$AL13+'5C1AH_BRUP'!$AO13)</f>
        <v>0</v>
      </c>
      <c r="AF13" s="311">
        <f>-('5C1AI_Harmony'!$AL13+'5C1AI_Harmony'!$AO13)</f>
        <v>0</v>
      </c>
      <c r="AG13" s="311">
        <f>-('5C1AJ_Athlos'!$AL13+'5C1AJ_Athlos'!$AO13)</f>
        <v>0</v>
      </c>
      <c r="AH13" s="311">
        <f>-('5C1AK_NxtGen'!$AL13+'5C1AK_NxtGen'!$AO13)</f>
        <v>0</v>
      </c>
      <c r="AI13" s="311">
        <f>-('5C1AL_Red River'!$AL13+'5C1AL_Red River'!$AO13)</f>
        <v>0</v>
      </c>
      <c r="AJ13" s="311">
        <f>-('5C2_LAVCA'!AM13+'5C2_LAVCA'!AP13)</f>
        <v>-52242</v>
      </c>
      <c r="AK13" s="311">
        <f>-('5C3_UnvView'!AM13+'5C3_UnvView'!AP13)</f>
        <v>-75460</v>
      </c>
      <c r="AL13" s="312">
        <f t="shared" si="2"/>
        <v>-493701</v>
      </c>
      <c r="AM13" s="313">
        <f t="shared" si="3"/>
        <v>8039879</v>
      </c>
    </row>
    <row r="14" spans="1:39" ht="15.6" customHeight="1" x14ac:dyDescent="0.2">
      <c r="A14" s="309">
        <v>8</v>
      </c>
      <c r="B14" s="310" t="s">
        <v>11</v>
      </c>
      <c r="C14" s="311">
        <f>'2_State Distrib and Adjs'!BF14</f>
        <v>134959095</v>
      </c>
      <c r="D14" s="311">
        <f>-'5A3_OJJ'!P14</f>
        <v>-5972</v>
      </c>
      <c r="E14" s="311"/>
      <c r="F14" s="311">
        <f>-('5C1A_Madison'!AL14+'5C1A_Madison'!AO14)</f>
        <v>0</v>
      </c>
      <c r="G14" s="311">
        <f>-('5C1B_DArbonne'!AL14+'5C1B_DArbonne'!AO14)</f>
        <v>0</v>
      </c>
      <c r="H14" s="311">
        <f>-('5C1C_Intl High'!AL14+'5C1C_Intl High'!AO14)</f>
        <v>0</v>
      </c>
      <c r="I14" s="311">
        <f>-('5C1D_NOMMA'!AL14+'5C1D_NOMMA'!AO14)</f>
        <v>0</v>
      </c>
      <c r="J14" s="311">
        <f>-('5C1E_LFNO'!AL14+'5C1E_LFNO'!AO14)</f>
        <v>0</v>
      </c>
      <c r="K14" s="311">
        <f>-('5C1F_L.C. Charter'!AL14+'5C1F_L.C. Charter'!AO14)</f>
        <v>0</v>
      </c>
      <c r="L14" s="311">
        <f>-('5C1G_JS Clark'!AL14+'5C1G_JS Clark'!AO14)</f>
        <v>0</v>
      </c>
      <c r="M14" s="311">
        <f>-('5C1H_Southwest'!AL14+'5C1H_Southwest'!AO14)</f>
        <v>0</v>
      </c>
      <c r="N14" s="311">
        <f>-('5C1I_LA Key'!AL14+'5C1I_LA Key'!AO14)</f>
        <v>0</v>
      </c>
      <c r="O14" s="311">
        <f>-('5C1J_JCFA-East'!AL14+'5C1J_JCFA-East'!AO14)</f>
        <v>0</v>
      </c>
      <c r="P14" s="311">
        <f>-('5C1M_GEO Mid'!AL14+'5C1M_GEO Mid'!AO14)</f>
        <v>0</v>
      </c>
      <c r="Q14" s="311">
        <f>-('5C1N_Delta'!AL14+'5C1N_Delta'!AO14)</f>
        <v>0</v>
      </c>
      <c r="R14" s="311">
        <f>-('5C1O_Impact'!AL14+'5C1O_Impact'!AO14)</f>
        <v>0</v>
      </c>
      <c r="S14" s="311">
        <f>-('5C1Q_Advantage'!AL14+'5C1Q_Advantage'!AO14)</f>
        <v>0</v>
      </c>
      <c r="T14" s="311">
        <f>-('5C1R_Iberville'!AL14+'5C1R_Iberville'!AO14)</f>
        <v>0</v>
      </c>
      <c r="U14" s="311">
        <f>-('5C1S_LC Col Prep'!AL14+'5C1S_LC Col Prep'!AO14)</f>
        <v>0</v>
      </c>
      <c r="V14" s="311">
        <f>-('5C1T_Northeast'!AL14+'5C1T_Northeast'!AO14)</f>
        <v>0</v>
      </c>
      <c r="W14" s="311">
        <f>-('5C1U_Acadiana Ren'!AL14+'5C1U_Acadiana Ren'!AO14)</f>
        <v>0</v>
      </c>
      <c r="X14" s="311">
        <f>-('5C1V_Laf Ren'!AL14+'5C1V_Laf Ren'!AO14)</f>
        <v>0</v>
      </c>
      <c r="Y14" s="311">
        <f>-('5C1W_Willow'!AL14+'5C1W_Willow'!AO14)</f>
        <v>0</v>
      </c>
      <c r="Z14" s="311">
        <f>-('5C1Y_GEO'!AL14+'5C1Y_GEO'!AO14)</f>
        <v>0</v>
      </c>
      <c r="AA14" s="311">
        <f>-('5C1Z_Lincoln Prep'!AL14+'5C1Z_Lincoln Prep'!AO14)</f>
        <v>0</v>
      </c>
      <c r="AB14" s="311">
        <f>-('5C1AE_Noble Minds'!$AL14+'5C1AE_Noble Minds'!$AO14)</f>
        <v>0</v>
      </c>
      <c r="AC14" s="311">
        <f>-('5C1AF_JCFA-Laf'!$AL14+'5C1AF_JCFA-Laf'!$AO14)</f>
        <v>0</v>
      </c>
      <c r="AD14" s="311">
        <f>-('5C1AG_Collegiate'!$AL14+'5C1AG_Collegiate'!$AO14)</f>
        <v>0</v>
      </c>
      <c r="AE14" s="311">
        <f>-('5C1AH_BRUP'!$AL14+'5C1AH_BRUP'!$AO14)</f>
        <v>0</v>
      </c>
      <c r="AF14" s="311">
        <f>-('5C1AI_Harmony'!$AL14+'5C1AI_Harmony'!$AO14)</f>
        <v>0</v>
      </c>
      <c r="AG14" s="311">
        <f>-('5C1AJ_Athlos'!$AL14+'5C1AJ_Athlos'!$AO14)</f>
        <v>0</v>
      </c>
      <c r="AH14" s="311">
        <f>-('5C1AK_NxtGen'!$AL14+'5C1AK_NxtGen'!$AO14)</f>
        <v>0</v>
      </c>
      <c r="AI14" s="311">
        <f>-('5C1AL_Red River'!$AL14+'5C1AL_Red River'!$AO14)</f>
        <v>0</v>
      </c>
      <c r="AJ14" s="311">
        <f>-('5C2_LAVCA'!AM14+'5C2_LAVCA'!AP14)</f>
        <v>-346365</v>
      </c>
      <c r="AK14" s="311">
        <f>-('5C3_UnvView'!AM14+'5C3_UnvView'!AP14)</f>
        <v>-215519</v>
      </c>
      <c r="AL14" s="312">
        <f t="shared" si="2"/>
        <v>-567856</v>
      </c>
      <c r="AM14" s="313">
        <f t="shared" si="3"/>
        <v>134391239</v>
      </c>
    </row>
    <row r="15" spans="1:39" ht="15.6" customHeight="1" x14ac:dyDescent="0.2">
      <c r="A15" s="309">
        <v>9</v>
      </c>
      <c r="B15" s="310" t="s">
        <v>12</v>
      </c>
      <c r="C15" s="311">
        <f>'2_State Distrib and Adjs'!BF15</f>
        <v>204820159</v>
      </c>
      <c r="D15" s="311">
        <f>-'5A3_OJJ'!P15</f>
        <v>-95815</v>
      </c>
      <c r="E15" s="311">
        <f>-('5B2_RSD LA'!AL7+'5B2_RSD LA'!AQ7)</f>
        <v>-4720002</v>
      </c>
      <c r="F15" s="311">
        <f>-('5C1A_Madison'!AL15+'5C1A_Madison'!AO15)</f>
        <v>0</v>
      </c>
      <c r="G15" s="311">
        <f>-('5C1B_DArbonne'!AL15+'5C1B_DArbonne'!AO15)</f>
        <v>0</v>
      </c>
      <c r="H15" s="311">
        <f>-('5C1C_Intl High'!AL15+'5C1C_Intl High'!AO15)</f>
        <v>0</v>
      </c>
      <c r="I15" s="311">
        <f>-('5C1D_NOMMA'!AL15+'5C1D_NOMMA'!AO15)</f>
        <v>0</v>
      </c>
      <c r="J15" s="311">
        <f>-('5C1E_LFNO'!AL15+'5C1E_LFNO'!AO15)</f>
        <v>0</v>
      </c>
      <c r="K15" s="311">
        <f>-('5C1F_L.C. Charter'!AL15+'5C1F_L.C. Charter'!AO15)</f>
        <v>0</v>
      </c>
      <c r="L15" s="311">
        <f>-('5C1G_JS Clark'!AL15+'5C1G_JS Clark'!AO15)</f>
        <v>0</v>
      </c>
      <c r="M15" s="311">
        <f>-('5C1H_Southwest'!AL15+'5C1H_Southwest'!AO15)</f>
        <v>0</v>
      </c>
      <c r="N15" s="311">
        <f>-('5C1I_LA Key'!AL15+'5C1I_LA Key'!AO15)</f>
        <v>0</v>
      </c>
      <c r="O15" s="311">
        <f>-('5C1J_JCFA-East'!AL15+'5C1J_JCFA-East'!AO15)</f>
        <v>0</v>
      </c>
      <c r="P15" s="311">
        <f>-('5C1M_GEO Mid'!AL15+'5C1M_GEO Mid'!AO15)</f>
        <v>0</v>
      </c>
      <c r="Q15" s="311">
        <f>-('5C1N_Delta'!AL15+'5C1N_Delta'!AO15)</f>
        <v>0</v>
      </c>
      <c r="R15" s="311">
        <f>-('5C1O_Impact'!AL15+'5C1O_Impact'!AO15)</f>
        <v>0</v>
      </c>
      <c r="S15" s="311">
        <f>-('5C1Q_Advantage'!AL15+'5C1Q_Advantage'!AO15)</f>
        <v>0</v>
      </c>
      <c r="T15" s="311">
        <f>-('5C1R_Iberville'!AL15+'5C1R_Iberville'!AO15)</f>
        <v>0</v>
      </c>
      <c r="U15" s="311">
        <f>-('5C1S_LC Col Prep'!AL15+'5C1S_LC Col Prep'!AO15)</f>
        <v>0</v>
      </c>
      <c r="V15" s="311">
        <f>-('5C1T_Northeast'!AL15+'5C1T_Northeast'!AO15)</f>
        <v>0</v>
      </c>
      <c r="W15" s="311">
        <f>-('5C1U_Acadiana Ren'!AL15+'5C1U_Acadiana Ren'!AO15)</f>
        <v>0</v>
      </c>
      <c r="X15" s="311">
        <f>-('5C1V_Laf Ren'!AL15+'5C1V_Laf Ren'!AO15)</f>
        <v>0</v>
      </c>
      <c r="Y15" s="311">
        <f>-('5C1W_Willow'!AL15+'5C1W_Willow'!AO15)</f>
        <v>0</v>
      </c>
      <c r="Z15" s="311">
        <f>-('5C1Y_GEO'!AL15+'5C1Y_GEO'!AO15)</f>
        <v>0</v>
      </c>
      <c r="AA15" s="311">
        <f>-('5C1Z_Lincoln Prep'!AL15+'5C1Z_Lincoln Prep'!AO15)</f>
        <v>0</v>
      </c>
      <c r="AB15" s="311">
        <f>-('5C1AE_Noble Minds'!$AL15+'5C1AE_Noble Minds'!$AO15)</f>
        <v>0</v>
      </c>
      <c r="AC15" s="311">
        <f>-('5C1AF_JCFA-Laf'!$AL15+'5C1AF_JCFA-Laf'!$AO15)</f>
        <v>0</v>
      </c>
      <c r="AD15" s="311">
        <f>-('5C1AG_Collegiate'!$AL15+'5C1AG_Collegiate'!$AO15)</f>
        <v>0</v>
      </c>
      <c r="AE15" s="311">
        <f>-('5C1AH_BRUP'!$AL15+'5C1AH_BRUP'!$AO15)</f>
        <v>0</v>
      </c>
      <c r="AF15" s="311">
        <f>-('5C1AI_Harmony'!$AL15+'5C1AI_Harmony'!$AO15)</f>
        <v>0</v>
      </c>
      <c r="AG15" s="311">
        <f>-('5C1AJ_Athlos'!$AL15+'5C1AJ_Athlos'!$AO15)</f>
        <v>0</v>
      </c>
      <c r="AH15" s="311">
        <f>-('5C1AK_NxtGen'!$AL15+'5C1AK_NxtGen'!$AO15)</f>
        <v>0</v>
      </c>
      <c r="AI15" s="311">
        <f>-('5C1AL_Red River'!$AL15+'5C1AL_Red River'!$AO15)</f>
        <v>0</v>
      </c>
      <c r="AJ15" s="311">
        <f>-('5C2_LAVCA'!AM15+'5C2_LAVCA'!AP15)</f>
        <v>-665566</v>
      </c>
      <c r="AK15" s="311">
        <f>-('5C3_UnvView'!AM15+'5C3_UnvView'!AP15)</f>
        <v>-448422</v>
      </c>
      <c r="AL15" s="312">
        <f t="shared" si="2"/>
        <v>-5929805</v>
      </c>
      <c r="AM15" s="313">
        <f t="shared" si="3"/>
        <v>198890354</v>
      </c>
    </row>
    <row r="16" spans="1:39" ht="15.6" customHeight="1" x14ac:dyDescent="0.2">
      <c r="A16" s="314">
        <v>10</v>
      </c>
      <c r="B16" s="315" t="s">
        <v>13</v>
      </c>
      <c r="C16" s="316">
        <f>'2_State Distrib and Adjs'!BF16</f>
        <v>125918693</v>
      </c>
      <c r="D16" s="316">
        <f>-'5A3_OJJ'!P16</f>
        <v>-57694</v>
      </c>
      <c r="E16" s="316"/>
      <c r="F16" s="316">
        <f>-('5C1A_Madison'!AL16+'5C1A_Madison'!AO16)</f>
        <v>0</v>
      </c>
      <c r="G16" s="316">
        <f>-('5C1B_DArbonne'!AL16+'5C1B_DArbonne'!AO16)</f>
        <v>-3787</v>
      </c>
      <c r="H16" s="316">
        <f>-('5C1C_Intl High'!AL16+'5C1C_Intl High'!AO16)</f>
        <v>0</v>
      </c>
      <c r="I16" s="316">
        <f>-('5C1D_NOMMA'!AL16+'5C1D_NOMMA'!AO16)</f>
        <v>0</v>
      </c>
      <c r="J16" s="316">
        <f>-('5C1E_LFNO'!AL16+'5C1E_LFNO'!AO16)</f>
        <v>0</v>
      </c>
      <c r="K16" s="316">
        <f>-('5C1F_L.C. Charter'!AL16+'5C1F_L.C. Charter'!AO16)</f>
        <v>-6558964</v>
      </c>
      <c r="L16" s="316">
        <f>-('5C1G_JS Clark'!AL16+'5C1G_JS Clark'!AO16)</f>
        <v>0</v>
      </c>
      <c r="M16" s="316">
        <f>-('5C1H_Southwest'!AL16+'5C1H_Southwest'!AO16)</f>
        <v>-4487595</v>
      </c>
      <c r="N16" s="316">
        <f>-('5C1I_LA Key'!AL16+'5C1I_LA Key'!AO16)</f>
        <v>0</v>
      </c>
      <c r="O16" s="316">
        <f>-('5C1J_JCFA-East'!AL16+'5C1J_JCFA-East'!AO16)</f>
        <v>0</v>
      </c>
      <c r="P16" s="316">
        <f>-('5C1M_GEO Mid'!AL16+'5C1M_GEO Mid'!AO16)</f>
        <v>0</v>
      </c>
      <c r="Q16" s="316">
        <f>-('5C1N_Delta'!AL16+'5C1N_Delta'!AO16)</f>
        <v>0</v>
      </c>
      <c r="R16" s="316">
        <f>-('5C1O_Impact'!AL16+'5C1O_Impact'!AO16)</f>
        <v>0</v>
      </c>
      <c r="S16" s="316">
        <f>-('5C1Q_Advantage'!AL16+'5C1Q_Advantage'!AO16)</f>
        <v>0</v>
      </c>
      <c r="T16" s="316">
        <f>-('5C1R_Iberville'!AL16+'5C1R_Iberville'!AO16)</f>
        <v>-11361</v>
      </c>
      <c r="U16" s="316">
        <f>-('5C1S_LC Col Prep'!AL16+'5C1S_LC Col Prep'!AO16)</f>
        <v>-3976231</v>
      </c>
      <c r="V16" s="316">
        <f>-('5C1T_Northeast'!AL16+'5C1T_Northeast'!AO16)</f>
        <v>0</v>
      </c>
      <c r="W16" s="316">
        <f>-('5C1U_Acadiana Ren'!AL16+'5C1U_Acadiana Ren'!AO16)</f>
        <v>0</v>
      </c>
      <c r="X16" s="316">
        <f>-('5C1V_Laf Ren'!AL16+'5C1V_Laf Ren'!AO16)</f>
        <v>-3787</v>
      </c>
      <c r="Y16" s="316">
        <f>-('5C1W_Willow'!AL16+'5C1W_Willow'!AO16)</f>
        <v>0</v>
      </c>
      <c r="Z16" s="316">
        <f>-('5C1Y_GEO'!AL16+'5C1Y_GEO'!AO16)</f>
        <v>0</v>
      </c>
      <c r="AA16" s="316">
        <f>-('5C1Z_Lincoln Prep'!AL16+'5C1Z_Lincoln Prep'!AO16)</f>
        <v>0</v>
      </c>
      <c r="AB16" s="316">
        <f>-('5C1AE_Noble Minds'!$AL16+'5C1AE_Noble Minds'!$AO16)</f>
        <v>0</v>
      </c>
      <c r="AC16" s="316">
        <f>-('5C1AF_JCFA-Laf'!$AL16+'5C1AF_JCFA-Laf'!$AO16)</f>
        <v>0</v>
      </c>
      <c r="AD16" s="316">
        <f>-('5C1AG_Collegiate'!$AL16+'5C1AG_Collegiate'!$AO16)</f>
        <v>0</v>
      </c>
      <c r="AE16" s="316">
        <f>-('5C1AH_BRUP'!$AL16+'5C1AH_BRUP'!$AO16)</f>
        <v>0</v>
      </c>
      <c r="AF16" s="586">
        <f>-('5C1AI_Harmony'!$AL16+'5C1AI_Harmony'!$AO16)</f>
        <v>0</v>
      </c>
      <c r="AG16" s="586">
        <f>-('5C1AJ_Athlos'!$AL16+'5C1AJ_Athlos'!$AO16)</f>
        <v>0</v>
      </c>
      <c r="AH16" s="781">
        <f>-('5C1AK_NxtGen'!$AL16+'5C1AK_NxtGen'!$AO16)</f>
        <v>0</v>
      </c>
      <c r="AI16" s="781">
        <f>-('5C1AL_Red River'!$AL16+'5C1AL_Red River'!$AO16)</f>
        <v>0</v>
      </c>
      <c r="AJ16" s="316">
        <f>-('5C2_LAVCA'!AM16+'5C2_LAVCA'!AP16)</f>
        <v>-364688</v>
      </c>
      <c r="AK16" s="316">
        <f>-('5C3_UnvView'!AM16+'5C3_UnvView'!AP16)</f>
        <v>-620310</v>
      </c>
      <c r="AL16" s="317">
        <f t="shared" si="2"/>
        <v>-16084417</v>
      </c>
      <c r="AM16" s="318">
        <f t="shared" si="3"/>
        <v>109834276</v>
      </c>
    </row>
    <row r="17" spans="1:39" ht="15.6" customHeight="1" x14ac:dyDescent="0.2">
      <c r="A17" s="303">
        <v>11</v>
      </c>
      <c r="B17" s="304" t="s">
        <v>14</v>
      </c>
      <c r="C17" s="305">
        <f>'2_State Distrib and Adjs'!BF17</f>
        <v>11990837</v>
      </c>
      <c r="D17" s="305">
        <f>-'5A3_OJJ'!P17</f>
        <v>0</v>
      </c>
      <c r="E17" s="305"/>
      <c r="F17" s="305">
        <f>-('5C1A_Madison'!AL17+'5C1A_Madison'!AO17)</f>
        <v>0</v>
      </c>
      <c r="G17" s="305">
        <f>-('5C1B_DArbonne'!AL17+'5C1B_DArbonne'!AO17)</f>
        <v>0</v>
      </c>
      <c r="H17" s="305">
        <f>-('5C1C_Intl High'!AL17+'5C1C_Intl High'!AO17)</f>
        <v>0</v>
      </c>
      <c r="I17" s="305">
        <f>-('5C1D_NOMMA'!AL17+'5C1D_NOMMA'!AO17)</f>
        <v>0</v>
      </c>
      <c r="J17" s="305">
        <f>-('5C1E_LFNO'!AL17+'5C1E_LFNO'!AO17)</f>
        <v>0</v>
      </c>
      <c r="K17" s="305">
        <f>-('5C1F_L.C. Charter'!AL17+'5C1F_L.C. Charter'!AO17)</f>
        <v>0</v>
      </c>
      <c r="L17" s="305">
        <f>-('5C1G_JS Clark'!AL17+'5C1G_JS Clark'!AO17)</f>
        <v>0</v>
      </c>
      <c r="M17" s="305">
        <f>-('5C1H_Southwest'!AL17+'5C1H_Southwest'!AO17)</f>
        <v>0</v>
      </c>
      <c r="N17" s="305">
        <f>-('5C1I_LA Key'!AL17+'5C1I_LA Key'!AO17)</f>
        <v>0</v>
      </c>
      <c r="O17" s="305">
        <f>-('5C1J_JCFA-East'!AL17+'5C1J_JCFA-East'!AO17)</f>
        <v>0</v>
      </c>
      <c r="P17" s="305">
        <f>-('5C1M_GEO Mid'!AL17+'5C1M_GEO Mid'!AO17)</f>
        <v>0</v>
      </c>
      <c r="Q17" s="305">
        <f>-('5C1N_Delta'!AL17+'5C1N_Delta'!AO17)</f>
        <v>0</v>
      </c>
      <c r="R17" s="305">
        <f>-('5C1O_Impact'!AL17+'5C1O_Impact'!AO17)</f>
        <v>0</v>
      </c>
      <c r="S17" s="305">
        <f>-('5C1Q_Advantage'!AL17+'5C1Q_Advantage'!AO17)</f>
        <v>0</v>
      </c>
      <c r="T17" s="305">
        <f>-('5C1R_Iberville'!AL17+'5C1R_Iberville'!AO17)</f>
        <v>0</v>
      </c>
      <c r="U17" s="305">
        <f>-('5C1S_LC Col Prep'!AL17+'5C1S_LC Col Prep'!AO17)</f>
        <v>0</v>
      </c>
      <c r="V17" s="305">
        <f>-('5C1T_Northeast'!AL17+'5C1T_Northeast'!AO17)</f>
        <v>0</v>
      </c>
      <c r="W17" s="305">
        <f>-('5C1U_Acadiana Ren'!AL17+'5C1U_Acadiana Ren'!AO17)</f>
        <v>0</v>
      </c>
      <c r="X17" s="305">
        <f>-('5C1V_Laf Ren'!AL17+'5C1V_Laf Ren'!AO17)</f>
        <v>0</v>
      </c>
      <c r="Y17" s="305">
        <f>-('5C1W_Willow'!AL17+'5C1W_Willow'!AO17)</f>
        <v>0</v>
      </c>
      <c r="Z17" s="305">
        <f>-('5C1Y_GEO'!AL17+'5C1Y_GEO'!AO17)</f>
        <v>0</v>
      </c>
      <c r="AA17" s="306">
        <f>-('5C1Z_Lincoln Prep'!AL17+'5C1Z_Lincoln Prep'!AO17)</f>
        <v>0</v>
      </c>
      <c r="AB17" s="306">
        <f>-('5C1AE_Noble Minds'!$AL17+'5C1AE_Noble Minds'!$AO17)</f>
        <v>0</v>
      </c>
      <c r="AC17" s="306">
        <f>-('5C1AF_JCFA-Laf'!$AL17+'5C1AF_JCFA-Laf'!$AO17)</f>
        <v>0</v>
      </c>
      <c r="AD17" s="306">
        <f>-('5C1AG_Collegiate'!$AL17+'5C1AG_Collegiate'!$AO17)</f>
        <v>0</v>
      </c>
      <c r="AE17" s="306">
        <f>-('5C1AH_BRUP'!$AL17+'5C1AH_BRUP'!$AO17)</f>
        <v>0</v>
      </c>
      <c r="AF17" s="585">
        <f>-('5C1AI_Harmony'!$AL17+'5C1AI_Harmony'!$AO17)</f>
        <v>0</v>
      </c>
      <c r="AG17" s="585">
        <f>-('5C1AJ_Athlos'!$AL17+'5C1AJ_Athlos'!$AO17)</f>
        <v>0</v>
      </c>
      <c r="AH17" s="585">
        <f>-('5C1AK_NxtGen'!$AL17+'5C1AK_NxtGen'!$AO17)</f>
        <v>0</v>
      </c>
      <c r="AI17" s="585">
        <f>-('5C1AL_Red River'!$AL17+'5C1AL_Red River'!$AO17)</f>
        <v>0</v>
      </c>
      <c r="AJ17" s="305">
        <f>-('5C2_LAVCA'!AM17+'5C2_LAVCA'!AP17)</f>
        <v>0</v>
      </c>
      <c r="AK17" s="305">
        <f>-('5C3_UnvView'!AM17+'5C3_UnvView'!AP17)</f>
        <v>-36204</v>
      </c>
      <c r="AL17" s="307">
        <f t="shared" si="2"/>
        <v>-36204</v>
      </c>
      <c r="AM17" s="308">
        <f t="shared" si="3"/>
        <v>11954633</v>
      </c>
    </row>
    <row r="18" spans="1:39" ht="15.6" customHeight="1" x14ac:dyDescent="0.2">
      <c r="A18" s="309">
        <v>12</v>
      </c>
      <c r="B18" s="310" t="s">
        <v>15</v>
      </c>
      <c r="C18" s="311">
        <f>'2_State Distrib and Adjs'!BF18</f>
        <v>3601477</v>
      </c>
      <c r="D18" s="311">
        <f>-'5A3_OJJ'!P18</f>
        <v>0</v>
      </c>
      <c r="E18" s="311"/>
      <c r="F18" s="311">
        <f>-('5C1A_Madison'!AL18+'5C1A_Madison'!AO18)</f>
        <v>0</v>
      </c>
      <c r="G18" s="311">
        <f>-('5C1B_DArbonne'!AL18+'5C1B_DArbonne'!AO18)</f>
        <v>0</v>
      </c>
      <c r="H18" s="311">
        <f>-('5C1C_Intl High'!AL18+'5C1C_Intl High'!AO18)</f>
        <v>0</v>
      </c>
      <c r="I18" s="311">
        <f>-('5C1D_NOMMA'!AL18+'5C1D_NOMMA'!AO18)</f>
        <v>0</v>
      </c>
      <c r="J18" s="311">
        <f>-('5C1E_LFNO'!AL18+'5C1E_LFNO'!AO18)</f>
        <v>0</v>
      </c>
      <c r="K18" s="311">
        <f>-('5C1F_L.C. Charter'!AL18+'5C1F_L.C. Charter'!AO18)</f>
        <v>0</v>
      </c>
      <c r="L18" s="311">
        <f>-('5C1G_JS Clark'!AL18+'5C1G_JS Clark'!AO18)</f>
        <v>0</v>
      </c>
      <c r="M18" s="311">
        <f>-('5C1H_Southwest'!AL18+'5C1H_Southwest'!AO18)</f>
        <v>-16428</v>
      </c>
      <c r="N18" s="311">
        <f>-('5C1I_LA Key'!AL18+'5C1I_LA Key'!AO18)</f>
        <v>0</v>
      </c>
      <c r="O18" s="311">
        <f>-('5C1J_JCFA-East'!AL18+'5C1J_JCFA-East'!AO18)</f>
        <v>0</v>
      </c>
      <c r="P18" s="311">
        <f>-('5C1M_GEO Mid'!AL18+'5C1M_GEO Mid'!AO18)</f>
        <v>0</v>
      </c>
      <c r="Q18" s="311">
        <f>-('5C1N_Delta'!AL18+'5C1N_Delta'!AO18)</f>
        <v>0</v>
      </c>
      <c r="R18" s="311">
        <f>-('5C1O_Impact'!AL18+'5C1O_Impact'!AO18)</f>
        <v>0</v>
      </c>
      <c r="S18" s="311">
        <f>-('5C1Q_Advantage'!AL18+'5C1Q_Advantage'!AO18)</f>
        <v>0</v>
      </c>
      <c r="T18" s="311">
        <f>-('5C1R_Iberville'!AL18+'5C1R_Iberville'!AO18)</f>
        <v>0</v>
      </c>
      <c r="U18" s="311">
        <f>-('5C1S_LC Col Prep'!AL18+'5C1S_LC Col Prep'!AO18)</f>
        <v>0</v>
      </c>
      <c r="V18" s="311">
        <f>-('5C1T_Northeast'!AL18+'5C1T_Northeast'!AO18)</f>
        <v>0</v>
      </c>
      <c r="W18" s="311">
        <f>-('5C1U_Acadiana Ren'!AL18+'5C1U_Acadiana Ren'!AO18)</f>
        <v>0</v>
      </c>
      <c r="X18" s="311">
        <f>-('5C1V_Laf Ren'!AL18+'5C1V_Laf Ren'!AO18)</f>
        <v>0</v>
      </c>
      <c r="Y18" s="311">
        <f>-('5C1W_Willow'!AL18+'5C1W_Willow'!AO18)</f>
        <v>0</v>
      </c>
      <c r="Z18" s="311">
        <f>-('5C1Y_GEO'!AL18+'5C1Y_GEO'!AO18)</f>
        <v>0</v>
      </c>
      <c r="AA18" s="311">
        <f>-('5C1Z_Lincoln Prep'!AL18+'5C1Z_Lincoln Prep'!AO18)</f>
        <v>0</v>
      </c>
      <c r="AB18" s="311">
        <f>-('5C1AE_Noble Minds'!$AL18+'5C1AE_Noble Minds'!$AO18)</f>
        <v>0</v>
      </c>
      <c r="AC18" s="311">
        <f>-('5C1AF_JCFA-Laf'!$AL18+'5C1AF_JCFA-Laf'!$AO18)</f>
        <v>0</v>
      </c>
      <c r="AD18" s="311">
        <f>-('5C1AG_Collegiate'!$AL18+'5C1AG_Collegiate'!$AO18)</f>
        <v>0</v>
      </c>
      <c r="AE18" s="311">
        <f>-('5C1AH_BRUP'!$AL18+'5C1AH_BRUP'!$AO18)</f>
        <v>0</v>
      </c>
      <c r="AF18" s="311">
        <f>-('5C1AI_Harmony'!$AL18+'5C1AI_Harmony'!$AO18)</f>
        <v>0</v>
      </c>
      <c r="AG18" s="311">
        <f>-('5C1AJ_Athlos'!$AL18+'5C1AJ_Athlos'!$AO18)</f>
        <v>0</v>
      </c>
      <c r="AH18" s="311">
        <f>-('5C1AK_NxtGen'!$AL18+'5C1AK_NxtGen'!$AO18)</f>
        <v>0</v>
      </c>
      <c r="AI18" s="311">
        <f>-('5C1AL_Red River'!$AL18+'5C1AL_Red River'!$AO18)</f>
        <v>0</v>
      </c>
      <c r="AJ18" s="311">
        <f>-('5C2_LAVCA'!AM18+'5C2_LAVCA'!AP18)</f>
        <v>0</v>
      </c>
      <c r="AK18" s="311">
        <f>-('5C3_UnvView'!AM18+'5C3_UnvView'!AP18)</f>
        <v>-9857</v>
      </c>
      <c r="AL18" s="312">
        <f t="shared" si="2"/>
        <v>-26285</v>
      </c>
      <c r="AM18" s="313">
        <f t="shared" si="3"/>
        <v>3575192</v>
      </c>
    </row>
    <row r="19" spans="1:39" ht="15.6" customHeight="1" x14ac:dyDescent="0.2">
      <c r="A19" s="309">
        <v>13</v>
      </c>
      <c r="B19" s="310" t="s">
        <v>16</v>
      </c>
      <c r="C19" s="311">
        <f>'2_State Distrib and Adjs'!BF19</f>
        <v>8345512</v>
      </c>
      <c r="D19" s="311">
        <f>-'5A3_OJJ'!P19</f>
        <v>0</v>
      </c>
      <c r="E19" s="311"/>
      <c r="F19" s="311">
        <f>-('5C1A_Madison'!AL19+'5C1A_Madison'!AO19)</f>
        <v>0</v>
      </c>
      <c r="G19" s="311">
        <f>-('5C1B_DArbonne'!AL19+'5C1B_DArbonne'!AO19)</f>
        <v>0</v>
      </c>
      <c r="H19" s="311">
        <f>-('5C1C_Intl High'!AL19+'5C1C_Intl High'!AO19)</f>
        <v>0</v>
      </c>
      <c r="I19" s="311">
        <f>-('5C1D_NOMMA'!AL19+'5C1D_NOMMA'!AO19)</f>
        <v>0</v>
      </c>
      <c r="J19" s="311">
        <f>-('5C1E_LFNO'!AL19+'5C1E_LFNO'!AO19)</f>
        <v>0</v>
      </c>
      <c r="K19" s="311">
        <f>-('5C1F_L.C. Charter'!AL19+'5C1F_L.C. Charter'!AO19)</f>
        <v>0</v>
      </c>
      <c r="L19" s="311">
        <f>-('5C1G_JS Clark'!AL19+'5C1G_JS Clark'!AO19)</f>
        <v>0</v>
      </c>
      <c r="M19" s="311">
        <f>-('5C1H_Southwest'!AL19+'5C1H_Southwest'!AO19)</f>
        <v>0</v>
      </c>
      <c r="N19" s="311">
        <f>-('5C1I_LA Key'!AL19+'5C1I_LA Key'!AO19)</f>
        <v>0</v>
      </c>
      <c r="O19" s="311">
        <f>-('5C1J_JCFA-East'!AL19+'5C1J_JCFA-East'!AO19)</f>
        <v>0</v>
      </c>
      <c r="P19" s="311">
        <f>-('5C1M_GEO Mid'!AL19+'5C1M_GEO Mid'!AO19)</f>
        <v>0</v>
      </c>
      <c r="Q19" s="311">
        <f>-('5C1N_Delta'!AL19+'5C1N_Delta'!AO19)</f>
        <v>-288652</v>
      </c>
      <c r="R19" s="311">
        <f>-('5C1O_Impact'!AL19+'5C1O_Impact'!AO19)</f>
        <v>0</v>
      </c>
      <c r="S19" s="311">
        <f>-('5C1Q_Advantage'!AL19+'5C1Q_Advantage'!AO19)</f>
        <v>0</v>
      </c>
      <c r="T19" s="311">
        <f>-('5C1R_Iberville'!AL19+'5C1R_Iberville'!AO19)</f>
        <v>0</v>
      </c>
      <c r="U19" s="311">
        <f>-('5C1S_LC Col Prep'!AL19+'5C1S_LC Col Prep'!AO19)</f>
        <v>0</v>
      </c>
      <c r="V19" s="311">
        <f>-('5C1T_Northeast'!AL19+'5C1T_Northeast'!AO19)</f>
        <v>0</v>
      </c>
      <c r="W19" s="311">
        <f>-('5C1U_Acadiana Ren'!AL19+'5C1U_Acadiana Ren'!AO19)</f>
        <v>0</v>
      </c>
      <c r="X19" s="311">
        <f>-('5C1V_Laf Ren'!AL19+'5C1V_Laf Ren'!AO19)</f>
        <v>0</v>
      </c>
      <c r="Y19" s="311">
        <f>-('5C1W_Willow'!AL19+'5C1W_Willow'!AO19)</f>
        <v>0</v>
      </c>
      <c r="Z19" s="311">
        <f>-('5C1Y_GEO'!AL19+'5C1Y_GEO'!AO19)</f>
        <v>0</v>
      </c>
      <c r="AA19" s="311">
        <f>-('5C1Z_Lincoln Prep'!AL19+'5C1Z_Lincoln Prep'!AO19)</f>
        <v>0</v>
      </c>
      <c r="AB19" s="311">
        <f>-('5C1AE_Noble Minds'!$AL19+'5C1AE_Noble Minds'!$AO19)</f>
        <v>0</v>
      </c>
      <c r="AC19" s="311">
        <f>-('5C1AF_JCFA-Laf'!$AL19+'5C1AF_JCFA-Laf'!$AO19)</f>
        <v>0</v>
      </c>
      <c r="AD19" s="311">
        <f>-('5C1AG_Collegiate'!$AL19+'5C1AG_Collegiate'!$AO19)</f>
        <v>0</v>
      </c>
      <c r="AE19" s="311">
        <f>-('5C1AH_BRUP'!$AL19+'5C1AH_BRUP'!$AO19)</f>
        <v>0</v>
      </c>
      <c r="AF19" s="311">
        <f>-('5C1AI_Harmony'!$AL19+'5C1AI_Harmony'!$AO19)</f>
        <v>0</v>
      </c>
      <c r="AG19" s="311">
        <f>-('5C1AJ_Athlos'!$AL19+'5C1AJ_Athlos'!$AO19)</f>
        <v>0</v>
      </c>
      <c r="AH19" s="311">
        <f>-('5C1AK_NxtGen'!$AL19+'5C1AK_NxtGen'!$AO19)</f>
        <v>0</v>
      </c>
      <c r="AI19" s="311">
        <f>-('5C1AL_Red River'!$AL19+'5C1AL_Red River'!$AO19)</f>
        <v>0</v>
      </c>
      <c r="AJ19" s="311">
        <f>-('5C2_LAVCA'!AM19+'5C2_LAVCA'!AP19)</f>
        <v>-17129</v>
      </c>
      <c r="AK19" s="311">
        <f>-('5C3_UnvView'!AM19+'5C3_UnvView'!AP19)</f>
        <v>-22839</v>
      </c>
      <c r="AL19" s="312">
        <f t="shared" si="2"/>
        <v>-328620</v>
      </c>
      <c r="AM19" s="313">
        <f t="shared" si="3"/>
        <v>8016892</v>
      </c>
    </row>
    <row r="20" spans="1:39" ht="15.6" customHeight="1" x14ac:dyDescent="0.2">
      <c r="A20" s="309">
        <v>14</v>
      </c>
      <c r="B20" s="310" t="s">
        <v>17</v>
      </c>
      <c r="C20" s="311">
        <f>'2_State Distrib and Adjs'!BF20</f>
        <v>12793943</v>
      </c>
      <c r="D20" s="311">
        <f>-'5A3_OJJ'!P20</f>
        <v>0</v>
      </c>
      <c r="E20" s="311"/>
      <c r="F20" s="311">
        <f>-('5C1A_Madison'!AL20+'5C1A_Madison'!AO20)</f>
        <v>0</v>
      </c>
      <c r="G20" s="311">
        <f>-('5C1B_DArbonne'!AL20+'5C1B_DArbonne'!AO20)</f>
        <v>-8362</v>
      </c>
      <c r="H20" s="311">
        <f>-('5C1C_Intl High'!AL20+'5C1C_Intl High'!AO20)</f>
        <v>0</v>
      </c>
      <c r="I20" s="311">
        <f>-('5C1D_NOMMA'!AL20+'5C1D_NOMMA'!AO20)</f>
        <v>0</v>
      </c>
      <c r="J20" s="311">
        <f>-('5C1E_LFNO'!AL20+'5C1E_LFNO'!AO20)</f>
        <v>0</v>
      </c>
      <c r="K20" s="311">
        <f>-('5C1F_L.C. Charter'!AL20+'5C1F_L.C. Charter'!AO20)</f>
        <v>0</v>
      </c>
      <c r="L20" s="311">
        <f>-('5C1G_JS Clark'!AL20+'5C1G_JS Clark'!AO20)</f>
        <v>0</v>
      </c>
      <c r="M20" s="311">
        <f>-('5C1H_Southwest'!AL20+'5C1H_Southwest'!AO20)</f>
        <v>0</v>
      </c>
      <c r="N20" s="311">
        <f>-('5C1I_LA Key'!AL20+'5C1I_LA Key'!AO20)</f>
        <v>0</v>
      </c>
      <c r="O20" s="311">
        <f>-('5C1J_JCFA-East'!AL20+'5C1J_JCFA-East'!AO20)</f>
        <v>0</v>
      </c>
      <c r="P20" s="311">
        <f>-('5C1M_GEO Mid'!AL20+'5C1M_GEO Mid'!AO20)</f>
        <v>0</v>
      </c>
      <c r="Q20" s="311">
        <f>-('5C1N_Delta'!AL20+'5C1N_Delta'!AO20)</f>
        <v>0</v>
      </c>
      <c r="R20" s="311">
        <f>-('5C1O_Impact'!AL20+'5C1O_Impact'!AO20)</f>
        <v>0</v>
      </c>
      <c r="S20" s="311">
        <f>-('5C1Q_Advantage'!AL20+'5C1Q_Advantage'!AO20)</f>
        <v>0</v>
      </c>
      <c r="T20" s="311">
        <f>-('5C1R_Iberville'!AL20+'5C1R_Iberville'!AO20)</f>
        <v>0</v>
      </c>
      <c r="U20" s="311">
        <f>-('5C1S_LC Col Prep'!AL20+'5C1S_LC Col Prep'!AO20)</f>
        <v>0</v>
      </c>
      <c r="V20" s="311">
        <f>-('5C1T_Northeast'!AL20+'5C1T_Northeast'!AO20)</f>
        <v>-175602</v>
      </c>
      <c r="W20" s="311">
        <f>-('5C1U_Acadiana Ren'!AL20+'5C1U_Acadiana Ren'!AO20)</f>
        <v>0</v>
      </c>
      <c r="X20" s="311">
        <f>-('5C1V_Laf Ren'!AL20+'5C1V_Laf Ren'!AO20)</f>
        <v>0</v>
      </c>
      <c r="Y20" s="311">
        <f>-('5C1W_Willow'!AL20+'5C1W_Willow'!AO20)</f>
        <v>0</v>
      </c>
      <c r="Z20" s="311">
        <f>-('5C1Y_GEO'!AL20+'5C1Y_GEO'!AO20)</f>
        <v>0</v>
      </c>
      <c r="AA20" s="311">
        <f>-('5C1Z_Lincoln Prep'!AL20+'5C1Z_Lincoln Prep'!AO20)</f>
        <v>-215321</v>
      </c>
      <c r="AB20" s="311">
        <f>-('5C1AE_Noble Minds'!$AL20+'5C1AE_Noble Minds'!$AO20)</f>
        <v>0</v>
      </c>
      <c r="AC20" s="311">
        <f>-('5C1AF_JCFA-Laf'!$AL20+'5C1AF_JCFA-Laf'!$AO20)</f>
        <v>0</v>
      </c>
      <c r="AD20" s="311">
        <f>-('5C1AG_Collegiate'!$AL20+'5C1AG_Collegiate'!$AO20)</f>
        <v>0</v>
      </c>
      <c r="AE20" s="311">
        <f>-('5C1AH_BRUP'!$AL20+'5C1AH_BRUP'!$AO20)</f>
        <v>0</v>
      </c>
      <c r="AF20" s="311">
        <f>-('5C1AI_Harmony'!$AL20+'5C1AI_Harmony'!$AO20)</f>
        <v>0</v>
      </c>
      <c r="AG20" s="311">
        <f>-('5C1AJ_Athlos'!$AL20+'5C1AJ_Athlos'!$AO20)</f>
        <v>0</v>
      </c>
      <c r="AH20" s="311">
        <f>-('5C1AK_NxtGen'!$AL20+'5C1AK_NxtGen'!$AO20)</f>
        <v>0</v>
      </c>
      <c r="AI20" s="311">
        <f>-('5C1AL_Red River'!$AL20+'5C1AL_Red River'!$AO20)</f>
        <v>0</v>
      </c>
      <c r="AJ20" s="311">
        <f>-('5C2_LAVCA'!AM20+'5C2_LAVCA'!AP20)</f>
        <v>-7526</v>
      </c>
      <c r="AK20" s="311">
        <f>-('5C3_UnvView'!AM20+'5C3_UnvView'!AP20)</f>
        <v>-11289</v>
      </c>
      <c r="AL20" s="312">
        <f t="shared" si="2"/>
        <v>-418100</v>
      </c>
      <c r="AM20" s="313">
        <f t="shared" si="3"/>
        <v>12375843</v>
      </c>
    </row>
    <row r="21" spans="1:39" ht="15.6" customHeight="1" x14ac:dyDescent="0.2">
      <c r="A21" s="314">
        <v>15</v>
      </c>
      <c r="B21" s="315" t="s">
        <v>18</v>
      </c>
      <c r="C21" s="316">
        <f>'2_State Distrib and Adjs'!BF21</f>
        <v>22507078</v>
      </c>
      <c r="D21" s="316">
        <f>-'5A3_OJJ'!P21</f>
        <v>-768</v>
      </c>
      <c r="E21" s="316"/>
      <c r="F21" s="316">
        <f>-('5C1A_Madison'!AL21+'5C1A_Madison'!AO21)</f>
        <v>0</v>
      </c>
      <c r="G21" s="316">
        <f>-('5C1B_DArbonne'!AL21+'5C1B_DArbonne'!AO21)</f>
        <v>0</v>
      </c>
      <c r="H21" s="316">
        <f>-('5C1C_Intl High'!AL21+'5C1C_Intl High'!AO21)</f>
        <v>0</v>
      </c>
      <c r="I21" s="316">
        <f>-('5C1D_NOMMA'!AL21+'5C1D_NOMMA'!AO21)</f>
        <v>0</v>
      </c>
      <c r="J21" s="316">
        <f>-('5C1E_LFNO'!AL21+'5C1E_LFNO'!AO21)</f>
        <v>0</v>
      </c>
      <c r="K21" s="316">
        <f>-('5C1F_L.C. Charter'!AL21+'5C1F_L.C. Charter'!AO21)</f>
        <v>0</v>
      </c>
      <c r="L21" s="316">
        <f>-('5C1G_JS Clark'!AL21+'5C1G_JS Clark'!AO21)</f>
        <v>0</v>
      </c>
      <c r="M21" s="316">
        <f>-('5C1H_Southwest'!AL21+'5C1H_Southwest'!AO21)</f>
        <v>0</v>
      </c>
      <c r="N21" s="316">
        <f>-('5C1I_LA Key'!AL21+'5C1I_LA Key'!AO21)</f>
        <v>0</v>
      </c>
      <c r="O21" s="316">
        <f>-('5C1J_JCFA-East'!AL21+'5C1J_JCFA-East'!AO21)</f>
        <v>0</v>
      </c>
      <c r="P21" s="316">
        <f>-('5C1M_GEO Mid'!AL21+'5C1M_GEO Mid'!AO21)</f>
        <v>0</v>
      </c>
      <c r="Q21" s="316">
        <f>-('5C1N_Delta'!AL21+'5C1N_Delta'!AO21)</f>
        <v>-1000849</v>
      </c>
      <c r="R21" s="316">
        <f>-('5C1O_Impact'!AL21+'5C1O_Impact'!AO21)</f>
        <v>0</v>
      </c>
      <c r="S21" s="316">
        <f>-('5C1Q_Advantage'!AL21+'5C1Q_Advantage'!AO21)</f>
        <v>0</v>
      </c>
      <c r="T21" s="316">
        <f>-('5C1R_Iberville'!AL21+'5C1R_Iberville'!AO21)</f>
        <v>0</v>
      </c>
      <c r="U21" s="316">
        <f>-('5C1S_LC Col Prep'!AL21+'5C1S_LC Col Prep'!AO21)</f>
        <v>0</v>
      </c>
      <c r="V21" s="316">
        <f>-('5C1T_Northeast'!AL21+'5C1T_Northeast'!AO21)</f>
        <v>0</v>
      </c>
      <c r="W21" s="316">
        <f>-('5C1U_Acadiana Ren'!AL21+'5C1U_Acadiana Ren'!AO21)</f>
        <v>0</v>
      </c>
      <c r="X21" s="316">
        <f>-('5C1V_Laf Ren'!AL21+'5C1V_Laf Ren'!AO21)</f>
        <v>0</v>
      </c>
      <c r="Y21" s="316">
        <f>-('5C1W_Willow'!AL21+'5C1W_Willow'!AO21)</f>
        <v>0</v>
      </c>
      <c r="Z21" s="316">
        <f>-('5C1Y_GEO'!AL21+'5C1Y_GEO'!AO21)</f>
        <v>0</v>
      </c>
      <c r="AA21" s="316">
        <f>-('5C1Z_Lincoln Prep'!AL21+'5C1Z_Lincoln Prep'!AO21)</f>
        <v>0</v>
      </c>
      <c r="AB21" s="316">
        <f>-('5C1AE_Noble Minds'!$AL21+'5C1AE_Noble Minds'!$AO21)</f>
        <v>0</v>
      </c>
      <c r="AC21" s="316">
        <f>-('5C1AF_JCFA-Laf'!$AL21+'5C1AF_JCFA-Laf'!$AO21)</f>
        <v>0</v>
      </c>
      <c r="AD21" s="316">
        <f>-('5C1AG_Collegiate'!$AL21+'5C1AG_Collegiate'!$AO21)</f>
        <v>0</v>
      </c>
      <c r="AE21" s="316">
        <f>-('5C1AH_BRUP'!$AL21+'5C1AH_BRUP'!$AO21)</f>
        <v>0</v>
      </c>
      <c r="AF21" s="586">
        <f>-('5C1AI_Harmony'!$AL21+'5C1AI_Harmony'!$AO21)</f>
        <v>0</v>
      </c>
      <c r="AG21" s="586">
        <f>-('5C1AJ_Athlos'!$AL21+'5C1AJ_Athlos'!$AO21)</f>
        <v>0</v>
      </c>
      <c r="AH21" s="781">
        <f>-('5C1AK_NxtGen'!$AL21+'5C1AK_NxtGen'!$AO21)</f>
        <v>0</v>
      </c>
      <c r="AI21" s="781">
        <f>-('5C1AL_Red River'!$AL21+'5C1AL_Red River'!$AO21)</f>
        <v>0</v>
      </c>
      <c r="AJ21" s="316">
        <f>-('5C2_LAVCA'!AM21+'5C2_LAVCA'!AP21)</f>
        <v>-31809</v>
      </c>
      <c r="AK21" s="316">
        <f>-('5C3_UnvView'!AM21+'5C3_UnvView'!AP21)</f>
        <v>-2892</v>
      </c>
      <c r="AL21" s="317">
        <f t="shared" si="2"/>
        <v>-1036318</v>
      </c>
      <c r="AM21" s="318">
        <f t="shared" si="3"/>
        <v>21470760</v>
      </c>
    </row>
    <row r="22" spans="1:39" ht="15.6" customHeight="1" x14ac:dyDescent="0.2">
      <c r="A22" s="303">
        <v>16</v>
      </c>
      <c r="B22" s="304" t="s">
        <v>19</v>
      </c>
      <c r="C22" s="305">
        <f>'2_State Distrib and Adjs'!BF22</f>
        <v>13884586</v>
      </c>
      <c r="D22" s="305">
        <f>-'5A3_OJJ'!P22</f>
        <v>-6907</v>
      </c>
      <c r="E22" s="305"/>
      <c r="F22" s="305">
        <f>-('5C1A_Madison'!AL22+'5C1A_Madison'!AO22)</f>
        <v>0</v>
      </c>
      <c r="G22" s="305">
        <f>-('5C1B_DArbonne'!AL22+'5C1B_DArbonne'!AO22)</f>
        <v>0</v>
      </c>
      <c r="H22" s="305">
        <f>-('5C1C_Intl High'!AL22+'5C1C_Intl High'!AO22)</f>
        <v>0</v>
      </c>
      <c r="I22" s="305">
        <f>-('5C1D_NOMMA'!AL22+'5C1D_NOMMA'!AO22)</f>
        <v>0</v>
      </c>
      <c r="J22" s="305">
        <f>-('5C1E_LFNO'!AL22+'5C1E_LFNO'!AO22)</f>
        <v>0</v>
      </c>
      <c r="K22" s="305">
        <f>-('5C1F_L.C. Charter'!AL22+'5C1F_L.C. Charter'!AO22)</f>
        <v>0</v>
      </c>
      <c r="L22" s="305">
        <f>-('5C1G_JS Clark'!AL22+'5C1G_JS Clark'!AO22)</f>
        <v>0</v>
      </c>
      <c r="M22" s="305">
        <f>-('5C1H_Southwest'!AL22+'5C1H_Southwest'!AO22)</f>
        <v>0</v>
      </c>
      <c r="N22" s="305">
        <f>-('5C1I_LA Key'!AL22+'5C1I_LA Key'!AO22)</f>
        <v>0</v>
      </c>
      <c r="O22" s="305">
        <f>-('5C1J_JCFA-East'!AL22+'5C1J_JCFA-East'!AO22)</f>
        <v>0</v>
      </c>
      <c r="P22" s="305">
        <f>-('5C1M_GEO Mid'!AL22+'5C1M_GEO Mid'!AO22)</f>
        <v>0</v>
      </c>
      <c r="Q22" s="305">
        <f>-('5C1N_Delta'!AL22+'5C1N_Delta'!AO22)</f>
        <v>0</v>
      </c>
      <c r="R22" s="305">
        <f>-('5C1O_Impact'!AL22+'5C1O_Impact'!AO22)</f>
        <v>0</v>
      </c>
      <c r="S22" s="305">
        <f>-('5C1Q_Advantage'!AL22+'5C1Q_Advantage'!AO22)</f>
        <v>0</v>
      </c>
      <c r="T22" s="305">
        <f>-('5C1R_Iberville'!AL22+'5C1R_Iberville'!AO22)</f>
        <v>0</v>
      </c>
      <c r="U22" s="305">
        <f>-('5C1S_LC Col Prep'!AL22+'5C1S_LC Col Prep'!AO22)</f>
        <v>0</v>
      </c>
      <c r="V22" s="305">
        <f>-('5C1T_Northeast'!AL22+'5C1T_Northeast'!AO22)</f>
        <v>0</v>
      </c>
      <c r="W22" s="305">
        <f>-('5C1U_Acadiana Ren'!AL22+'5C1U_Acadiana Ren'!AO22)</f>
        <v>0</v>
      </c>
      <c r="X22" s="305">
        <f>-('5C1V_Laf Ren'!AL22+'5C1V_Laf Ren'!AO22)</f>
        <v>0</v>
      </c>
      <c r="Y22" s="305">
        <f>-('5C1W_Willow'!AL22+'5C1W_Willow'!AO22)</f>
        <v>0</v>
      </c>
      <c r="Z22" s="305">
        <f>-('5C1Y_GEO'!AL22+'5C1Y_GEO'!AO22)</f>
        <v>0</v>
      </c>
      <c r="AA22" s="306">
        <f>-('5C1Z_Lincoln Prep'!AL22+'5C1Z_Lincoln Prep'!AO22)</f>
        <v>0</v>
      </c>
      <c r="AB22" s="306">
        <f>-('5C1AE_Noble Minds'!$AL22+'5C1AE_Noble Minds'!$AO22)</f>
        <v>0</v>
      </c>
      <c r="AC22" s="306">
        <f>-('5C1AF_JCFA-Laf'!$AL22+'5C1AF_JCFA-Laf'!$AO22)</f>
        <v>0</v>
      </c>
      <c r="AD22" s="306">
        <f>-('5C1AG_Collegiate'!$AL22+'5C1AG_Collegiate'!$AO22)</f>
        <v>0</v>
      </c>
      <c r="AE22" s="306">
        <f>-('5C1AH_BRUP'!$AL22+'5C1AH_BRUP'!$AO22)</f>
        <v>0</v>
      </c>
      <c r="AF22" s="585">
        <f>-('5C1AI_Harmony'!$AL22+'5C1AI_Harmony'!$AO22)</f>
        <v>0</v>
      </c>
      <c r="AG22" s="585">
        <f>-('5C1AJ_Athlos'!$AL22+'5C1AJ_Athlos'!$AO22)</f>
        <v>0</v>
      </c>
      <c r="AH22" s="585">
        <f>-('5C1AK_NxtGen'!$AL22+'5C1AK_NxtGen'!$AO22)</f>
        <v>0</v>
      </c>
      <c r="AI22" s="585">
        <f>-('5C1AL_Red River'!$AL22+'5C1AL_Red River'!$AO22)</f>
        <v>0</v>
      </c>
      <c r="AJ22" s="305">
        <f>-('5C2_LAVCA'!AM22+'5C2_LAVCA'!AP22)</f>
        <v>-111560</v>
      </c>
      <c r="AK22" s="305">
        <f>-('5C3_UnvView'!AM22+'5C3_UnvView'!AP22)</f>
        <v>-91873</v>
      </c>
      <c r="AL22" s="307">
        <f t="shared" si="2"/>
        <v>-210340</v>
      </c>
      <c r="AM22" s="308">
        <f t="shared" si="3"/>
        <v>13674246</v>
      </c>
    </row>
    <row r="23" spans="1:39" ht="15.6" customHeight="1" x14ac:dyDescent="0.2">
      <c r="A23" s="309">
        <v>17</v>
      </c>
      <c r="B23" s="310" t="s">
        <v>20</v>
      </c>
      <c r="C23" s="311">
        <f>'2_State Distrib and Adjs'!BF23</f>
        <v>176803886</v>
      </c>
      <c r="D23" s="311">
        <f>-'5A3_OJJ'!P23</f>
        <v>-105202</v>
      </c>
      <c r="E23" s="311">
        <f>-('5B2_RSD LA'!AL18+'5B2_RSD LA'!AQ18)</f>
        <v>-13480552</v>
      </c>
      <c r="F23" s="311">
        <f>-('5C1A_Madison'!AL23+'5C1A_Madison'!AO23)</f>
        <v>-4393776</v>
      </c>
      <c r="G23" s="311">
        <f>-('5C1B_DArbonne'!AL23+'5C1B_DArbonne'!AO23)</f>
        <v>0</v>
      </c>
      <c r="H23" s="311">
        <f>-('5C1C_Intl High'!AL23+'5C1C_Intl High'!AO23)</f>
        <v>0</v>
      </c>
      <c r="I23" s="311">
        <f>-('5C1D_NOMMA'!AL23+'5C1D_NOMMA'!AO23)</f>
        <v>0</v>
      </c>
      <c r="J23" s="311">
        <f>-('5C1E_LFNO'!AL23+'5C1E_LFNO'!AO23)</f>
        <v>0</v>
      </c>
      <c r="K23" s="311">
        <f>-('5C1F_L.C. Charter'!AL23+'5C1F_L.C. Charter'!AO23)</f>
        <v>-7749</v>
      </c>
      <c r="L23" s="311">
        <f>-('5C1G_JS Clark'!AL23+'5C1G_JS Clark'!AO23)</f>
        <v>0</v>
      </c>
      <c r="M23" s="311">
        <f>-('5C1H_Southwest'!AL23+'5C1H_Southwest'!AO23)</f>
        <v>-7749</v>
      </c>
      <c r="N23" s="311">
        <f>-('5C1I_LA Key'!AL23+'5C1I_LA Key'!AO23)</f>
        <v>-2196842</v>
      </c>
      <c r="O23" s="311">
        <f>-('5C1J_JCFA-East'!AL23+'5C1J_JCFA-East'!AO23)</f>
        <v>0</v>
      </c>
      <c r="P23" s="311">
        <f>-('5C1M_GEO Mid'!AL23+'5C1M_GEO Mid'!AO23)</f>
        <v>-5087219</v>
      </c>
      <c r="Q23" s="311">
        <f>-('5C1N_Delta'!AL23+'5C1N_Delta'!AO23)</f>
        <v>0</v>
      </c>
      <c r="R23" s="311">
        <f>-('5C1O_Impact'!AL23+'5C1O_Impact'!AO23)</f>
        <v>-1553675</v>
      </c>
      <c r="S23" s="311">
        <f>-('5C1Q_Advantage'!AL23+'5C1Q_Advantage'!AO23)</f>
        <v>-1731902</v>
      </c>
      <c r="T23" s="311">
        <f>-('5C1R_Iberville'!AL23+'5C1R_Iberville'!AO23)</f>
        <v>-240219</v>
      </c>
      <c r="U23" s="311">
        <f>-('5C1S_LC Col Prep'!AL23+'5C1S_LC Col Prep'!AO23)</f>
        <v>0</v>
      </c>
      <c r="V23" s="311">
        <f>-('5C1T_Northeast'!AL23+'5C1T_Northeast'!AO23)</f>
        <v>0</v>
      </c>
      <c r="W23" s="311">
        <f>-('5C1U_Acadiana Ren'!AL23+'5C1U_Acadiana Ren'!AO23)</f>
        <v>-7749</v>
      </c>
      <c r="X23" s="311">
        <f>-('5C1V_Laf Ren'!AL23+'5C1V_Laf Ren'!AO23)</f>
        <v>0</v>
      </c>
      <c r="Y23" s="311">
        <f>-('5C1W_Willow'!AL23+'5C1W_Willow'!AO23)</f>
        <v>-11624</v>
      </c>
      <c r="Z23" s="311">
        <f>-('5C1Y_GEO'!AL23+'5C1Y_GEO'!AO23)</f>
        <v>-5257697</v>
      </c>
      <c r="AA23" s="311">
        <f>-('5C1Z_Lincoln Prep'!AL23+'5C1Z_Lincoln Prep'!AO23)</f>
        <v>0</v>
      </c>
      <c r="AB23" s="311">
        <f>-('5C1AE_Noble Minds'!$AL23+'5C1AE_Noble Minds'!$AO23)</f>
        <v>0</v>
      </c>
      <c r="AC23" s="311">
        <f>-('5C1AF_JCFA-Laf'!$AL23+'5C1AF_JCFA-Laf'!$AO23)</f>
        <v>0</v>
      </c>
      <c r="AD23" s="311">
        <f>-('5C1AG_Collegiate'!$AL23+'5C1AG_Collegiate'!$AO23)</f>
        <v>-3576163</v>
      </c>
      <c r="AE23" s="311">
        <f>-('5C1AH_BRUP'!$AL23+'5C1AH_BRUP'!$AO23)</f>
        <v>-2499053</v>
      </c>
      <c r="AF23" s="311">
        <f>-('5C1AI_Harmony'!$AL23+'5C1AI_Harmony'!$AO23)</f>
        <v>0</v>
      </c>
      <c r="AG23" s="311">
        <f>-('5C1AJ_Athlos'!$AL23+'5C1AJ_Athlos'!$AO23)</f>
        <v>0</v>
      </c>
      <c r="AH23" s="311">
        <f>-('5C1AK_NxtGen'!$AL23+'5C1AK_NxtGen'!$AO23)</f>
        <v>-1468436</v>
      </c>
      <c r="AI23" s="311">
        <f>-('5C1AL_Red River'!$AL23+'5C1AL_Red River'!$AO23)</f>
        <v>0</v>
      </c>
      <c r="AJ23" s="311">
        <f>-('5C2_LAVCA'!AM23+'5C2_LAVCA'!AP23)</f>
        <v>-812567</v>
      </c>
      <c r="AK23" s="311">
        <f>-('5C3_UnvView'!AM23+'5C3_UnvView'!AP23)</f>
        <v>-2085256</v>
      </c>
      <c r="AL23" s="312">
        <f t="shared" si="2"/>
        <v>-44523430</v>
      </c>
      <c r="AM23" s="313">
        <f t="shared" si="3"/>
        <v>132280456</v>
      </c>
    </row>
    <row r="24" spans="1:39" ht="15.6" customHeight="1" x14ac:dyDescent="0.2">
      <c r="A24" s="309">
        <v>18</v>
      </c>
      <c r="B24" s="310" t="s">
        <v>21</v>
      </c>
      <c r="C24" s="311">
        <f>'2_State Distrib and Adjs'!BF24</f>
        <v>5856201</v>
      </c>
      <c r="D24" s="311">
        <f>-'5A3_OJJ'!P24</f>
        <v>-3014</v>
      </c>
      <c r="E24" s="311"/>
      <c r="F24" s="311">
        <f>-('5C1A_Madison'!AL24+'5C1A_Madison'!AO24)</f>
        <v>0</v>
      </c>
      <c r="G24" s="311">
        <f>-('5C1B_DArbonne'!AL24+'5C1B_DArbonne'!AO24)</f>
        <v>0</v>
      </c>
      <c r="H24" s="311">
        <f>-('5C1C_Intl High'!AL24+'5C1C_Intl High'!AO24)</f>
        <v>0</v>
      </c>
      <c r="I24" s="311">
        <f>-('5C1D_NOMMA'!AL24+'5C1D_NOMMA'!AO24)</f>
        <v>0</v>
      </c>
      <c r="J24" s="311">
        <f>-('5C1E_LFNO'!AL24+'5C1E_LFNO'!AO24)</f>
        <v>0</v>
      </c>
      <c r="K24" s="311">
        <f>-('5C1F_L.C. Charter'!AL24+'5C1F_L.C. Charter'!AO24)</f>
        <v>0</v>
      </c>
      <c r="L24" s="311">
        <f>-('5C1G_JS Clark'!AL24+'5C1G_JS Clark'!AO24)</f>
        <v>0</v>
      </c>
      <c r="M24" s="311">
        <f>-('5C1H_Southwest'!AL24+'5C1H_Southwest'!AO24)</f>
        <v>0</v>
      </c>
      <c r="N24" s="311">
        <f>-('5C1I_LA Key'!AL24+'5C1I_LA Key'!AO24)</f>
        <v>0</v>
      </c>
      <c r="O24" s="311">
        <f>-('5C1J_JCFA-East'!AL24+'5C1J_JCFA-East'!AO24)</f>
        <v>0</v>
      </c>
      <c r="P24" s="311">
        <f>-('5C1M_GEO Mid'!AL24+'5C1M_GEO Mid'!AO24)</f>
        <v>0</v>
      </c>
      <c r="Q24" s="311">
        <f>-('5C1N_Delta'!AL24+'5C1N_Delta'!AO24)</f>
        <v>0</v>
      </c>
      <c r="R24" s="311">
        <f>-('5C1O_Impact'!AL24+'5C1O_Impact'!AO24)</f>
        <v>0</v>
      </c>
      <c r="S24" s="311">
        <f>-('5C1Q_Advantage'!AL24+'5C1Q_Advantage'!AO24)</f>
        <v>0</v>
      </c>
      <c r="T24" s="311">
        <f>-('5C1R_Iberville'!AL24+'5C1R_Iberville'!AO24)</f>
        <v>0</v>
      </c>
      <c r="U24" s="311">
        <f>-('5C1S_LC Col Prep'!AL24+'5C1S_LC Col Prep'!AO24)</f>
        <v>0</v>
      </c>
      <c r="V24" s="311">
        <f>-('5C1T_Northeast'!AL24+'5C1T_Northeast'!AO24)</f>
        <v>0</v>
      </c>
      <c r="W24" s="311">
        <f>-('5C1U_Acadiana Ren'!AL24+'5C1U_Acadiana Ren'!AO24)</f>
        <v>0</v>
      </c>
      <c r="X24" s="311">
        <f>-('5C1V_Laf Ren'!AL24+'5C1V_Laf Ren'!AO24)</f>
        <v>0</v>
      </c>
      <c r="Y24" s="311">
        <f>-('5C1W_Willow'!AL24+'5C1W_Willow'!AO24)</f>
        <v>0</v>
      </c>
      <c r="Z24" s="311">
        <f>-('5C1Y_GEO'!AL24+'5C1Y_GEO'!AO24)</f>
        <v>0</v>
      </c>
      <c r="AA24" s="311">
        <f>-('5C1Z_Lincoln Prep'!AL24+'5C1Z_Lincoln Prep'!AO24)</f>
        <v>0</v>
      </c>
      <c r="AB24" s="311">
        <f>-('5C1AE_Noble Minds'!$AL24+'5C1AE_Noble Minds'!$AO24)</f>
        <v>0</v>
      </c>
      <c r="AC24" s="311">
        <f>-('5C1AF_JCFA-Laf'!$AL24+'5C1AF_JCFA-Laf'!$AO24)</f>
        <v>0</v>
      </c>
      <c r="AD24" s="311">
        <f>-('5C1AG_Collegiate'!$AL24+'5C1AG_Collegiate'!$AO24)</f>
        <v>0</v>
      </c>
      <c r="AE24" s="311">
        <f>-('5C1AH_BRUP'!$AL24+'5C1AH_BRUP'!$AO24)</f>
        <v>0</v>
      </c>
      <c r="AF24" s="311">
        <f>-('5C1AI_Harmony'!$AL24+'5C1AI_Harmony'!$AO24)</f>
        <v>0</v>
      </c>
      <c r="AG24" s="311">
        <f>-('5C1AJ_Athlos'!$AL24+'5C1AJ_Athlos'!$AO24)</f>
        <v>0</v>
      </c>
      <c r="AH24" s="311">
        <f>-('5C1AK_NxtGen'!$AL24+'5C1AK_NxtGen'!$AO24)</f>
        <v>0</v>
      </c>
      <c r="AI24" s="311">
        <f>-('5C1AL_Red River'!$AL24+'5C1AL_Red River'!$AO24)</f>
        <v>0</v>
      </c>
      <c r="AJ24" s="311">
        <f>-('5C2_LAVCA'!AM24+'5C2_LAVCA'!AP24)</f>
        <v>-5746</v>
      </c>
      <c r="AK24" s="311">
        <f>-('5C3_UnvView'!AM24+'5C3_UnvView'!AP24)</f>
        <v>-10055</v>
      </c>
      <c r="AL24" s="312">
        <f t="shared" si="2"/>
        <v>-18815</v>
      </c>
      <c r="AM24" s="313">
        <f t="shared" si="3"/>
        <v>5837386</v>
      </c>
    </row>
    <row r="25" spans="1:39" ht="15.6" customHeight="1" x14ac:dyDescent="0.2">
      <c r="A25" s="309">
        <v>19</v>
      </c>
      <c r="B25" s="310" t="s">
        <v>22</v>
      </c>
      <c r="C25" s="311">
        <f>'2_State Distrib and Adjs'!BF25</f>
        <v>10183757</v>
      </c>
      <c r="D25" s="311">
        <f>-'5A3_OJJ'!P25</f>
        <v>0</v>
      </c>
      <c r="E25" s="311"/>
      <c r="F25" s="311">
        <f>-('5C1A_Madison'!AL25+'5C1A_Madison'!AO25)</f>
        <v>-4392</v>
      </c>
      <c r="G25" s="311">
        <f>-('5C1B_DArbonne'!AL25+'5C1B_DArbonne'!AO25)</f>
        <v>0</v>
      </c>
      <c r="H25" s="311">
        <f>-('5C1C_Intl High'!AL25+'5C1C_Intl High'!AO25)</f>
        <v>0</v>
      </c>
      <c r="I25" s="311">
        <f>-('5C1D_NOMMA'!AL25+'5C1D_NOMMA'!AO25)</f>
        <v>0</v>
      </c>
      <c r="J25" s="311">
        <f>-('5C1E_LFNO'!AL25+'5C1E_LFNO'!AO25)</f>
        <v>0</v>
      </c>
      <c r="K25" s="311">
        <f>-('5C1F_L.C. Charter'!AL25+'5C1F_L.C. Charter'!AO25)</f>
        <v>0</v>
      </c>
      <c r="L25" s="311">
        <f>-('5C1G_JS Clark'!AL25+'5C1G_JS Clark'!AO25)</f>
        <v>0</v>
      </c>
      <c r="M25" s="311">
        <f>-('5C1H_Southwest'!AL25+'5C1H_Southwest'!AO25)</f>
        <v>0</v>
      </c>
      <c r="N25" s="311">
        <f>-('5C1I_LA Key'!AL25+'5C1I_LA Key'!AO25)</f>
        <v>-35136</v>
      </c>
      <c r="O25" s="311">
        <f>-('5C1J_JCFA-East'!AL25+'5C1J_JCFA-East'!AO25)</f>
        <v>0</v>
      </c>
      <c r="P25" s="311">
        <f>-('5C1M_GEO Mid'!AL25+'5C1M_GEO Mid'!AO25)</f>
        <v>0</v>
      </c>
      <c r="Q25" s="311">
        <f>-('5C1N_Delta'!AL25+'5C1N_Delta'!AO25)</f>
        <v>0</v>
      </c>
      <c r="R25" s="311">
        <f>-('5C1O_Impact'!AL25+'5C1O_Impact'!AO25)</f>
        <v>0</v>
      </c>
      <c r="S25" s="311">
        <f>-('5C1Q_Advantage'!AL25+'5C1Q_Advantage'!AO25)</f>
        <v>-48312</v>
      </c>
      <c r="T25" s="311">
        <f>-('5C1R_Iberville'!AL25+'5C1R_Iberville'!AO25)</f>
        <v>0</v>
      </c>
      <c r="U25" s="311">
        <f>-('5C1S_LC Col Prep'!AL25+'5C1S_LC Col Prep'!AO25)</f>
        <v>0</v>
      </c>
      <c r="V25" s="311">
        <f>-('5C1T_Northeast'!AL25+'5C1T_Northeast'!AO25)</f>
        <v>0</v>
      </c>
      <c r="W25" s="311">
        <f>-('5C1U_Acadiana Ren'!AL25+'5C1U_Acadiana Ren'!AO25)</f>
        <v>0</v>
      </c>
      <c r="X25" s="311">
        <f>-('5C1V_Laf Ren'!AL25+'5C1V_Laf Ren'!AO25)</f>
        <v>0</v>
      </c>
      <c r="Y25" s="311">
        <f>-('5C1W_Willow'!AL25+'5C1W_Willow'!AO25)</f>
        <v>0</v>
      </c>
      <c r="Z25" s="311">
        <f>-('5C1Y_GEO'!AL25+'5C1Y_GEO'!AO25)</f>
        <v>0</v>
      </c>
      <c r="AA25" s="311">
        <f>-('5C1Z_Lincoln Prep'!AL25+'5C1Z_Lincoln Prep'!AO25)</f>
        <v>0</v>
      </c>
      <c r="AB25" s="311">
        <f>-('5C1AE_Noble Minds'!$AL25+'5C1AE_Noble Minds'!$AO25)</f>
        <v>0</v>
      </c>
      <c r="AC25" s="311">
        <f>-('5C1AF_JCFA-Laf'!$AL25+'5C1AF_JCFA-Laf'!$AO25)</f>
        <v>0</v>
      </c>
      <c r="AD25" s="311">
        <f>-('5C1AG_Collegiate'!$AL25+'5C1AG_Collegiate'!$AO25)</f>
        <v>0</v>
      </c>
      <c r="AE25" s="311">
        <f>-('5C1AH_BRUP'!$AL25+'5C1AH_BRUP'!$AO25)</f>
        <v>0</v>
      </c>
      <c r="AF25" s="311">
        <f>-('5C1AI_Harmony'!$AL25+'5C1AI_Harmony'!$AO25)</f>
        <v>0</v>
      </c>
      <c r="AG25" s="311">
        <f>-('5C1AJ_Athlos'!$AL25+'5C1AJ_Athlos'!$AO25)</f>
        <v>0</v>
      </c>
      <c r="AH25" s="311">
        <f>-('5C1AK_NxtGen'!$AL25+'5C1AK_NxtGen'!$AO25)</f>
        <v>-2196</v>
      </c>
      <c r="AI25" s="311">
        <f>-('5C1AL_Red River'!$AL25+'5C1AL_Red River'!$AO25)</f>
        <v>0</v>
      </c>
      <c r="AJ25" s="311">
        <f>-('5C2_LAVCA'!AM25+'5C2_LAVCA'!AP25)</f>
        <v>-27670</v>
      </c>
      <c r="AK25" s="311">
        <f>-('5C3_UnvView'!AM25+'5C3_UnvView'!AP25)</f>
        <v>-132419</v>
      </c>
      <c r="AL25" s="312">
        <f t="shared" si="2"/>
        <v>-250125</v>
      </c>
      <c r="AM25" s="313">
        <f t="shared" si="3"/>
        <v>9933632</v>
      </c>
    </row>
    <row r="26" spans="1:39" ht="15.6" customHeight="1" x14ac:dyDescent="0.2">
      <c r="A26" s="314">
        <v>20</v>
      </c>
      <c r="B26" s="315" t="s">
        <v>23</v>
      </c>
      <c r="C26" s="316">
        <f>'2_State Distrib and Adjs'!BF26</f>
        <v>37155310</v>
      </c>
      <c r="D26" s="316">
        <f>-'5A3_OJJ'!P26</f>
        <v>-6131</v>
      </c>
      <c r="E26" s="316"/>
      <c r="F26" s="316">
        <f>-('5C1A_Madison'!AL26+'5C1A_Madison'!AO26)</f>
        <v>0</v>
      </c>
      <c r="G26" s="316">
        <f>-('5C1B_DArbonne'!AL26+'5C1B_DArbonne'!AO26)</f>
        <v>0</v>
      </c>
      <c r="H26" s="316">
        <f>-('5C1C_Intl High'!AL26+'5C1C_Intl High'!AO26)</f>
        <v>0</v>
      </c>
      <c r="I26" s="316">
        <f>-('5C1D_NOMMA'!AL26+'5C1D_NOMMA'!AO26)</f>
        <v>0</v>
      </c>
      <c r="J26" s="316">
        <f>-('5C1E_LFNO'!AL26+'5C1E_LFNO'!AO26)</f>
        <v>0</v>
      </c>
      <c r="K26" s="316">
        <f>-('5C1F_L.C. Charter'!AL26+'5C1F_L.C. Charter'!AO26)</f>
        <v>0</v>
      </c>
      <c r="L26" s="316">
        <f>-('5C1G_JS Clark'!AL26+'5C1G_JS Clark'!AO26)</f>
        <v>0</v>
      </c>
      <c r="M26" s="316">
        <f>-('5C1H_Southwest'!AL26+'5C1H_Southwest'!AO26)</f>
        <v>0</v>
      </c>
      <c r="N26" s="316">
        <f>-('5C1I_LA Key'!AL26+'5C1I_LA Key'!AO26)</f>
        <v>0</v>
      </c>
      <c r="O26" s="316">
        <f>-('5C1J_JCFA-East'!AL26+'5C1J_JCFA-East'!AO26)</f>
        <v>0</v>
      </c>
      <c r="P26" s="316">
        <f>-('5C1M_GEO Mid'!AL26+'5C1M_GEO Mid'!AO26)</f>
        <v>0</v>
      </c>
      <c r="Q26" s="316">
        <f>-('5C1N_Delta'!AL26+'5C1N_Delta'!AO26)</f>
        <v>0</v>
      </c>
      <c r="R26" s="316">
        <f>-('5C1O_Impact'!AL26+'5C1O_Impact'!AO26)</f>
        <v>0</v>
      </c>
      <c r="S26" s="316">
        <f>-('5C1Q_Advantage'!AL26+'5C1Q_Advantage'!AO26)</f>
        <v>0</v>
      </c>
      <c r="T26" s="316">
        <f>-('5C1R_Iberville'!AL26+'5C1R_Iberville'!AO26)</f>
        <v>0</v>
      </c>
      <c r="U26" s="316">
        <f>-('5C1S_LC Col Prep'!AL26+'5C1S_LC Col Prep'!AO26)</f>
        <v>0</v>
      </c>
      <c r="V26" s="316">
        <f>-('5C1T_Northeast'!AL26+'5C1T_Northeast'!AO26)</f>
        <v>0</v>
      </c>
      <c r="W26" s="316">
        <f>-('5C1U_Acadiana Ren'!AL26+'5C1U_Acadiana Ren'!AO26)</f>
        <v>0</v>
      </c>
      <c r="X26" s="316">
        <f>-('5C1V_Laf Ren'!AL26+'5C1V_Laf Ren'!AO26)</f>
        <v>-2693</v>
      </c>
      <c r="Y26" s="316">
        <f>-('5C1W_Willow'!AL26+'5C1W_Willow'!AO26)</f>
        <v>0</v>
      </c>
      <c r="Z26" s="316">
        <f>-('5C1Y_GEO'!AL26+'5C1Y_GEO'!AO26)</f>
        <v>0</v>
      </c>
      <c r="AA26" s="316">
        <f>-('5C1Z_Lincoln Prep'!AL26+'5C1Z_Lincoln Prep'!AO26)</f>
        <v>0</v>
      </c>
      <c r="AB26" s="316">
        <f>-('5C1AE_Noble Minds'!$AL26+'5C1AE_Noble Minds'!$AO26)</f>
        <v>0</v>
      </c>
      <c r="AC26" s="316">
        <f>-('5C1AF_JCFA-Laf'!$AL26+'5C1AF_JCFA-Laf'!$AO26)</f>
        <v>0</v>
      </c>
      <c r="AD26" s="316">
        <f>-('5C1AG_Collegiate'!$AL26+'5C1AG_Collegiate'!$AO26)</f>
        <v>0</v>
      </c>
      <c r="AE26" s="316">
        <f>-('5C1AH_BRUP'!$AL26+'5C1AH_BRUP'!$AO26)</f>
        <v>0</v>
      </c>
      <c r="AF26" s="586">
        <f>-('5C1AI_Harmony'!$AL26+'5C1AI_Harmony'!$AO26)</f>
        <v>0</v>
      </c>
      <c r="AG26" s="586">
        <f>-('5C1AJ_Athlos'!$AL26+'5C1AJ_Athlos'!$AO26)</f>
        <v>0</v>
      </c>
      <c r="AH26" s="781">
        <f>-('5C1AK_NxtGen'!$AL26+'5C1AK_NxtGen'!$AO26)</f>
        <v>0</v>
      </c>
      <c r="AI26" s="781">
        <f>-('5C1AL_Red River'!$AL26+'5C1AL_Red River'!$AO26)</f>
        <v>0</v>
      </c>
      <c r="AJ26" s="316">
        <f>-('5C2_LAVCA'!AM26+'5C2_LAVCA'!AP26)</f>
        <v>-46050</v>
      </c>
      <c r="AK26" s="316">
        <f>-('5C3_UnvView'!AM26+'5C3_UnvView'!AP26)</f>
        <v>-42415</v>
      </c>
      <c r="AL26" s="317">
        <f t="shared" si="2"/>
        <v>-97289</v>
      </c>
      <c r="AM26" s="318">
        <f t="shared" si="3"/>
        <v>37058021</v>
      </c>
    </row>
    <row r="27" spans="1:39" ht="15.6" customHeight="1" x14ac:dyDescent="0.2">
      <c r="A27" s="303">
        <v>21</v>
      </c>
      <c r="B27" s="304" t="s">
        <v>24</v>
      </c>
      <c r="C27" s="305">
        <f>'2_State Distrib and Adjs'!BF27</f>
        <v>20191719</v>
      </c>
      <c r="D27" s="305">
        <f>-'5A3_OJJ'!P27</f>
        <v>-5291</v>
      </c>
      <c r="E27" s="305"/>
      <c r="F27" s="305">
        <f>-('5C1A_Madison'!AL27+'5C1A_Madison'!AO27)</f>
        <v>0</v>
      </c>
      <c r="G27" s="305">
        <f>-('5C1B_DArbonne'!AL27+'5C1B_DArbonne'!AO27)</f>
        <v>0</v>
      </c>
      <c r="H27" s="305">
        <f>-('5C1C_Intl High'!AL27+'5C1C_Intl High'!AO27)</f>
        <v>0</v>
      </c>
      <c r="I27" s="305">
        <f>-('5C1D_NOMMA'!AL27+'5C1D_NOMMA'!AO27)</f>
        <v>0</v>
      </c>
      <c r="J27" s="305">
        <f>-('5C1E_LFNO'!AL27+'5C1E_LFNO'!AO27)</f>
        <v>0</v>
      </c>
      <c r="K27" s="305">
        <f>-('5C1F_L.C. Charter'!AL27+'5C1F_L.C. Charter'!AO27)</f>
        <v>0</v>
      </c>
      <c r="L27" s="305">
        <f>-('5C1G_JS Clark'!AL27+'5C1G_JS Clark'!AO27)</f>
        <v>0</v>
      </c>
      <c r="M27" s="305">
        <f>-('5C1H_Southwest'!AL27+'5C1H_Southwest'!AO27)</f>
        <v>0</v>
      </c>
      <c r="N27" s="305">
        <f>-('5C1I_LA Key'!AL27+'5C1I_LA Key'!AO27)</f>
        <v>0</v>
      </c>
      <c r="O27" s="305">
        <f>-('5C1J_JCFA-East'!AL27+'5C1J_JCFA-East'!AO27)</f>
        <v>0</v>
      </c>
      <c r="P27" s="305">
        <f>-('5C1M_GEO Mid'!AL27+'5C1M_GEO Mid'!AO27)</f>
        <v>0</v>
      </c>
      <c r="Q27" s="305">
        <f>-('5C1N_Delta'!AL27+'5C1N_Delta'!AO27)</f>
        <v>-2897</v>
      </c>
      <c r="R27" s="305">
        <f>-('5C1O_Impact'!AL27+'5C1O_Impact'!AO27)</f>
        <v>0</v>
      </c>
      <c r="S27" s="305">
        <f>-('5C1Q_Advantage'!AL27+'5C1Q_Advantage'!AO27)</f>
        <v>0</v>
      </c>
      <c r="T27" s="305">
        <f>-('5C1R_Iberville'!AL27+'5C1R_Iberville'!AO27)</f>
        <v>0</v>
      </c>
      <c r="U27" s="305">
        <f>-('5C1S_LC Col Prep'!AL27+'5C1S_LC Col Prep'!AO27)</f>
        <v>0</v>
      </c>
      <c r="V27" s="305">
        <f>-('5C1T_Northeast'!AL27+'5C1T_Northeast'!AO27)</f>
        <v>0</v>
      </c>
      <c r="W27" s="305">
        <f>-('5C1U_Acadiana Ren'!AL27+'5C1U_Acadiana Ren'!AO27)</f>
        <v>0</v>
      </c>
      <c r="X27" s="305">
        <f>-('5C1V_Laf Ren'!AL27+'5C1V_Laf Ren'!AO27)</f>
        <v>0</v>
      </c>
      <c r="Y27" s="305">
        <f>-('5C1W_Willow'!AL27+'5C1W_Willow'!AO27)</f>
        <v>0</v>
      </c>
      <c r="Z27" s="305">
        <f>-('5C1Y_GEO'!AL27+'5C1Y_GEO'!AO27)</f>
        <v>0</v>
      </c>
      <c r="AA27" s="306">
        <f>-('5C1Z_Lincoln Prep'!AL27+'5C1Z_Lincoln Prep'!AO27)</f>
        <v>0</v>
      </c>
      <c r="AB27" s="306">
        <f>-('5C1AE_Noble Minds'!$AL27+'5C1AE_Noble Minds'!$AO27)</f>
        <v>0</v>
      </c>
      <c r="AC27" s="306">
        <f>-('5C1AF_JCFA-Laf'!$AL27+'5C1AF_JCFA-Laf'!$AO27)</f>
        <v>0</v>
      </c>
      <c r="AD27" s="306">
        <f>-('5C1AG_Collegiate'!$AL27+'5C1AG_Collegiate'!$AO27)</f>
        <v>0</v>
      </c>
      <c r="AE27" s="306">
        <f>-('5C1AH_BRUP'!$AL27+'5C1AH_BRUP'!$AO27)</f>
        <v>0</v>
      </c>
      <c r="AF27" s="585">
        <f>-('5C1AI_Harmony'!$AL27+'5C1AI_Harmony'!$AO27)</f>
        <v>0</v>
      </c>
      <c r="AG27" s="585">
        <f>-('5C1AJ_Athlos'!$AL27+'5C1AJ_Athlos'!$AO27)</f>
        <v>0</v>
      </c>
      <c r="AH27" s="585">
        <f>-('5C1AK_NxtGen'!$AL27+'5C1AK_NxtGen'!$AO27)</f>
        <v>0</v>
      </c>
      <c r="AI27" s="585">
        <f>-('5C1AL_Red River'!$AL27+'5C1AL_Red River'!$AO27)</f>
        <v>0</v>
      </c>
      <c r="AJ27" s="305">
        <f>-('5C2_LAVCA'!AM27+'5C2_LAVCA'!AP27)</f>
        <v>-10429</v>
      </c>
      <c r="AK27" s="305">
        <f>-('5C3_UnvView'!AM27+'5C3_UnvView'!AP27)</f>
        <v>-37806</v>
      </c>
      <c r="AL27" s="307">
        <f t="shared" si="2"/>
        <v>-56423</v>
      </c>
      <c r="AM27" s="308">
        <f t="shared" si="3"/>
        <v>20135296</v>
      </c>
    </row>
    <row r="28" spans="1:39" ht="15.6" customHeight="1" x14ac:dyDescent="0.2">
      <c r="A28" s="309">
        <v>22</v>
      </c>
      <c r="B28" s="310" t="s">
        <v>25</v>
      </c>
      <c r="C28" s="311">
        <f>'2_State Distrib and Adjs'!BF28</f>
        <v>22029788</v>
      </c>
      <c r="D28" s="311">
        <f>-'5A3_OJJ'!P28</f>
        <v>-565</v>
      </c>
      <c r="E28" s="311"/>
      <c r="F28" s="311">
        <f>-('5C1A_Madison'!AL28+'5C1A_Madison'!AO28)</f>
        <v>0</v>
      </c>
      <c r="G28" s="311">
        <f>-('5C1B_DArbonne'!AL28+'5C1B_DArbonne'!AO28)</f>
        <v>0</v>
      </c>
      <c r="H28" s="311">
        <f>-('5C1C_Intl High'!AL28+'5C1C_Intl High'!AO28)</f>
        <v>0</v>
      </c>
      <c r="I28" s="311">
        <f>-('5C1D_NOMMA'!AL28+'5C1D_NOMMA'!AO28)</f>
        <v>0</v>
      </c>
      <c r="J28" s="311">
        <f>-('5C1E_LFNO'!AL28+'5C1E_LFNO'!AO28)</f>
        <v>0</v>
      </c>
      <c r="K28" s="311">
        <f>-('5C1F_L.C. Charter'!AL28+'5C1F_L.C. Charter'!AO28)</f>
        <v>0</v>
      </c>
      <c r="L28" s="311">
        <f>-('5C1G_JS Clark'!AL28+'5C1G_JS Clark'!AO28)</f>
        <v>0</v>
      </c>
      <c r="M28" s="311">
        <f>-('5C1H_Southwest'!AL28+'5C1H_Southwest'!AO28)</f>
        <v>0</v>
      </c>
      <c r="N28" s="311">
        <f>-('5C1I_LA Key'!AL28+'5C1I_LA Key'!AO28)</f>
        <v>0</v>
      </c>
      <c r="O28" s="311">
        <f>-('5C1J_JCFA-East'!AL28+'5C1J_JCFA-East'!AO28)</f>
        <v>0</v>
      </c>
      <c r="P28" s="311">
        <f>-('5C1M_GEO Mid'!AL28+'5C1M_GEO Mid'!AO28)</f>
        <v>0</v>
      </c>
      <c r="Q28" s="311">
        <f>-('5C1N_Delta'!AL28+'5C1N_Delta'!AO28)</f>
        <v>0</v>
      </c>
      <c r="R28" s="311">
        <f>-('5C1O_Impact'!AL28+'5C1O_Impact'!AO28)</f>
        <v>0</v>
      </c>
      <c r="S28" s="311">
        <f>-('5C1Q_Advantage'!AL28+'5C1Q_Advantage'!AO28)</f>
        <v>0</v>
      </c>
      <c r="T28" s="311">
        <f>-('5C1R_Iberville'!AL28+'5C1R_Iberville'!AO28)</f>
        <v>0</v>
      </c>
      <c r="U28" s="311">
        <f>-('5C1S_LC Col Prep'!AL28+'5C1S_LC Col Prep'!AO28)</f>
        <v>0</v>
      </c>
      <c r="V28" s="311">
        <f>-('5C1T_Northeast'!AL28+'5C1T_Northeast'!AO28)</f>
        <v>0</v>
      </c>
      <c r="W28" s="311">
        <f>-('5C1U_Acadiana Ren'!AL28+'5C1U_Acadiana Ren'!AO28)</f>
        <v>0</v>
      </c>
      <c r="X28" s="311">
        <f>-('5C1V_Laf Ren'!AL28+'5C1V_Laf Ren'!AO28)</f>
        <v>0</v>
      </c>
      <c r="Y28" s="311">
        <f>-('5C1W_Willow'!AL28+'5C1W_Willow'!AO28)</f>
        <v>0</v>
      </c>
      <c r="Z28" s="311">
        <f>-('5C1Y_GEO'!AL28+'5C1Y_GEO'!AO28)</f>
        <v>0</v>
      </c>
      <c r="AA28" s="311">
        <f>-('5C1Z_Lincoln Prep'!AL28+'5C1Z_Lincoln Prep'!AO28)</f>
        <v>0</v>
      </c>
      <c r="AB28" s="311">
        <f>-('5C1AE_Noble Minds'!$AL28+'5C1AE_Noble Minds'!$AO28)</f>
        <v>0</v>
      </c>
      <c r="AC28" s="311">
        <f>-('5C1AF_JCFA-Laf'!$AL28+'5C1AF_JCFA-Laf'!$AO28)</f>
        <v>0</v>
      </c>
      <c r="AD28" s="311">
        <f>-('5C1AG_Collegiate'!$AL28+'5C1AG_Collegiate'!$AO28)</f>
        <v>0</v>
      </c>
      <c r="AE28" s="311">
        <f>-('5C1AH_BRUP'!$AL28+'5C1AH_BRUP'!$AO28)</f>
        <v>0</v>
      </c>
      <c r="AF28" s="311">
        <f>-('5C1AI_Harmony'!$AL28+'5C1AI_Harmony'!$AO28)</f>
        <v>0</v>
      </c>
      <c r="AG28" s="311">
        <f>-('5C1AJ_Athlos'!$AL28+'5C1AJ_Athlos'!$AO28)</f>
        <v>0</v>
      </c>
      <c r="AH28" s="311">
        <f>-('5C1AK_NxtGen'!$AL28+'5C1AK_NxtGen'!$AO28)</f>
        <v>0</v>
      </c>
      <c r="AI28" s="311">
        <f>-('5C1AL_Red River'!$AL28+'5C1AL_Red River'!$AO28)</f>
        <v>0</v>
      </c>
      <c r="AJ28" s="311">
        <f>-('5C2_LAVCA'!AM28+'5C2_LAVCA'!AP28)</f>
        <v>-16195</v>
      </c>
      <c r="AK28" s="311">
        <f>-('5C3_UnvView'!AM28+'5C3_UnvView'!AP28)</f>
        <v>-32390</v>
      </c>
      <c r="AL28" s="312">
        <f t="shared" si="2"/>
        <v>-49150</v>
      </c>
      <c r="AM28" s="313">
        <f t="shared" si="3"/>
        <v>21980638</v>
      </c>
    </row>
    <row r="29" spans="1:39" ht="15.6" customHeight="1" x14ac:dyDescent="0.2">
      <c r="A29" s="309">
        <v>23</v>
      </c>
      <c r="B29" s="310" t="s">
        <v>26</v>
      </c>
      <c r="C29" s="311">
        <f>'2_State Distrib and Adjs'!BF29</f>
        <v>73004360</v>
      </c>
      <c r="D29" s="311">
        <f>-'5A3_OJJ'!P29</f>
        <v>-15170</v>
      </c>
      <c r="E29" s="311"/>
      <c r="F29" s="311">
        <f>-('5C1A_Madison'!AL29+'5C1A_Madison'!AO29)</f>
        <v>0</v>
      </c>
      <c r="G29" s="311">
        <f>-('5C1B_DArbonne'!AL29+'5C1B_DArbonne'!AO29)</f>
        <v>0</v>
      </c>
      <c r="H29" s="311">
        <f>-('5C1C_Intl High'!AL29+'5C1C_Intl High'!AO29)</f>
        <v>0</v>
      </c>
      <c r="I29" s="311">
        <f>-('5C1D_NOMMA'!AL29+'5C1D_NOMMA'!AO29)</f>
        <v>0</v>
      </c>
      <c r="J29" s="311">
        <f>-('5C1E_LFNO'!AL29+'5C1E_LFNO'!AO29)</f>
        <v>0</v>
      </c>
      <c r="K29" s="311">
        <f>-('5C1F_L.C. Charter'!AL29+'5C1F_L.C. Charter'!AO29)</f>
        <v>0</v>
      </c>
      <c r="L29" s="311">
        <f>-('5C1G_JS Clark'!AL29+'5C1G_JS Clark'!AO29)</f>
        <v>0</v>
      </c>
      <c r="M29" s="311">
        <f>-('5C1H_Southwest'!AL29+'5C1H_Southwest'!AO29)</f>
        <v>0</v>
      </c>
      <c r="N29" s="311">
        <f>-('5C1I_LA Key'!AL29+'5C1I_LA Key'!AO29)</f>
        <v>0</v>
      </c>
      <c r="O29" s="311">
        <f>-('5C1J_JCFA-East'!AL29+'5C1J_JCFA-East'!AO29)</f>
        <v>0</v>
      </c>
      <c r="P29" s="311">
        <f>-('5C1M_GEO Mid'!AL29+'5C1M_GEO Mid'!AO29)</f>
        <v>0</v>
      </c>
      <c r="Q29" s="311">
        <f>-('5C1N_Delta'!AL29+'5C1N_Delta'!AO29)</f>
        <v>0</v>
      </c>
      <c r="R29" s="311">
        <f>-('5C1O_Impact'!AL29+'5C1O_Impact'!AO29)</f>
        <v>0</v>
      </c>
      <c r="S29" s="311">
        <f>-('5C1Q_Advantage'!AL29+'5C1Q_Advantage'!AO29)</f>
        <v>0</v>
      </c>
      <c r="T29" s="311">
        <f>-('5C1R_Iberville'!AL29+'5C1R_Iberville'!AO29)</f>
        <v>0</v>
      </c>
      <c r="U29" s="311">
        <f>-('5C1S_LC Col Prep'!AL29+'5C1S_LC Col Prep'!AO29)</f>
        <v>0</v>
      </c>
      <c r="V29" s="311">
        <f>-('5C1T_Northeast'!AL29+'5C1T_Northeast'!AO29)</f>
        <v>0</v>
      </c>
      <c r="W29" s="311">
        <f>-('5C1U_Acadiana Ren'!AL29+'5C1U_Acadiana Ren'!AO29)</f>
        <v>-404670</v>
      </c>
      <c r="X29" s="311">
        <f>-('5C1V_Laf Ren'!AL29+'5C1V_Laf Ren'!AO29)</f>
        <v>-23124</v>
      </c>
      <c r="Y29" s="311">
        <f>-('5C1W_Willow'!AL29+'5C1W_Willow'!AO29)</f>
        <v>-7708</v>
      </c>
      <c r="Z29" s="311">
        <f>-('5C1Y_GEO'!AL29+'5C1Y_GEO'!AO29)</f>
        <v>0</v>
      </c>
      <c r="AA29" s="311">
        <f>-('5C1Z_Lincoln Prep'!AL29+'5C1Z_Lincoln Prep'!AO29)</f>
        <v>0</v>
      </c>
      <c r="AB29" s="311">
        <f>-('5C1AE_Noble Minds'!$AL29+'5C1AE_Noble Minds'!$AO29)</f>
        <v>0</v>
      </c>
      <c r="AC29" s="311">
        <f>-('5C1AF_JCFA-Laf'!$AL29+'5C1AF_JCFA-Laf'!$AO29)</f>
        <v>-11562</v>
      </c>
      <c r="AD29" s="311">
        <f>-('5C1AG_Collegiate'!$AL29+'5C1AG_Collegiate'!$AO29)</f>
        <v>0</v>
      </c>
      <c r="AE29" s="311">
        <f>-('5C1AH_BRUP'!$AL29+'5C1AH_BRUP'!$AO29)</f>
        <v>0</v>
      </c>
      <c r="AF29" s="311">
        <f>-('5C1AI_Harmony'!$AL29+'5C1AI_Harmony'!$AO29)</f>
        <v>0</v>
      </c>
      <c r="AG29" s="311">
        <f>-('5C1AJ_Athlos'!$AL29+'5C1AJ_Athlos'!$AO29)</f>
        <v>0</v>
      </c>
      <c r="AH29" s="311">
        <f>-('5C1AK_NxtGen'!$AL29+'5C1AK_NxtGen'!$AO29)</f>
        <v>0</v>
      </c>
      <c r="AI29" s="311">
        <f>-('5C1AL_Red River'!$AL29+'5C1AL_Red River'!$AO29)</f>
        <v>0</v>
      </c>
      <c r="AJ29" s="311">
        <f>-('5C2_LAVCA'!AM29+'5C2_LAVCA'!AP29)</f>
        <v>-131806</v>
      </c>
      <c r="AK29" s="311">
        <f>-('5C3_UnvView'!AM29+'5C3_UnvView'!AP29)</f>
        <v>-175165</v>
      </c>
      <c r="AL29" s="312">
        <f t="shared" si="2"/>
        <v>-769205</v>
      </c>
      <c r="AM29" s="313">
        <f t="shared" si="3"/>
        <v>72235155</v>
      </c>
    </row>
    <row r="30" spans="1:39" ht="15.6" customHeight="1" x14ac:dyDescent="0.2">
      <c r="A30" s="309">
        <v>24</v>
      </c>
      <c r="B30" s="310" t="s">
        <v>27</v>
      </c>
      <c r="C30" s="311">
        <f>'2_State Distrib and Adjs'!BF30</f>
        <v>13357947</v>
      </c>
      <c r="D30" s="311">
        <f>-'5A3_OJJ'!P30</f>
        <v>-1139</v>
      </c>
      <c r="E30" s="311"/>
      <c r="F30" s="311">
        <f>-('5C1A_Madison'!AL30+'5C1A_Madison'!AO30)</f>
        <v>-32536</v>
      </c>
      <c r="G30" s="311">
        <f>-('5C1B_DArbonne'!AL30+'5C1B_DArbonne'!AO30)</f>
        <v>0</v>
      </c>
      <c r="H30" s="311">
        <f>-('5C1C_Intl High'!AL30+'5C1C_Intl High'!AO30)</f>
        <v>0</v>
      </c>
      <c r="I30" s="311">
        <f>-('5C1D_NOMMA'!AL30+'5C1D_NOMMA'!AO30)</f>
        <v>0</v>
      </c>
      <c r="J30" s="311">
        <f>-('5C1E_LFNO'!AL30+'5C1E_LFNO'!AO30)</f>
        <v>0</v>
      </c>
      <c r="K30" s="311">
        <f>-('5C1F_L.C. Charter'!AL30+'5C1F_L.C. Charter'!AO30)</f>
        <v>0</v>
      </c>
      <c r="L30" s="311">
        <f>-('5C1G_JS Clark'!AL30+'5C1G_JS Clark'!AO30)</f>
        <v>0</v>
      </c>
      <c r="M30" s="311">
        <f>-('5C1H_Southwest'!AL30+'5C1H_Southwest'!AO30)</f>
        <v>0</v>
      </c>
      <c r="N30" s="311">
        <f>-('5C1I_LA Key'!AL30+'5C1I_LA Key'!AO30)</f>
        <v>-244020</v>
      </c>
      <c r="O30" s="311">
        <f>-('5C1J_JCFA-East'!AL30+'5C1J_JCFA-East'!AO30)</f>
        <v>0</v>
      </c>
      <c r="P30" s="311">
        <f>-('5C1M_GEO Mid'!AL30+'5C1M_GEO Mid'!AO30)</f>
        <v>0</v>
      </c>
      <c r="Q30" s="311">
        <f>-('5C1N_Delta'!AL30+'5C1N_Delta'!AO30)</f>
        <v>0</v>
      </c>
      <c r="R30" s="311">
        <f>-('5C1O_Impact'!AL30+'5C1O_Impact'!AO30)</f>
        <v>-16268</v>
      </c>
      <c r="S30" s="311">
        <f>-('5C1Q_Advantage'!AL30+'5C1Q_Advantage'!AO30)</f>
        <v>0</v>
      </c>
      <c r="T30" s="311">
        <f>-('5C1R_Iberville'!AL30+'5C1R_Iberville'!AO30)</f>
        <v>-2708622</v>
      </c>
      <c r="U30" s="311">
        <f>-('5C1S_LC Col Prep'!AL30+'5C1S_LC Col Prep'!AO30)</f>
        <v>0</v>
      </c>
      <c r="V30" s="311">
        <f>-('5C1T_Northeast'!AL30+'5C1T_Northeast'!AO30)</f>
        <v>0</v>
      </c>
      <c r="W30" s="311">
        <f>-('5C1U_Acadiana Ren'!AL30+'5C1U_Acadiana Ren'!AO30)</f>
        <v>0</v>
      </c>
      <c r="X30" s="311">
        <f>-('5C1V_Laf Ren'!AL30+'5C1V_Laf Ren'!AO30)</f>
        <v>0</v>
      </c>
      <c r="Y30" s="311">
        <f>-('5C1W_Willow'!AL30+'5C1W_Willow'!AO30)</f>
        <v>0</v>
      </c>
      <c r="Z30" s="311">
        <f>-('5C1Y_GEO'!AL30+'5C1Y_GEO'!AO30)</f>
        <v>0</v>
      </c>
      <c r="AA30" s="311">
        <f>-('5C1Z_Lincoln Prep'!AL30+'5C1Z_Lincoln Prep'!AO30)</f>
        <v>0</v>
      </c>
      <c r="AB30" s="311">
        <f>-('5C1AE_Noble Minds'!$AL30+'5C1AE_Noble Minds'!$AO30)</f>
        <v>0</v>
      </c>
      <c r="AC30" s="311">
        <f>-('5C1AF_JCFA-Laf'!$AL30+'5C1AF_JCFA-Laf'!$AO30)</f>
        <v>0</v>
      </c>
      <c r="AD30" s="311">
        <f>-('5C1AG_Collegiate'!$AL30+'5C1AG_Collegiate'!$AO30)</f>
        <v>-8134</v>
      </c>
      <c r="AE30" s="311">
        <f>-('5C1AH_BRUP'!$AL30+'5C1AH_BRUP'!$AO30)</f>
        <v>0</v>
      </c>
      <c r="AF30" s="311">
        <f>-('5C1AI_Harmony'!$AL30+'5C1AI_Harmony'!$AO30)</f>
        <v>0</v>
      </c>
      <c r="AG30" s="311">
        <f>-('5C1AJ_Athlos'!$AL30+'5C1AJ_Athlos'!$AO30)</f>
        <v>0</v>
      </c>
      <c r="AH30" s="311">
        <f>-('5C1AK_NxtGen'!$AL30+'5C1AK_NxtGen'!$AO30)</f>
        <v>0</v>
      </c>
      <c r="AI30" s="311">
        <f>-('5C1AL_Red River'!$AL30+'5C1AL_Red River'!$AO30)</f>
        <v>0</v>
      </c>
      <c r="AJ30" s="311">
        <f>-('5C2_LAVCA'!AM30+'5C2_LAVCA'!AP30)</f>
        <v>-58565</v>
      </c>
      <c r="AK30" s="311">
        <f>-('5C3_UnvView'!AM30+'5C3_UnvView'!AP30)</f>
        <v>-190336</v>
      </c>
      <c r="AL30" s="312">
        <f t="shared" si="2"/>
        <v>-3259620</v>
      </c>
      <c r="AM30" s="313">
        <f t="shared" si="3"/>
        <v>10098327</v>
      </c>
    </row>
    <row r="31" spans="1:39" ht="15.6" customHeight="1" x14ac:dyDescent="0.2">
      <c r="A31" s="314">
        <v>25</v>
      </c>
      <c r="B31" s="315" t="s">
        <v>28</v>
      </c>
      <c r="C31" s="316">
        <f>'2_State Distrib and Adjs'!BF31</f>
        <v>12503961</v>
      </c>
      <c r="D31" s="316">
        <f>-'5A3_OJJ'!P31</f>
        <v>-4094</v>
      </c>
      <c r="E31" s="316"/>
      <c r="F31" s="316">
        <f>-('5C1A_Madison'!AL31+'5C1A_Madison'!AO31)</f>
        <v>0</v>
      </c>
      <c r="G31" s="316">
        <f>-('5C1B_DArbonne'!AL31+'5C1B_DArbonne'!AO31)</f>
        <v>0</v>
      </c>
      <c r="H31" s="316">
        <f>-('5C1C_Intl High'!AL31+'5C1C_Intl High'!AO31)</f>
        <v>0</v>
      </c>
      <c r="I31" s="316">
        <f>-('5C1D_NOMMA'!AL31+'5C1D_NOMMA'!AO31)</f>
        <v>0</v>
      </c>
      <c r="J31" s="316">
        <f>-('5C1E_LFNO'!AL31+'5C1E_LFNO'!AO31)</f>
        <v>0</v>
      </c>
      <c r="K31" s="316">
        <f>-('5C1F_L.C. Charter'!AL31+'5C1F_L.C. Charter'!AO31)</f>
        <v>0</v>
      </c>
      <c r="L31" s="316">
        <f>-('5C1G_JS Clark'!AL31+'5C1G_JS Clark'!AO31)</f>
        <v>0</v>
      </c>
      <c r="M31" s="316">
        <f>-('5C1H_Southwest'!AL31+'5C1H_Southwest'!AO31)</f>
        <v>0</v>
      </c>
      <c r="N31" s="316">
        <f>-('5C1I_LA Key'!AL31+'5C1I_LA Key'!AO31)</f>
        <v>0</v>
      </c>
      <c r="O31" s="316">
        <f>-('5C1J_JCFA-East'!AL31+'5C1J_JCFA-East'!AO31)</f>
        <v>0</v>
      </c>
      <c r="P31" s="316">
        <f>-('5C1M_GEO Mid'!AL31+'5C1M_GEO Mid'!AO31)</f>
        <v>0</v>
      </c>
      <c r="Q31" s="316">
        <f>-('5C1N_Delta'!AL31+'5C1N_Delta'!AO31)</f>
        <v>0</v>
      </c>
      <c r="R31" s="316">
        <f>-('5C1O_Impact'!AL31+'5C1O_Impact'!AO31)</f>
        <v>0</v>
      </c>
      <c r="S31" s="316">
        <f>-('5C1Q_Advantage'!AL31+'5C1Q_Advantage'!AO31)</f>
        <v>0</v>
      </c>
      <c r="T31" s="316">
        <f>-('5C1R_Iberville'!AL31+'5C1R_Iberville'!AO31)</f>
        <v>0</v>
      </c>
      <c r="U31" s="316">
        <f>-('5C1S_LC Col Prep'!AL31+'5C1S_LC Col Prep'!AO31)</f>
        <v>0</v>
      </c>
      <c r="V31" s="316">
        <f>-('5C1T_Northeast'!AL31+'5C1T_Northeast'!AO31)</f>
        <v>0</v>
      </c>
      <c r="W31" s="316">
        <f>-('5C1U_Acadiana Ren'!AL31+'5C1U_Acadiana Ren'!AO31)</f>
        <v>0</v>
      </c>
      <c r="X31" s="316">
        <f>-('5C1V_Laf Ren'!AL31+'5C1V_Laf Ren'!AO31)</f>
        <v>0</v>
      </c>
      <c r="Y31" s="316">
        <f>-('5C1W_Willow'!AL31+'5C1W_Willow'!AO31)</f>
        <v>0</v>
      </c>
      <c r="Z31" s="316">
        <f>-('5C1Y_GEO'!AL31+'5C1Y_GEO'!AO31)</f>
        <v>0</v>
      </c>
      <c r="AA31" s="316">
        <f>-('5C1Z_Lincoln Prep'!AL31+'5C1Z_Lincoln Prep'!AO31)</f>
        <v>-104254</v>
      </c>
      <c r="AB31" s="316">
        <f>-('5C1AE_Noble Minds'!$AL31+'5C1AE_Noble Minds'!$AO31)</f>
        <v>0</v>
      </c>
      <c r="AC31" s="316">
        <f>-('5C1AF_JCFA-Laf'!$AL31+'5C1AF_JCFA-Laf'!$AO31)</f>
        <v>0</v>
      </c>
      <c r="AD31" s="316">
        <f>-('5C1AG_Collegiate'!$AL31+'5C1AG_Collegiate'!$AO31)</f>
        <v>0</v>
      </c>
      <c r="AE31" s="316">
        <f>-('5C1AH_BRUP'!$AL31+'5C1AH_BRUP'!$AO31)</f>
        <v>0</v>
      </c>
      <c r="AF31" s="586">
        <f>-('5C1AI_Harmony'!$AL31+'5C1AI_Harmony'!$AO31)</f>
        <v>0</v>
      </c>
      <c r="AG31" s="586">
        <f>-('5C1AJ_Athlos'!$AL31+'5C1AJ_Athlos'!$AO31)</f>
        <v>0</v>
      </c>
      <c r="AH31" s="781">
        <f>-('5C1AK_NxtGen'!$AL31+'5C1AK_NxtGen'!$AO31)</f>
        <v>0</v>
      </c>
      <c r="AI31" s="781">
        <f>-('5C1AL_Red River'!$AL31+'5C1AL_Red River'!$AO31)</f>
        <v>0</v>
      </c>
      <c r="AJ31" s="316">
        <f>-('5C2_LAVCA'!AM31+'5C2_LAVCA'!AP31)</f>
        <v>-58916</v>
      </c>
      <c r="AK31" s="316">
        <f>-('5C3_UnvView'!AM31+'5C3_UnvView'!AP31)</f>
        <v>-21821</v>
      </c>
      <c r="AL31" s="317">
        <f t="shared" si="2"/>
        <v>-189085</v>
      </c>
      <c r="AM31" s="318">
        <f t="shared" si="3"/>
        <v>12314876</v>
      </c>
    </row>
    <row r="32" spans="1:39" ht="15.6" customHeight="1" x14ac:dyDescent="0.2">
      <c r="A32" s="303">
        <v>26</v>
      </c>
      <c r="B32" s="304" t="s">
        <v>29</v>
      </c>
      <c r="C32" s="305">
        <f>'2_State Distrib and Adjs'!BF32</f>
        <v>239911402</v>
      </c>
      <c r="D32" s="305">
        <f>-'5A3_OJJ'!P32</f>
        <v>-21243</v>
      </c>
      <c r="E32" s="305"/>
      <c r="F32" s="305">
        <f>-('5C1A_Madison'!AL32+'5C1A_Madison'!AO32)</f>
        <v>0</v>
      </c>
      <c r="G32" s="305">
        <f>-('5C1B_DArbonne'!AL32+'5C1B_DArbonne'!AO32)</f>
        <v>0</v>
      </c>
      <c r="H32" s="305">
        <f>-('5C1C_Intl High'!AL32+'5C1C_Intl High'!AO32)</f>
        <v>-257125</v>
      </c>
      <c r="I32" s="305">
        <f>-('5C1D_NOMMA'!AL32+'5C1D_NOMMA'!AO32)</f>
        <v>-4453193</v>
      </c>
      <c r="J32" s="305">
        <f>-('5C1E_LFNO'!AL32+'5C1E_LFNO'!AO32)</f>
        <v>-1482250</v>
      </c>
      <c r="K32" s="305">
        <f>-('5C1F_L.C. Charter'!AL32+'5C1F_L.C. Charter'!AO32)</f>
        <v>0</v>
      </c>
      <c r="L32" s="305">
        <f>-('5C1G_JS Clark'!AL32+'5C1G_JS Clark'!AO32)</f>
        <v>0</v>
      </c>
      <c r="M32" s="305">
        <f>-('5C1H_Southwest'!AL32+'5C1H_Southwest'!AO32)</f>
        <v>0</v>
      </c>
      <c r="N32" s="305">
        <f>-('5C1I_LA Key'!AL32+'5C1I_LA Key'!AO32)</f>
        <v>-6050</v>
      </c>
      <c r="O32" s="305">
        <f>-('5C1J_JCFA-East'!AL32+'5C1J_JCFA-East'!AO32)</f>
        <v>-856468</v>
      </c>
      <c r="P32" s="305">
        <f>-('5C1M_GEO Mid'!AL32+'5C1M_GEO Mid'!AO32)</f>
        <v>0</v>
      </c>
      <c r="Q32" s="305">
        <f>-('5C1N_Delta'!AL32+'5C1N_Delta'!AO32)</f>
        <v>0</v>
      </c>
      <c r="R32" s="305">
        <f>-('5C1O_Impact'!AL32+'5C1O_Impact'!AO32)</f>
        <v>0</v>
      </c>
      <c r="S32" s="305">
        <f>-('5C1Q_Advantage'!AL32+'5C1Q_Advantage'!AO32)</f>
        <v>0</v>
      </c>
      <c r="T32" s="305">
        <f>-('5C1R_Iberville'!AL32+'5C1R_Iberville'!AO32)</f>
        <v>-45375</v>
      </c>
      <c r="U32" s="305">
        <f>-('5C1S_LC Col Prep'!AL32+'5C1S_LC Col Prep'!AO32)</f>
        <v>0</v>
      </c>
      <c r="V32" s="305">
        <f>-('5C1T_Northeast'!AL32+'5C1T_Northeast'!AO32)</f>
        <v>0</v>
      </c>
      <c r="W32" s="305">
        <f>-('5C1U_Acadiana Ren'!AL32+'5C1U_Acadiana Ren'!AO32)</f>
        <v>0</v>
      </c>
      <c r="X32" s="305">
        <f>-('5C1V_Laf Ren'!AL32+'5C1V_Laf Ren'!AO32)</f>
        <v>0</v>
      </c>
      <c r="Y32" s="305">
        <f>-('5C1W_Willow'!AL32+'5C1W_Willow'!AO32)</f>
        <v>0</v>
      </c>
      <c r="Z32" s="305">
        <f>-('5C1Y_GEO'!AL32+'5C1Y_GEO'!AO32)</f>
        <v>0</v>
      </c>
      <c r="AA32" s="306">
        <f>-('5C1Z_Lincoln Prep'!AL32+'5C1Z_Lincoln Prep'!AO32)</f>
        <v>0</v>
      </c>
      <c r="AB32" s="306">
        <f>-('5C1AE_Noble Minds'!$AL32+'5C1AE_Noble Minds'!$AO32)</f>
        <v>-51425</v>
      </c>
      <c r="AC32" s="306">
        <f>-('5C1AF_JCFA-Laf'!$AL32+'5C1AF_JCFA-Laf'!$AO32)</f>
        <v>0</v>
      </c>
      <c r="AD32" s="306">
        <f>-('5C1AG_Collegiate'!$AL32+'5C1AG_Collegiate'!$AO32)</f>
        <v>0</v>
      </c>
      <c r="AE32" s="306">
        <f>-('5C1AH_BRUP'!$AL32+'5C1AH_BRUP'!$AO32)</f>
        <v>0</v>
      </c>
      <c r="AF32" s="585">
        <f>-('5C1AI_Harmony'!$AL32+'5C1AI_Harmony'!$AO32)</f>
        <v>-84700</v>
      </c>
      <c r="AG32" s="585">
        <f>-('5C1AJ_Athlos'!$AL32+'5C1AJ_Athlos'!$AO32)</f>
        <v>-6606600</v>
      </c>
      <c r="AH32" s="585">
        <f>-('5C1AK_NxtGen'!$AL32+'5C1AK_NxtGen'!$AO32)</f>
        <v>0</v>
      </c>
      <c r="AI32" s="585">
        <f>-('5C1AL_Red River'!$AL32+'5C1AL_Red River'!$AO32)</f>
        <v>0</v>
      </c>
      <c r="AJ32" s="305">
        <f>-('5C2_LAVCA'!AM32+'5C2_LAVCA'!AP32)</f>
        <v>-871908</v>
      </c>
      <c r="AK32" s="305">
        <f>-('5C3_UnvView'!AM32+'5C3_UnvView'!AP32)</f>
        <v>-1287743</v>
      </c>
      <c r="AL32" s="307">
        <f t="shared" si="2"/>
        <v>-16024080</v>
      </c>
      <c r="AM32" s="308">
        <f t="shared" si="3"/>
        <v>223887322</v>
      </c>
    </row>
    <row r="33" spans="1:39" ht="15.6" customHeight="1" x14ac:dyDescent="0.2">
      <c r="A33" s="309">
        <v>27</v>
      </c>
      <c r="B33" s="310" t="s">
        <v>30</v>
      </c>
      <c r="C33" s="311">
        <f>'2_State Distrib and Adjs'!BF33</f>
        <v>37268661</v>
      </c>
      <c r="D33" s="311">
        <f>-'5A3_OJJ'!P33</f>
        <v>-5043</v>
      </c>
      <c r="E33" s="311"/>
      <c r="F33" s="311">
        <f>-('5C1A_Madison'!AL33+'5C1A_Madison'!AO33)</f>
        <v>0</v>
      </c>
      <c r="G33" s="311">
        <f>-('5C1B_DArbonne'!AL33+'5C1B_DArbonne'!AO33)</f>
        <v>0</v>
      </c>
      <c r="H33" s="311">
        <f>-('5C1C_Intl High'!AL33+'5C1C_Intl High'!AO33)</f>
        <v>0</v>
      </c>
      <c r="I33" s="311">
        <f>-('5C1D_NOMMA'!AL33+'5C1D_NOMMA'!AO33)</f>
        <v>0</v>
      </c>
      <c r="J33" s="311">
        <f>-('5C1E_LFNO'!AL33+'5C1E_LFNO'!AO33)</f>
        <v>0</v>
      </c>
      <c r="K33" s="311">
        <f>-('5C1F_L.C. Charter'!AL33+'5C1F_L.C. Charter'!AO33)</f>
        <v>-3720</v>
      </c>
      <c r="L33" s="311">
        <f>-('5C1G_JS Clark'!AL33+'5C1G_JS Clark'!AO33)</f>
        <v>0</v>
      </c>
      <c r="M33" s="311">
        <f>-('5C1H_Southwest'!AL33+'5C1H_Southwest'!AO33)</f>
        <v>0</v>
      </c>
      <c r="N33" s="311">
        <f>-('5C1I_LA Key'!AL33+'5C1I_LA Key'!AO33)</f>
        <v>0</v>
      </c>
      <c r="O33" s="311">
        <f>-('5C1J_JCFA-East'!AL33+'5C1J_JCFA-East'!AO33)</f>
        <v>0</v>
      </c>
      <c r="P33" s="311">
        <f>-('5C1M_GEO Mid'!AL33+'5C1M_GEO Mid'!AO33)</f>
        <v>0</v>
      </c>
      <c r="Q33" s="311">
        <f>-('5C1N_Delta'!AL33+'5C1N_Delta'!AO33)</f>
        <v>0</v>
      </c>
      <c r="R33" s="311">
        <f>-('5C1O_Impact'!AL33+'5C1O_Impact'!AO33)</f>
        <v>0</v>
      </c>
      <c r="S33" s="311">
        <f>-('5C1Q_Advantage'!AL33+'5C1Q_Advantage'!AO33)</f>
        <v>0</v>
      </c>
      <c r="T33" s="311">
        <f>-('5C1R_Iberville'!AL33+'5C1R_Iberville'!AO33)</f>
        <v>0</v>
      </c>
      <c r="U33" s="311">
        <f>-('5C1S_LC Col Prep'!AL33+'5C1S_LC Col Prep'!AO33)</f>
        <v>0</v>
      </c>
      <c r="V33" s="311">
        <f>-('5C1T_Northeast'!AL33+'5C1T_Northeast'!AO33)</f>
        <v>0</v>
      </c>
      <c r="W33" s="311">
        <f>-('5C1U_Acadiana Ren'!AL33+'5C1U_Acadiana Ren'!AO33)</f>
        <v>0</v>
      </c>
      <c r="X33" s="311">
        <f>-('5C1V_Laf Ren'!AL33+'5C1V_Laf Ren'!AO33)</f>
        <v>0</v>
      </c>
      <c r="Y33" s="311">
        <f>-('5C1W_Willow'!AL33+'5C1W_Willow'!AO33)</f>
        <v>0</v>
      </c>
      <c r="Z33" s="311">
        <f>-('5C1Y_GEO'!AL33+'5C1Y_GEO'!AO33)</f>
        <v>0</v>
      </c>
      <c r="AA33" s="311">
        <f>-('5C1Z_Lincoln Prep'!AL33+'5C1Z_Lincoln Prep'!AO33)</f>
        <v>0</v>
      </c>
      <c r="AB33" s="311">
        <f>-('5C1AE_Noble Minds'!$AL33+'5C1AE_Noble Minds'!$AO33)</f>
        <v>0</v>
      </c>
      <c r="AC33" s="311">
        <f>-('5C1AF_JCFA-Laf'!$AL33+'5C1AF_JCFA-Laf'!$AO33)</f>
        <v>0</v>
      </c>
      <c r="AD33" s="311">
        <f>-('5C1AG_Collegiate'!$AL33+'5C1AG_Collegiate'!$AO33)</f>
        <v>0</v>
      </c>
      <c r="AE33" s="311">
        <f>-('5C1AH_BRUP'!$AL33+'5C1AH_BRUP'!$AO33)</f>
        <v>0</v>
      </c>
      <c r="AF33" s="311">
        <f>-('5C1AI_Harmony'!$AL33+'5C1AI_Harmony'!$AO33)</f>
        <v>0</v>
      </c>
      <c r="AG33" s="311">
        <f>-('5C1AJ_Athlos'!$AL33+'5C1AJ_Athlos'!$AO33)</f>
        <v>0</v>
      </c>
      <c r="AH33" s="311">
        <f>-('5C1AK_NxtGen'!$AL33+'5C1AK_NxtGen'!$AO33)</f>
        <v>0</v>
      </c>
      <c r="AI33" s="311">
        <f>-('5C1AL_Red River'!$AL33+'5C1AL_Red River'!$AO33)</f>
        <v>0</v>
      </c>
      <c r="AJ33" s="311">
        <f>-('5C2_LAVCA'!AM33+'5C2_LAVCA'!AP33)</f>
        <v>-51894</v>
      </c>
      <c r="AK33" s="311">
        <f>-('5C3_UnvView'!AM33+'5C3_UnvView'!AP33)</f>
        <v>-30219</v>
      </c>
      <c r="AL33" s="312">
        <f t="shared" si="2"/>
        <v>-90876</v>
      </c>
      <c r="AM33" s="313">
        <f t="shared" si="3"/>
        <v>37177785</v>
      </c>
    </row>
    <row r="34" spans="1:39" ht="15.6" customHeight="1" x14ac:dyDescent="0.2">
      <c r="A34" s="309">
        <v>28</v>
      </c>
      <c r="B34" s="310" t="s">
        <v>31</v>
      </c>
      <c r="C34" s="311">
        <f>'2_State Distrib and Adjs'!BF34</f>
        <v>141821160</v>
      </c>
      <c r="D34" s="311">
        <f>-'5A3_OJJ'!P34</f>
        <v>-40792</v>
      </c>
      <c r="E34" s="311"/>
      <c r="F34" s="311">
        <f>-('5C1A_Madison'!AL34+'5C1A_Madison'!AO34)</f>
        <v>0</v>
      </c>
      <c r="G34" s="311">
        <f>-('5C1B_DArbonne'!AL34+'5C1B_DArbonne'!AO34)</f>
        <v>0</v>
      </c>
      <c r="H34" s="311">
        <f>-('5C1C_Intl High'!AL34+'5C1C_Intl High'!AO34)</f>
        <v>0</v>
      </c>
      <c r="I34" s="311">
        <f>-('5C1D_NOMMA'!AL34+'5C1D_NOMMA'!AO34)</f>
        <v>-2852</v>
      </c>
      <c r="J34" s="311">
        <f>-('5C1E_LFNO'!AL34+'5C1E_LFNO'!AO34)</f>
        <v>0</v>
      </c>
      <c r="K34" s="311">
        <f>-('5C1F_L.C. Charter'!AL34+'5C1F_L.C. Charter'!AO34)</f>
        <v>-8556</v>
      </c>
      <c r="L34" s="311">
        <f>-('5C1G_JS Clark'!AL34+'5C1G_JS Clark'!AO34)</f>
        <v>-2852</v>
      </c>
      <c r="M34" s="311">
        <f>-('5C1H_Southwest'!AL34+'5C1H_Southwest'!AO34)</f>
        <v>0</v>
      </c>
      <c r="N34" s="311">
        <f>-('5C1I_LA Key'!AL34+'5C1I_LA Key'!AO34)</f>
        <v>-5704</v>
      </c>
      <c r="O34" s="311">
        <f>-('5C1J_JCFA-East'!AL34+'5C1J_JCFA-East'!AO34)</f>
        <v>0</v>
      </c>
      <c r="P34" s="311">
        <f>-('5C1M_GEO Mid'!AL34+'5C1M_GEO Mid'!AO34)</f>
        <v>0</v>
      </c>
      <c r="Q34" s="311">
        <f>-('5C1N_Delta'!AL34+'5C1N_Delta'!AO34)</f>
        <v>0</v>
      </c>
      <c r="R34" s="311">
        <f>-('5C1O_Impact'!AL34+'5C1O_Impact'!AO34)</f>
        <v>0</v>
      </c>
      <c r="S34" s="311">
        <f>-('5C1Q_Advantage'!AL34+'5C1Q_Advantage'!AO34)</f>
        <v>0</v>
      </c>
      <c r="T34" s="311">
        <f>-('5C1R_Iberville'!AL34+'5C1R_Iberville'!AO34)</f>
        <v>-51336</v>
      </c>
      <c r="U34" s="311">
        <f>-('5C1S_LC Col Prep'!AL34+'5C1S_LC Col Prep'!AO34)</f>
        <v>0</v>
      </c>
      <c r="V34" s="311">
        <f>-('5C1T_Northeast'!AL34+'5C1T_Northeast'!AO34)</f>
        <v>0</v>
      </c>
      <c r="W34" s="311">
        <f>-('5C1U_Acadiana Ren'!AL34+'5C1U_Acadiana Ren'!AO34)</f>
        <v>-6551044</v>
      </c>
      <c r="X34" s="311">
        <f>-('5C1V_Laf Ren'!AL34+'5C1V_Laf Ren'!AO34)</f>
        <v>-4674428</v>
      </c>
      <c r="Y34" s="311">
        <f>-('5C1W_Willow'!AL34+'5C1W_Willow'!AO34)</f>
        <v>-3288356</v>
      </c>
      <c r="Z34" s="311">
        <f>-('5C1Y_GEO'!AL34+'5C1Y_GEO'!AO34)</f>
        <v>0</v>
      </c>
      <c r="AA34" s="311">
        <f>-('5C1Z_Lincoln Prep'!AL34+'5C1Z_Lincoln Prep'!AO34)</f>
        <v>0</v>
      </c>
      <c r="AB34" s="311">
        <f>-('5C1AE_Noble Minds'!$AL34+'5C1AE_Noble Minds'!$AO34)</f>
        <v>0</v>
      </c>
      <c r="AC34" s="311">
        <f>-('5C1AF_JCFA-Laf'!$AL34+'5C1AF_JCFA-Laf'!$AO34)</f>
        <v>-330832</v>
      </c>
      <c r="AD34" s="311">
        <f>-('5C1AG_Collegiate'!$AL34+'5C1AG_Collegiate'!$AO34)</f>
        <v>0</v>
      </c>
      <c r="AE34" s="311">
        <f>-('5C1AH_BRUP'!$AL34+'5C1AH_BRUP'!$AO34)</f>
        <v>0</v>
      </c>
      <c r="AF34" s="311">
        <f>-('5C1AI_Harmony'!$AL34+'5C1AI_Harmony'!$AO34)</f>
        <v>0</v>
      </c>
      <c r="AG34" s="311">
        <f>-('5C1AJ_Athlos'!$AL34+'5C1AJ_Athlos'!$AO34)</f>
        <v>0</v>
      </c>
      <c r="AH34" s="311">
        <f>-('5C1AK_NxtGen'!$AL34+'5C1AK_NxtGen'!$AO34)</f>
        <v>0</v>
      </c>
      <c r="AI34" s="311">
        <f>-('5C1AL_Red River'!$AL34+'5C1AL_Red River'!$AO34)</f>
        <v>0</v>
      </c>
      <c r="AJ34" s="311">
        <f>-('5C2_LAVCA'!AM34+'5C2_LAVCA'!AP34)</f>
        <v>-369603</v>
      </c>
      <c r="AK34" s="311">
        <f>-('5C3_UnvView'!AM34+'5C3_UnvView'!AP34)</f>
        <v>-621166</v>
      </c>
      <c r="AL34" s="312">
        <f t="shared" si="2"/>
        <v>-15947521</v>
      </c>
      <c r="AM34" s="313">
        <f t="shared" si="3"/>
        <v>125873639</v>
      </c>
    </row>
    <row r="35" spans="1:39" ht="15.6" customHeight="1" x14ac:dyDescent="0.2">
      <c r="A35" s="309">
        <v>29</v>
      </c>
      <c r="B35" s="310" t="s">
        <v>32</v>
      </c>
      <c r="C35" s="311">
        <f>'2_State Distrib and Adjs'!BF35</f>
        <v>75824556</v>
      </c>
      <c r="D35" s="311">
        <f>-'5A3_OJJ'!P35</f>
        <v>-7914</v>
      </c>
      <c r="E35" s="311"/>
      <c r="F35" s="311">
        <f>-('5C1A_Madison'!AL35+'5C1A_Madison'!AO35)</f>
        <v>0</v>
      </c>
      <c r="G35" s="311">
        <f>-('5C1B_DArbonne'!AL35+'5C1B_DArbonne'!AO35)</f>
        <v>0</v>
      </c>
      <c r="H35" s="311">
        <f>-('5C1C_Intl High'!AL35+'5C1C_Intl High'!AO35)</f>
        <v>0</v>
      </c>
      <c r="I35" s="311">
        <f>-('5C1D_NOMMA'!AL35+'5C1D_NOMMA'!AO35)</f>
        <v>0</v>
      </c>
      <c r="J35" s="311">
        <f>-('5C1E_LFNO'!AL35+'5C1E_LFNO'!AO35)</f>
        <v>0</v>
      </c>
      <c r="K35" s="311">
        <f>-('5C1F_L.C. Charter'!AL35+'5C1F_L.C. Charter'!AO35)</f>
        <v>0</v>
      </c>
      <c r="L35" s="311">
        <f>-('5C1G_JS Clark'!AL35+'5C1G_JS Clark'!AO35)</f>
        <v>0</v>
      </c>
      <c r="M35" s="311">
        <f>-('5C1H_Southwest'!AL35+'5C1H_Southwest'!AO35)</f>
        <v>0</v>
      </c>
      <c r="N35" s="311">
        <f>-('5C1I_LA Key'!AL35+'5C1I_LA Key'!AO35)</f>
        <v>0</v>
      </c>
      <c r="O35" s="311">
        <f>-('5C1J_JCFA-East'!AL35+'5C1J_JCFA-East'!AO35)</f>
        <v>0</v>
      </c>
      <c r="P35" s="311">
        <f>-('5C1M_GEO Mid'!AL35+'5C1M_GEO Mid'!AO35)</f>
        <v>0</v>
      </c>
      <c r="Q35" s="311">
        <f>-('5C1N_Delta'!AL35+'5C1N_Delta'!AO35)</f>
        <v>0</v>
      </c>
      <c r="R35" s="311">
        <f>-('5C1O_Impact'!AL35+'5C1O_Impact'!AO35)</f>
        <v>0</v>
      </c>
      <c r="S35" s="311">
        <f>-('5C1Q_Advantage'!AL35+'5C1Q_Advantage'!AO35)</f>
        <v>0</v>
      </c>
      <c r="T35" s="311">
        <f>-('5C1R_Iberville'!AL35+'5C1R_Iberville'!AO35)</f>
        <v>-367438</v>
      </c>
      <c r="U35" s="311">
        <f>-('5C1S_LC Col Prep'!AL35+'5C1S_LC Col Prep'!AO35)</f>
        <v>0</v>
      </c>
      <c r="V35" s="311">
        <f>-('5C1T_Northeast'!AL35+'5C1T_Northeast'!AO35)</f>
        <v>0</v>
      </c>
      <c r="W35" s="311">
        <f>-('5C1U_Acadiana Ren'!AL35+'5C1U_Acadiana Ren'!AO35)</f>
        <v>-59098</v>
      </c>
      <c r="X35" s="311">
        <f>-('5C1V_Laf Ren'!AL35+'5C1V_Laf Ren'!AO35)</f>
        <v>-10278</v>
      </c>
      <c r="Y35" s="311">
        <f>-('5C1W_Willow'!AL35+'5C1W_Willow'!AO35)</f>
        <v>0</v>
      </c>
      <c r="Z35" s="311">
        <f>-('5C1Y_GEO'!AL35+'5C1Y_GEO'!AO35)</f>
        <v>0</v>
      </c>
      <c r="AA35" s="311">
        <f>-('5C1Z_Lincoln Prep'!AL35+'5C1Z_Lincoln Prep'!AO35)</f>
        <v>0</v>
      </c>
      <c r="AB35" s="311">
        <f>-('5C1AE_Noble Minds'!$AL35+'5C1AE_Noble Minds'!$AO35)</f>
        <v>0</v>
      </c>
      <c r="AC35" s="311">
        <f>-('5C1AF_JCFA-Laf'!$AL35+'5C1AF_JCFA-Laf'!$AO35)</f>
        <v>0</v>
      </c>
      <c r="AD35" s="311">
        <f>-('5C1AG_Collegiate'!$AL35+'5C1AG_Collegiate'!$AO35)</f>
        <v>0</v>
      </c>
      <c r="AE35" s="311">
        <f>-('5C1AH_BRUP'!$AL35+'5C1AH_BRUP'!$AO35)</f>
        <v>0</v>
      </c>
      <c r="AF35" s="311">
        <f>-('5C1AI_Harmony'!$AL35+'5C1AI_Harmony'!$AO35)</f>
        <v>0</v>
      </c>
      <c r="AG35" s="311">
        <f>-('5C1AJ_Athlos'!$AL35+'5C1AJ_Athlos'!$AO35)</f>
        <v>0</v>
      </c>
      <c r="AH35" s="311">
        <f>-('5C1AK_NxtGen'!$AL35+'5C1AK_NxtGen'!$AO35)</f>
        <v>0</v>
      </c>
      <c r="AI35" s="311">
        <f>-('5C1AL_Red River'!$AL35+'5C1AL_Red River'!$AO35)</f>
        <v>0</v>
      </c>
      <c r="AJ35" s="311">
        <f>-('5C2_LAVCA'!AM35+'5C2_LAVCA'!AP35)</f>
        <v>-138753</v>
      </c>
      <c r="AK35" s="311">
        <f>-('5C3_UnvView'!AM35+'5C3_UnvView'!AP35)</f>
        <v>-270569</v>
      </c>
      <c r="AL35" s="312">
        <f t="shared" si="2"/>
        <v>-854050</v>
      </c>
      <c r="AM35" s="313">
        <f t="shared" si="3"/>
        <v>74970506</v>
      </c>
    </row>
    <row r="36" spans="1:39" ht="15.6" customHeight="1" x14ac:dyDescent="0.2">
      <c r="A36" s="314">
        <v>30</v>
      </c>
      <c r="B36" s="315" t="s">
        <v>33</v>
      </c>
      <c r="C36" s="316">
        <f>'2_State Distrib and Adjs'!BF36</f>
        <v>16939409</v>
      </c>
      <c r="D36" s="316">
        <f>-'5A3_OJJ'!P36</f>
        <v>0</v>
      </c>
      <c r="E36" s="316"/>
      <c r="F36" s="316">
        <f>-('5C1A_Madison'!AL36+'5C1A_Madison'!AO36)</f>
        <v>0</v>
      </c>
      <c r="G36" s="316">
        <f>-('5C1B_DArbonne'!AL36+'5C1B_DArbonne'!AO36)</f>
        <v>0</v>
      </c>
      <c r="H36" s="316">
        <f>-('5C1C_Intl High'!AL36+'5C1C_Intl High'!AO36)</f>
        <v>0</v>
      </c>
      <c r="I36" s="316">
        <f>-('5C1D_NOMMA'!AL36+'5C1D_NOMMA'!AO36)</f>
        <v>0</v>
      </c>
      <c r="J36" s="316">
        <f>-('5C1E_LFNO'!AL36+'5C1E_LFNO'!AO36)</f>
        <v>0</v>
      </c>
      <c r="K36" s="316">
        <f>-('5C1F_L.C. Charter'!AL36+'5C1F_L.C. Charter'!AO36)</f>
        <v>0</v>
      </c>
      <c r="L36" s="316">
        <f>-('5C1G_JS Clark'!AL36+'5C1G_JS Clark'!AO36)</f>
        <v>0</v>
      </c>
      <c r="M36" s="316">
        <f>-('5C1H_Southwest'!AL36+'5C1H_Southwest'!AO36)</f>
        <v>0</v>
      </c>
      <c r="N36" s="316">
        <f>-('5C1I_LA Key'!AL36+'5C1I_LA Key'!AO36)</f>
        <v>0</v>
      </c>
      <c r="O36" s="316">
        <f>-('5C1J_JCFA-East'!AL36+'5C1J_JCFA-East'!AO36)</f>
        <v>0</v>
      </c>
      <c r="P36" s="316">
        <f>-('5C1M_GEO Mid'!AL36+'5C1M_GEO Mid'!AO36)</f>
        <v>0</v>
      </c>
      <c r="Q36" s="316">
        <f>-('5C1N_Delta'!AL36+'5C1N_Delta'!AO36)</f>
        <v>0</v>
      </c>
      <c r="R36" s="316">
        <f>-('5C1O_Impact'!AL36+'5C1O_Impact'!AO36)</f>
        <v>0</v>
      </c>
      <c r="S36" s="316">
        <f>-('5C1Q_Advantage'!AL36+'5C1Q_Advantage'!AO36)</f>
        <v>0</v>
      </c>
      <c r="T36" s="316">
        <f>-('5C1R_Iberville'!AL36+'5C1R_Iberville'!AO36)</f>
        <v>0</v>
      </c>
      <c r="U36" s="316">
        <f>-('5C1S_LC Col Prep'!AL36+'5C1S_LC Col Prep'!AO36)</f>
        <v>0</v>
      </c>
      <c r="V36" s="316">
        <f>-('5C1T_Northeast'!AL36+'5C1T_Northeast'!AO36)</f>
        <v>0</v>
      </c>
      <c r="W36" s="316">
        <f>-('5C1U_Acadiana Ren'!AL36+'5C1U_Acadiana Ren'!AO36)</f>
        <v>0</v>
      </c>
      <c r="X36" s="316">
        <f>-('5C1V_Laf Ren'!AL36+'5C1V_Laf Ren'!AO36)</f>
        <v>0</v>
      </c>
      <c r="Y36" s="316">
        <f>-('5C1W_Willow'!AL36+'5C1W_Willow'!AO36)</f>
        <v>0</v>
      </c>
      <c r="Z36" s="316">
        <f>-('5C1Y_GEO'!AL36+'5C1Y_GEO'!AO36)</f>
        <v>0</v>
      </c>
      <c r="AA36" s="316">
        <f>-('5C1Z_Lincoln Prep'!AL36+'5C1Z_Lincoln Prep'!AO36)</f>
        <v>0</v>
      </c>
      <c r="AB36" s="316">
        <f>-('5C1AE_Noble Minds'!$AL36+'5C1AE_Noble Minds'!$AO36)</f>
        <v>0</v>
      </c>
      <c r="AC36" s="316">
        <f>-('5C1AF_JCFA-Laf'!$AL36+'5C1AF_JCFA-Laf'!$AO36)</f>
        <v>0</v>
      </c>
      <c r="AD36" s="316">
        <f>-('5C1AG_Collegiate'!$AL36+'5C1AG_Collegiate'!$AO36)</f>
        <v>0</v>
      </c>
      <c r="AE36" s="316">
        <f>-('5C1AH_BRUP'!$AL36+'5C1AH_BRUP'!$AO36)</f>
        <v>0</v>
      </c>
      <c r="AF36" s="586">
        <f>-('5C1AI_Harmony'!$AL36+'5C1AI_Harmony'!$AO36)</f>
        <v>0</v>
      </c>
      <c r="AG36" s="586">
        <f>-('5C1AJ_Athlos'!$AL36+'5C1AJ_Athlos'!$AO36)</f>
        <v>0</v>
      </c>
      <c r="AH36" s="781">
        <f>-('5C1AK_NxtGen'!$AL36+'5C1AK_NxtGen'!$AO36)</f>
        <v>0</v>
      </c>
      <c r="AI36" s="781">
        <f>-('5C1AL_Red River'!$AL36+'5C1AL_Red River'!$AO36)</f>
        <v>0</v>
      </c>
      <c r="AJ36" s="316">
        <f>-('5C2_LAVCA'!AM36+'5C2_LAVCA'!AP36)</f>
        <v>-6258</v>
      </c>
      <c r="AK36" s="316">
        <f>-('5C3_UnvView'!AM36+'5C3_UnvView'!AP36)</f>
        <v>-54230</v>
      </c>
      <c r="AL36" s="317">
        <f t="shared" si="2"/>
        <v>-60488</v>
      </c>
      <c r="AM36" s="318">
        <f t="shared" si="3"/>
        <v>16878921</v>
      </c>
    </row>
    <row r="37" spans="1:39" ht="15.6" customHeight="1" x14ac:dyDescent="0.2">
      <c r="A37" s="303">
        <v>31</v>
      </c>
      <c r="B37" s="304" t="s">
        <v>34</v>
      </c>
      <c r="C37" s="305">
        <f>'2_State Distrib and Adjs'!BF37</f>
        <v>31282939</v>
      </c>
      <c r="D37" s="305">
        <f>-'5A3_OJJ'!P37</f>
        <v>-738</v>
      </c>
      <c r="E37" s="305"/>
      <c r="F37" s="305">
        <f>-('5C1A_Madison'!AL37+'5C1A_Madison'!AO37)</f>
        <v>0</v>
      </c>
      <c r="G37" s="305">
        <f>-('5C1B_DArbonne'!AL37+'5C1B_DArbonne'!AO37)</f>
        <v>-290225</v>
      </c>
      <c r="H37" s="305">
        <f>-('5C1C_Intl High'!AL37+'5C1C_Intl High'!AO37)</f>
        <v>0</v>
      </c>
      <c r="I37" s="305">
        <f>-('5C1D_NOMMA'!AL37+'5C1D_NOMMA'!AO37)</f>
        <v>0</v>
      </c>
      <c r="J37" s="305">
        <f>-('5C1E_LFNO'!AL37+'5C1E_LFNO'!AO37)</f>
        <v>0</v>
      </c>
      <c r="K37" s="305">
        <f>-('5C1F_L.C. Charter'!AL37+'5C1F_L.C. Charter'!AO37)</f>
        <v>0</v>
      </c>
      <c r="L37" s="305">
        <f>-('5C1G_JS Clark'!AL37+'5C1G_JS Clark'!AO37)</f>
        <v>0</v>
      </c>
      <c r="M37" s="305">
        <f>-('5C1H_Southwest'!AL37+'5C1H_Southwest'!AO37)</f>
        <v>0</v>
      </c>
      <c r="N37" s="305">
        <f>-('5C1I_LA Key'!AL37+'5C1I_LA Key'!AO37)</f>
        <v>0</v>
      </c>
      <c r="O37" s="305">
        <f>-('5C1J_JCFA-East'!AL37+'5C1J_JCFA-East'!AO37)</f>
        <v>0</v>
      </c>
      <c r="P37" s="305">
        <f>-('5C1M_GEO Mid'!AL37+'5C1M_GEO Mid'!AO37)</f>
        <v>0</v>
      </c>
      <c r="Q37" s="305">
        <f>-('5C1N_Delta'!AL37+'5C1N_Delta'!AO37)</f>
        <v>0</v>
      </c>
      <c r="R37" s="305">
        <f>-('5C1O_Impact'!AL37+'5C1O_Impact'!AO37)</f>
        <v>0</v>
      </c>
      <c r="S37" s="305">
        <f>-('5C1Q_Advantage'!AL37+'5C1Q_Advantage'!AO37)</f>
        <v>0</v>
      </c>
      <c r="T37" s="305">
        <f>-('5C1R_Iberville'!AL37+'5C1R_Iberville'!AO37)</f>
        <v>0</v>
      </c>
      <c r="U37" s="305">
        <f>-('5C1S_LC Col Prep'!AL37+'5C1S_LC Col Prep'!AO37)</f>
        <v>0</v>
      </c>
      <c r="V37" s="305">
        <f>-('5C1T_Northeast'!AL37+'5C1T_Northeast'!AO37)</f>
        <v>-37050</v>
      </c>
      <c r="W37" s="305">
        <f>-('5C1U_Acadiana Ren'!AL37+'5C1U_Acadiana Ren'!AO37)</f>
        <v>0</v>
      </c>
      <c r="X37" s="305">
        <f>-('5C1V_Laf Ren'!AL37+'5C1V_Laf Ren'!AO37)</f>
        <v>0</v>
      </c>
      <c r="Y37" s="305">
        <f>-('5C1W_Willow'!AL37+'5C1W_Willow'!AO37)</f>
        <v>0</v>
      </c>
      <c r="Z37" s="305">
        <f>-('5C1Y_GEO'!AL37+'5C1Y_GEO'!AO37)</f>
        <v>0</v>
      </c>
      <c r="AA37" s="306">
        <f>-('5C1Z_Lincoln Prep'!AL37+'5C1Z_Lincoln Prep'!AO37)</f>
        <v>-2541013</v>
      </c>
      <c r="AB37" s="306">
        <f>-('5C1AE_Noble Minds'!$AL37+'5C1AE_Noble Minds'!$AO37)</f>
        <v>0</v>
      </c>
      <c r="AC37" s="306">
        <f>-('5C1AF_JCFA-Laf'!$AL37+'5C1AF_JCFA-Laf'!$AO37)</f>
        <v>0</v>
      </c>
      <c r="AD37" s="306">
        <f>-('5C1AG_Collegiate'!$AL37+'5C1AG_Collegiate'!$AO37)</f>
        <v>0</v>
      </c>
      <c r="AE37" s="306">
        <f>-('5C1AH_BRUP'!$AL37+'5C1AH_BRUP'!$AO37)</f>
        <v>0</v>
      </c>
      <c r="AF37" s="585">
        <f>-('5C1AI_Harmony'!$AL37+'5C1AI_Harmony'!$AO37)</f>
        <v>0</v>
      </c>
      <c r="AG37" s="585">
        <f>-('5C1AJ_Athlos'!$AL37+'5C1AJ_Athlos'!$AO37)</f>
        <v>0</v>
      </c>
      <c r="AH37" s="585">
        <f>-('5C1AK_NxtGen'!$AL37+'5C1AK_NxtGen'!$AO37)</f>
        <v>0</v>
      </c>
      <c r="AI37" s="585">
        <f>-('5C1AL_Red River'!$AL37+'5C1AL_Red River'!$AO37)</f>
        <v>0</v>
      </c>
      <c r="AJ37" s="305">
        <f>-('5C2_LAVCA'!AM37+'5C2_LAVCA'!AP37)</f>
        <v>-108372</v>
      </c>
      <c r="AK37" s="305">
        <f>-('5C3_UnvView'!AM37+'5C3_UnvView'!AP37)</f>
        <v>-75093</v>
      </c>
      <c r="AL37" s="307">
        <f t="shared" si="2"/>
        <v>-3052491</v>
      </c>
      <c r="AM37" s="308">
        <f t="shared" si="3"/>
        <v>28230448</v>
      </c>
    </row>
    <row r="38" spans="1:39" ht="15.6" customHeight="1" x14ac:dyDescent="0.2">
      <c r="A38" s="309">
        <v>32</v>
      </c>
      <c r="B38" s="310" t="s">
        <v>35</v>
      </c>
      <c r="C38" s="311">
        <f>'2_State Distrib and Adjs'!BF38</f>
        <v>172872706</v>
      </c>
      <c r="D38" s="311">
        <f>-'5A3_OJJ'!P38</f>
        <v>0</v>
      </c>
      <c r="E38" s="311"/>
      <c r="F38" s="311">
        <f>-('5C1A_Madison'!AL38+'5C1A_Madison'!AO38)</f>
        <v>-11396</v>
      </c>
      <c r="G38" s="311">
        <f>-('5C1B_DArbonne'!AL38+'5C1B_DArbonne'!AO38)</f>
        <v>0</v>
      </c>
      <c r="H38" s="311">
        <f>-('5C1C_Intl High'!AL38+'5C1C_Intl High'!AO38)</f>
        <v>0</v>
      </c>
      <c r="I38" s="311">
        <f>-('5C1D_NOMMA'!AL38+'5C1D_NOMMA'!AO38)</f>
        <v>0</v>
      </c>
      <c r="J38" s="311">
        <f>-('5C1E_LFNO'!AL38+'5C1E_LFNO'!AO38)</f>
        <v>0</v>
      </c>
      <c r="K38" s="311">
        <f>-('5C1F_L.C. Charter'!AL38+'5C1F_L.C. Charter'!AO38)</f>
        <v>0</v>
      </c>
      <c r="L38" s="311">
        <f>-('5C1G_JS Clark'!AL38+'5C1G_JS Clark'!AO38)</f>
        <v>0</v>
      </c>
      <c r="M38" s="311">
        <f>-('5C1H_Southwest'!AL38+'5C1H_Southwest'!AO38)</f>
        <v>0</v>
      </c>
      <c r="N38" s="311">
        <f>-('5C1I_LA Key'!AL38+'5C1I_LA Key'!AO38)</f>
        <v>-54131</v>
      </c>
      <c r="O38" s="311">
        <f>-('5C1J_JCFA-East'!AL38+'5C1J_JCFA-East'!AO38)</f>
        <v>0</v>
      </c>
      <c r="P38" s="311">
        <f>-('5C1M_GEO Mid'!AL38+'5C1M_GEO Mid'!AO38)</f>
        <v>-8547</v>
      </c>
      <c r="Q38" s="311">
        <f>-('5C1N_Delta'!AL38+'5C1N_Delta'!AO38)</f>
        <v>0</v>
      </c>
      <c r="R38" s="311">
        <f>-('5C1O_Impact'!AL38+'5C1O_Impact'!AO38)</f>
        <v>0</v>
      </c>
      <c r="S38" s="311">
        <f>-('5C1Q_Advantage'!AL38+'5C1Q_Advantage'!AO38)</f>
        <v>-11396</v>
      </c>
      <c r="T38" s="311">
        <f>-('5C1R_Iberville'!AL38+'5C1R_Iberville'!AO38)</f>
        <v>-11396</v>
      </c>
      <c r="U38" s="311">
        <f>-('5C1S_LC Col Prep'!AL38+'5C1S_LC Col Prep'!AO38)</f>
        <v>0</v>
      </c>
      <c r="V38" s="311">
        <f>-('5C1T_Northeast'!AL38+'5C1T_Northeast'!AO38)</f>
        <v>0</v>
      </c>
      <c r="W38" s="311">
        <f>-('5C1U_Acadiana Ren'!AL38+'5C1U_Acadiana Ren'!AO38)</f>
        <v>0</v>
      </c>
      <c r="X38" s="311">
        <f>-('5C1V_Laf Ren'!AL38+'5C1V_Laf Ren'!AO38)</f>
        <v>0</v>
      </c>
      <c r="Y38" s="311">
        <f>-('5C1W_Willow'!AL38+'5C1W_Willow'!AO38)</f>
        <v>0</v>
      </c>
      <c r="Z38" s="311">
        <f>-('5C1Y_GEO'!AL38+'5C1Y_GEO'!AO38)</f>
        <v>-19943</v>
      </c>
      <c r="AA38" s="311">
        <f>-('5C1Z_Lincoln Prep'!AL38+'5C1Z_Lincoln Prep'!AO38)</f>
        <v>0</v>
      </c>
      <c r="AB38" s="311">
        <f>-('5C1AE_Noble Minds'!$AL38+'5C1AE_Noble Minds'!$AO38)</f>
        <v>0</v>
      </c>
      <c r="AC38" s="311">
        <f>-('5C1AF_JCFA-Laf'!$AL38+'5C1AF_JCFA-Laf'!$AO38)</f>
        <v>0</v>
      </c>
      <c r="AD38" s="311">
        <f>-('5C1AG_Collegiate'!$AL38+'5C1AG_Collegiate'!$AO38)</f>
        <v>0</v>
      </c>
      <c r="AE38" s="311">
        <f>-('5C1AH_BRUP'!$AL38+'5C1AH_BRUP'!$AO38)</f>
        <v>0</v>
      </c>
      <c r="AF38" s="311">
        <f>-('5C1AI_Harmony'!$AL38+'5C1AI_Harmony'!$AO38)</f>
        <v>0</v>
      </c>
      <c r="AG38" s="311">
        <f>-('5C1AJ_Athlos'!$AL38+'5C1AJ_Athlos'!$AO38)</f>
        <v>0</v>
      </c>
      <c r="AH38" s="311">
        <f>-('5C1AK_NxtGen'!$AL38+'5C1AK_NxtGen'!$AO38)</f>
        <v>-2849</v>
      </c>
      <c r="AI38" s="311">
        <f>-('5C1AL_Red River'!$AL38+'5C1AL_Red River'!$AO38)</f>
        <v>0</v>
      </c>
      <c r="AJ38" s="311">
        <f>-('5C2_LAVCA'!AM38+'5C2_LAVCA'!AP38)</f>
        <v>-205128</v>
      </c>
      <c r="AK38" s="311">
        <f>-('5C3_UnvView'!AM38+'5C3_UnvView'!AP38)</f>
        <v>-744792</v>
      </c>
      <c r="AL38" s="312">
        <f t="shared" si="2"/>
        <v>-1069578</v>
      </c>
      <c r="AM38" s="313">
        <f t="shared" si="3"/>
        <v>171803128</v>
      </c>
    </row>
    <row r="39" spans="1:39" ht="15.6" customHeight="1" x14ac:dyDescent="0.2">
      <c r="A39" s="309">
        <v>33</v>
      </c>
      <c r="B39" s="310" t="s">
        <v>36</v>
      </c>
      <c r="C39" s="311">
        <f>'2_State Distrib and Adjs'!BF39</f>
        <v>7558994</v>
      </c>
      <c r="D39" s="311">
        <f>-'5A3_OJJ'!P39</f>
        <v>-12335</v>
      </c>
      <c r="E39" s="311"/>
      <c r="F39" s="311">
        <f>-('5C1A_Madison'!AL39+'5C1A_Madison'!AO39)</f>
        <v>0</v>
      </c>
      <c r="G39" s="311">
        <f>-('5C1B_DArbonne'!AL39+'5C1B_DArbonne'!AO39)</f>
        <v>0</v>
      </c>
      <c r="H39" s="311">
        <f>-('5C1C_Intl High'!AL39+'5C1C_Intl High'!AO39)</f>
        <v>0</v>
      </c>
      <c r="I39" s="311">
        <f>-('5C1D_NOMMA'!AL39+'5C1D_NOMMA'!AO39)</f>
        <v>0</v>
      </c>
      <c r="J39" s="311">
        <f>-('5C1E_LFNO'!AL39+'5C1E_LFNO'!AO39)</f>
        <v>0</v>
      </c>
      <c r="K39" s="311">
        <f>-('5C1F_L.C. Charter'!AL39+'5C1F_L.C. Charter'!AO39)</f>
        <v>0</v>
      </c>
      <c r="L39" s="311">
        <f>-('5C1G_JS Clark'!AL39+'5C1G_JS Clark'!AO39)</f>
        <v>0</v>
      </c>
      <c r="M39" s="311">
        <f>-('5C1H_Southwest'!AL39+'5C1H_Southwest'!AO39)</f>
        <v>0</v>
      </c>
      <c r="N39" s="311">
        <f>-('5C1I_LA Key'!AL39+'5C1I_LA Key'!AO39)</f>
        <v>0</v>
      </c>
      <c r="O39" s="311">
        <f>-('5C1J_JCFA-East'!AL39+'5C1J_JCFA-East'!AO39)</f>
        <v>0</v>
      </c>
      <c r="P39" s="311">
        <f>-('5C1M_GEO Mid'!AL39+'5C1M_GEO Mid'!AO39)</f>
        <v>0</v>
      </c>
      <c r="Q39" s="311">
        <f>-('5C1N_Delta'!AL39+'5C1N_Delta'!AO39)</f>
        <v>0</v>
      </c>
      <c r="R39" s="311">
        <f>-('5C1O_Impact'!AL39+'5C1O_Impact'!AO39)</f>
        <v>0</v>
      </c>
      <c r="S39" s="311">
        <f>-('5C1Q_Advantage'!AL39+'5C1Q_Advantage'!AO39)</f>
        <v>0</v>
      </c>
      <c r="T39" s="311">
        <f>-('5C1R_Iberville'!AL39+'5C1R_Iberville'!AO39)</f>
        <v>0</v>
      </c>
      <c r="U39" s="311">
        <f>-('5C1S_LC Col Prep'!AL39+'5C1S_LC Col Prep'!AO39)</f>
        <v>0</v>
      </c>
      <c r="V39" s="311">
        <f>-('5C1T_Northeast'!AL39+'5C1T_Northeast'!AO39)</f>
        <v>0</v>
      </c>
      <c r="W39" s="311">
        <f>-('5C1U_Acadiana Ren'!AL39+'5C1U_Acadiana Ren'!AO39)</f>
        <v>0</v>
      </c>
      <c r="X39" s="311">
        <f>-('5C1V_Laf Ren'!AL39+'5C1V_Laf Ren'!AO39)</f>
        <v>0</v>
      </c>
      <c r="Y39" s="311">
        <f>-('5C1W_Willow'!AL39+'5C1W_Willow'!AO39)</f>
        <v>0</v>
      </c>
      <c r="Z39" s="311">
        <f>-('5C1Y_GEO'!AL39+'5C1Y_GEO'!AO39)</f>
        <v>0</v>
      </c>
      <c r="AA39" s="311">
        <f>-('5C1Z_Lincoln Prep'!AL39+'5C1Z_Lincoln Prep'!AO39)</f>
        <v>0</v>
      </c>
      <c r="AB39" s="311">
        <f>-('5C1AE_Noble Minds'!$AL39+'5C1AE_Noble Minds'!$AO39)</f>
        <v>0</v>
      </c>
      <c r="AC39" s="311">
        <f>-('5C1AF_JCFA-Laf'!$AL39+'5C1AF_JCFA-Laf'!$AO39)</f>
        <v>0</v>
      </c>
      <c r="AD39" s="311">
        <f>-('5C1AG_Collegiate'!$AL39+'5C1AG_Collegiate'!$AO39)</f>
        <v>0</v>
      </c>
      <c r="AE39" s="311">
        <f>-('5C1AH_BRUP'!$AL39+'5C1AH_BRUP'!$AO39)</f>
        <v>0</v>
      </c>
      <c r="AF39" s="311">
        <f>-('5C1AI_Harmony'!$AL39+'5C1AI_Harmony'!$AO39)</f>
        <v>0</v>
      </c>
      <c r="AG39" s="311">
        <f>-('5C1AJ_Athlos'!$AL39+'5C1AJ_Athlos'!$AO39)</f>
        <v>0</v>
      </c>
      <c r="AH39" s="311">
        <f>-('5C1AK_NxtGen'!$AL39+'5C1AK_NxtGen'!$AO39)</f>
        <v>0</v>
      </c>
      <c r="AI39" s="311">
        <f>-('5C1AL_Red River'!$AL39+'5C1AL_Red River'!$AO39)</f>
        <v>0</v>
      </c>
      <c r="AJ39" s="311">
        <f>-('5C2_LAVCA'!AM39+'5C2_LAVCA'!AP39)</f>
        <v>-4108</v>
      </c>
      <c r="AK39" s="311">
        <f>-('5C3_UnvView'!AM39+'5C3_UnvView'!AP39)</f>
        <v>-1089119</v>
      </c>
      <c r="AL39" s="312">
        <f t="shared" ref="AL39:AL70" si="4">SUM(D39:AK39)</f>
        <v>-1105562</v>
      </c>
      <c r="AM39" s="313">
        <f t="shared" ref="AM39:AM75" si="5">SUM(C39:AK39)</f>
        <v>6453432</v>
      </c>
    </row>
    <row r="40" spans="1:39" ht="15.6" customHeight="1" x14ac:dyDescent="0.2">
      <c r="A40" s="309">
        <v>34</v>
      </c>
      <c r="B40" s="310" t="s">
        <v>37</v>
      </c>
      <c r="C40" s="311">
        <f>'2_State Distrib and Adjs'!BF40</f>
        <v>24516433</v>
      </c>
      <c r="D40" s="311">
        <f>-'5A3_OJJ'!P40</f>
        <v>-6742</v>
      </c>
      <c r="E40" s="311"/>
      <c r="F40" s="311">
        <f>-('5C1A_Madison'!AL40+'5C1A_Madison'!AO40)</f>
        <v>0</v>
      </c>
      <c r="G40" s="311">
        <f>-('5C1B_DArbonne'!AL40+'5C1B_DArbonne'!AO40)</f>
        <v>-11085</v>
      </c>
      <c r="H40" s="311">
        <f>-('5C1C_Intl High'!AL40+'5C1C_Intl High'!AO40)</f>
        <v>0</v>
      </c>
      <c r="I40" s="311">
        <f>-('5C1D_NOMMA'!AL40+'5C1D_NOMMA'!AO40)</f>
        <v>0</v>
      </c>
      <c r="J40" s="311">
        <f>-('5C1E_LFNO'!AL40+'5C1E_LFNO'!AO40)</f>
        <v>0</v>
      </c>
      <c r="K40" s="311">
        <f>-('5C1F_L.C. Charter'!AL40+'5C1F_L.C. Charter'!AO40)</f>
        <v>0</v>
      </c>
      <c r="L40" s="311">
        <f>-('5C1G_JS Clark'!AL40+'5C1G_JS Clark'!AO40)</f>
        <v>0</v>
      </c>
      <c r="M40" s="311">
        <f>-('5C1H_Southwest'!AL40+'5C1H_Southwest'!AO40)</f>
        <v>0</v>
      </c>
      <c r="N40" s="311">
        <f>-('5C1I_LA Key'!AL40+'5C1I_LA Key'!AO40)</f>
        <v>0</v>
      </c>
      <c r="O40" s="311">
        <f>-('5C1J_JCFA-East'!AL40+'5C1J_JCFA-East'!AO40)</f>
        <v>0</v>
      </c>
      <c r="P40" s="311">
        <f>-('5C1M_GEO Mid'!AL40+'5C1M_GEO Mid'!AO40)</f>
        <v>0</v>
      </c>
      <c r="Q40" s="311">
        <f>-('5C1N_Delta'!AL40+'5C1N_Delta'!AO40)</f>
        <v>0</v>
      </c>
      <c r="R40" s="311">
        <f>-('5C1O_Impact'!AL40+'5C1O_Impact'!AO40)</f>
        <v>0</v>
      </c>
      <c r="S40" s="311">
        <f>-('5C1Q_Advantage'!AL40+'5C1Q_Advantage'!AO40)</f>
        <v>0</v>
      </c>
      <c r="T40" s="311">
        <f>-('5C1R_Iberville'!AL40+'5C1R_Iberville'!AO40)</f>
        <v>0</v>
      </c>
      <c r="U40" s="311">
        <f>-('5C1S_LC Col Prep'!AL40+'5C1S_LC Col Prep'!AO40)</f>
        <v>0</v>
      </c>
      <c r="V40" s="311">
        <f>-('5C1T_Northeast'!AL40+'5C1T_Northeast'!AO40)</f>
        <v>0</v>
      </c>
      <c r="W40" s="311">
        <f>-('5C1U_Acadiana Ren'!AL40+'5C1U_Acadiana Ren'!AO40)</f>
        <v>0</v>
      </c>
      <c r="X40" s="311">
        <f>-('5C1V_Laf Ren'!AL40+'5C1V_Laf Ren'!AO40)</f>
        <v>0</v>
      </c>
      <c r="Y40" s="311">
        <f>-('5C1W_Willow'!AL40+'5C1W_Willow'!AO40)</f>
        <v>0</v>
      </c>
      <c r="Z40" s="311">
        <f>-('5C1Y_GEO'!AL40+'5C1Y_GEO'!AO40)</f>
        <v>0</v>
      </c>
      <c r="AA40" s="311">
        <f>-('5C1Z_Lincoln Prep'!AL40+'5C1Z_Lincoln Prep'!AO40)</f>
        <v>0</v>
      </c>
      <c r="AB40" s="311">
        <f>-('5C1AE_Noble Minds'!$AL40+'5C1AE_Noble Minds'!$AO40)</f>
        <v>0</v>
      </c>
      <c r="AC40" s="311">
        <f>-('5C1AF_JCFA-Laf'!$AL40+'5C1AF_JCFA-Laf'!$AO40)</f>
        <v>0</v>
      </c>
      <c r="AD40" s="311">
        <f>-('5C1AG_Collegiate'!$AL40+'5C1AG_Collegiate'!$AO40)</f>
        <v>0</v>
      </c>
      <c r="AE40" s="311">
        <f>-('5C1AH_BRUP'!$AL40+'5C1AH_BRUP'!$AO40)</f>
        <v>0</v>
      </c>
      <c r="AF40" s="311">
        <f>-('5C1AI_Harmony'!$AL40+'5C1AI_Harmony'!$AO40)</f>
        <v>0</v>
      </c>
      <c r="AG40" s="311">
        <f>-('5C1AJ_Athlos'!$AL40+'5C1AJ_Athlos'!$AO40)</f>
        <v>0</v>
      </c>
      <c r="AH40" s="311">
        <f>-('5C1AK_NxtGen'!$AL40+'5C1AK_NxtGen'!$AO40)</f>
        <v>0</v>
      </c>
      <c r="AI40" s="311">
        <f>-('5C1AL_Red River'!$AL40+'5C1AL_Red River'!$AO40)</f>
        <v>0</v>
      </c>
      <c r="AJ40" s="311">
        <f>-('5C2_LAVCA'!AM40+'5C2_LAVCA'!AP40)</f>
        <v>-123044</v>
      </c>
      <c r="AK40" s="311">
        <f>-('5C3_UnvView'!AM40+'5C3_UnvView'!AP40)</f>
        <v>-86751</v>
      </c>
      <c r="AL40" s="312">
        <f t="shared" si="4"/>
        <v>-227622</v>
      </c>
      <c r="AM40" s="313">
        <f t="shared" si="5"/>
        <v>24288811</v>
      </c>
    </row>
    <row r="41" spans="1:39" ht="15.6" customHeight="1" x14ac:dyDescent="0.2">
      <c r="A41" s="314">
        <v>35</v>
      </c>
      <c r="B41" s="315" t="s">
        <v>38</v>
      </c>
      <c r="C41" s="316">
        <f>'2_State Distrib and Adjs'!BF41</f>
        <v>30945099</v>
      </c>
      <c r="D41" s="316">
        <f>-'5A3_OJJ'!P41</f>
        <v>0</v>
      </c>
      <c r="E41" s="316"/>
      <c r="F41" s="316">
        <f>-('5C1A_Madison'!AL41+'5C1A_Madison'!AO41)</f>
        <v>0</v>
      </c>
      <c r="G41" s="316">
        <f>-('5C1B_DArbonne'!AL41+'5C1B_DArbonne'!AO41)</f>
        <v>0</v>
      </c>
      <c r="H41" s="316">
        <f>-('5C1C_Intl High'!AL41+'5C1C_Intl High'!AO41)</f>
        <v>0</v>
      </c>
      <c r="I41" s="316">
        <f>-('5C1D_NOMMA'!AL41+'5C1D_NOMMA'!AO41)</f>
        <v>0</v>
      </c>
      <c r="J41" s="316">
        <f>-('5C1E_LFNO'!AL41+'5C1E_LFNO'!AO41)</f>
        <v>0</v>
      </c>
      <c r="K41" s="316">
        <f>-('5C1F_L.C. Charter'!AL41+'5C1F_L.C. Charter'!AO41)</f>
        <v>0</v>
      </c>
      <c r="L41" s="316">
        <f>-('5C1G_JS Clark'!AL41+'5C1G_JS Clark'!AO41)</f>
        <v>0</v>
      </c>
      <c r="M41" s="316">
        <f>-('5C1H_Southwest'!AL41+'5C1H_Southwest'!AO41)</f>
        <v>0</v>
      </c>
      <c r="N41" s="316">
        <f>-('5C1I_LA Key'!AL41+'5C1I_LA Key'!AO41)</f>
        <v>0</v>
      </c>
      <c r="O41" s="316">
        <f>-('5C1J_JCFA-East'!AL41+'5C1J_JCFA-East'!AO41)</f>
        <v>0</v>
      </c>
      <c r="P41" s="316">
        <f>-('5C1M_GEO Mid'!AL41+'5C1M_GEO Mid'!AO41)</f>
        <v>0</v>
      </c>
      <c r="Q41" s="316">
        <f>-('5C1N_Delta'!AL41+'5C1N_Delta'!AO41)</f>
        <v>0</v>
      </c>
      <c r="R41" s="316">
        <f>-('5C1O_Impact'!AL41+'5C1O_Impact'!AO41)</f>
        <v>0</v>
      </c>
      <c r="S41" s="316">
        <f>-('5C1Q_Advantage'!AL41+'5C1Q_Advantage'!AO41)</f>
        <v>0</v>
      </c>
      <c r="T41" s="316">
        <f>-('5C1R_Iberville'!AL41+'5C1R_Iberville'!AO41)</f>
        <v>0</v>
      </c>
      <c r="U41" s="316">
        <f>-('5C1S_LC Col Prep'!AL41+'5C1S_LC Col Prep'!AO41)</f>
        <v>0</v>
      </c>
      <c r="V41" s="316">
        <f>-('5C1T_Northeast'!AL41+'5C1T_Northeast'!AO41)</f>
        <v>0</v>
      </c>
      <c r="W41" s="316">
        <f>-('5C1U_Acadiana Ren'!AL41+'5C1U_Acadiana Ren'!AO41)</f>
        <v>0</v>
      </c>
      <c r="X41" s="316">
        <f>-('5C1V_Laf Ren'!AL41+'5C1V_Laf Ren'!AO41)</f>
        <v>0</v>
      </c>
      <c r="Y41" s="316">
        <f>-('5C1W_Willow'!AL41+'5C1W_Willow'!AO41)</f>
        <v>0</v>
      </c>
      <c r="Z41" s="316">
        <f>-('5C1Y_GEO'!AL41+'5C1Y_GEO'!AO41)</f>
        <v>0</v>
      </c>
      <c r="AA41" s="316">
        <f>-('5C1Z_Lincoln Prep'!AL41+'5C1Z_Lincoln Prep'!AO41)</f>
        <v>0</v>
      </c>
      <c r="AB41" s="316">
        <f>-('5C1AE_Noble Minds'!$AL41+'5C1AE_Noble Minds'!$AO41)</f>
        <v>0</v>
      </c>
      <c r="AC41" s="316">
        <f>-('5C1AF_JCFA-Laf'!$AL41+'5C1AF_JCFA-Laf'!$AO41)</f>
        <v>0</v>
      </c>
      <c r="AD41" s="316">
        <f>-('5C1AG_Collegiate'!$AL41+'5C1AG_Collegiate'!$AO41)</f>
        <v>0</v>
      </c>
      <c r="AE41" s="316">
        <f>-('5C1AH_BRUP'!$AL41+'5C1AH_BRUP'!$AO41)</f>
        <v>0</v>
      </c>
      <c r="AF41" s="586">
        <f>-('5C1AI_Harmony'!$AL41+'5C1AI_Harmony'!$AO41)</f>
        <v>0</v>
      </c>
      <c r="AG41" s="586">
        <f>-('5C1AJ_Athlos'!$AL41+'5C1AJ_Athlos'!$AO41)</f>
        <v>0</v>
      </c>
      <c r="AH41" s="781">
        <f>-('5C1AK_NxtGen'!$AL41+'5C1AK_NxtGen'!$AO41)</f>
        <v>0</v>
      </c>
      <c r="AI41" s="781">
        <f>-('5C1AL_Red River'!$AL41+'5C1AL_Red River'!$AO41)</f>
        <v>0</v>
      </c>
      <c r="AJ41" s="316">
        <f>-('5C2_LAVCA'!AM41+'5C2_LAVCA'!AP41)</f>
        <v>-82018</v>
      </c>
      <c r="AK41" s="316">
        <f>-('5C3_UnvView'!AM41+'5C3_UnvView'!AP41)</f>
        <v>-39901</v>
      </c>
      <c r="AL41" s="317">
        <f t="shared" si="4"/>
        <v>-121919</v>
      </c>
      <c r="AM41" s="318">
        <f t="shared" si="5"/>
        <v>30823180</v>
      </c>
    </row>
    <row r="42" spans="1:39" ht="15.6" customHeight="1" x14ac:dyDescent="0.2">
      <c r="A42" s="303">
        <v>36</v>
      </c>
      <c r="B42" s="394" t="s">
        <v>39</v>
      </c>
      <c r="C42" s="305">
        <f>'2_State Distrib and Adjs'!BF42</f>
        <v>201927194</v>
      </c>
      <c r="D42" s="305">
        <f>-'5A3_OJJ'!P42</f>
        <v>-139143</v>
      </c>
      <c r="E42" s="305"/>
      <c r="F42" s="305">
        <f>-('5C1A_Madison'!AL42+'5C1A_Madison'!AO42)</f>
        <v>0</v>
      </c>
      <c r="G42" s="305">
        <f>-('5C1B_DArbonne'!AL42+'5C1B_DArbonne'!AO42)</f>
        <v>0</v>
      </c>
      <c r="H42" s="305">
        <f>-('5C1C_Intl High'!AL42+'5C1C_Intl High'!AO42)</f>
        <v>-1995714</v>
      </c>
      <c r="I42" s="305">
        <f>-('5C1D_NOMMA'!AL42+'5C1D_NOMMA'!AO42)</f>
        <v>-1649000</v>
      </c>
      <c r="J42" s="305">
        <f>-('5C1E_LFNO'!AL42+'5C1E_LFNO'!AO42)</f>
        <v>-4456195</v>
      </c>
      <c r="K42" s="305">
        <f>-('5C1F_L.C. Charter'!AL42+'5C1F_L.C. Charter'!AO42)</f>
        <v>0</v>
      </c>
      <c r="L42" s="305">
        <f>-('5C1G_JS Clark'!AL42+'5C1G_JS Clark'!AO42)</f>
        <v>0</v>
      </c>
      <c r="M42" s="305">
        <f>-('5C1H_Southwest'!AL42+'5C1H_Southwest'!AO42)</f>
        <v>0</v>
      </c>
      <c r="N42" s="305">
        <f>-('5C1I_LA Key'!AL42+'5C1I_LA Key'!AO42)</f>
        <v>-3298</v>
      </c>
      <c r="O42" s="305">
        <f>-('5C1J_JCFA-East'!AL42+'5C1J_JCFA-East'!AO42)</f>
        <v>-125324</v>
      </c>
      <c r="P42" s="305">
        <f>-('5C1M_GEO Mid'!AL42+'5C1M_GEO Mid'!AO42)</f>
        <v>0</v>
      </c>
      <c r="Q42" s="305">
        <f>-('5C1N_Delta'!AL42+'5C1N_Delta'!AO42)</f>
        <v>0</v>
      </c>
      <c r="R42" s="305">
        <f>-('5C1O_Impact'!AL42+'5C1O_Impact'!AO42)</f>
        <v>0</v>
      </c>
      <c r="S42" s="305">
        <f>-('5C1Q_Advantage'!AL42+'5C1Q_Advantage'!AO42)</f>
        <v>0</v>
      </c>
      <c r="T42" s="305">
        <f>-('5C1R_Iberville'!AL42+'5C1R_Iberville'!AO42)</f>
        <v>-26384</v>
      </c>
      <c r="U42" s="305">
        <f>-('5C1S_LC Col Prep'!AL42+'5C1S_LC Col Prep'!AO42)</f>
        <v>0</v>
      </c>
      <c r="V42" s="305">
        <f>-('5C1T_Northeast'!AL42+'5C1T_Northeast'!AO42)</f>
        <v>0</v>
      </c>
      <c r="W42" s="305">
        <f>-('5C1U_Acadiana Ren'!AL42+'5C1U_Acadiana Ren'!AO42)</f>
        <v>0</v>
      </c>
      <c r="X42" s="305">
        <f>-('5C1V_Laf Ren'!AL42+'5C1V_Laf Ren'!AO42)</f>
        <v>0</v>
      </c>
      <c r="Y42" s="305">
        <f>-('5C1W_Willow'!AL42+'5C1W_Willow'!AO42)</f>
        <v>0</v>
      </c>
      <c r="Z42" s="305">
        <f>-('5C1Y_GEO'!AL42+'5C1Y_GEO'!AO42)</f>
        <v>0</v>
      </c>
      <c r="AA42" s="306">
        <f>-('5C1Z_Lincoln Prep'!AL42+'5C1Z_Lincoln Prep'!AO42)</f>
        <v>0</v>
      </c>
      <c r="AB42" s="306">
        <f>-('5C1AE_Noble Minds'!$AL42+'5C1AE_Noble Minds'!$AO42)</f>
        <v>-646597</v>
      </c>
      <c r="AC42" s="306">
        <f>-('5C1AF_JCFA-Laf'!$AL42+'5C1AF_JCFA-Laf'!$AO42)</f>
        <v>0</v>
      </c>
      <c r="AD42" s="306">
        <f>-('5C1AG_Collegiate'!$AL42+'5C1AG_Collegiate'!$AO42)</f>
        <v>0</v>
      </c>
      <c r="AE42" s="306">
        <f>-('5C1AH_BRUP'!$AL42+'5C1AH_BRUP'!$AO42)</f>
        <v>0</v>
      </c>
      <c r="AF42" s="585">
        <f>-('5C1AI_Harmony'!$AL42+'5C1AI_Harmony'!$AO42)</f>
        <v>-1058658</v>
      </c>
      <c r="AG42" s="585">
        <f>-('5C1AJ_Athlos'!$AL42+'5C1AJ_Athlos'!$AO42)</f>
        <v>-794818</v>
      </c>
      <c r="AH42" s="585">
        <f>-('5C1AK_NxtGen'!$AL42+'5C1AK_NxtGen'!$AO42)</f>
        <v>0</v>
      </c>
      <c r="AI42" s="585">
        <f>-('5C1AL_Red River'!$AL42+'5C1AL_Red River'!$AO42)</f>
        <v>0</v>
      </c>
      <c r="AJ42" s="305">
        <f>-('5C2_LAVCA'!AM42+'5C2_LAVCA'!AP42)</f>
        <v>-489753</v>
      </c>
      <c r="AK42" s="305">
        <f>-('5C3_UnvView'!AM42+'5C3_UnvView'!AP42)</f>
        <v>-436496</v>
      </c>
      <c r="AL42" s="307">
        <f t="shared" si="4"/>
        <v>-11821380</v>
      </c>
      <c r="AM42" s="308">
        <f t="shared" si="5"/>
        <v>190105814</v>
      </c>
    </row>
    <row r="43" spans="1:39" ht="15.6" customHeight="1" x14ac:dyDescent="0.2">
      <c r="A43" s="309">
        <v>37</v>
      </c>
      <c r="B43" s="310" t="s">
        <v>40</v>
      </c>
      <c r="C43" s="311">
        <f>'2_State Distrib and Adjs'!BF43</f>
        <v>120250448</v>
      </c>
      <c r="D43" s="311">
        <f>-'5A3_OJJ'!P43</f>
        <v>-19587</v>
      </c>
      <c r="E43" s="311"/>
      <c r="F43" s="311">
        <f>-('5C1A_Madison'!AL43+'5C1A_Madison'!AO43)</f>
        <v>0</v>
      </c>
      <c r="G43" s="311">
        <f>-('5C1B_DArbonne'!AL43+'5C1B_DArbonne'!AO43)</f>
        <v>-28067</v>
      </c>
      <c r="H43" s="311">
        <f>-('5C1C_Intl High'!AL43+'5C1C_Intl High'!AO43)</f>
        <v>0</v>
      </c>
      <c r="I43" s="311">
        <f>-('5C1D_NOMMA'!AL43+'5C1D_NOMMA'!AO43)</f>
        <v>0</v>
      </c>
      <c r="J43" s="311">
        <f>-('5C1E_LFNO'!AL43+'5C1E_LFNO'!AO43)</f>
        <v>0</v>
      </c>
      <c r="K43" s="311">
        <f>-('5C1F_L.C. Charter'!AL43+'5C1F_L.C. Charter'!AO43)</f>
        <v>0</v>
      </c>
      <c r="L43" s="311">
        <f>-('5C1G_JS Clark'!AL43+'5C1G_JS Clark'!AO43)</f>
        <v>0</v>
      </c>
      <c r="M43" s="311">
        <f>-('5C1H_Southwest'!AL43+'5C1H_Southwest'!AO43)</f>
        <v>0</v>
      </c>
      <c r="N43" s="311">
        <f>-('5C1I_LA Key'!AL43+'5C1I_LA Key'!AO43)</f>
        <v>0</v>
      </c>
      <c r="O43" s="311">
        <f>-('5C1J_JCFA-East'!AL43+'5C1J_JCFA-East'!AO43)</f>
        <v>-4318</v>
      </c>
      <c r="P43" s="311">
        <f>-('5C1M_GEO Mid'!AL43+'5C1M_GEO Mid'!AO43)</f>
        <v>0</v>
      </c>
      <c r="Q43" s="311">
        <f>-('5C1N_Delta'!AL43+'5C1N_Delta'!AO43)</f>
        <v>-6477</v>
      </c>
      <c r="R43" s="311">
        <f>-('5C1O_Impact'!AL43+'5C1O_Impact'!AO43)</f>
        <v>-4318</v>
      </c>
      <c r="S43" s="311">
        <f>-('5C1Q_Advantage'!AL43+'5C1Q_Advantage'!AO43)</f>
        <v>0</v>
      </c>
      <c r="T43" s="311">
        <f>-('5C1R_Iberville'!AL43+'5C1R_Iberville'!AO43)</f>
        <v>0</v>
      </c>
      <c r="U43" s="311">
        <f>-('5C1S_LC Col Prep'!AL43+'5C1S_LC Col Prep'!AO43)</f>
        <v>0</v>
      </c>
      <c r="V43" s="311">
        <f>-('5C1T_Northeast'!AL43+'5C1T_Northeast'!AO43)</f>
        <v>0</v>
      </c>
      <c r="W43" s="311">
        <f>-('5C1U_Acadiana Ren'!AL43+'5C1U_Acadiana Ren'!AO43)</f>
        <v>0</v>
      </c>
      <c r="X43" s="311">
        <f>-('5C1V_Laf Ren'!AL43+'5C1V_Laf Ren'!AO43)</f>
        <v>0</v>
      </c>
      <c r="Y43" s="311">
        <f>-('5C1W_Willow'!AL43+'5C1W_Willow'!AO43)</f>
        <v>0</v>
      </c>
      <c r="Z43" s="311">
        <f>-('5C1Y_GEO'!AL43+'5C1Y_GEO'!AO43)</f>
        <v>0</v>
      </c>
      <c r="AA43" s="311">
        <f>-('5C1Z_Lincoln Prep'!AL43+'5C1Z_Lincoln Prep'!AO43)</f>
        <v>-51816</v>
      </c>
      <c r="AB43" s="311">
        <f>-('5C1AE_Noble Minds'!$AL43+'5C1AE_Noble Minds'!$AO43)</f>
        <v>0</v>
      </c>
      <c r="AC43" s="311">
        <f>-('5C1AF_JCFA-Laf'!$AL43+'5C1AF_JCFA-Laf'!$AO43)</f>
        <v>0</v>
      </c>
      <c r="AD43" s="311">
        <f>-('5C1AG_Collegiate'!$AL43+'5C1AG_Collegiate'!$AO43)</f>
        <v>0</v>
      </c>
      <c r="AE43" s="311">
        <f>-('5C1AH_BRUP'!$AL43+'5C1AH_BRUP'!$AO43)</f>
        <v>0</v>
      </c>
      <c r="AF43" s="311">
        <f>-('5C1AI_Harmony'!$AL43+'5C1AI_Harmony'!$AO43)</f>
        <v>0</v>
      </c>
      <c r="AG43" s="311">
        <f>-('5C1AJ_Athlos'!$AL43+'5C1AJ_Athlos'!$AO43)</f>
        <v>0</v>
      </c>
      <c r="AH43" s="311">
        <f>-('5C1AK_NxtGen'!$AL43+'5C1AK_NxtGen'!$AO43)</f>
        <v>0</v>
      </c>
      <c r="AI43" s="311">
        <f>-('5C1AL_Red River'!$AL43+'5C1AL_Red River'!$AO43)</f>
        <v>0</v>
      </c>
      <c r="AJ43" s="311">
        <f>-('5C2_LAVCA'!AM43+'5C2_LAVCA'!AP43)</f>
        <v>-229439</v>
      </c>
      <c r="AK43" s="311">
        <f>-('5C3_UnvView'!AM43+'5C3_UnvView'!AP43)</f>
        <v>-326441</v>
      </c>
      <c r="AL43" s="312">
        <f t="shared" si="4"/>
        <v>-670463</v>
      </c>
      <c r="AM43" s="313">
        <f t="shared" si="5"/>
        <v>119579985</v>
      </c>
    </row>
    <row r="44" spans="1:39" ht="15.6" customHeight="1" x14ac:dyDescent="0.2">
      <c r="A44" s="309">
        <v>38</v>
      </c>
      <c r="B44" s="310" t="s">
        <v>41</v>
      </c>
      <c r="C44" s="311">
        <f>'2_State Distrib and Adjs'!BF44</f>
        <v>11556084</v>
      </c>
      <c r="D44" s="311">
        <f>-'5A3_OJJ'!P44</f>
        <v>0</v>
      </c>
      <c r="E44" s="311"/>
      <c r="F44" s="311">
        <f>-('5C1A_Madison'!AL44+'5C1A_Madison'!AO44)</f>
        <v>0</v>
      </c>
      <c r="G44" s="311">
        <f>-('5C1B_DArbonne'!AL44+'5C1B_DArbonne'!AO44)</f>
        <v>0</v>
      </c>
      <c r="H44" s="311">
        <f>-('5C1C_Intl High'!AL44+'5C1C_Intl High'!AO44)</f>
        <v>0</v>
      </c>
      <c r="I44" s="311">
        <f>-('5C1D_NOMMA'!AL44+'5C1D_NOMMA'!AO44)</f>
        <v>-154784</v>
      </c>
      <c r="J44" s="311">
        <f>-('5C1E_LFNO'!AL44+'5C1E_LFNO'!AO44)</f>
        <v>-33168</v>
      </c>
      <c r="K44" s="311">
        <f>-('5C1F_L.C. Charter'!AL44+'5C1F_L.C. Charter'!AO44)</f>
        <v>0</v>
      </c>
      <c r="L44" s="311">
        <f>-('5C1G_JS Clark'!AL44+'5C1G_JS Clark'!AO44)</f>
        <v>0</v>
      </c>
      <c r="M44" s="311">
        <f>-('5C1H_Southwest'!AL44+'5C1H_Southwest'!AO44)</f>
        <v>0</v>
      </c>
      <c r="N44" s="311">
        <f>-('5C1I_LA Key'!AL44+'5C1I_LA Key'!AO44)</f>
        <v>0</v>
      </c>
      <c r="O44" s="311">
        <f>-('5C1J_JCFA-East'!AL44+'5C1J_JCFA-East'!AO44)</f>
        <v>-11056</v>
      </c>
      <c r="P44" s="311">
        <f>-('5C1M_GEO Mid'!AL44+'5C1M_GEO Mid'!AO44)</f>
        <v>0</v>
      </c>
      <c r="Q44" s="311">
        <f>-('5C1N_Delta'!AL44+'5C1N_Delta'!AO44)</f>
        <v>0</v>
      </c>
      <c r="R44" s="311">
        <f>-('5C1O_Impact'!AL44+'5C1O_Impact'!AO44)</f>
        <v>0</v>
      </c>
      <c r="S44" s="311">
        <f>-('5C1Q_Advantage'!AL44+'5C1Q_Advantage'!AO44)</f>
        <v>0</v>
      </c>
      <c r="T44" s="311">
        <f>-('5C1R_Iberville'!AL44+'5C1R_Iberville'!AO44)</f>
        <v>0</v>
      </c>
      <c r="U44" s="311">
        <f>-('5C1S_LC Col Prep'!AL44+'5C1S_LC Col Prep'!AO44)</f>
        <v>0</v>
      </c>
      <c r="V44" s="311">
        <f>-('5C1T_Northeast'!AL44+'5C1T_Northeast'!AO44)</f>
        <v>0</v>
      </c>
      <c r="W44" s="311">
        <f>-('5C1U_Acadiana Ren'!AL44+'5C1U_Acadiana Ren'!AO44)</f>
        <v>0</v>
      </c>
      <c r="X44" s="311">
        <f>-('5C1V_Laf Ren'!AL44+'5C1V_Laf Ren'!AO44)</f>
        <v>0</v>
      </c>
      <c r="Y44" s="311">
        <f>-('5C1W_Willow'!AL44+'5C1W_Willow'!AO44)</f>
        <v>0</v>
      </c>
      <c r="Z44" s="311">
        <f>-('5C1Y_GEO'!AL44+'5C1Y_GEO'!AO44)</f>
        <v>0</v>
      </c>
      <c r="AA44" s="311">
        <f>-('5C1Z_Lincoln Prep'!AL44+'5C1Z_Lincoln Prep'!AO44)</f>
        <v>0</v>
      </c>
      <c r="AB44" s="311">
        <f>-('5C1AE_Noble Minds'!$AL44+'5C1AE_Noble Minds'!$AO44)</f>
        <v>0</v>
      </c>
      <c r="AC44" s="311">
        <f>-('5C1AF_JCFA-Laf'!$AL44+'5C1AF_JCFA-Laf'!$AO44)</f>
        <v>0</v>
      </c>
      <c r="AD44" s="311">
        <f>-('5C1AG_Collegiate'!$AL44+'5C1AG_Collegiate'!$AO44)</f>
        <v>0</v>
      </c>
      <c r="AE44" s="311">
        <f>-('5C1AH_BRUP'!$AL44+'5C1AH_BRUP'!$AO44)</f>
        <v>0</v>
      </c>
      <c r="AF44" s="311">
        <f>-('5C1AI_Harmony'!$AL44+'5C1AI_Harmony'!$AO44)</f>
        <v>-16584</v>
      </c>
      <c r="AG44" s="311">
        <f>-('5C1AJ_Athlos'!$AL44+'5C1AJ_Athlos'!$AO44)</f>
        <v>-88448</v>
      </c>
      <c r="AH44" s="311">
        <f>-('5C1AK_NxtGen'!$AL44+'5C1AK_NxtGen'!$AO44)</f>
        <v>0</v>
      </c>
      <c r="AI44" s="311">
        <f>-('5C1AL_Red River'!$AL44+'5C1AL_Red River'!$AO44)</f>
        <v>0</v>
      </c>
      <c r="AJ44" s="311">
        <f>-('5C2_LAVCA'!AM44+'5C2_LAVCA'!AP44)</f>
        <v>-99504</v>
      </c>
      <c r="AK44" s="311">
        <f>-('5C3_UnvView'!AM44+'5C3_UnvView'!AP44)</f>
        <v>-144281</v>
      </c>
      <c r="AL44" s="312">
        <f t="shared" si="4"/>
        <v>-547825</v>
      </c>
      <c r="AM44" s="313">
        <f t="shared" si="5"/>
        <v>11008259</v>
      </c>
    </row>
    <row r="45" spans="1:39" ht="15.6" customHeight="1" x14ac:dyDescent="0.2">
      <c r="A45" s="309">
        <v>39</v>
      </c>
      <c r="B45" s="310" t="s">
        <v>42</v>
      </c>
      <c r="C45" s="311">
        <f>'2_State Distrib and Adjs'!BF45</f>
        <v>10052051</v>
      </c>
      <c r="D45" s="311">
        <f>-'5A3_OJJ'!P45</f>
        <v>-11862</v>
      </c>
      <c r="E45" s="311"/>
      <c r="F45" s="311">
        <f>-('5C1A_Madison'!AL45+'5C1A_Madison'!AO45)</f>
        <v>0</v>
      </c>
      <c r="G45" s="311">
        <f>-('5C1B_DArbonne'!AL45+'5C1B_DArbonne'!AO45)</f>
        <v>0</v>
      </c>
      <c r="H45" s="311">
        <f>-('5C1C_Intl High'!AL45+'5C1C_Intl High'!AO45)</f>
        <v>0</v>
      </c>
      <c r="I45" s="311">
        <f>-('5C1D_NOMMA'!AL45+'5C1D_NOMMA'!AO45)</f>
        <v>0</v>
      </c>
      <c r="J45" s="311">
        <f>-('5C1E_LFNO'!AL45+'5C1E_LFNO'!AO45)</f>
        <v>0</v>
      </c>
      <c r="K45" s="311">
        <f>-('5C1F_L.C. Charter'!AL45+'5C1F_L.C. Charter'!AO45)</f>
        <v>0</v>
      </c>
      <c r="L45" s="311">
        <f>-('5C1G_JS Clark'!AL45+'5C1G_JS Clark'!AO45)</f>
        <v>0</v>
      </c>
      <c r="M45" s="311">
        <f>-('5C1H_Southwest'!AL45+'5C1H_Southwest'!AO45)</f>
        <v>0</v>
      </c>
      <c r="N45" s="311">
        <f>-('5C1I_LA Key'!AL45+'5C1I_LA Key'!AO45)</f>
        <v>-40138</v>
      </c>
      <c r="O45" s="311">
        <f>-('5C1J_JCFA-East'!AL45+'5C1J_JCFA-East'!AO45)</f>
        <v>0</v>
      </c>
      <c r="P45" s="311">
        <f>-('5C1M_GEO Mid'!AL45+'5C1M_GEO Mid'!AO45)</f>
        <v>0</v>
      </c>
      <c r="Q45" s="311">
        <f>-('5C1N_Delta'!AL45+'5C1N_Delta'!AO45)</f>
        <v>0</v>
      </c>
      <c r="R45" s="311">
        <f>-('5C1O_Impact'!AL45+'5C1O_Impact'!AO45)</f>
        <v>0</v>
      </c>
      <c r="S45" s="311">
        <f>-('5C1Q_Advantage'!AL45+'5C1Q_Advantage'!AO45)</f>
        <v>-22936</v>
      </c>
      <c r="T45" s="311">
        <f>-('5C1R_Iberville'!AL45+'5C1R_Iberville'!AO45)</f>
        <v>0</v>
      </c>
      <c r="U45" s="311">
        <f>-('5C1S_LC Col Prep'!AL45+'5C1S_LC Col Prep'!AO45)</f>
        <v>0</v>
      </c>
      <c r="V45" s="311">
        <f>-('5C1T_Northeast'!AL45+'5C1T_Northeast'!AO45)</f>
        <v>0</v>
      </c>
      <c r="W45" s="311">
        <f>-('5C1U_Acadiana Ren'!AL45+'5C1U_Acadiana Ren'!AO45)</f>
        <v>0</v>
      </c>
      <c r="X45" s="311">
        <f>-('5C1V_Laf Ren'!AL45+'5C1V_Laf Ren'!AO45)</f>
        <v>0</v>
      </c>
      <c r="Y45" s="311">
        <f>-('5C1W_Willow'!AL45+'5C1W_Willow'!AO45)</f>
        <v>0</v>
      </c>
      <c r="Z45" s="311">
        <f>-('5C1Y_GEO'!AL45+'5C1Y_GEO'!AO45)</f>
        <v>0</v>
      </c>
      <c r="AA45" s="311">
        <f>-('5C1Z_Lincoln Prep'!AL45+'5C1Z_Lincoln Prep'!AO45)</f>
        <v>0</v>
      </c>
      <c r="AB45" s="311">
        <f>-('5C1AE_Noble Minds'!$AL45+'5C1AE_Noble Minds'!$AO45)</f>
        <v>0</v>
      </c>
      <c r="AC45" s="311">
        <f>-('5C1AF_JCFA-Laf'!$AL45+'5C1AF_JCFA-Laf'!$AO45)</f>
        <v>0</v>
      </c>
      <c r="AD45" s="311">
        <f>-('5C1AG_Collegiate'!$AL45+'5C1AG_Collegiate'!$AO45)</f>
        <v>0</v>
      </c>
      <c r="AE45" s="311">
        <f>-('5C1AH_BRUP'!$AL45+'5C1AH_BRUP'!$AO45)</f>
        <v>0</v>
      </c>
      <c r="AF45" s="311">
        <f>-('5C1AI_Harmony'!$AL45+'5C1AI_Harmony'!$AO45)</f>
        <v>0</v>
      </c>
      <c r="AG45" s="311">
        <f>-('5C1AJ_Athlos'!$AL45+'5C1AJ_Athlos'!$AO45)</f>
        <v>0</v>
      </c>
      <c r="AH45" s="311">
        <f>-('5C1AK_NxtGen'!$AL45+'5C1AK_NxtGen'!$AO45)</f>
        <v>0</v>
      </c>
      <c r="AI45" s="311">
        <f>-('5C1AL_Red River'!$AL45+'5C1AL_Red River'!$AO45)</f>
        <v>0</v>
      </c>
      <c r="AJ45" s="311">
        <f>-('5C2_LAVCA'!AM45+'5C2_LAVCA'!AP45)</f>
        <v>-56767</v>
      </c>
      <c r="AK45" s="311">
        <f>-('5C3_UnvView'!AM45+'5C3_UnvView'!AP45)</f>
        <v>-108372</v>
      </c>
      <c r="AL45" s="312">
        <f t="shared" si="4"/>
        <v>-240075</v>
      </c>
      <c r="AM45" s="313">
        <f t="shared" si="5"/>
        <v>9811976</v>
      </c>
    </row>
    <row r="46" spans="1:39" ht="15.6" customHeight="1" x14ac:dyDescent="0.2">
      <c r="A46" s="314">
        <v>40</v>
      </c>
      <c r="B46" s="315" t="s">
        <v>43</v>
      </c>
      <c r="C46" s="316">
        <f>'2_State Distrib and Adjs'!BF46</f>
        <v>134704187</v>
      </c>
      <c r="D46" s="316">
        <f>-'5A3_OJJ'!P46</f>
        <v>-11232</v>
      </c>
      <c r="E46" s="316"/>
      <c r="F46" s="316">
        <f>-('5C1A_Madison'!AL46+'5C1A_Madison'!AO46)</f>
        <v>0</v>
      </c>
      <c r="G46" s="316">
        <f>-('5C1B_DArbonne'!AL46+'5C1B_DArbonne'!AO46)</f>
        <v>0</v>
      </c>
      <c r="H46" s="316">
        <f>-('5C1C_Intl High'!AL46+'5C1C_Intl High'!AO46)</f>
        <v>0</v>
      </c>
      <c r="I46" s="316">
        <f>-('5C1D_NOMMA'!AL46+'5C1D_NOMMA'!AO46)</f>
        <v>0</v>
      </c>
      <c r="J46" s="316">
        <f>-('5C1E_LFNO'!AL46+'5C1E_LFNO'!AO46)</f>
        <v>0</v>
      </c>
      <c r="K46" s="316">
        <f>-('5C1F_L.C. Charter'!AL46+'5C1F_L.C. Charter'!AO46)</f>
        <v>0</v>
      </c>
      <c r="L46" s="316">
        <f>-('5C1G_JS Clark'!AL46+'5C1G_JS Clark'!AO46)</f>
        <v>0</v>
      </c>
      <c r="M46" s="316">
        <f>-('5C1H_Southwest'!AL46+'5C1H_Southwest'!AO46)</f>
        <v>0</v>
      </c>
      <c r="N46" s="316">
        <f>-('5C1I_LA Key'!AL46+'5C1I_LA Key'!AO46)</f>
        <v>0</v>
      </c>
      <c r="O46" s="316">
        <f>-('5C1J_JCFA-East'!AL46+'5C1J_JCFA-East'!AO46)</f>
        <v>0</v>
      </c>
      <c r="P46" s="316">
        <f>-('5C1M_GEO Mid'!AL46+'5C1M_GEO Mid'!AO46)</f>
        <v>0</v>
      </c>
      <c r="Q46" s="316">
        <f>-('5C1N_Delta'!AL46+'5C1N_Delta'!AO46)</f>
        <v>0</v>
      </c>
      <c r="R46" s="316">
        <f>-('5C1O_Impact'!AL46+'5C1O_Impact'!AO46)</f>
        <v>0</v>
      </c>
      <c r="S46" s="316">
        <f>-('5C1Q_Advantage'!AL46+'5C1Q_Advantage'!AO46)</f>
        <v>0</v>
      </c>
      <c r="T46" s="316">
        <f>-('5C1R_Iberville'!AL46+'5C1R_Iberville'!AO46)</f>
        <v>0</v>
      </c>
      <c r="U46" s="316">
        <f>-('5C1S_LC Col Prep'!AL46+'5C1S_LC Col Prep'!AO46)</f>
        <v>0</v>
      </c>
      <c r="V46" s="316">
        <f>-('5C1T_Northeast'!AL46+'5C1T_Northeast'!AO46)</f>
        <v>0</v>
      </c>
      <c r="W46" s="316">
        <f>-('5C1U_Acadiana Ren'!AL46+'5C1U_Acadiana Ren'!AO46)</f>
        <v>0</v>
      </c>
      <c r="X46" s="316">
        <f>-('5C1V_Laf Ren'!AL46+'5C1V_Laf Ren'!AO46)</f>
        <v>0</v>
      </c>
      <c r="Y46" s="316">
        <f>-('5C1W_Willow'!AL46+'5C1W_Willow'!AO46)</f>
        <v>0</v>
      </c>
      <c r="Z46" s="316">
        <f>-('5C1Y_GEO'!AL46+'5C1Y_GEO'!AO46)</f>
        <v>0</v>
      </c>
      <c r="AA46" s="316">
        <f>-('5C1Z_Lincoln Prep'!AL46+'5C1Z_Lincoln Prep'!AO46)</f>
        <v>0</v>
      </c>
      <c r="AB46" s="316">
        <f>-('5C1AE_Noble Minds'!$AL46+'5C1AE_Noble Minds'!$AO46)</f>
        <v>0</v>
      </c>
      <c r="AC46" s="316">
        <f>-('5C1AF_JCFA-Laf'!$AL46+'5C1AF_JCFA-Laf'!$AO46)</f>
        <v>0</v>
      </c>
      <c r="AD46" s="316">
        <f>-('5C1AG_Collegiate'!$AL46+'5C1AG_Collegiate'!$AO46)</f>
        <v>0</v>
      </c>
      <c r="AE46" s="316">
        <f>-('5C1AH_BRUP'!$AL46+'5C1AH_BRUP'!$AO46)</f>
        <v>0</v>
      </c>
      <c r="AF46" s="586">
        <f>-('5C1AI_Harmony'!$AL46+'5C1AI_Harmony'!$AO46)</f>
        <v>0</v>
      </c>
      <c r="AG46" s="586">
        <f>-('5C1AJ_Athlos'!$AL46+'5C1AJ_Athlos'!$AO46)</f>
        <v>0</v>
      </c>
      <c r="AH46" s="781">
        <f>-('5C1AK_NxtGen'!$AL46+'5C1AK_NxtGen'!$AO46)</f>
        <v>0</v>
      </c>
      <c r="AI46" s="781">
        <f>-('5C1AL_Red River'!$AL46+'5C1AL_Red River'!$AO46)</f>
        <v>-4263</v>
      </c>
      <c r="AJ46" s="316">
        <f>-('5C2_LAVCA'!AM46+'5C2_LAVCA'!AP46)</f>
        <v>-187998</v>
      </c>
      <c r="AK46" s="316">
        <f>-('5C3_UnvView'!AM46+'5C3_UnvView'!AP46)</f>
        <v>-283916</v>
      </c>
      <c r="AL46" s="317">
        <f t="shared" si="4"/>
        <v>-487409</v>
      </c>
      <c r="AM46" s="318">
        <f t="shared" si="5"/>
        <v>134216778</v>
      </c>
    </row>
    <row r="47" spans="1:39" ht="15.6" customHeight="1" x14ac:dyDescent="0.2">
      <c r="A47" s="303">
        <v>41</v>
      </c>
      <c r="B47" s="304" t="s">
        <v>44</v>
      </c>
      <c r="C47" s="305">
        <f>'2_State Distrib and Adjs'!BF47</f>
        <v>4700793</v>
      </c>
      <c r="D47" s="305">
        <f>-'5A3_OJJ'!P47</f>
        <v>0</v>
      </c>
      <c r="E47" s="305"/>
      <c r="F47" s="305">
        <f>-('5C1A_Madison'!AL47+'5C1A_Madison'!AO47)</f>
        <v>0</v>
      </c>
      <c r="G47" s="305">
        <f>-('5C1B_DArbonne'!AL47+'5C1B_DArbonne'!AO47)</f>
        <v>0</v>
      </c>
      <c r="H47" s="305">
        <f>-('5C1C_Intl High'!AL47+'5C1C_Intl High'!AO47)</f>
        <v>0</v>
      </c>
      <c r="I47" s="305">
        <f>-('5C1D_NOMMA'!AL47+'5C1D_NOMMA'!AO47)</f>
        <v>0</v>
      </c>
      <c r="J47" s="305">
        <f>-('5C1E_LFNO'!AL47+'5C1E_LFNO'!AO47)</f>
        <v>0</v>
      </c>
      <c r="K47" s="305">
        <f>-('5C1F_L.C. Charter'!AL47+'5C1F_L.C. Charter'!AO47)</f>
        <v>0</v>
      </c>
      <c r="L47" s="305">
        <f>-('5C1G_JS Clark'!AL47+'5C1G_JS Clark'!AO47)</f>
        <v>0</v>
      </c>
      <c r="M47" s="305">
        <f>-('5C1H_Southwest'!AL47+'5C1H_Southwest'!AO47)</f>
        <v>0</v>
      </c>
      <c r="N47" s="305">
        <f>-('5C1I_LA Key'!AL47+'5C1I_LA Key'!AO47)</f>
        <v>0</v>
      </c>
      <c r="O47" s="305">
        <f>-('5C1J_JCFA-East'!AL47+'5C1J_JCFA-East'!AO47)</f>
        <v>0</v>
      </c>
      <c r="P47" s="305">
        <f>-('5C1M_GEO Mid'!AL47+'5C1M_GEO Mid'!AO47)</f>
        <v>0</v>
      </c>
      <c r="Q47" s="305">
        <f>-('5C1N_Delta'!AL47+'5C1N_Delta'!AO47)</f>
        <v>0</v>
      </c>
      <c r="R47" s="305">
        <f>-('5C1O_Impact'!AL47+'5C1O_Impact'!AO47)</f>
        <v>0</v>
      </c>
      <c r="S47" s="305">
        <f>-('5C1Q_Advantage'!AL47+'5C1Q_Advantage'!AO47)</f>
        <v>0</v>
      </c>
      <c r="T47" s="305">
        <f>-('5C1R_Iberville'!AL47+'5C1R_Iberville'!AO47)</f>
        <v>0</v>
      </c>
      <c r="U47" s="305">
        <f>-('5C1S_LC Col Prep'!AL47+'5C1S_LC Col Prep'!AO47)</f>
        <v>0</v>
      </c>
      <c r="V47" s="305">
        <f>-('5C1T_Northeast'!AL47+'5C1T_Northeast'!AO47)</f>
        <v>0</v>
      </c>
      <c r="W47" s="305">
        <f>-('5C1U_Acadiana Ren'!AL47+'5C1U_Acadiana Ren'!AO47)</f>
        <v>0</v>
      </c>
      <c r="X47" s="305">
        <f>-('5C1V_Laf Ren'!AL47+'5C1V_Laf Ren'!AO47)</f>
        <v>0</v>
      </c>
      <c r="Y47" s="305">
        <f>-('5C1W_Willow'!AL47+'5C1W_Willow'!AO47)</f>
        <v>0</v>
      </c>
      <c r="Z47" s="305">
        <f>-('5C1Y_GEO'!AL47+'5C1Y_GEO'!AO47)</f>
        <v>0</v>
      </c>
      <c r="AA47" s="306">
        <f>-('5C1Z_Lincoln Prep'!AL47+'5C1Z_Lincoln Prep'!AO47)</f>
        <v>0</v>
      </c>
      <c r="AB47" s="306">
        <f>-('5C1AE_Noble Minds'!$AL47+'5C1AE_Noble Minds'!$AO47)</f>
        <v>0</v>
      </c>
      <c r="AC47" s="306">
        <f>-('5C1AF_JCFA-Laf'!$AL47+'5C1AF_JCFA-Laf'!$AO47)</f>
        <v>0</v>
      </c>
      <c r="AD47" s="306">
        <f>-('5C1AG_Collegiate'!$AL47+'5C1AG_Collegiate'!$AO47)</f>
        <v>0</v>
      </c>
      <c r="AE47" s="306">
        <f>-('5C1AH_BRUP'!$AL47+'5C1AH_BRUP'!$AO47)</f>
        <v>0</v>
      </c>
      <c r="AF47" s="585">
        <f>-('5C1AI_Harmony'!$AL47+'5C1AI_Harmony'!$AO47)</f>
        <v>0</v>
      </c>
      <c r="AG47" s="585">
        <f>-('5C1AJ_Athlos'!$AL47+'5C1AJ_Athlos'!$AO47)</f>
        <v>0</v>
      </c>
      <c r="AH47" s="585">
        <f>-('5C1AK_NxtGen'!$AL47+'5C1AK_NxtGen'!$AO47)</f>
        <v>0</v>
      </c>
      <c r="AI47" s="585">
        <f>-('5C1AL_Red River'!$AL47+'5C1AL_Red River'!$AO47)</f>
        <v>0</v>
      </c>
      <c r="AJ47" s="305">
        <f>-('5C2_LAVCA'!AM47+'5C2_LAVCA'!AP47)</f>
        <v>-35308</v>
      </c>
      <c r="AK47" s="305">
        <f>-('5C3_UnvView'!AM47+'5C3_UnvView'!AP47)</f>
        <v>-29423</v>
      </c>
      <c r="AL47" s="307">
        <f t="shared" si="4"/>
        <v>-64731</v>
      </c>
      <c r="AM47" s="308">
        <f t="shared" si="5"/>
        <v>4636062</v>
      </c>
    </row>
    <row r="48" spans="1:39" ht="15.6" customHeight="1" x14ac:dyDescent="0.2">
      <c r="A48" s="309">
        <v>42</v>
      </c>
      <c r="B48" s="310" t="s">
        <v>45</v>
      </c>
      <c r="C48" s="311">
        <f>'2_State Distrib and Adjs'!BF48</f>
        <v>15865828</v>
      </c>
      <c r="D48" s="311">
        <f>-'5A3_OJJ'!P48</f>
        <v>-10689</v>
      </c>
      <c r="E48" s="311"/>
      <c r="F48" s="311">
        <f>-('5C1A_Madison'!AL48+'5C1A_Madison'!AO48)</f>
        <v>0</v>
      </c>
      <c r="G48" s="311">
        <f>-('5C1B_DArbonne'!AL48+'5C1B_DArbonne'!AO48)</f>
        <v>0</v>
      </c>
      <c r="H48" s="311">
        <f>-('5C1C_Intl High'!AL48+'5C1C_Intl High'!AO48)</f>
        <v>0</v>
      </c>
      <c r="I48" s="311">
        <f>-('5C1D_NOMMA'!AL48+'5C1D_NOMMA'!AO48)</f>
        <v>0</v>
      </c>
      <c r="J48" s="311">
        <f>-('5C1E_LFNO'!AL48+'5C1E_LFNO'!AO48)</f>
        <v>0</v>
      </c>
      <c r="K48" s="311">
        <f>-('5C1F_L.C. Charter'!AL48+'5C1F_L.C. Charter'!AO48)</f>
        <v>0</v>
      </c>
      <c r="L48" s="311">
        <f>-('5C1G_JS Clark'!AL48+'5C1G_JS Clark'!AO48)</f>
        <v>0</v>
      </c>
      <c r="M48" s="311">
        <f>-('5C1H_Southwest'!AL48+'5C1H_Southwest'!AO48)</f>
        <v>0</v>
      </c>
      <c r="N48" s="311">
        <f>-('5C1I_LA Key'!AL48+'5C1I_LA Key'!AO48)</f>
        <v>0</v>
      </c>
      <c r="O48" s="311">
        <f>-('5C1J_JCFA-East'!AL48+'5C1J_JCFA-East'!AO48)</f>
        <v>0</v>
      </c>
      <c r="P48" s="311">
        <f>-('5C1M_GEO Mid'!AL48+'5C1M_GEO Mid'!AO48)</f>
        <v>0</v>
      </c>
      <c r="Q48" s="311">
        <f>-('5C1N_Delta'!AL48+'5C1N_Delta'!AO48)</f>
        <v>0</v>
      </c>
      <c r="R48" s="311">
        <f>-('5C1O_Impact'!AL48+'5C1O_Impact'!AO48)</f>
        <v>0</v>
      </c>
      <c r="S48" s="311">
        <f>-('5C1Q_Advantage'!AL48+'5C1Q_Advantage'!AO48)</f>
        <v>0</v>
      </c>
      <c r="T48" s="311">
        <f>-('5C1R_Iberville'!AL48+'5C1R_Iberville'!AO48)</f>
        <v>0</v>
      </c>
      <c r="U48" s="311">
        <f>-('5C1S_LC Col Prep'!AL48+'5C1S_LC Col Prep'!AO48)</f>
        <v>0</v>
      </c>
      <c r="V48" s="311">
        <f>-('5C1T_Northeast'!AL48+'5C1T_Northeast'!AO48)</f>
        <v>0</v>
      </c>
      <c r="W48" s="311">
        <f>-('5C1U_Acadiana Ren'!AL48+'5C1U_Acadiana Ren'!AO48)</f>
        <v>0</v>
      </c>
      <c r="X48" s="311">
        <f>-('5C1V_Laf Ren'!AL48+'5C1V_Laf Ren'!AO48)</f>
        <v>0</v>
      </c>
      <c r="Y48" s="311">
        <f>-('5C1W_Willow'!AL48+'5C1W_Willow'!AO48)</f>
        <v>0</v>
      </c>
      <c r="Z48" s="311">
        <f>-('5C1Y_GEO'!AL48+'5C1Y_GEO'!AO48)</f>
        <v>0</v>
      </c>
      <c r="AA48" s="311">
        <f>-('5C1Z_Lincoln Prep'!AL48+'5C1Z_Lincoln Prep'!AO48)</f>
        <v>0</v>
      </c>
      <c r="AB48" s="311">
        <f>-('5C1AE_Noble Minds'!$AL48+'5C1AE_Noble Minds'!$AO48)</f>
        <v>0</v>
      </c>
      <c r="AC48" s="311">
        <f>-('5C1AF_JCFA-Laf'!$AL48+'5C1AF_JCFA-Laf'!$AO48)</f>
        <v>0</v>
      </c>
      <c r="AD48" s="311">
        <f>-('5C1AG_Collegiate'!$AL48+'5C1AG_Collegiate'!$AO48)</f>
        <v>0</v>
      </c>
      <c r="AE48" s="311">
        <f>-('5C1AH_BRUP'!$AL48+'5C1AH_BRUP'!$AO48)</f>
        <v>0</v>
      </c>
      <c r="AF48" s="311">
        <f>-('5C1AI_Harmony'!$AL48+'5C1AI_Harmony'!$AO48)</f>
        <v>0</v>
      </c>
      <c r="AG48" s="311">
        <f>-('5C1AJ_Athlos'!$AL48+'5C1AJ_Athlos'!$AO48)</f>
        <v>0</v>
      </c>
      <c r="AH48" s="311">
        <f>-('5C1AK_NxtGen'!$AL48+'5C1AK_NxtGen'!$AO48)</f>
        <v>0</v>
      </c>
      <c r="AI48" s="311">
        <f>-('5C1AL_Red River'!$AL48+'5C1AL_Red River'!$AO48)</f>
        <v>0</v>
      </c>
      <c r="AJ48" s="311">
        <f>-('5C2_LAVCA'!AM48+'5C2_LAVCA'!AP48)</f>
        <v>-28771</v>
      </c>
      <c r="AK48" s="311">
        <f>-('5C3_UnvView'!AM48+'5C3_UnvView'!AP48)</f>
        <v>-73033</v>
      </c>
      <c r="AL48" s="312">
        <f t="shared" si="4"/>
        <v>-112493</v>
      </c>
      <c r="AM48" s="313">
        <f t="shared" si="5"/>
        <v>15753335</v>
      </c>
    </row>
    <row r="49" spans="1:39" ht="15.6" customHeight="1" x14ac:dyDescent="0.2">
      <c r="A49" s="309">
        <v>43</v>
      </c>
      <c r="B49" s="310" t="s">
        <v>46</v>
      </c>
      <c r="C49" s="311">
        <f>'2_State Distrib and Adjs'!BF49</f>
        <v>26550745</v>
      </c>
      <c r="D49" s="311">
        <f>-'5A3_OJJ'!P49</f>
        <v>-3274</v>
      </c>
      <c r="E49" s="311"/>
      <c r="F49" s="311">
        <f>-('5C1A_Madison'!AL49+'5C1A_Madison'!AO49)</f>
        <v>0</v>
      </c>
      <c r="G49" s="311">
        <f>-('5C1B_DArbonne'!AL49+'5C1B_DArbonne'!AO49)</f>
        <v>0</v>
      </c>
      <c r="H49" s="311">
        <f>-('5C1C_Intl High'!AL49+'5C1C_Intl High'!AO49)</f>
        <v>0</v>
      </c>
      <c r="I49" s="311">
        <f>-('5C1D_NOMMA'!AL49+'5C1D_NOMMA'!AO49)</f>
        <v>0</v>
      </c>
      <c r="J49" s="311">
        <f>-('5C1E_LFNO'!AL49+'5C1E_LFNO'!AO49)</f>
        <v>0</v>
      </c>
      <c r="K49" s="311">
        <f>-('5C1F_L.C. Charter'!AL49+'5C1F_L.C. Charter'!AO49)</f>
        <v>0</v>
      </c>
      <c r="L49" s="311">
        <f>-('5C1G_JS Clark'!AL49+'5C1G_JS Clark'!AO49)</f>
        <v>0</v>
      </c>
      <c r="M49" s="311">
        <f>-('5C1H_Southwest'!AL49+'5C1H_Southwest'!AO49)</f>
        <v>0</v>
      </c>
      <c r="N49" s="311">
        <f>-('5C1I_LA Key'!AL49+'5C1I_LA Key'!AO49)</f>
        <v>0</v>
      </c>
      <c r="O49" s="311">
        <f>-('5C1J_JCFA-East'!AL49+'5C1J_JCFA-East'!AO49)</f>
        <v>0</v>
      </c>
      <c r="P49" s="311">
        <f>-('5C1M_GEO Mid'!AL49+'5C1M_GEO Mid'!AO49)</f>
        <v>0</v>
      </c>
      <c r="Q49" s="311">
        <f>-('5C1N_Delta'!AL49+'5C1N_Delta'!AO49)</f>
        <v>-4936</v>
      </c>
      <c r="R49" s="311">
        <f>-('5C1O_Impact'!AL49+'5C1O_Impact'!AO49)</f>
        <v>0</v>
      </c>
      <c r="S49" s="311">
        <f>-('5C1Q_Advantage'!AL49+'5C1Q_Advantage'!AO49)</f>
        <v>0</v>
      </c>
      <c r="T49" s="311">
        <f>-('5C1R_Iberville'!AL49+'5C1R_Iberville'!AO49)</f>
        <v>0</v>
      </c>
      <c r="U49" s="311">
        <f>-('5C1S_LC Col Prep'!AL49+'5C1S_LC Col Prep'!AO49)</f>
        <v>0</v>
      </c>
      <c r="V49" s="311">
        <f>-('5C1T_Northeast'!AL49+'5C1T_Northeast'!AO49)</f>
        <v>0</v>
      </c>
      <c r="W49" s="311">
        <f>-('5C1U_Acadiana Ren'!AL49+'5C1U_Acadiana Ren'!AO49)</f>
        <v>0</v>
      </c>
      <c r="X49" s="311">
        <f>-('5C1V_Laf Ren'!AL49+'5C1V_Laf Ren'!AO49)</f>
        <v>0</v>
      </c>
      <c r="Y49" s="311">
        <f>-('5C1W_Willow'!AL49+'5C1W_Willow'!AO49)</f>
        <v>0</v>
      </c>
      <c r="Z49" s="311">
        <f>-('5C1Y_GEO'!AL49+'5C1Y_GEO'!AO49)</f>
        <v>0</v>
      </c>
      <c r="AA49" s="311">
        <f>-('5C1Z_Lincoln Prep'!AL49+'5C1Z_Lincoln Prep'!AO49)</f>
        <v>0</v>
      </c>
      <c r="AB49" s="311">
        <f>-('5C1AE_Noble Minds'!$AL49+'5C1AE_Noble Minds'!$AO49)</f>
        <v>0</v>
      </c>
      <c r="AC49" s="311">
        <f>-('5C1AF_JCFA-Laf'!$AL49+'5C1AF_JCFA-Laf'!$AO49)</f>
        <v>0</v>
      </c>
      <c r="AD49" s="311">
        <f>-('5C1AG_Collegiate'!$AL49+'5C1AG_Collegiate'!$AO49)</f>
        <v>0</v>
      </c>
      <c r="AE49" s="311">
        <f>-('5C1AH_BRUP'!$AL49+'5C1AH_BRUP'!$AO49)</f>
        <v>0</v>
      </c>
      <c r="AF49" s="311">
        <f>-('5C1AI_Harmony'!$AL49+'5C1AI_Harmony'!$AO49)</f>
        <v>0</v>
      </c>
      <c r="AG49" s="311">
        <f>-('5C1AJ_Athlos'!$AL49+'5C1AJ_Athlos'!$AO49)</f>
        <v>0</v>
      </c>
      <c r="AH49" s="311">
        <f>-('5C1AK_NxtGen'!$AL49+'5C1AK_NxtGen'!$AO49)</f>
        <v>0</v>
      </c>
      <c r="AI49" s="311">
        <f>-('5C1AL_Red River'!$AL49+'5C1AL_Red River'!$AO49)</f>
        <v>0</v>
      </c>
      <c r="AJ49" s="311">
        <f>-('5C2_LAVCA'!AM49+'5C2_LAVCA'!AP49)</f>
        <v>-8885</v>
      </c>
      <c r="AK49" s="311">
        <f>-('5C3_UnvView'!AM49+'5C3_UnvView'!AP49)</f>
        <v>-50098</v>
      </c>
      <c r="AL49" s="312">
        <f t="shared" si="4"/>
        <v>-67193</v>
      </c>
      <c r="AM49" s="313">
        <f t="shared" si="5"/>
        <v>26483552</v>
      </c>
    </row>
    <row r="50" spans="1:39" ht="15.6" customHeight="1" x14ac:dyDescent="0.2">
      <c r="A50" s="309">
        <v>44</v>
      </c>
      <c r="B50" s="310" t="s">
        <v>47</v>
      </c>
      <c r="C50" s="311">
        <f>'2_State Distrib and Adjs'!BF50</f>
        <v>46793668</v>
      </c>
      <c r="D50" s="311">
        <f>-'5A3_OJJ'!P50</f>
        <v>-6207</v>
      </c>
      <c r="E50" s="311"/>
      <c r="F50" s="311">
        <f>-('5C1A_Madison'!AL50+'5C1A_Madison'!AO50)</f>
        <v>0</v>
      </c>
      <c r="G50" s="311">
        <f>-('5C1B_DArbonne'!AL50+'5C1B_DArbonne'!AO50)</f>
        <v>0</v>
      </c>
      <c r="H50" s="311">
        <f>-('5C1C_Intl High'!AL50+'5C1C_Intl High'!AO50)</f>
        <v>-19197</v>
      </c>
      <c r="I50" s="311">
        <f>-('5C1D_NOMMA'!AL50+'5C1D_NOMMA'!AO50)</f>
        <v>-17064</v>
      </c>
      <c r="J50" s="311">
        <f>-('5C1E_LFNO'!AL50+'5C1E_LFNO'!AO50)</f>
        <v>-25596</v>
      </c>
      <c r="K50" s="311">
        <f>-('5C1F_L.C. Charter'!AL50+'5C1F_L.C. Charter'!AO50)</f>
        <v>0</v>
      </c>
      <c r="L50" s="311">
        <f>-('5C1G_JS Clark'!AL50+'5C1G_JS Clark'!AO50)</f>
        <v>0</v>
      </c>
      <c r="M50" s="311">
        <f>-('5C1H_Southwest'!AL50+'5C1H_Southwest'!AO50)</f>
        <v>0</v>
      </c>
      <c r="N50" s="311">
        <f>-('5C1I_LA Key'!AL50+'5C1I_LA Key'!AO50)</f>
        <v>0</v>
      </c>
      <c r="O50" s="311">
        <f>-('5C1J_JCFA-East'!AL50+'5C1J_JCFA-East'!AO50)</f>
        <v>0</v>
      </c>
      <c r="P50" s="311">
        <f>-('5C1M_GEO Mid'!AL50+'5C1M_GEO Mid'!AO50)</f>
        <v>0</v>
      </c>
      <c r="Q50" s="311">
        <f>-('5C1N_Delta'!AL50+'5C1N_Delta'!AO50)</f>
        <v>0</v>
      </c>
      <c r="R50" s="311">
        <f>-('5C1O_Impact'!AL50+'5C1O_Impact'!AO50)</f>
        <v>0</v>
      </c>
      <c r="S50" s="311">
        <f>-('5C1Q_Advantage'!AL50+'5C1Q_Advantage'!AO50)</f>
        <v>0</v>
      </c>
      <c r="T50" s="311">
        <f>-('5C1R_Iberville'!AL50+'5C1R_Iberville'!AO50)</f>
        <v>0</v>
      </c>
      <c r="U50" s="311">
        <f>-('5C1S_LC Col Prep'!AL50+'5C1S_LC Col Prep'!AO50)</f>
        <v>0</v>
      </c>
      <c r="V50" s="311">
        <f>-('5C1T_Northeast'!AL50+'5C1T_Northeast'!AO50)</f>
        <v>0</v>
      </c>
      <c r="W50" s="311">
        <f>-('5C1U_Acadiana Ren'!AL50+'5C1U_Acadiana Ren'!AO50)</f>
        <v>-8532</v>
      </c>
      <c r="X50" s="311">
        <f>-('5C1V_Laf Ren'!AL50+'5C1V_Laf Ren'!AO50)</f>
        <v>0</v>
      </c>
      <c r="Y50" s="311">
        <f>-('5C1W_Willow'!AL50+'5C1W_Willow'!AO50)</f>
        <v>0</v>
      </c>
      <c r="Z50" s="311">
        <f>-('5C1Y_GEO'!AL50+'5C1Y_GEO'!AO50)</f>
        <v>0</v>
      </c>
      <c r="AA50" s="311">
        <f>-('5C1Z_Lincoln Prep'!AL50+'5C1Z_Lincoln Prep'!AO50)</f>
        <v>0</v>
      </c>
      <c r="AB50" s="311">
        <f>-('5C1AE_Noble Minds'!$AL50+'5C1AE_Noble Minds'!$AO50)</f>
        <v>-4266</v>
      </c>
      <c r="AC50" s="311">
        <f>-('5C1AF_JCFA-Laf'!$AL50+'5C1AF_JCFA-Laf'!$AO50)</f>
        <v>0</v>
      </c>
      <c r="AD50" s="311">
        <f>-('5C1AG_Collegiate'!$AL50+'5C1AG_Collegiate'!$AO50)</f>
        <v>0</v>
      </c>
      <c r="AE50" s="311">
        <f>-('5C1AH_BRUP'!$AL50+'5C1AH_BRUP'!$AO50)</f>
        <v>0</v>
      </c>
      <c r="AF50" s="311">
        <f>-('5C1AI_Harmony'!$AL50+'5C1AI_Harmony'!$AO50)</f>
        <v>0</v>
      </c>
      <c r="AG50" s="311">
        <f>-('5C1AJ_Athlos'!$AL50+'5C1AJ_Athlos'!$AO50)</f>
        <v>-21330</v>
      </c>
      <c r="AH50" s="311">
        <f>-('5C1AK_NxtGen'!$AL50+'5C1AK_NxtGen'!$AO50)</f>
        <v>0</v>
      </c>
      <c r="AI50" s="311">
        <f>-('5C1AL_Red River'!$AL50+'5C1AL_Red River'!$AO50)</f>
        <v>0</v>
      </c>
      <c r="AJ50" s="311">
        <f>-('5C2_LAVCA'!AM50+'5C2_LAVCA'!AP50)</f>
        <v>-78708</v>
      </c>
      <c r="AK50" s="311">
        <f>-('5C3_UnvView'!AM50+'5C3_UnvView'!AP50)</f>
        <v>-24956</v>
      </c>
      <c r="AL50" s="312">
        <f t="shared" si="4"/>
        <v>-205856</v>
      </c>
      <c r="AM50" s="313">
        <f t="shared" si="5"/>
        <v>46587812</v>
      </c>
    </row>
    <row r="51" spans="1:39" ht="15.6" customHeight="1" x14ac:dyDescent="0.2">
      <c r="A51" s="314">
        <v>45</v>
      </c>
      <c r="B51" s="315" t="s">
        <v>48</v>
      </c>
      <c r="C51" s="316">
        <f>'2_State Distrib and Adjs'!BF51</f>
        <v>30748764</v>
      </c>
      <c r="D51" s="316">
        <f>-'5A3_OJJ'!P51</f>
        <v>-1825</v>
      </c>
      <c r="E51" s="316"/>
      <c r="F51" s="316">
        <f>-('5C1A_Madison'!AL51+'5C1A_Madison'!AO51)</f>
        <v>0</v>
      </c>
      <c r="G51" s="316">
        <f>-('5C1B_DArbonne'!AL51+'5C1B_DArbonne'!AO51)</f>
        <v>0</v>
      </c>
      <c r="H51" s="316">
        <f>-('5C1C_Intl High'!AL51+'5C1C_Intl High'!AO51)</f>
        <v>0</v>
      </c>
      <c r="I51" s="316">
        <f>-('5C1D_NOMMA'!AL51+'5C1D_NOMMA'!AO51)</f>
        <v>-30020</v>
      </c>
      <c r="J51" s="316">
        <f>-('5C1E_LFNO'!AL51+'5C1E_LFNO'!AO51)</f>
        <v>-90060</v>
      </c>
      <c r="K51" s="316">
        <f>-('5C1F_L.C. Charter'!AL51+'5C1F_L.C. Charter'!AO51)</f>
        <v>0</v>
      </c>
      <c r="L51" s="316">
        <f>-('5C1G_JS Clark'!AL51+'5C1G_JS Clark'!AO51)</f>
        <v>0</v>
      </c>
      <c r="M51" s="316">
        <f>-('5C1H_Southwest'!AL51+'5C1H_Southwest'!AO51)</f>
        <v>0</v>
      </c>
      <c r="N51" s="316">
        <f>-('5C1I_LA Key'!AL51+'5C1I_LA Key'!AO51)</f>
        <v>0</v>
      </c>
      <c r="O51" s="316">
        <f>-('5C1J_JCFA-East'!AL51+'5C1J_JCFA-East'!AO51)</f>
        <v>-37525</v>
      </c>
      <c r="P51" s="316">
        <f>-('5C1M_GEO Mid'!AL51+'5C1M_GEO Mid'!AO51)</f>
        <v>0</v>
      </c>
      <c r="Q51" s="316">
        <f>-('5C1N_Delta'!AL51+'5C1N_Delta'!AO51)</f>
        <v>0</v>
      </c>
      <c r="R51" s="316">
        <f>-('5C1O_Impact'!AL51+'5C1O_Impact'!AO51)</f>
        <v>0</v>
      </c>
      <c r="S51" s="316">
        <f>-('5C1Q_Advantage'!AL51+'5C1Q_Advantage'!AO51)</f>
        <v>0</v>
      </c>
      <c r="T51" s="316">
        <f>-('5C1R_Iberville'!AL51+'5C1R_Iberville'!AO51)</f>
        <v>-60040</v>
      </c>
      <c r="U51" s="316">
        <f>-('5C1S_LC Col Prep'!AL51+'5C1S_LC Col Prep'!AO51)</f>
        <v>0</v>
      </c>
      <c r="V51" s="316">
        <f>-('5C1T_Northeast'!AL51+'5C1T_Northeast'!AO51)</f>
        <v>0</v>
      </c>
      <c r="W51" s="316">
        <f>-('5C1U_Acadiana Ren'!AL51+'5C1U_Acadiana Ren'!AO51)</f>
        <v>0</v>
      </c>
      <c r="X51" s="316">
        <f>-('5C1V_Laf Ren'!AL51+'5C1V_Laf Ren'!AO51)</f>
        <v>0</v>
      </c>
      <c r="Y51" s="316">
        <f>-('5C1W_Willow'!AL51+'5C1W_Willow'!AO51)</f>
        <v>0</v>
      </c>
      <c r="Z51" s="316">
        <f>-('5C1Y_GEO'!AL51+'5C1Y_GEO'!AO51)</f>
        <v>0</v>
      </c>
      <c r="AA51" s="316">
        <f>-('5C1Z_Lincoln Prep'!AL51+'5C1Z_Lincoln Prep'!AO51)</f>
        <v>0</v>
      </c>
      <c r="AB51" s="316">
        <f>-('5C1AE_Noble Minds'!$AL51+'5C1AE_Noble Minds'!$AO51)</f>
        <v>-15010</v>
      </c>
      <c r="AC51" s="316">
        <f>-('5C1AF_JCFA-Laf'!$AL51+'5C1AF_JCFA-Laf'!$AO51)</f>
        <v>0</v>
      </c>
      <c r="AD51" s="316">
        <f>-('5C1AG_Collegiate'!$AL51+'5C1AG_Collegiate'!$AO51)</f>
        <v>0</v>
      </c>
      <c r="AE51" s="316">
        <f>-('5C1AH_BRUP'!$AL51+'5C1AH_BRUP'!$AO51)</f>
        <v>0</v>
      </c>
      <c r="AF51" s="586">
        <f>-('5C1AI_Harmony'!$AL51+'5C1AI_Harmony'!$AO51)</f>
        <v>0</v>
      </c>
      <c r="AG51" s="586">
        <f>-('5C1AJ_Athlos'!$AL51+'5C1AJ_Athlos'!$AO51)</f>
        <v>0</v>
      </c>
      <c r="AH51" s="781">
        <f>-('5C1AK_NxtGen'!$AL51+'5C1AK_NxtGen'!$AO51)</f>
        <v>0</v>
      </c>
      <c r="AI51" s="781">
        <f>-('5C1AL_Red River'!$AL51+'5C1AL_Red River'!$AO51)</f>
        <v>0</v>
      </c>
      <c r="AJ51" s="316">
        <f>-('5C2_LAVCA'!AM51+'5C2_LAVCA'!AP51)</f>
        <v>-317461</v>
      </c>
      <c r="AK51" s="316">
        <f>-('5C3_UnvView'!AM51+'5C3_UnvView'!AP51)</f>
        <v>-175617</v>
      </c>
      <c r="AL51" s="317">
        <f t="shared" si="4"/>
        <v>-727558</v>
      </c>
      <c r="AM51" s="318">
        <f t="shared" si="5"/>
        <v>30021206</v>
      </c>
    </row>
    <row r="52" spans="1:39" ht="15.6" customHeight="1" x14ac:dyDescent="0.2">
      <c r="A52" s="303">
        <v>46</v>
      </c>
      <c r="B52" s="304" t="s">
        <v>49</v>
      </c>
      <c r="C52" s="305">
        <f>'2_State Distrib and Adjs'!BF52</f>
        <v>9422553</v>
      </c>
      <c r="D52" s="305">
        <f>-'5A3_OJJ'!P52</f>
        <v>0</v>
      </c>
      <c r="E52" s="305"/>
      <c r="F52" s="305">
        <f>-('5C1A_Madison'!AL52+'5C1A_Madison'!AO52)</f>
        <v>0</v>
      </c>
      <c r="G52" s="305">
        <f>-('5C1B_DArbonne'!AL52+'5C1B_DArbonne'!AO52)</f>
        <v>0</v>
      </c>
      <c r="H52" s="305">
        <f>-('5C1C_Intl High'!AL52+'5C1C_Intl High'!AO52)</f>
        <v>0</v>
      </c>
      <c r="I52" s="305">
        <f>-('5C1D_NOMMA'!AL52+'5C1D_NOMMA'!AO52)</f>
        <v>0</v>
      </c>
      <c r="J52" s="305">
        <f>-('5C1E_LFNO'!AL52+'5C1E_LFNO'!AO52)</f>
        <v>0</v>
      </c>
      <c r="K52" s="305">
        <f>-('5C1F_L.C. Charter'!AL52+'5C1F_L.C. Charter'!AO52)</f>
        <v>0</v>
      </c>
      <c r="L52" s="305">
        <f>-('5C1G_JS Clark'!AL52+'5C1G_JS Clark'!AO52)</f>
        <v>0</v>
      </c>
      <c r="M52" s="305">
        <f>-('5C1H_Southwest'!AL52+'5C1H_Southwest'!AO52)</f>
        <v>0</v>
      </c>
      <c r="N52" s="305">
        <f>-('5C1I_LA Key'!AL52+'5C1I_LA Key'!AO52)</f>
        <v>0</v>
      </c>
      <c r="O52" s="305">
        <f>-('5C1J_JCFA-East'!AL52+'5C1J_JCFA-East'!AO52)</f>
        <v>0</v>
      </c>
      <c r="P52" s="305">
        <f>-('5C1M_GEO Mid'!AL52+'5C1M_GEO Mid'!AO52)</f>
        <v>0</v>
      </c>
      <c r="Q52" s="305">
        <f>-('5C1N_Delta'!AL52+'5C1N_Delta'!AO52)</f>
        <v>0</v>
      </c>
      <c r="R52" s="305">
        <f>-('5C1O_Impact'!AL52+'5C1O_Impact'!AO52)</f>
        <v>0</v>
      </c>
      <c r="S52" s="305">
        <f>-('5C1Q_Advantage'!AL52+'5C1Q_Advantage'!AO52)</f>
        <v>-3110</v>
      </c>
      <c r="T52" s="305">
        <f>-('5C1R_Iberville'!AL52+'5C1R_Iberville'!AO52)</f>
        <v>0</v>
      </c>
      <c r="U52" s="305">
        <f>-('5C1S_LC Col Prep'!AL52+'5C1S_LC Col Prep'!AO52)</f>
        <v>0</v>
      </c>
      <c r="V52" s="305">
        <f>-('5C1T_Northeast'!AL52+'5C1T_Northeast'!AO52)</f>
        <v>0</v>
      </c>
      <c r="W52" s="305">
        <f>-('5C1U_Acadiana Ren'!AL52+'5C1U_Acadiana Ren'!AO52)</f>
        <v>0</v>
      </c>
      <c r="X52" s="305">
        <f>-('5C1V_Laf Ren'!AL52+'5C1V_Laf Ren'!AO52)</f>
        <v>0</v>
      </c>
      <c r="Y52" s="305">
        <f>-('5C1W_Willow'!AL52+'5C1W_Willow'!AO52)</f>
        <v>0</v>
      </c>
      <c r="Z52" s="305">
        <f>-('5C1Y_GEO'!AL52+'5C1Y_GEO'!AO52)</f>
        <v>0</v>
      </c>
      <c r="AA52" s="306">
        <f>-('5C1Z_Lincoln Prep'!AL52+'5C1Z_Lincoln Prep'!AO52)</f>
        <v>0</v>
      </c>
      <c r="AB52" s="306">
        <f>-('5C1AE_Noble Minds'!$AL52+'5C1AE_Noble Minds'!$AO52)</f>
        <v>0</v>
      </c>
      <c r="AC52" s="306">
        <f>-('5C1AF_JCFA-Laf'!$AL52+'5C1AF_JCFA-Laf'!$AO52)</f>
        <v>0</v>
      </c>
      <c r="AD52" s="306">
        <f>-('5C1AG_Collegiate'!$AL52+'5C1AG_Collegiate'!$AO52)</f>
        <v>0</v>
      </c>
      <c r="AE52" s="306">
        <f>-('5C1AH_BRUP'!$AL52+'5C1AH_BRUP'!$AO52)</f>
        <v>0</v>
      </c>
      <c r="AF52" s="585">
        <f>-('5C1AI_Harmony'!$AL52+'5C1AI_Harmony'!$AO52)</f>
        <v>0</v>
      </c>
      <c r="AG52" s="585">
        <f>-('5C1AJ_Athlos'!$AL52+'5C1AJ_Athlos'!$AO52)</f>
        <v>0</v>
      </c>
      <c r="AH52" s="585">
        <f>-('5C1AK_NxtGen'!$AL52+'5C1AK_NxtGen'!$AO52)</f>
        <v>0</v>
      </c>
      <c r="AI52" s="585">
        <f>-('5C1AL_Red River'!$AL52+'5C1AL_Red River'!$AO52)</f>
        <v>0</v>
      </c>
      <c r="AJ52" s="305">
        <f>-('5C2_LAVCA'!AM52+'5C2_LAVCA'!AP52)</f>
        <v>-16794</v>
      </c>
      <c r="AK52" s="305">
        <f>-('5C3_UnvView'!AM52+'5C3_UnvView'!AP52)</f>
        <v>-29389</v>
      </c>
      <c r="AL52" s="307">
        <f t="shared" si="4"/>
        <v>-49293</v>
      </c>
      <c r="AM52" s="308">
        <f t="shared" si="5"/>
        <v>9373260</v>
      </c>
    </row>
    <row r="53" spans="1:39" ht="15.6" customHeight="1" x14ac:dyDescent="0.2">
      <c r="A53" s="309">
        <v>47</v>
      </c>
      <c r="B53" s="310" t="s">
        <v>50</v>
      </c>
      <c r="C53" s="311">
        <f>'2_State Distrib and Adjs'!BF53</f>
        <v>10962564</v>
      </c>
      <c r="D53" s="311">
        <f>-'5A3_OJJ'!P53</f>
        <v>0</v>
      </c>
      <c r="E53" s="311"/>
      <c r="F53" s="311">
        <f>-('5C1A_Madison'!AL53+'5C1A_Madison'!AO53)</f>
        <v>0</v>
      </c>
      <c r="G53" s="311">
        <f>-('5C1B_DArbonne'!AL53+'5C1B_DArbonne'!AO53)</f>
        <v>0</v>
      </c>
      <c r="H53" s="311">
        <f>-('5C1C_Intl High'!AL53+'5C1C_Intl High'!AO53)</f>
        <v>0</v>
      </c>
      <c r="I53" s="311">
        <f>-('5C1D_NOMMA'!AL53+'5C1D_NOMMA'!AO53)</f>
        <v>0</v>
      </c>
      <c r="J53" s="311">
        <f>-('5C1E_LFNO'!AL53+'5C1E_LFNO'!AO53)</f>
        <v>0</v>
      </c>
      <c r="K53" s="311">
        <f>-('5C1F_L.C. Charter'!AL53+'5C1F_L.C. Charter'!AO53)</f>
        <v>0</v>
      </c>
      <c r="L53" s="311">
        <f>-('5C1G_JS Clark'!AL53+'5C1G_JS Clark'!AO53)</f>
        <v>0</v>
      </c>
      <c r="M53" s="311">
        <f>-('5C1H_Southwest'!AL53+'5C1H_Southwest'!AO53)</f>
        <v>0</v>
      </c>
      <c r="N53" s="311">
        <f>-('5C1I_LA Key'!AL53+'5C1I_LA Key'!AO53)</f>
        <v>0</v>
      </c>
      <c r="O53" s="311">
        <f>-('5C1J_JCFA-East'!AL53+'5C1J_JCFA-East'!AO53)</f>
        <v>0</v>
      </c>
      <c r="P53" s="311">
        <f>-('5C1M_GEO Mid'!AL53+'5C1M_GEO Mid'!AO53)</f>
        <v>0</v>
      </c>
      <c r="Q53" s="311">
        <f>-('5C1N_Delta'!AL53+'5C1N_Delta'!AO53)</f>
        <v>0</v>
      </c>
      <c r="R53" s="311">
        <f>-('5C1O_Impact'!AL53+'5C1O_Impact'!AO53)</f>
        <v>0</v>
      </c>
      <c r="S53" s="311">
        <f>-('5C1Q_Advantage'!AL53+'5C1Q_Advantage'!AO53)</f>
        <v>0</v>
      </c>
      <c r="T53" s="311">
        <f>-('5C1R_Iberville'!AL53+'5C1R_Iberville'!AO53)</f>
        <v>0</v>
      </c>
      <c r="U53" s="311">
        <f>-('5C1S_LC Col Prep'!AL53+'5C1S_LC Col Prep'!AO53)</f>
        <v>0</v>
      </c>
      <c r="V53" s="311">
        <f>-('5C1T_Northeast'!AL53+'5C1T_Northeast'!AO53)</f>
        <v>0</v>
      </c>
      <c r="W53" s="311">
        <f>-('5C1U_Acadiana Ren'!AL53+'5C1U_Acadiana Ren'!AO53)</f>
        <v>0</v>
      </c>
      <c r="X53" s="311">
        <f>-('5C1V_Laf Ren'!AL53+'5C1V_Laf Ren'!AO53)</f>
        <v>0</v>
      </c>
      <c r="Y53" s="311">
        <f>-('5C1W_Willow'!AL53+'5C1W_Willow'!AO53)</f>
        <v>0</v>
      </c>
      <c r="Z53" s="311">
        <f>-('5C1Y_GEO'!AL53+'5C1Y_GEO'!AO53)</f>
        <v>0</v>
      </c>
      <c r="AA53" s="311">
        <f>-('5C1Z_Lincoln Prep'!AL53+'5C1Z_Lincoln Prep'!AO53)</f>
        <v>0</v>
      </c>
      <c r="AB53" s="311">
        <f>-('5C1AE_Noble Minds'!$AL53+'5C1AE_Noble Minds'!$AO53)</f>
        <v>0</v>
      </c>
      <c r="AC53" s="311">
        <f>-('5C1AF_JCFA-Laf'!$AL53+'5C1AF_JCFA-Laf'!$AO53)</f>
        <v>0</v>
      </c>
      <c r="AD53" s="311">
        <f>-('5C1AG_Collegiate'!$AL53+'5C1AG_Collegiate'!$AO53)</f>
        <v>0</v>
      </c>
      <c r="AE53" s="311">
        <f>-('5C1AH_BRUP'!$AL53+'5C1AH_BRUP'!$AO53)</f>
        <v>0</v>
      </c>
      <c r="AF53" s="311">
        <f>-('5C1AI_Harmony'!$AL53+'5C1AI_Harmony'!$AO53)</f>
        <v>0</v>
      </c>
      <c r="AG53" s="311">
        <f>-('5C1AJ_Athlos'!$AL53+'5C1AJ_Athlos'!$AO53)</f>
        <v>0</v>
      </c>
      <c r="AH53" s="311">
        <f>-('5C1AK_NxtGen'!$AL53+'5C1AK_NxtGen'!$AO53)</f>
        <v>0</v>
      </c>
      <c r="AI53" s="311">
        <f>-('5C1AL_Red River'!$AL53+'5C1AL_Red River'!$AO53)</f>
        <v>0</v>
      </c>
      <c r="AJ53" s="311">
        <f>-('5C2_LAVCA'!AM53+'5C2_LAVCA'!AP53)</f>
        <v>-43005</v>
      </c>
      <c r="AK53" s="311">
        <f>-('5C3_UnvView'!AM53+'5C3_UnvView'!AP53)</f>
        <v>-100347</v>
      </c>
      <c r="AL53" s="312">
        <f t="shared" si="4"/>
        <v>-143352</v>
      </c>
      <c r="AM53" s="313">
        <f t="shared" si="5"/>
        <v>10819212</v>
      </c>
    </row>
    <row r="54" spans="1:39" ht="15.6" customHeight="1" x14ac:dyDescent="0.2">
      <c r="A54" s="309">
        <v>48</v>
      </c>
      <c r="B54" s="310" t="s">
        <v>73</v>
      </c>
      <c r="C54" s="311">
        <f>'2_State Distrib and Adjs'!BF54</f>
        <v>29248181</v>
      </c>
      <c r="D54" s="311">
        <f>-'5A3_OJJ'!P54</f>
        <v>-2011</v>
      </c>
      <c r="E54" s="311"/>
      <c r="F54" s="311">
        <f>-('5C1A_Madison'!AL54+'5C1A_Madison'!AO54)</f>
        <v>0</v>
      </c>
      <c r="G54" s="311">
        <f>-('5C1B_DArbonne'!AL54+'5C1B_DArbonne'!AO54)</f>
        <v>0</v>
      </c>
      <c r="H54" s="311">
        <f>-('5C1C_Intl High'!AL54+'5C1C_Intl High'!AO54)</f>
        <v>-8769</v>
      </c>
      <c r="I54" s="311">
        <f>-('5C1D_NOMMA'!AL54+'5C1D_NOMMA'!AO54)</f>
        <v>0</v>
      </c>
      <c r="J54" s="311">
        <f>-('5C1E_LFNO'!AL54+'5C1E_LFNO'!AO54)</f>
        <v>-17538</v>
      </c>
      <c r="K54" s="311">
        <f>-('5C1F_L.C. Charter'!AL54+'5C1F_L.C. Charter'!AO54)</f>
        <v>0</v>
      </c>
      <c r="L54" s="311">
        <f>-('5C1G_JS Clark'!AL54+'5C1G_JS Clark'!AO54)</f>
        <v>0</v>
      </c>
      <c r="M54" s="311">
        <f>-('5C1H_Southwest'!AL54+'5C1H_Southwest'!AO54)</f>
        <v>0</v>
      </c>
      <c r="N54" s="311">
        <f>-('5C1I_LA Key'!AL54+'5C1I_LA Key'!AO54)</f>
        <v>0</v>
      </c>
      <c r="O54" s="311">
        <f>-('5C1J_JCFA-East'!AL54+'5C1J_JCFA-East'!AO54)</f>
        <v>-17538</v>
      </c>
      <c r="P54" s="311">
        <f>-('5C1M_GEO Mid'!AL54+'5C1M_GEO Mid'!AO54)</f>
        <v>0</v>
      </c>
      <c r="Q54" s="311">
        <f>-('5C1N_Delta'!AL54+'5C1N_Delta'!AO54)</f>
        <v>0</v>
      </c>
      <c r="R54" s="311">
        <f>-('5C1O_Impact'!AL54+'5C1O_Impact'!AO54)</f>
        <v>0</v>
      </c>
      <c r="S54" s="311">
        <f>-('5C1Q_Advantage'!AL54+'5C1Q_Advantage'!AO54)</f>
        <v>0</v>
      </c>
      <c r="T54" s="311">
        <f>-('5C1R_Iberville'!AL54+'5C1R_Iberville'!AO54)</f>
        <v>-17538</v>
      </c>
      <c r="U54" s="311">
        <f>-('5C1S_LC Col Prep'!AL54+'5C1S_LC Col Prep'!AO54)</f>
        <v>0</v>
      </c>
      <c r="V54" s="311">
        <f>-('5C1T_Northeast'!AL54+'5C1T_Northeast'!AO54)</f>
        <v>0</v>
      </c>
      <c r="W54" s="311">
        <f>-('5C1U_Acadiana Ren'!AL54+'5C1U_Acadiana Ren'!AO54)</f>
        <v>0</v>
      </c>
      <c r="X54" s="311">
        <f>-('5C1V_Laf Ren'!AL54+'5C1V_Laf Ren'!AO54)</f>
        <v>0</v>
      </c>
      <c r="Y54" s="311">
        <f>-('5C1W_Willow'!AL54+'5C1W_Willow'!AO54)</f>
        <v>0</v>
      </c>
      <c r="Z54" s="311">
        <f>-('5C1Y_GEO'!AL54+'5C1Y_GEO'!AO54)</f>
        <v>0</v>
      </c>
      <c r="AA54" s="311">
        <f>-('5C1Z_Lincoln Prep'!AL54+'5C1Z_Lincoln Prep'!AO54)</f>
        <v>0</v>
      </c>
      <c r="AB54" s="311">
        <f>-('5C1AE_Noble Minds'!$AL54+'5C1AE_Noble Minds'!$AO54)</f>
        <v>-8769</v>
      </c>
      <c r="AC54" s="311">
        <f>-('5C1AF_JCFA-Laf'!$AL54+'5C1AF_JCFA-Laf'!$AO54)</f>
        <v>0</v>
      </c>
      <c r="AD54" s="311">
        <f>-('5C1AG_Collegiate'!$AL54+'5C1AG_Collegiate'!$AO54)</f>
        <v>0</v>
      </c>
      <c r="AE54" s="311">
        <f>-('5C1AH_BRUP'!$AL54+'5C1AH_BRUP'!$AO54)</f>
        <v>0</v>
      </c>
      <c r="AF54" s="311">
        <f>-('5C1AI_Harmony'!$AL54+'5C1AI_Harmony'!$AO54)</f>
        <v>0</v>
      </c>
      <c r="AG54" s="311">
        <f>-('5C1AJ_Athlos'!$AL54+'5C1AJ_Athlos'!$AO54)</f>
        <v>0</v>
      </c>
      <c r="AH54" s="311">
        <f>-('5C1AK_NxtGen'!$AL54+'5C1AK_NxtGen'!$AO54)</f>
        <v>0</v>
      </c>
      <c r="AI54" s="311">
        <f>-('5C1AL_Red River'!$AL54+'5C1AL_Red River'!$AO54)</f>
        <v>0</v>
      </c>
      <c r="AJ54" s="311">
        <f>-('5C2_LAVCA'!AM54+'5C2_LAVCA'!AP54)</f>
        <v>-197302</v>
      </c>
      <c r="AK54" s="311">
        <f>-('5C3_UnvView'!AM54+'5C3_UnvView'!AP54)</f>
        <v>-410389</v>
      </c>
      <c r="AL54" s="312">
        <f t="shared" si="4"/>
        <v>-679854</v>
      </c>
      <c r="AM54" s="313">
        <f t="shared" si="5"/>
        <v>28568327</v>
      </c>
    </row>
    <row r="55" spans="1:39" ht="15.6" customHeight="1" x14ac:dyDescent="0.2">
      <c r="A55" s="309">
        <v>49</v>
      </c>
      <c r="B55" s="310" t="s">
        <v>51</v>
      </c>
      <c r="C55" s="311">
        <f>'2_State Distrib and Adjs'!BF55</f>
        <v>75871143</v>
      </c>
      <c r="D55" s="311">
        <f>-'5A3_OJJ'!P55</f>
        <v>-7125</v>
      </c>
      <c r="E55" s="311"/>
      <c r="F55" s="311">
        <f>-('5C1A_Madison'!AL55+'5C1A_Madison'!AO55)</f>
        <v>0</v>
      </c>
      <c r="G55" s="311">
        <f>-('5C1B_DArbonne'!AL55+'5C1B_DArbonne'!AO55)</f>
        <v>0</v>
      </c>
      <c r="H55" s="311">
        <f>-('5C1C_Intl High'!AL55+'5C1C_Intl High'!AO55)</f>
        <v>0</v>
      </c>
      <c r="I55" s="311">
        <f>-('5C1D_NOMMA'!AL55+'5C1D_NOMMA'!AO55)</f>
        <v>0</v>
      </c>
      <c r="J55" s="311">
        <f>-('5C1E_LFNO'!AL55+'5C1E_LFNO'!AO55)</f>
        <v>0</v>
      </c>
      <c r="K55" s="311">
        <f>-('5C1F_L.C. Charter'!AL55+'5C1F_L.C. Charter'!AO55)</f>
        <v>0</v>
      </c>
      <c r="L55" s="311">
        <f>-('5C1G_JS Clark'!AL55+'5C1G_JS Clark'!AO55)</f>
        <v>-747400</v>
      </c>
      <c r="M55" s="311">
        <f>-('5C1H_Southwest'!AL55+'5C1H_Southwest'!AO55)</f>
        <v>0</v>
      </c>
      <c r="N55" s="311">
        <f>-('5C1I_LA Key'!AL55+'5C1I_LA Key'!AO55)</f>
        <v>-2960</v>
      </c>
      <c r="O55" s="311">
        <f>-('5C1J_JCFA-East'!AL55+'5C1J_JCFA-East'!AO55)</f>
        <v>0</v>
      </c>
      <c r="P55" s="311">
        <f>-('5C1M_GEO Mid'!AL55+'5C1M_GEO Mid'!AO55)</f>
        <v>0</v>
      </c>
      <c r="Q55" s="311">
        <f>-('5C1N_Delta'!AL55+'5C1N_Delta'!AO55)</f>
        <v>0</v>
      </c>
      <c r="R55" s="311">
        <f>-('5C1O_Impact'!AL55+'5C1O_Impact'!AO55)</f>
        <v>0</v>
      </c>
      <c r="S55" s="311">
        <f>-('5C1Q_Advantage'!AL55+'5C1Q_Advantage'!AO55)</f>
        <v>0</v>
      </c>
      <c r="T55" s="311">
        <f>-('5C1R_Iberville'!AL55+'5C1R_Iberville'!AO55)</f>
        <v>-8880</v>
      </c>
      <c r="U55" s="311">
        <f>-('5C1S_LC Col Prep'!AL55+'5C1S_LC Col Prep'!AO55)</f>
        <v>0</v>
      </c>
      <c r="V55" s="311">
        <f>-('5C1T_Northeast'!AL55+'5C1T_Northeast'!AO55)</f>
        <v>0</v>
      </c>
      <c r="W55" s="311">
        <f>-('5C1U_Acadiana Ren'!AL55+'5C1U_Acadiana Ren'!AO55)</f>
        <v>-26640</v>
      </c>
      <c r="X55" s="311">
        <f>-('5C1V_Laf Ren'!AL55+'5C1V_Laf Ren'!AO55)</f>
        <v>-284160</v>
      </c>
      <c r="Y55" s="311">
        <f>-('5C1W_Willow'!AL55+'5C1W_Willow'!AO55)</f>
        <v>-66600</v>
      </c>
      <c r="Z55" s="311">
        <f>-('5C1Y_GEO'!AL55+'5C1Y_GEO'!AO55)</f>
        <v>0</v>
      </c>
      <c r="AA55" s="311">
        <f>-('5C1Z_Lincoln Prep'!AL55+'5C1Z_Lincoln Prep'!AO55)</f>
        <v>0</v>
      </c>
      <c r="AB55" s="311">
        <f>-('5C1AE_Noble Minds'!$AL55+'5C1AE_Noble Minds'!$AO55)</f>
        <v>0</v>
      </c>
      <c r="AC55" s="311">
        <f>-('5C1AF_JCFA-Laf'!$AL55+'5C1AF_JCFA-Laf'!$AO55)</f>
        <v>-1480</v>
      </c>
      <c r="AD55" s="311">
        <f>-('5C1AG_Collegiate'!$AL55+'5C1AG_Collegiate'!$AO55)</f>
        <v>0</v>
      </c>
      <c r="AE55" s="311">
        <f>-('5C1AH_BRUP'!$AL55+'5C1AH_BRUP'!$AO55)</f>
        <v>0</v>
      </c>
      <c r="AF55" s="311">
        <f>-('5C1AI_Harmony'!$AL55+'5C1AI_Harmony'!$AO55)</f>
        <v>0</v>
      </c>
      <c r="AG55" s="311">
        <f>-('5C1AJ_Athlos'!$AL55+'5C1AJ_Athlos'!$AO55)</f>
        <v>0</v>
      </c>
      <c r="AH55" s="311">
        <f>-('5C1AK_NxtGen'!$AL55+'5C1AK_NxtGen'!$AO55)</f>
        <v>0</v>
      </c>
      <c r="AI55" s="311">
        <f>-('5C1AL_Red River'!$AL55+'5C1AL_Red River'!$AO55)</f>
        <v>0</v>
      </c>
      <c r="AJ55" s="311">
        <f>-('5C2_LAVCA'!AM55+'5C2_LAVCA'!AP55)</f>
        <v>-214452</v>
      </c>
      <c r="AK55" s="311">
        <f>-('5C3_UnvView'!AM55+'5C3_UnvView'!AP55)</f>
        <v>-214672</v>
      </c>
      <c r="AL55" s="312">
        <f t="shared" si="4"/>
        <v>-1574369</v>
      </c>
      <c r="AM55" s="313">
        <f t="shared" si="5"/>
        <v>74296774</v>
      </c>
    </row>
    <row r="56" spans="1:39" ht="15.6" customHeight="1" x14ac:dyDescent="0.2">
      <c r="A56" s="314">
        <v>50</v>
      </c>
      <c r="B56" s="315" t="s">
        <v>52</v>
      </c>
      <c r="C56" s="316">
        <f>'2_State Distrib and Adjs'!BF56</f>
        <v>42803435</v>
      </c>
      <c r="D56" s="316">
        <f>-'5A3_OJJ'!P56</f>
        <v>-939</v>
      </c>
      <c r="E56" s="316"/>
      <c r="F56" s="316">
        <f>-('5C1A_Madison'!AL56+'5C1A_Madison'!AO56)</f>
        <v>0</v>
      </c>
      <c r="G56" s="316">
        <f>-('5C1B_DArbonne'!AL56+'5C1B_DArbonne'!AO56)</f>
        <v>0</v>
      </c>
      <c r="H56" s="316">
        <f>-('5C1C_Intl High'!AL56+'5C1C_Intl High'!AO56)</f>
        <v>0</v>
      </c>
      <c r="I56" s="316">
        <f>-('5C1D_NOMMA'!AL56+'5C1D_NOMMA'!AO56)</f>
        <v>0</v>
      </c>
      <c r="J56" s="316">
        <f>-('5C1E_LFNO'!AL56+'5C1E_LFNO'!AO56)</f>
        <v>0</v>
      </c>
      <c r="K56" s="316">
        <f>-('5C1F_L.C. Charter'!AL56+'5C1F_L.C. Charter'!AO56)</f>
        <v>0</v>
      </c>
      <c r="L56" s="316">
        <f>-('5C1G_JS Clark'!AL56+'5C1G_JS Clark'!AO56)</f>
        <v>0</v>
      </c>
      <c r="M56" s="316">
        <f>-('5C1H_Southwest'!AL56+'5C1H_Southwest'!AO56)</f>
        <v>0</v>
      </c>
      <c r="N56" s="316">
        <f>-('5C1I_LA Key'!AL56+'5C1I_LA Key'!AO56)</f>
        <v>0</v>
      </c>
      <c r="O56" s="316">
        <f>-('5C1J_JCFA-East'!AL56+'5C1J_JCFA-East'!AO56)</f>
        <v>0</v>
      </c>
      <c r="P56" s="316">
        <f>-('5C1M_GEO Mid'!AL56+'5C1M_GEO Mid'!AO56)</f>
        <v>0</v>
      </c>
      <c r="Q56" s="316">
        <f>-('5C1N_Delta'!AL56+'5C1N_Delta'!AO56)</f>
        <v>0</v>
      </c>
      <c r="R56" s="316">
        <f>-('5C1O_Impact'!AL56+'5C1O_Impact'!AO56)</f>
        <v>0</v>
      </c>
      <c r="S56" s="316">
        <f>-('5C1Q_Advantage'!AL56+'5C1Q_Advantage'!AO56)</f>
        <v>0</v>
      </c>
      <c r="T56" s="316">
        <f>-('5C1R_Iberville'!AL56+'5C1R_Iberville'!AO56)</f>
        <v>-161826</v>
      </c>
      <c r="U56" s="316">
        <f>-('5C1S_LC Col Prep'!AL56+'5C1S_LC Col Prep'!AO56)</f>
        <v>0</v>
      </c>
      <c r="V56" s="316">
        <f>-('5C1T_Northeast'!AL56+'5C1T_Northeast'!AO56)</f>
        <v>0</v>
      </c>
      <c r="W56" s="316">
        <f>-('5C1U_Acadiana Ren'!AL56+'5C1U_Acadiana Ren'!AO56)</f>
        <v>-283195</v>
      </c>
      <c r="X56" s="316">
        <f>-('5C1V_Laf Ren'!AL56+'5C1V_Laf Ren'!AO56)</f>
        <v>-159900</v>
      </c>
      <c r="Y56" s="316">
        <f>-('5C1W_Willow'!AL56+'5C1W_Willow'!AO56)</f>
        <v>-94399</v>
      </c>
      <c r="Z56" s="316">
        <f>-('5C1Y_GEO'!AL56+'5C1Y_GEO'!AO56)</f>
        <v>0</v>
      </c>
      <c r="AA56" s="316">
        <f>-('5C1Z_Lincoln Prep'!AL56+'5C1Z_Lincoln Prep'!AO56)</f>
        <v>0</v>
      </c>
      <c r="AB56" s="316">
        <f>-('5C1AE_Noble Minds'!$AL56+'5C1AE_Noble Minds'!$AO56)</f>
        <v>0</v>
      </c>
      <c r="AC56" s="316">
        <f>-('5C1AF_JCFA-Laf'!$AL56+'5C1AF_JCFA-Laf'!$AO56)</f>
        <v>-9633</v>
      </c>
      <c r="AD56" s="316">
        <f>-('5C1AG_Collegiate'!$AL56+'5C1AG_Collegiate'!$AO56)</f>
        <v>0</v>
      </c>
      <c r="AE56" s="316">
        <f>-('5C1AH_BRUP'!$AL56+'5C1AH_BRUP'!$AO56)</f>
        <v>0</v>
      </c>
      <c r="AF56" s="586">
        <f>-('5C1AI_Harmony'!$AL56+'5C1AI_Harmony'!$AO56)</f>
        <v>0</v>
      </c>
      <c r="AG56" s="586">
        <f>-('5C1AJ_Athlos'!$AL56+'5C1AJ_Athlos'!$AO56)</f>
        <v>0</v>
      </c>
      <c r="AH56" s="781">
        <f>-('5C1AK_NxtGen'!$AL56+'5C1AK_NxtGen'!$AO56)</f>
        <v>0</v>
      </c>
      <c r="AI56" s="781">
        <f>-('5C1AL_Red River'!$AL56+'5C1AL_Red River'!$AO56)</f>
        <v>0</v>
      </c>
      <c r="AJ56" s="316">
        <f>-('5C2_LAVCA'!AM56+'5C2_LAVCA'!AP56)</f>
        <v>-78024</v>
      </c>
      <c r="AK56" s="316">
        <f>-('5C3_UnvView'!AM56+'5C3_UnvView'!AP56)</f>
        <v>-65886</v>
      </c>
      <c r="AL56" s="317">
        <f t="shared" si="4"/>
        <v>-853802</v>
      </c>
      <c r="AM56" s="318">
        <f t="shared" si="5"/>
        <v>41949633</v>
      </c>
    </row>
    <row r="57" spans="1:39" ht="15.6" customHeight="1" x14ac:dyDescent="0.2">
      <c r="A57" s="303">
        <v>51</v>
      </c>
      <c r="B57" s="304" t="s">
        <v>53</v>
      </c>
      <c r="C57" s="305">
        <f>'2_State Distrib and Adjs'!BF57</f>
        <v>47548957</v>
      </c>
      <c r="D57" s="305">
        <f>-'5A3_OJJ'!P57</f>
        <v>-2975</v>
      </c>
      <c r="E57" s="305"/>
      <c r="F57" s="305">
        <f>-('5C1A_Madison'!AL57+'5C1A_Madison'!AO57)</f>
        <v>0</v>
      </c>
      <c r="G57" s="305">
        <f>-('5C1B_DArbonne'!AL57+'5C1B_DArbonne'!AO57)</f>
        <v>0</v>
      </c>
      <c r="H57" s="305">
        <f>-('5C1C_Intl High'!AL57+'5C1C_Intl High'!AO57)</f>
        <v>0</v>
      </c>
      <c r="I57" s="305">
        <f>-('5C1D_NOMMA'!AL57+'5C1D_NOMMA'!AO57)</f>
        <v>0</v>
      </c>
      <c r="J57" s="305">
        <f>-('5C1E_LFNO'!AL57+'5C1E_LFNO'!AO57)</f>
        <v>0</v>
      </c>
      <c r="K57" s="305">
        <f>-('5C1F_L.C. Charter'!AL57+'5C1F_L.C. Charter'!AO57)</f>
        <v>0</v>
      </c>
      <c r="L57" s="305">
        <f>-('5C1G_JS Clark'!AL57+'5C1G_JS Clark'!AO57)</f>
        <v>0</v>
      </c>
      <c r="M57" s="305">
        <f>-('5C1H_Southwest'!AL57+'5C1H_Southwest'!AO57)</f>
        <v>0</v>
      </c>
      <c r="N57" s="305">
        <f>-('5C1I_LA Key'!AL57+'5C1I_LA Key'!AO57)</f>
        <v>0</v>
      </c>
      <c r="O57" s="305">
        <f>-('5C1J_JCFA-East'!AL57+'5C1J_JCFA-East'!AO57)</f>
        <v>0</v>
      </c>
      <c r="P57" s="305">
        <f>-('5C1M_GEO Mid'!AL57+'5C1M_GEO Mid'!AO57)</f>
        <v>0</v>
      </c>
      <c r="Q57" s="305">
        <f>-('5C1N_Delta'!AL57+'5C1N_Delta'!AO57)</f>
        <v>0</v>
      </c>
      <c r="R57" s="305">
        <f>-('5C1O_Impact'!AL57+'5C1O_Impact'!AO57)</f>
        <v>0</v>
      </c>
      <c r="S57" s="305">
        <f>-('5C1Q_Advantage'!AL57+'5C1Q_Advantage'!AO57)</f>
        <v>0</v>
      </c>
      <c r="T57" s="305">
        <f>-('5C1R_Iberville'!AL57+'5C1R_Iberville'!AO57)</f>
        <v>-44172</v>
      </c>
      <c r="U57" s="305">
        <f>-('5C1S_LC Col Prep'!AL57+'5C1S_LC Col Prep'!AO57)</f>
        <v>0</v>
      </c>
      <c r="V57" s="305">
        <f>-('5C1T_Northeast'!AL57+'5C1T_Northeast'!AO57)</f>
        <v>0</v>
      </c>
      <c r="W57" s="305">
        <f>-('5C1U_Acadiana Ren'!AL57+'5C1U_Acadiana Ren'!AO57)</f>
        <v>-4908</v>
      </c>
      <c r="X57" s="305">
        <f>-('5C1V_Laf Ren'!AL57+'5C1V_Laf Ren'!AO57)</f>
        <v>0</v>
      </c>
      <c r="Y57" s="305">
        <f>-('5C1W_Willow'!AL57+'5C1W_Willow'!AO57)</f>
        <v>-4908</v>
      </c>
      <c r="Z57" s="305">
        <f>-('5C1Y_GEO'!AL57+'5C1Y_GEO'!AO57)</f>
        <v>0</v>
      </c>
      <c r="AA57" s="306">
        <f>-('5C1Z_Lincoln Prep'!AL57+'5C1Z_Lincoln Prep'!AO57)</f>
        <v>0</v>
      </c>
      <c r="AB57" s="306">
        <f>-('5C1AE_Noble Minds'!$AL57+'5C1AE_Noble Minds'!$AO57)</f>
        <v>0</v>
      </c>
      <c r="AC57" s="306">
        <f>-('5C1AF_JCFA-Laf'!$AL57+'5C1AF_JCFA-Laf'!$AO57)</f>
        <v>0</v>
      </c>
      <c r="AD57" s="306">
        <f>-('5C1AG_Collegiate'!$AL57+'5C1AG_Collegiate'!$AO57)</f>
        <v>0</v>
      </c>
      <c r="AE57" s="306">
        <f>-('5C1AH_BRUP'!$AL57+'5C1AH_BRUP'!$AO57)</f>
        <v>0</v>
      </c>
      <c r="AF57" s="585">
        <f>-('5C1AI_Harmony'!$AL57+'5C1AI_Harmony'!$AO57)</f>
        <v>0</v>
      </c>
      <c r="AG57" s="585">
        <f>-('5C1AJ_Athlos'!$AL57+'5C1AJ_Athlos'!$AO57)</f>
        <v>0</v>
      </c>
      <c r="AH57" s="585">
        <f>-('5C1AK_NxtGen'!$AL57+'5C1AK_NxtGen'!$AO57)</f>
        <v>0</v>
      </c>
      <c r="AI57" s="585">
        <f>-('5C1AL_Red River'!$AL57+'5C1AL_Red River'!$AO57)</f>
        <v>0</v>
      </c>
      <c r="AJ57" s="305">
        <f>-('5C2_LAVCA'!AM57+'5C2_LAVCA'!AP57)</f>
        <v>-53006</v>
      </c>
      <c r="AK57" s="305">
        <f>-('5C3_UnvView'!AM57+'5C3_UnvView'!AP57)</f>
        <v>-88949</v>
      </c>
      <c r="AL57" s="307">
        <f t="shared" si="4"/>
        <v>-198918</v>
      </c>
      <c r="AM57" s="308">
        <f t="shared" si="5"/>
        <v>47350039</v>
      </c>
    </row>
    <row r="58" spans="1:39" ht="15.6" customHeight="1" x14ac:dyDescent="0.2">
      <c r="A58" s="309">
        <v>52</v>
      </c>
      <c r="B58" s="310" t="s">
        <v>54</v>
      </c>
      <c r="C58" s="311">
        <f>'2_State Distrib and Adjs'!BF58</f>
        <v>221776823</v>
      </c>
      <c r="D58" s="311">
        <f>-'5A3_OJJ'!P58</f>
        <v>-18053</v>
      </c>
      <c r="E58" s="311"/>
      <c r="F58" s="311">
        <f>-('5C1A_Madison'!AL58+'5C1A_Madison'!AO58)</f>
        <v>0</v>
      </c>
      <c r="G58" s="311">
        <f>-('5C1B_DArbonne'!AL58+'5C1B_DArbonne'!AO58)</f>
        <v>0</v>
      </c>
      <c r="H58" s="311">
        <f>-('5C1C_Intl High'!AL58+'5C1C_Intl High'!AO58)</f>
        <v>0</v>
      </c>
      <c r="I58" s="311">
        <f>-('5C1D_NOMMA'!AL58+'5C1D_NOMMA'!AO58)</f>
        <v>-25972</v>
      </c>
      <c r="J58" s="311">
        <f>-('5C1E_LFNO'!AL58+'5C1E_LFNO'!AO58)</f>
        <v>-77916</v>
      </c>
      <c r="K58" s="311">
        <f>-('5C1F_L.C. Charter'!AL58+'5C1F_L.C. Charter'!AO58)</f>
        <v>0</v>
      </c>
      <c r="L58" s="311">
        <f>-('5C1G_JS Clark'!AL58+'5C1G_JS Clark'!AO58)</f>
        <v>0</v>
      </c>
      <c r="M58" s="311">
        <f>-('5C1H_Southwest'!AL58+'5C1H_Southwest'!AO58)</f>
        <v>0</v>
      </c>
      <c r="N58" s="311">
        <f>-('5C1I_LA Key'!AL58+'5C1I_LA Key'!AO58)</f>
        <v>-16233</v>
      </c>
      <c r="O58" s="311">
        <f>-('5C1J_JCFA-East'!AL58+'5C1J_JCFA-East'!AO58)</f>
        <v>0</v>
      </c>
      <c r="P58" s="311">
        <f>-('5C1M_GEO Mid'!AL58+'5C1M_GEO Mid'!AO58)</f>
        <v>0</v>
      </c>
      <c r="Q58" s="311">
        <f>-('5C1N_Delta'!AL58+'5C1N_Delta'!AO58)</f>
        <v>0</v>
      </c>
      <c r="R58" s="311">
        <f>-('5C1O_Impact'!AL58+'5C1O_Impact'!AO58)</f>
        <v>0</v>
      </c>
      <c r="S58" s="311">
        <f>-('5C1Q_Advantage'!AL58+'5C1Q_Advantage'!AO58)</f>
        <v>0</v>
      </c>
      <c r="T58" s="311">
        <f>-('5C1R_Iberville'!AL58+'5C1R_Iberville'!AO58)</f>
        <v>-9740</v>
      </c>
      <c r="U58" s="311">
        <f>-('5C1S_LC Col Prep'!AL58+'5C1S_LC Col Prep'!AO58)</f>
        <v>0</v>
      </c>
      <c r="V58" s="311">
        <f>-('5C1T_Northeast'!AL58+'5C1T_Northeast'!AO58)</f>
        <v>0</v>
      </c>
      <c r="W58" s="311">
        <f>-('5C1U_Acadiana Ren'!AL58+'5C1U_Acadiana Ren'!AO58)</f>
        <v>-6493</v>
      </c>
      <c r="X58" s="311">
        <f>-('5C1V_Laf Ren'!AL58+'5C1V_Laf Ren'!AO58)</f>
        <v>0</v>
      </c>
      <c r="Y58" s="311">
        <f>-('5C1W_Willow'!AL58+'5C1W_Willow'!AO58)</f>
        <v>0</v>
      </c>
      <c r="Z58" s="311">
        <f>-('5C1Y_GEO'!AL58+'5C1Y_GEO'!AO58)</f>
        <v>0</v>
      </c>
      <c r="AA58" s="311">
        <f>-('5C1Z_Lincoln Prep'!AL58+'5C1Z_Lincoln Prep'!AO58)</f>
        <v>0</v>
      </c>
      <c r="AB58" s="311">
        <f>-('5C1AE_Noble Minds'!$AL58+'5C1AE_Noble Minds'!$AO58)</f>
        <v>0</v>
      </c>
      <c r="AC58" s="311">
        <f>-('5C1AF_JCFA-Laf'!$AL58+'5C1AF_JCFA-Laf'!$AO58)</f>
        <v>0</v>
      </c>
      <c r="AD58" s="311">
        <f>-('5C1AG_Collegiate'!$AL58+'5C1AG_Collegiate'!$AO58)</f>
        <v>0</v>
      </c>
      <c r="AE58" s="311">
        <f>-('5C1AH_BRUP'!$AL58+'5C1AH_BRUP'!$AO58)</f>
        <v>0</v>
      </c>
      <c r="AF58" s="311">
        <f>-('5C1AI_Harmony'!$AL58+'5C1AI_Harmony'!$AO58)</f>
        <v>-6493</v>
      </c>
      <c r="AG58" s="311">
        <f>-('5C1AJ_Athlos'!$AL58+'5C1AJ_Athlos'!$AO58)</f>
        <v>-12986</v>
      </c>
      <c r="AH58" s="311">
        <f>-('5C1AK_NxtGen'!$AL58+'5C1AK_NxtGen'!$AO58)</f>
        <v>0</v>
      </c>
      <c r="AI58" s="311">
        <f>-('5C1AL_Red River'!$AL58+'5C1AL_Red River'!$AO58)</f>
        <v>0</v>
      </c>
      <c r="AJ58" s="311">
        <f>-('5C2_LAVCA'!AM58+'5C2_LAVCA'!AP58)</f>
        <v>-759920</v>
      </c>
      <c r="AK58" s="311">
        <f>-('5C3_UnvView'!AM58+'5C3_UnvView'!AP58)</f>
        <v>-2133190</v>
      </c>
      <c r="AL58" s="312">
        <f t="shared" si="4"/>
        <v>-3066996</v>
      </c>
      <c r="AM58" s="313">
        <f t="shared" si="5"/>
        <v>218709827</v>
      </c>
    </row>
    <row r="59" spans="1:39" ht="15.6" customHeight="1" x14ac:dyDescent="0.2">
      <c r="A59" s="309">
        <v>53</v>
      </c>
      <c r="B59" s="310" t="s">
        <v>55</v>
      </c>
      <c r="C59" s="311">
        <f>'2_State Distrib and Adjs'!BF59</f>
        <v>118868448</v>
      </c>
      <c r="D59" s="311">
        <f>-'5A3_OJJ'!P59</f>
        <v>-8434</v>
      </c>
      <c r="E59" s="311"/>
      <c r="F59" s="311">
        <f>-('5C1A_Madison'!AL59+'5C1A_Madison'!AO59)</f>
        <v>-4278</v>
      </c>
      <c r="G59" s="311">
        <f>-('5C1B_DArbonne'!AL59+'5C1B_DArbonne'!AO59)</f>
        <v>0</v>
      </c>
      <c r="H59" s="311">
        <f>-('5C1C_Intl High'!AL59+'5C1C_Intl High'!AO59)</f>
        <v>0</v>
      </c>
      <c r="I59" s="311">
        <f>-('5C1D_NOMMA'!AL59+'5C1D_NOMMA'!AO59)</f>
        <v>-2852</v>
      </c>
      <c r="J59" s="311">
        <f>-('5C1E_LFNO'!AL59+'5C1E_LFNO'!AO59)</f>
        <v>-2852</v>
      </c>
      <c r="K59" s="311">
        <f>-('5C1F_L.C. Charter'!AL59+'5C1F_L.C. Charter'!AO59)</f>
        <v>0</v>
      </c>
      <c r="L59" s="311">
        <f>-('5C1G_JS Clark'!AL59+'5C1G_JS Clark'!AO59)</f>
        <v>0</v>
      </c>
      <c r="M59" s="311">
        <f>-('5C1H_Southwest'!AL59+'5C1H_Southwest'!AO59)</f>
        <v>0</v>
      </c>
      <c r="N59" s="311">
        <f>-('5C1I_LA Key'!AL59+'5C1I_LA Key'!AO59)</f>
        <v>-12834</v>
      </c>
      <c r="O59" s="311">
        <f>-('5C1J_JCFA-East'!AL59+'5C1J_JCFA-East'!AO59)</f>
        <v>-2852</v>
      </c>
      <c r="P59" s="311">
        <f>-('5C1M_GEO Mid'!AL59+'5C1M_GEO Mid'!AO59)</f>
        <v>0</v>
      </c>
      <c r="Q59" s="311">
        <f>-('5C1N_Delta'!AL59+'5C1N_Delta'!AO59)</f>
        <v>0</v>
      </c>
      <c r="R59" s="311">
        <f>-('5C1O_Impact'!AL59+'5C1O_Impact'!AO59)</f>
        <v>-2852</v>
      </c>
      <c r="S59" s="311">
        <f>-('5C1Q_Advantage'!AL59+'5C1Q_Advantage'!AO59)</f>
        <v>0</v>
      </c>
      <c r="T59" s="311">
        <f>-('5C1R_Iberville'!AL59+'5C1R_Iberville'!AO59)</f>
        <v>-5704</v>
      </c>
      <c r="U59" s="311">
        <f>-('5C1S_LC Col Prep'!AL59+'5C1S_LC Col Prep'!AO59)</f>
        <v>0</v>
      </c>
      <c r="V59" s="311">
        <f>-('5C1T_Northeast'!AL59+'5C1T_Northeast'!AO59)</f>
        <v>0</v>
      </c>
      <c r="W59" s="311">
        <f>-('5C1U_Acadiana Ren'!AL59+'5C1U_Acadiana Ren'!AO59)</f>
        <v>0</v>
      </c>
      <c r="X59" s="311">
        <f>-('5C1V_Laf Ren'!AL59+'5C1V_Laf Ren'!AO59)</f>
        <v>0</v>
      </c>
      <c r="Y59" s="311">
        <f>-('5C1W_Willow'!AL59+'5C1W_Willow'!AO59)</f>
        <v>0</v>
      </c>
      <c r="Z59" s="311">
        <f>-('5C1Y_GEO'!AL59+'5C1Y_GEO'!AO59)</f>
        <v>0</v>
      </c>
      <c r="AA59" s="311">
        <f>-('5C1Z_Lincoln Prep'!AL59+'5C1Z_Lincoln Prep'!AO59)</f>
        <v>0</v>
      </c>
      <c r="AB59" s="311">
        <f>-('5C1AE_Noble Minds'!$AL59+'5C1AE_Noble Minds'!$AO59)</f>
        <v>0</v>
      </c>
      <c r="AC59" s="311">
        <f>-('5C1AF_JCFA-Laf'!$AL59+'5C1AF_JCFA-Laf'!$AO59)</f>
        <v>0</v>
      </c>
      <c r="AD59" s="311">
        <f>-('5C1AG_Collegiate'!$AL59+'5C1AG_Collegiate'!$AO59)</f>
        <v>0</v>
      </c>
      <c r="AE59" s="311">
        <f>-('5C1AH_BRUP'!$AL59+'5C1AH_BRUP'!$AO59)</f>
        <v>0</v>
      </c>
      <c r="AF59" s="311">
        <f>-('5C1AI_Harmony'!$AL59+'5C1AI_Harmony'!$AO59)</f>
        <v>0</v>
      </c>
      <c r="AG59" s="311">
        <f>-('5C1AJ_Athlos'!$AL59+'5C1AJ_Athlos'!$AO59)</f>
        <v>0</v>
      </c>
      <c r="AH59" s="311">
        <f>-('5C1AK_NxtGen'!$AL59+'5C1AK_NxtGen'!$AO59)</f>
        <v>0</v>
      </c>
      <c r="AI59" s="311">
        <f>-('5C1AL_Red River'!$AL59+'5C1AL_Red River'!$AO59)</f>
        <v>0</v>
      </c>
      <c r="AJ59" s="311">
        <f>-('5C2_LAVCA'!AM59+'5C2_LAVCA'!AP59)</f>
        <v>-193793</v>
      </c>
      <c r="AK59" s="311">
        <f>-('5C3_UnvView'!AM59+'5C3_UnvView'!AP59)</f>
        <v>-586514</v>
      </c>
      <c r="AL59" s="312">
        <f t="shared" si="4"/>
        <v>-822965</v>
      </c>
      <c r="AM59" s="313">
        <f t="shared" si="5"/>
        <v>118045483</v>
      </c>
    </row>
    <row r="60" spans="1:39" ht="15.6" customHeight="1" x14ac:dyDescent="0.2">
      <c r="A60" s="309">
        <v>54</v>
      </c>
      <c r="B60" s="310" t="s">
        <v>56</v>
      </c>
      <c r="C60" s="311">
        <f>'2_State Distrib and Adjs'!BF60</f>
        <v>2331689</v>
      </c>
      <c r="D60" s="311">
        <f>-'5A3_OJJ'!P60</f>
        <v>0</v>
      </c>
      <c r="E60" s="311"/>
      <c r="F60" s="311">
        <f>-('5C1A_Madison'!AL60+'5C1A_Madison'!AO60)</f>
        <v>0</v>
      </c>
      <c r="G60" s="311">
        <f>-('5C1B_DArbonne'!AL60+'5C1B_DArbonne'!AO60)</f>
        <v>0</v>
      </c>
      <c r="H60" s="311">
        <f>-('5C1C_Intl High'!AL60+'5C1C_Intl High'!AO60)</f>
        <v>0</v>
      </c>
      <c r="I60" s="311">
        <f>-('5C1D_NOMMA'!AL60+'5C1D_NOMMA'!AO60)</f>
        <v>0</v>
      </c>
      <c r="J60" s="311">
        <f>-('5C1E_LFNO'!AL60+'5C1E_LFNO'!AO60)</f>
        <v>0</v>
      </c>
      <c r="K60" s="311">
        <f>-('5C1F_L.C. Charter'!AL60+'5C1F_L.C. Charter'!AO60)</f>
        <v>0</v>
      </c>
      <c r="L60" s="311">
        <f>-('5C1G_JS Clark'!AL60+'5C1G_JS Clark'!AO60)</f>
        <v>0</v>
      </c>
      <c r="M60" s="311">
        <f>-('5C1H_Southwest'!AL60+'5C1H_Southwest'!AO60)</f>
        <v>0</v>
      </c>
      <c r="N60" s="311">
        <f>-('5C1I_LA Key'!AL60+'5C1I_LA Key'!AO60)</f>
        <v>0</v>
      </c>
      <c r="O60" s="311">
        <f>-('5C1J_JCFA-East'!AL60+'5C1J_JCFA-East'!AO60)</f>
        <v>0</v>
      </c>
      <c r="P60" s="311">
        <f>-('5C1M_GEO Mid'!AL60+'5C1M_GEO Mid'!AO60)</f>
        <v>0</v>
      </c>
      <c r="Q60" s="311">
        <f>-('5C1N_Delta'!AL60+'5C1N_Delta'!AO60)</f>
        <v>-354305</v>
      </c>
      <c r="R60" s="311">
        <f>-('5C1O_Impact'!AL60+'5C1O_Impact'!AO60)</f>
        <v>0</v>
      </c>
      <c r="S60" s="311">
        <f>-('5C1Q_Advantage'!AL60+'5C1Q_Advantage'!AO60)</f>
        <v>0</v>
      </c>
      <c r="T60" s="311">
        <f>-('5C1R_Iberville'!AL60+'5C1R_Iberville'!AO60)</f>
        <v>0</v>
      </c>
      <c r="U60" s="311">
        <f>-('5C1S_LC Col Prep'!AL60+'5C1S_LC Col Prep'!AO60)</f>
        <v>0</v>
      </c>
      <c r="V60" s="311">
        <f>-('5C1T_Northeast'!AL60+'5C1T_Northeast'!AO60)</f>
        <v>0</v>
      </c>
      <c r="W60" s="311">
        <f>-('5C1U_Acadiana Ren'!AL60+'5C1U_Acadiana Ren'!AO60)</f>
        <v>0</v>
      </c>
      <c r="X60" s="311">
        <f>-('5C1V_Laf Ren'!AL60+'5C1V_Laf Ren'!AO60)</f>
        <v>0</v>
      </c>
      <c r="Y60" s="311">
        <f>-('5C1W_Willow'!AL60+'5C1W_Willow'!AO60)</f>
        <v>0</v>
      </c>
      <c r="Z60" s="311">
        <f>-('5C1Y_GEO'!AL60+'5C1Y_GEO'!AO60)</f>
        <v>0</v>
      </c>
      <c r="AA60" s="311">
        <f>-('5C1Z_Lincoln Prep'!AL60+'5C1Z_Lincoln Prep'!AO60)</f>
        <v>0</v>
      </c>
      <c r="AB60" s="311">
        <f>-('5C1AE_Noble Minds'!$AL60+'5C1AE_Noble Minds'!$AO60)</f>
        <v>0</v>
      </c>
      <c r="AC60" s="311">
        <f>-('5C1AF_JCFA-Laf'!$AL60+'5C1AF_JCFA-Laf'!$AO60)</f>
        <v>0</v>
      </c>
      <c r="AD60" s="311">
        <f>-('5C1AG_Collegiate'!$AL60+'5C1AG_Collegiate'!$AO60)</f>
        <v>0</v>
      </c>
      <c r="AE60" s="311">
        <f>-('5C1AH_BRUP'!$AL60+'5C1AH_BRUP'!$AO60)</f>
        <v>0</v>
      </c>
      <c r="AF60" s="311">
        <f>-('5C1AI_Harmony'!$AL60+'5C1AI_Harmony'!$AO60)</f>
        <v>0</v>
      </c>
      <c r="AG60" s="311">
        <f>-('5C1AJ_Athlos'!$AL60+'5C1AJ_Athlos'!$AO60)</f>
        <v>0</v>
      </c>
      <c r="AH60" s="311">
        <f>-('5C1AK_NxtGen'!$AL60+'5C1AK_NxtGen'!$AO60)</f>
        <v>0</v>
      </c>
      <c r="AI60" s="311">
        <f>-('5C1AL_Red River'!$AL60+'5C1AL_Red River'!$AO60)</f>
        <v>0</v>
      </c>
      <c r="AJ60" s="311">
        <f>-('5C2_LAVCA'!AM60+'5C2_LAVCA'!AP60)</f>
        <v>-6017</v>
      </c>
      <c r="AK60" s="311">
        <f>-('5C3_UnvView'!AM60+'5C3_UnvView'!AP60)</f>
        <v>-45124</v>
      </c>
      <c r="AL60" s="312">
        <f t="shared" si="4"/>
        <v>-405446</v>
      </c>
      <c r="AM60" s="313">
        <f t="shared" si="5"/>
        <v>1926243</v>
      </c>
    </row>
    <row r="61" spans="1:39" ht="15.6" customHeight="1" x14ac:dyDescent="0.2">
      <c r="A61" s="314">
        <v>55</v>
      </c>
      <c r="B61" s="315" t="s">
        <v>57</v>
      </c>
      <c r="C61" s="316">
        <f>'2_State Distrib and Adjs'!BF61</f>
        <v>93182026</v>
      </c>
      <c r="D61" s="316">
        <f>-'5A3_OJJ'!P61</f>
        <v>-20947</v>
      </c>
      <c r="E61" s="316"/>
      <c r="F61" s="316">
        <f>-('5C1A_Madison'!AL61+'5C1A_Madison'!AO61)</f>
        <v>0</v>
      </c>
      <c r="G61" s="316">
        <f>-('5C1B_DArbonne'!AL61+'5C1B_DArbonne'!AO61)</f>
        <v>0</v>
      </c>
      <c r="H61" s="316">
        <f>-('5C1C_Intl High'!AL61+'5C1C_Intl High'!AO61)</f>
        <v>-4148</v>
      </c>
      <c r="I61" s="316">
        <f>-('5C1D_NOMMA'!AL61+'5C1D_NOMMA'!AO61)</f>
        <v>0</v>
      </c>
      <c r="J61" s="316">
        <f>-('5C1E_LFNO'!AL61+'5C1E_LFNO'!AO61)</f>
        <v>0</v>
      </c>
      <c r="K61" s="316">
        <f>-('5C1F_L.C. Charter'!AL61+'5C1F_L.C. Charter'!AO61)</f>
        <v>0</v>
      </c>
      <c r="L61" s="316">
        <f>-('5C1G_JS Clark'!AL61+'5C1G_JS Clark'!AO61)</f>
        <v>0</v>
      </c>
      <c r="M61" s="316">
        <f>-('5C1H_Southwest'!AL61+'5C1H_Southwest'!AO61)</f>
        <v>0</v>
      </c>
      <c r="N61" s="316">
        <f>-('5C1I_LA Key'!AL61+'5C1I_LA Key'!AO61)</f>
        <v>0</v>
      </c>
      <c r="O61" s="316">
        <f>-('5C1J_JCFA-East'!AL61+'5C1J_JCFA-East'!AO61)</f>
        <v>0</v>
      </c>
      <c r="P61" s="316">
        <f>-('5C1M_GEO Mid'!AL61+'5C1M_GEO Mid'!AO61)</f>
        <v>0</v>
      </c>
      <c r="Q61" s="316">
        <f>-('5C1N_Delta'!AL61+'5C1N_Delta'!AO61)</f>
        <v>0</v>
      </c>
      <c r="R61" s="316">
        <f>-('5C1O_Impact'!AL61+'5C1O_Impact'!AO61)</f>
        <v>0</v>
      </c>
      <c r="S61" s="316">
        <f>-('5C1Q_Advantage'!AL61+'5C1Q_Advantage'!AO61)</f>
        <v>0</v>
      </c>
      <c r="T61" s="316">
        <f>-('5C1R_Iberville'!AL61+'5C1R_Iberville'!AO61)</f>
        <v>-331840</v>
      </c>
      <c r="U61" s="316">
        <f>-('5C1S_LC Col Prep'!AL61+'5C1S_LC Col Prep'!AO61)</f>
        <v>0</v>
      </c>
      <c r="V61" s="316">
        <f>-('5C1T_Northeast'!AL61+'5C1T_Northeast'!AO61)</f>
        <v>0</v>
      </c>
      <c r="W61" s="316">
        <f>-('5C1U_Acadiana Ren'!AL61+'5C1U_Acadiana Ren'!AO61)</f>
        <v>-47702</v>
      </c>
      <c r="X61" s="316">
        <f>-('5C1V_Laf Ren'!AL61+'5C1V_Laf Ren'!AO61)</f>
        <v>0</v>
      </c>
      <c r="Y61" s="316">
        <f>-('5C1W_Willow'!AL61+'5C1W_Willow'!AO61)</f>
        <v>0</v>
      </c>
      <c r="Z61" s="316">
        <f>-('5C1Y_GEO'!AL61+'5C1Y_GEO'!AO61)</f>
        <v>0</v>
      </c>
      <c r="AA61" s="316">
        <f>-('5C1Z_Lincoln Prep'!AL61+'5C1Z_Lincoln Prep'!AO61)</f>
        <v>0</v>
      </c>
      <c r="AB61" s="316">
        <f>-('5C1AE_Noble Minds'!$AL61+'5C1AE_Noble Minds'!$AO61)</f>
        <v>0</v>
      </c>
      <c r="AC61" s="316">
        <f>-('5C1AF_JCFA-Laf'!$AL61+'5C1AF_JCFA-Laf'!$AO61)</f>
        <v>0</v>
      </c>
      <c r="AD61" s="316">
        <f>-('5C1AG_Collegiate'!$AL61+'5C1AG_Collegiate'!$AO61)</f>
        <v>0</v>
      </c>
      <c r="AE61" s="316">
        <f>-('5C1AH_BRUP'!$AL61+'5C1AH_BRUP'!$AO61)</f>
        <v>0</v>
      </c>
      <c r="AF61" s="586">
        <f>-('5C1AI_Harmony'!$AL61+'5C1AI_Harmony'!$AO61)</f>
        <v>0</v>
      </c>
      <c r="AG61" s="586">
        <f>-('5C1AJ_Athlos'!$AL61+'5C1AJ_Athlos'!$AO61)</f>
        <v>0</v>
      </c>
      <c r="AH61" s="781">
        <f>-('5C1AK_NxtGen'!$AL61+'5C1AK_NxtGen'!$AO61)</f>
        <v>0</v>
      </c>
      <c r="AI61" s="781">
        <f>-('5C1AL_Red River'!$AL61+'5C1AL_Red River'!$AO61)</f>
        <v>0</v>
      </c>
      <c r="AJ61" s="316">
        <f>-('5C2_LAVCA'!AM61+'5C2_LAVCA'!AP61)</f>
        <v>-278123</v>
      </c>
      <c r="AK61" s="316">
        <f>-('5C3_UnvView'!AM61+'5C3_UnvView'!AP61)</f>
        <v>-463181</v>
      </c>
      <c r="AL61" s="317">
        <f t="shared" si="4"/>
        <v>-1145941</v>
      </c>
      <c r="AM61" s="318">
        <f t="shared" si="5"/>
        <v>92036085</v>
      </c>
    </row>
    <row r="62" spans="1:39" ht="15.6" customHeight="1" x14ac:dyDescent="0.2">
      <c r="A62" s="303">
        <v>56</v>
      </c>
      <c r="B62" s="304" t="s">
        <v>58</v>
      </c>
      <c r="C62" s="305">
        <f>'2_State Distrib and Adjs'!BF62</f>
        <v>13540140</v>
      </c>
      <c r="D62" s="305">
        <f>-'5A3_OJJ'!P62</f>
        <v>0</v>
      </c>
      <c r="E62" s="305"/>
      <c r="F62" s="305">
        <f>-('5C1A_Madison'!AL62+'5C1A_Madison'!AO62)</f>
        <v>0</v>
      </c>
      <c r="G62" s="305">
        <f>-('5C1B_DArbonne'!AL62+'5C1B_DArbonne'!AO62)</f>
        <v>-3861359</v>
      </c>
      <c r="H62" s="305">
        <f>-('5C1C_Intl High'!AL62+'5C1C_Intl High'!AO62)</f>
        <v>0</v>
      </c>
      <c r="I62" s="305">
        <f>-('5C1D_NOMMA'!AL62+'5C1D_NOMMA'!AO62)</f>
        <v>0</v>
      </c>
      <c r="J62" s="305">
        <f>-('5C1E_LFNO'!AL62+'5C1E_LFNO'!AO62)</f>
        <v>0</v>
      </c>
      <c r="K62" s="305">
        <f>-('5C1F_L.C. Charter'!AL62+'5C1F_L.C. Charter'!AO62)</f>
        <v>0</v>
      </c>
      <c r="L62" s="305">
        <f>-('5C1G_JS Clark'!AL62+'5C1G_JS Clark'!AO62)</f>
        <v>0</v>
      </c>
      <c r="M62" s="305">
        <f>-('5C1H_Southwest'!AL62+'5C1H_Southwest'!AO62)</f>
        <v>0</v>
      </c>
      <c r="N62" s="305">
        <f>-('5C1I_LA Key'!AL62+'5C1I_LA Key'!AO62)</f>
        <v>0</v>
      </c>
      <c r="O62" s="305">
        <f>-('5C1J_JCFA-East'!AL62+'5C1J_JCFA-East'!AO62)</f>
        <v>0</v>
      </c>
      <c r="P62" s="305">
        <f>-('5C1M_GEO Mid'!AL62+'5C1M_GEO Mid'!AO62)</f>
        <v>0</v>
      </c>
      <c r="Q62" s="305">
        <f>-('5C1N_Delta'!AL62+'5C1N_Delta'!AO62)</f>
        <v>0</v>
      </c>
      <c r="R62" s="305">
        <f>-('5C1O_Impact'!AL62+'5C1O_Impact'!AO62)</f>
        <v>0</v>
      </c>
      <c r="S62" s="305">
        <f>-('5C1Q_Advantage'!AL62+'5C1Q_Advantage'!AO62)</f>
        <v>0</v>
      </c>
      <c r="T62" s="305">
        <f>-('5C1R_Iberville'!AL62+'5C1R_Iberville'!AO62)</f>
        <v>0</v>
      </c>
      <c r="U62" s="305">
        <f>-('5C1S_LC Col Prep'!AL62+'5C1S_LC Col Prep'!AO62)</f>
        <v>0</v>
      </c>
      <c r="V62" s="305">
        <f>-('5C1T_Northeast'!AL62+'5C1T_Northeast'!AO62)</f>
        <v>-579422</v>
      </c>
      <c r="W62" s="305">
        <f>-('5C1U_Acadiana Ren'!AL62+'5C1U_Acadiana Ren'!AO62)</f>
        <v>0</v>
      </c>
      <c r="X62" s="305">
        <f>-('5C1V_Laf Ren'!AL62+'5C1V_Laf Ren'!AO62)</f>
        <v>0</v>
      </c>
      <c r="Y62" s="305">
        <f>-('5C1W_Willow'!AL62+'5C1W_Willow'!AO62)</f>
        <v>0</v>
      </c>
      <c r="Z62" s="305">
        <f>-('5C1Y_GEO'!AL62+'5C1Y_GEO'!AO62)</f>
        <v>0</v>
      </c>
      <c r="AA62" s="306">
        <f>-('5C1Z_Lincoln Prep'!AL62+'5C1Z_Lincoln Prep'!AO62)</f>
        <v>-194598</v>
      </c>
      <c r="AB62" s="306">
        <f>-('5C1AE_Noble Minds'!$AL62+'5C1AE_Noble Minds'!$AO62)</f>
        <v>0</v>
      </c>
      <c r="AC62" s="306">
        <f>-('5C1AF_JCFA-Laf'!$AL62+'5C1AF_JCFA-Laf'!$AO62)</f>
        <v>0</v>
      </c>
      <c r="AD62" s="306">
        <f>-('5C1AG_Collegiate'!$AL62+'5C1AG_Collegiate'!$AO62)</f>
        <v>0</v>
      </c>
      <c r="AE62" s="306">
        <f>-('5C1AH_BRUP'!$AL62+'5C1AH_BRUP'!$AO62)</f>
        <v>0</v>
      </c>
      <c r="AF62" s="585">
        <f>-('5C1AI_Harmony'!$AL62+'5C1AI_Harmony'!$AO62)</f>
        <v>0</v>
      </c>
      <c r="AG62" s="585">
        <f>-('5C1AJ_Athlos'!$AL62+'5C1AJ_Athlos'!$AO62)</f>
        <v>0</v>
      </c>
      <c r="AH62" s="585">
        <f>-('5C1AK_NxtGen'!$AL62+'5C1AK_NxtGen'!$AO62)</f>
        <v>0</v>
      </c>
      <c r="AI62" s="585">
        <f>-('5C1AL_Red River'!$AL62+'5C1AL_Red River'!$AO62)</f>
        <v>0</v>
      </c>
      <c r="AJ62" s="305">
        <f>-('5C2_LAVCA'!AM62+'5C2_LAVCA'!AP62)</f>
        <v>-49196</v>
      </c>
      <c r="AK62" s="305">
        <f>-('5C3_UnvView'!AM62+'5C3_UnvView'!AP62)</f>
        <v>-33454</v>
      </c>
      <c r="AL62" s="307">
        <f t="shared" si="4"/>
        <v>-4718029</v>
      </c>
      <c r="AM62" s="308">
        <f t="shared" si="5"/>
        <v>8822111</v>
      </c>
    </row>
    <row r="63" spans="1:39" ht="15.6" customHeight="1" x14ac:dyDescent="0.2">
      <c r="A63" s="309">
        <v>57</v>
      </c>
      <c r="B63" s="310" t="s">
        <v>59</v>
      </c>
      <c r="C63" s="311">
        <f>'2_State Distrib and Adjs'!BF63</f>
        <v>59179721</v>
      </c>
      <c r="D63" s="311">
        <f>-'5A3_OJJ'!P63</f>
        <v>-6565</v>
      </c>
      <c r="E63" s="311"/>
      <c r="F63" s="311">
        <f>-('5C1A_Madison'!AL63+'5C1A_Madison'!AO63)</f>
        <v>0</v>
      </c>
      <c r="G63" s="311">
        <f>-('5C1B_DArbonne'!AL63+'5C1B_DArbonne'!AO63)</f>
        <v>0</v>
      </c>
      <c r="H63" s="311">
        <f>-('5C1C_Intl High'!AL63+'5C1C_Intl High'!AO63)</f>
        <v>0</v>
      </c>
      <c r="I63" s="311">
        <f>-('5C1D_NOMMA'!AL63+'5C1D_NOMMA'!AO63)</f>
        <v>0</v>
      </c>
      <c r="J63" s="311">
        <f>-('5C1E_LFNO'!AL63+'5C1E_LFNO'!AO63)</f>
        <v>0</v>
      </c>
      <c r="K63" s="311">
        <f>-('5C1F_L.C. Charter'!AL63+'5C1F_L.C. Charter'!AO63)</f>
        <v>0</v>
      </c>
      <c r="L63" s="311">
        <f>-('5C1G_JS Clark'!AL63+'5C1G_JS Clark'!AO63)</f>
        <v>0</v>
      </c>
      <c r="M63" s="311">
        <f>-('5C1H_Southwest'!AL63+'5C1H_Southwest'!AO63)</f>
        <v>0</v>
      </c>
      <c r="N63" s="311">
        <f>-('5C1I_LA Key'!AL63+'5C1I_LA Key'!AO63)</f>
        <v>0</v>
      </c>
      <c r="O63" s="311">
        <f>-('5C1J_JCFA-East'!AL63+'5C1J_JCFA-East'!AO63)</f>
        <v>0</v>
      </c>
      <c r="P63" s="311">
        <f>-('5C1M_GEO Mid'!AL63+'5C1M_GEO Mid'!AO63)</f>
        <v>0</v>
      </c>
      <c r="Q63" s="311">
        <f>-('5C1N_Delta'!AL63+'5C1N_Delta'!AO63)</f>
        <v>0</v>
      </c>
      <c r="R63" s="311">
        <f>-('5C1O_Impact'!AL63+'5C1O_Impact'!AO63)</f>
        <v>0</v>
      </c>
      <c r="S63" s="311">
        <f>-('5C1Q_Advantage'!AL63+'5C1Q_Advantage'!AO63)</f>
        <v>0</v>
      </c>
      <c r="T63" s="311">
        <f>-('5C1R_Iberville'!AL63+'5C1R_Iberville'!AO63)</f>
        <v>0</v>
      </c>
      <c r="U63" s="311">
        <f>-('5C1S_LC Col Prep'!AL63+'5C1S_LC Col Prep'!AO63)</f>
        <v>0</v>
      </c>
      <c r="V63" s="311">
        <f>-('5C1T_Northeast'!AL63+'5C1T_Northeast'!AO63)</f>
        <v>0</v>
      </c>
      <c r="W63" s="311">
        <f>-('5C1U_Acadiana Ren'!AL63+'5C1U_Acadiana Ren'!AO63)</f>
        <v>-94039</v>
      </c>
      <c r="X63" s="311">
        <f>-('5C1V_Laf Ren'!AL63+'5C1V_Laf Ren'!AO63)</f>
        <v>-5298</v>
      </c>
      <c r="Y63" s="311">
        <f>-('5C1W_Willow'!AL63+'5C1W_Willow'!AO63)</f>
        <v>0</v>
      </c>
      <c r="Z63" s="311">
        <f>-('5C1Y_GEO'!AL63+'5C1Y_GEO'!AO63)</f>
        <v>0</v>
      </c>
      <c r="AA63" s="311">
        <f>-('5C1Z_Lincoln Prep'!AL63+'5C1Z_Lincoln Prep'!AO63)</f>
        <v>0</v>
      </c>
      <c r="AB63" s="311">
        <f>-('5C1AE_Noble Minds'!$AL63+'5C1AE_Noble Minds'!$AO63)</f>
        <v>0</v>
      </c>
      <c r="AC63" s="311">
        <f>-('5C1AF_JCFA-Laf'!$AL63+'5C1AF_JCFA-Laf'!$AO63)</f>
        <v>-2649</v>
      </c>
      <c r="AD63" s="311">
        <f>-('5C1AG_Collegiate'!$AL63+'5C1AG_Collegiate'!$AO63)</f>
        <v>0</v>
      </c>
      <c r="AE63" s="311">
        <f>-('5C1AH_BRUP'!$AL63+'5C1AH_BRUP'!$AO63)</f>
        <v>0</v>
      </c>
      <c r="AF63" s="311">
        <f>-('5C1AI_Harmony'!$AL63+'5C1AI_Harmony'!$AO63)</f>
        <v>0</v>
      </c>
      <c r="AG63" s="311">
        <f>-('5C1AJ_Athlos'!$AL63+'5C1AJ_Athlos'!$AO63)</f>
        <v>0</v>
      </c>
      <c r="AH63" s="311">
        <f>-('5C1AK_NxtGen'!$AL63+'5C1AK_NxtGen'!$AO63)</f>
        <v>0</v>
      </c>
      <c r="AI63" s="311">
        <f>-('5C1AL_Red River'!$AL63+'5C1AL_Red River'!$AO63)</f>
        <v>0</v>
      </c>
      <c r="AJ63" s="311">
        <f>-('5C2_LAVCA'!AM63+'5C2_LAVCA'!AP63)</f>
        <v>-56027</v>
      </c>
      <c r="AK63" s="311">
        <f>-('5C3_UnvView'!AM63+'5C3_UnvView'!AP63)</f>
        <v>-35762</v>
      </c>
      <c r="AL63" s="312">
        <f t="shared" si="4"/>
        <v>-200340</v>
      </c>
      <c r="AM63" s="313">
        <f t="shared" si="5"/>
        <v>58979381</v>
      </c>
    </row>
    <row r="64" spans="1:39" ht="15.6" customHeight="1" x14ac:dyDescent="0.2">
      <c r="A64" s="309">
        <v>58</v>
      </c>
      <c r="B64" s="310" t="s">
        <v>60</v>
      </c>
      <c r="C64" s="311">
        <f>'2_State Distrib and Adjs'!BF64</f>
        <v>53667744</v>
      </c>
      <c r="D64" s="311">
        <f>-'5A3_OJJ'!P64</f>
        <v>-2628</v>
      </c>
      <c r="E64" s="311"/>
      <c r="F64" s="311">
        <f>-('5C1A_Madison'!AL64+'5C1A_Madison'!AO64)</f>
        <v>0</v>
      </c>
      <c r="G64" s="311">
        <f>-('5C1B_DArbonne'!AL64+'5C1B_DArbonne'!AO64)</f>
        <v>0</v>
      </c>
      <c r="H64" s="311">
        <f>-('5C1C_Intl High'!AL64+'5C1C_Intl High'!AO64)</f>
        <v>0</v>
      </c>
      <c r="I64" s="311">
        <f>-('5C1D_NOMMA'!AL64+'5C1D_NOMMA'!AO64)</f>
        <v>0</v>
      </c>
      <c r="J64" s="311">
        <f>-('5C1E_LFNO'!AL64+'5C1E_LFNO'!AO64)</f>
        <v>0</v>
      </c>
      <c r="K64" s="311">
        <f>-('5C1F_L.C. Charter'!AL64+'5C1F_L.C. Charter'!AO64)</f>
        <v>0</v>
      </c>
      <c r="L64" s="311">
        <f>-('5C1G_JS Clark'!AL64+'5C1G_JS Clark'!AO64)</f>
        <v>0</v>
      </c>
      <c r="M64" s="311">
        <f>-('5C1H_Southwest'!AL64+'5C1H_Southwest'!AO64)</f>
        <v>0</v>
      </c>
      <c r="N64" s="311">
        <f>-('5C1I_LA Key'!AL64+'5C1I_LA Key'!AO64)</f>
        <v>0</v>
      </c>
      <c r="O64" s="311">
        <f>-('5C1J_JCFA-East'!AL64+'5C1J_JCFA-East'!AO64)</f>
        <v>0</v>
      </c>
      <c r="P64" s="311">
        <f>-('5C1M_GEO Mid'!AL64+'5C1M_GEO Mid'!AO64)</f>
        <v>0</v>
      </c>
      <c r="Q64" s="311">
        <f>-('5C1N_Delta'!AL64+'5C1N_Delta'!AO64)</f>
        <v>0</v>
      </c>
      <c r="R64" s="311">
        <f>-('5C1O_Impact'!AL64+'5C1O_Impact'!AO64)</f>
        <v>0</v>
      </c>
      <c r="S64" s="311">
        <f>-('5C1Q_Advantage'!AL64+'5C1Q_Advantage'!AO64)</f>
        <v>0</v>
      </c>
      <c r="T64" s="311">
        <f>-('5C1R_Iberville'!AL64+'5C1R_Iberville'!AO64)</f>
        <v>0</v>
      </c>
      <c r="U64" s="311">
        <f>-('5C1S_LC Col Prep'!AL64+'5C1S_LC Col Prep'!AO64)</f>
        <v>0</v>
      </c>
      <c r="V64" s="311">
        <f>-('5C1T_Northeast'!AL64+'5C1T_Northeast'!AO64)</f>
        <v>0</v>
      </c>
      <c r="W64" s="311">
        <f>-('5C1U_Acadiana Ren'!AL64+'5C1U_Acadiana Ren'!AO64)</f>
        <v>0</v>
      </c>
      <c r="X64" s="311">
        <f>-('5C1V_Laf Ren'!AL64+'5C1V_Laf Ren'!AO64)</f>
        <v>0</v>
      </c>
      <c r="Y64" s="311">
        <f>-('5C1W_Willow'!AL64+'5C1W_Willow'!AO64)</f>
        <v>0</v>
      </c>
      <c r="Z64" s="311">
        <f>-('5C1Y_GEO'!AL64+'5C1Y_GEO'!AO64)</f>
        <v>0</v>
      </c>
      <c r="AA64" s="311">
        <f>-('5C1Z_Lincoln Prep'!AL64+'5C1Z_Lincoln Prep'!AO64)</f>
        <v>0</v>
      </c>
      <c r="AB64" s="311">
        <f>-('5C1AE_Noble Minds'!$AL64+'5C1AE_Noble Minds'!$AO64)</f>
        <v>0</v>
      </c>
      <c r="AC64" s="311">
        <f>-('5C1AF_JCFA-Laf'!$AL64+'5C1AF_JCFA-Laf'!$AO64)</f>
        <v>0</v>
      </c>
      <c r="AD64" s="311">
        <f>-('5C1AG_Collegiate'!$AL64+'5C1AG_Collegiate'!$AO64)</f>
        <v>0</v>
      </c>
      <c r="AE64" s="311">
        <f>-('5C1AH_BRUP'!$AL64+'5C1AH_BRUP'!$AO64)</f>
        <v>0</v>
      </c>
      <c r="AF64" s="311">
        <f>-('5C1AI_Harmony'!$AL64+'5C1AI_Harmony'!$AO64)</f>
        <v>0</v>
      </c>
      <c r="AG64" s="311">
        <f>-('5C1AJ_Athlos'!$AL64+'5C1AJ_Athlos'!$AO64)</f>
        <v>0</v>
      </c>
      <c r="AH64" s="311">
        <f>-('5C1AK_NxtGen'!$AL64+'5C1AK_NxtGen'!$AO64)</f>
        <v>0</v>
      </c>
      <c r="AI64" s="311">
        <f>-('5C1AL_Red River'!$AL64+'5C1AL_Red River'!$AO64)</f>
        <v>0</v>
      </c>
      <c r="AJ64" s="311">
        <f>-('5C2_LAVCA'!AM64+'5C2_LAVCA'!AP64)</f>
        <v>-81013</v>
      </c>
      <c r="AK64" s="311">
        <f>-('5C3_UnvView'!AM64+'5C3_UnvView'!AP64)</f>
        <v>-49575</v>
      </c>
      <c r="AL64" s="312">
        <f t="shared" si="4"/>
        <v>-133216</v>
      </c>
      <c r="AM64" s="313">
        <f t="shared" si="5"/>
        <v>53534528</v>
      </c>
    </row>
    <row r="65" spans="1:39" ht="15.6" customHeight="1" x14ac:dyDescent="0.2">
      <c r="A65" s="309">
        <v>59</v>
      </c>
      <c r="B65" s="310" t="s">
        <v>61</v>
      </c>
      <c r="C65" s="311">
        <f>'2_State Distrib and Adjs'!BF65</f>
        <v>36359484</v>
      </c>
      <c r="D65" s="311">
        <f>-'5A3_OJJ'!P65</f>
        <v>-1311</v>
      </c>
      <c r="E65" s="311"/>
      <c r="F65" s="311">
        <f>-('5C1A_Madison'!AL65+'5C1A_Madison'!AO65)</f>
        <v>0</v>
      </c>
      <c r="G65" s="311">
        <f>-('5C1B_DArbonne'!AL65+'5C1B_DArbonne'!AO65)</f>
        <v>0</v>
      </c>
      <c r="H65" s="311">
        <f>-('5C1C_Intl High'!AL65+'5C1C_Intl High'!AO65)</f>
        <v>0</v>
      </c>
      <c r="I65" s="311">
        <f>-('5C1D_NOMMA'!AL65+'5C1D_NOMMA'!AO65)</f>
        <v>0</v>
      </c>
      <c r="J65" s="311">
        <f>-('5C1E_LFNO'!AL65+'5C1E_LFNO'!AO65)</f>
        <v>0</v>
      </c>
      <c r="K65" s="311">
        <f>-('5C1F_L.C. Charter'!AL65+'5C1F_L.C. Charter'!AO65)</f>
        <v>0</v>
      </c>
      <c r="L65" s="311">
        <f>-('5C1G_JS Clark'!AL65+'5C1G_JS Clark'!AO65)</f>
        <v>0</v>
      </c>
      <c r="M65" s="311">
        <f>-('5C1H_Southwest'!AL65+'5C1H_Southwest'!AO65)</f>
        <v>0</v>
      </c>
      <c r="N65" s="311">
        <f>-('5C1I_LA Key'!AL65+'5C1I_LA Key'!AO65)</f>
        <v>0</v>
      </c>
      <c r="O65" s="311">
        <f>-('5C1J_JCFA-East'!AL65+'5C1J_JCFA-East'!AO65)</f>
        <v>0</v>
      </c>
      <c r="P65" s="311">
        <f>-('5C1M_GEO Mid'!AL65+'5C1M_GEO Mid'!AO65)</f>
        <v>0</v>
      </c>
      <c r="Q65" s="311">
        <f>-('5C1N_Delta'!AL65+'5C1N_Delta'!AO65)</f>
        <v>0</v>
      </c>
      <c r="R65" s="311">
        <f>-('5C1O_Impact'!AL65+'5C1O_Impact'!AO65)</f>
        <v>0</v>
      </c>
      <c r="S65" s="311">
        <f>-('5C1Q_Advantage'!AL65+'5C1Q_Advantage'!AO65)</f>
        <v>0</v>
      </c>
      <c r="T65" s="311">
        <f>-('5C1R_Iberville'!AL65+'5C1R_Iberville'!AO65)</f>
        <v>0</v>
      </c>
      <c r="U65" s="311">
        <f>-('5C1S_LC Col Prep'!AL65+'5C1S_LC Col Prep'!AO65)</f>
        <v>0</v>
      </c>
      <c r="V65" s="311">
        <f>-('5C1T_Northeast'!AL65+'5C1T_Northeast'!AO65)</f>
        <v>0</v>
      </c>
      <c r="W65" s="311">
        <f>-('5C1U_Acadiana Ren'!AL65+'5C1U_Acadiana Ren'!AO65)</f>
        <v>0</v>
      </c>
      <c r="X65" s="311">
        <f>-('5C1V_Laf Ren'!AL65+'5C1V_Laf Ren'!AO65)</f>
        <v>0</v>
      </c>
      <c r="Y65" s="311">
        <f>-('5C1W_Willow'!AL65+'5C1W_Willow'!AO65)</f>
        <v>0</v>
      </c>
      <c r="Z65" s="311">
        <f>-('5C1Y_GEO'!AL65+'5C1Y_GEO'!AO65)</f>
        <v>0</v>
      </c>
      <c r="AA65" s="311">
        <f>-('5C1Z_Lincoln Prep'!AL65+'5C1Z_Lincoln Prep'!AO65)</f>
        <v>0</v>
      </c>
      <c r="AB65" s="311">
        <f>-('5C1AE_Noble Minds'!$AL65+'5C1AE_Noble Minds'!$AO65)</f>
        <v>0</v>
      </c>
      <c r="AC65" s="311">
        <f>-('5C1AF_JCFA-Laf'!$AL65+'5C1AF_JCFA-Laf'!$AO65)</f>
        <v>0</v>
      </c>
      <c r="AD65" s="311">
        <f>-('5C1AG_Collegiate'!$AL65+'5C1AG_Collegiate'!$AO65)</f>
        <v>0</v>
      </c>
      <c r="AE65" s="311">
        <f>-('5C1AH_BRUP'!$AL65+'5C1AH_BRUP'!$AO65)</f>
        <v>0</v>
      </c>
      <c r="AF65" s="311">
        <f>-('5C1AI_Harmony'!$AL65+'5C1AI_Harmony'!$AO65)</f>
        <v>0</v>
      </c>
      <c r="AG65" s="311">
        <f>-('5C1AJ_Athlos'!$AL65+'5C1AJ_Athlos'!$AO65)</f>
        <v>0</v>
      </c>
      <c r="AH65" s="311">
        <f>-('5C1AK_NxtGen'!$AL65+'5C1AK_NxtGen'!$AO65)</f>
        <v>0</v>
      </c>
      <c r="AI65" s="311">
        <f>-('5C1AL_Red River'!$AL65+'5C1AL_Red River'!$AO65)</f>
        <v>0</v>
      </c>
      <c r="AJ65" s="311">
        <f>-('5C2_LAVCA'!AM65+'5C2_LAVCA'!AP65)</f>
        <v>-27922</v>
      </c>
      <c r="AK65" s="311">
        <f>-('5C3_UnvView'!AM65+'5C3_UnvView'!AP65)</f>
        <v>-61684</v>
      </c>
      <c r="AL65" s="312">
        <f t="shared" si="4"/>
        <v>-90917</v>
      </c>
      <c r="AM65" s="313">
        <f t="shared" si="5"/>
        <v>36268567</v>
      </c>
    </row>
    <row r="66" spans="1:39" ht="15.6" customHeight="1" x14ac:dyDescent="0.2">
      <c r="A66" s="314">
        <v>60</v>
      </c>
      <c r="B66" s="315" t="s">
        <v>62</v>
      </c>
      <c r="C66" s="316">
        <f>'2_State Distrib and Adjs'!BF66</f>
        <v>36770666</v>
      </c>
      <c r="D66" s="316">
        <f>-'5A3_OJJ'!P66</f>
        <v>-572</v>
      </c>
      <c r="E66" s="316"/>
      <c r="F66" s="316">
        <f>-('5C1A_Madison'!AL66+'5C1A_Madison'!AO66)</f>
        <v>0</v>
      </c>
      <c r="G66" s="316">
        <f>-('5C1B_DArbonne'!AL66+'5C1B_DArbonne'!AO66)</f>
        <v>0</v>
      </c>
      <c r="H66" s="316">
        <f>-('5C1C_Intl High'!AL66+'5C1C_Intl High'!AO66)</f>
        <v>0</v>
      </c>
      <c r="I66" s="316">
        <f>-('5C1D_NOMMA'!AL66+'5C1D_NOMMA'!AO66)</f>
        <v>0</v>
      </c>
      <c r="J66" s="316">
        <f>-('5C1E_LFNO'!AL66+'5C1E_LFNO'!AO66)</f>
        <v>0</v>
      </c>
      <c r="K66" s="316">
        <f>-('5C1F_L.C. Charter'!AL66+'5C1F_L.C. Charter'!AO66)</f>
        <v>0</v>
      </c>
      <c r="L66" s="316">
        <f>-('5C1G_JS Clark'!AL66+'5C1G_JS Clark'!AO66)</f>
        <v>0</v>
      </c>
      <c r="M66" s="316">
        <f>-('5C1H_Southwest'!AL66+'5C1H_Southwest'!AO66)</f>
        <v>0</v>
      </c>
      <c r="N66" s="316">
        <f>-('5C1I_LA Key'!AL66+'5C1I_LA Key'!AO66)</f>
        <v>0</v>
      </c>
      <c r="O66" s="316">
        <f>-('5C1J_JCFA-East'!AL66+'5C1J_JCFA-East'!AO66)</f>
        <v>0</v>
      </c>
      <c r="P66" s="316">
        <f>-('5C1M_GEO Mid'!AL66+'5C1M_GEO Mid'!AO66)</f>
        <v>0</v>
      </c>
      <c r="Q66" s="316">
        <f>-('5C1N_Delta'!AL66+'5C1N_Delta'!AO66)</f>
        <v>0</v>
      </c>
      <c r="R66" s="316">
        <f>-('5C1O_Impact'!AL66+'5C1O_Impact'!AO66)</f>
        <v>0</v>
      </c>
      <c r="S66" s="316">
        <f>-('5C1Q_Advantage'!AL66+'5C1Q_Advantage'!AO66)</f>
        <v>0</v>
      </c>
      <c r="T66" s="316">
        <f>-('5C1R_Iberville'!AL66+'5C1R_Iberville'!AO66)</f>
        <v>0</v>
      </c>
      <c r="U66" s="316">
        <f>-('5C1S_LC Col Prep'!AL66+'5C1S_LC Col Prep'!AO66)</f>
        <v>0</v>
      </c>
      <c r="V66" s="316">
        <f>-('5C1T_Northeast'!AL66+'5C1T_Northeast'!AO66)</f>
        <v>0</v>
      </c>
      <c r="W66" s="316">
        <f>-('5C1U_Acadiana Ren'!AL66+'5C1U_Acadiana Ren'!AO66)</f>
        <v>0</v>
      </c>
      <c r="X66" s="316">
        <f>-('5C1V_Laf Ren'!AL66+'5C1V_Laf Ren'!AO66)</f>
        <v>0</v>
      </c>
      <c r="Y66" s="316">
        <f>-('5C1W_Willow'!AL66+'5C1W_Willow'!AO66)</f>
        <v>0</v>
      </c>
      <c r="Z66" s="316">
        <f>-('5C1Y_GEO'!AL66+'5C1Y_GEO'!AO66)</f>
        <v>0</v>
      </c>
      <c r="AA66" s="316">
        <f>-('5C1Z_Lincoln Prep'!AL66+'5C1Z_Lincoln Prep'!AO66)</f>
        <v>-4762</v>
      </c>
      <c r="AB66" s="316">
        <f>-('5C1AE_Noble Minds'!$AL66+'5C1AE_Noble Minds'!$AO66)</f>
        <v>0</v>
      </c>
      <c r="AC66" s="316">
        <f>-('5C1AF_JCFA-Laf'!$AL66+'5C1AF_JCFA-Laf'!$AO66)</f>
        <v>0</v>
      </c>
      <c r="AD66" s="316">
        <f>-('5C1AG_Collegiate'!$AL66+'5C1AG_Collegiate'!$AO66)</f>
        <v>0</v>
      </c>
      <c r="AE66" s="316">
        <f>-('5C1AH_BRUP'!$AL66+'5C1AH_BRUP'!$AO66)</f>
        <v>0</v>
      </c>
      <c r="AF66" s="586">
        <f>-('5C1AI_Harmony'!$AL66+'5C1AI_Harmony'!$AO66)</f>
        <v>0</v>
      </c>
      <c r="AG66" s="586">
        <f>-('5C1AJ_Athlos'!$AL66+'5C1AJ_Athlos'!$AO66)</f>
        <v>0</v>
      </c>
      <c r="AH66" s="781">
        <f>-('5C1AK_NxtGen'!$AL66+'5C1AK_NxtGen'!$AO66)</f>
        <v>0</v>
      </c>
      <c r="AI66" s="781">
        <f>-('5C1AL_Red River'!$AL66+'5C1AL_Red River'!$AO66)</f>
        <v>0</v>
      </c>
      <c r="AJ66" s="316">
        <f>-('5C2_LAVCA'!AM66+'5C2_LAVCA'!AP66)</f>
        <v>-32143</v>
      </c>
      <c r="AK66" s="316">
        <f>-('5C3_UnvView'!AM66+'5C3_UnvView'!AP66)</f>
        <v>-132860</v>
      </c>
      <c r="AL66" s="317">
        <f t="shared" si="4"/>
        <v>-170337</v>
      </c>
      <c r="AM66" s="318">
        <f t="shared" si="5"/>
        <v>36600329</v>
      </c>
    </row>
    <row r="67" spans="1:39" ht="15.6" customHeight="1" x14ac:dyDescent="0.2">
      <c r="A67" s="303">
        <v>61</v>
      </c>
      <c r="B67" s="304" t="s">
        <v>63</v>
      </c>
      <c r="C67" s="305">
        <f>'2_State Distrib and Adjs'!BF67</f>
        <v>16021530</v>
      </c>
      <c r="D67" s="305">
        <f>-'5A3_OJJ'!P67</f>
        <v>0</v>
      </c>
      <c r="E67" s="305"/>
      <c r="F67" s="305">
        <f>-('5C1A_Madison'!AL67+'5C1A_Madison'!AO67)</f>
        <v>-22090</v>
      </c>
      <c r="G67" s="305">
        <f>-('5C1B_DArbonne'!AL67+'5C1B_DArbonne'!AO67)</f>
        <v>0</v>
      </c>
      <c r="H67" s="305">
        <f>-('5C1C_Intl High'!AL67+'5C1C_Intl High'!AO67)</f>
        <v>0</v>
      </c>
      <c r="I67" s="305">
        <f>-('5C1D_NOMMA'!AL67+'5C1D_NOMMA'!AO67)</f>
        <v>0</v>
      </c>
      <c r="J67" s="305">
        <f>-('5C1E_LFNO'!AL67+'5C1E_LFNO'!AO67)</f>
        <v>0</v>
      </c>
      <c r="K67" s="305">
        <f>-('5C1F_L.C. Charter'!AL67+'5C1F_L.C. Charter'!AO67)</f>
        <v>0</v>
      </c>
      <c r="L67" s="305">
        <f>-('5C1G_JS Clark'!AL67+'5C1G_JS Clark'!AO67)</f>
        <v>0</v>
      </c>
      <c r="M67" s="305">
        <f>-('5C1H_Southwest'!AL67+'5C1H_Southwest'!AO67)</f>
        <v>0</v>
      </c>
      <c r="N67" s="305">
        <f>-('5C1I_LA Key'!AL67+'5C1I_LA Key'!AO67)</f>
        <v>-138063</v>
      </c>
      <c r="O67" s="305">
        <f>-('5C1J_JCFA-East'!AL67+'5C1J_JCFA-East'!AO67)</f>
        <v>0</v>
      </c>
      <c r="P67" s="305">
        <f>-('5C1M_GEO Mid'!AL67+'5C1M_GEO Mid'!AO67)</f>
        <v>-11045</v>
      </c>
      <c r="Q67" s="305">
        <f>-('5C1N_Delta'!AL67+'5C1N_Delta'!AO67)</f>
        <v>0</v>
      </c>
      <c r="R67" s="305">
        <f>-('5C1O_Impact'!AL67+'5C1O_Impact'!AO67)</f>
        <v>0</v>
      </c>
      <c r="S67" s="305">
        <f>-('5C1Q_Advantage'!AL67+'5C1Q_Advantage'!AO67)</f>
        <v>-55225</v>
      </c>
      <c r="T67" s="305">
        <f>-('5C1R_Iberville'!AL67+'5C1R_Iberville'!AO67)</f>
        <v>-557773</v>
      </c>
      <c r="U67" s="305">
        <f>-('5C1S_LC Col Prep'!AL67+'5C1S_LC Col Prep'!AO67)</f>
        <v>0</v>
      </c>
      <c r="V67" s="305">
        <f>-('5C1T_Northeast'!AL67+'5C1T_Northeast'!AO67)</f>
        <v>0</v>
      </c>
      <c r="W67" s="305">
        <f>-('5C1U_Acadiana Ren'!AL67+'5C1U_Acadiana Ren'!AO67)</f>
        <v>0</v>
      </c>
      <c r="X67" s="305">
        <f>-('5C1V_Laf Ren'!AL67+'5C1V_Laf Ren'!AO67)</f>
        <v>0</v>
      </c>
      <c r="Y67" s="305">
        <f>-('5C1W_Willow'!AL67+'5C1W_Willow'!AO67)</f>
        <v>0</v>
      </c>
      <c r="Z67" s="305">
        <f>-('5C1Y_GEO'!AL67+'5C1Y_GEO'!AO67)</f>
        <v>-16567</v>
      </c>
      <c r="AA67" s="306">
        <f>-('5C1Z_Lincoln Prep'!AL67+'5C1Z_Lincoln Prep'!AO67)</f>
        <v>0</v>
      </c>
      <c r="AB67" s="306">
        <f>-('5C1AE_Noble Minds'!$AL67+'5C1AE_Noble Minds'!$AO67)</f>
        <v>0</v>
      </c>
      <c r="AC67" s="306">
        <f>-('5C1AF_JCFA-Laf'!$AL67+'5C1AF_JCFA-Laf'!$AO67)</f>
        <v>0</v>
      </c>
      <c r="AD67" s="306">
        <f>-('5C1AG_Collegiate'!$AL67+'5C1AG_Collegiate'!$AO67)</f>
        <v>-5522</v>
      </c>
      <c r="AE67" s="306">
        <f>-('5C1AH_BRUP'!$AL67+'5C1AH_BRUP'!$AO67)</f>
        <v>0</v>
      </c>
      <c r="AF67" s="585">
        <f>-('5C1AI_Harmony'!$AL67+'5C1AI_Harmony'!$AO67)</f>
        <v>0</v>
      </c>
      <c r="AG67" s="585">
        <f>-('5C1AJ_Athlos'!$AL67+'5C1AJ_Athlos'!$AO67)</f>
        <v>0</v>
      </c>
      <c r="AH67" s="585">
        <f>-('5C1AK_NxtGen'!$AL67+'5C1AK_NxtGen'!$AO67)</f>
        <v>0</v>
      </c>
      <c r="AI67" s="585">
        <f>-('5C1AL_Red River'!$AL67+'5C1AL_Red River'!$AO67)</f>
        <v>0</v>
      </c>
      <c r="AJ67" s="305">
        <f>-('5C2_LAVCA'!AM67+'5C2_LAVCA'!AP67)</f>
        <v>-104375</v>
      </c>
      <c r="AK67" s="305">
        <f>-('5C3_UnvView'!AM67+'5C3_UnvView'!AP67)</f>
        <v>-268394</v>
      </c>
      <c r="AL67" s="307">
        <f t="shared" si="4"/>
        <v>-1179054</v>
      </c>
      <c r="AM67" s="308">
        <f t="shared" si="5"/>
        <v>14842476</v>
      </c>
    </row>
    <row r="68" spans="1:39" ht="15.6" customHeight="1" x14ac:dyDescent="0.2">
      <c r="A68" s="309">
        <v>62</v>
      </c>
      <c r="B68" s="310" t="s">
        <v>64</v>
      </c>
      <c r="C68" s="311">
        <f>'2_State Distrib and Adjs'!BF68</f>
        <v>12830245</v>
      </c>
      <c r="D68" s="311">
        <f>-'5A3_OJJ'!P68</f>
        <v>-1727</v>
      </c>
      <c r="E68" s="311"/>
      <c r="F68" s="311">
        <f>-('5C1A_Madison'!AL68+'5C1A_Madison'!AO68)</f>
        <v>0</v>
      </c>
      <c r="G68" s="311">
        <f>-('5C1B_DArbonne'!AL68+'5C1B_DArbonne'!AO68)</f>
        <v>0</v>
      </c>
      <c r="H68" s="311">
        <f>-('5C1C_Intl High'!AL68+'5C1C_Intl High'!AO68)</f>
        <v>0</v>
      </c>
      <c r="I68" s="311">
        <f>-('5C1D_NOMMA'!AL68+'5C1D_NOMMA'!AO68)</f>
        <v>0</v>
      </c>
      <c r="J68" s="311">
        <f>-('5C1E_LFNO'!AL68+'5C1E_LFNO'!AO68)</f>
        <v>0</v>
      </c>
      <c r="K68" s="311">
        <f>-('5C1F_L.C. Charter'!AL68+'5C1F_L.C. Charter'!AO68)</f>
        <v>0</v>
      </c>
      <c r="L68" s="311">
        <f>-('5C1G_JS Clark'!AL68+'5C1G_JS Clark'!AO68)</f>
        <v>0</v>
      </c>
      <c r="M68" s="311">
        <f>-('5C1H_Southwest'!AL68+'5C1H_Southwest'!AO68)</f>
        <v>0</v>
      </c>
      <c r="N68" s="311">
        <f>-('5C1I_LA Key'!AL68+'5C1I_LA Key'!AO68)</f>
        <v>0</v>
      </c>
      <c r="O68" s="311">
        <f>-('5C1J_JCFA-East'!AL68+'5C1J_JCFA-East'!AO68)</f>
        <v>0</v>
      </c>
      <c r="P68" s="311">
        <f>-('5C1M_GEO Mid'!AL68+'5C1M_GEO Mid'!AO68)</f>
        <v>0</v>
      </c>
      <c r="Q68" s="311">
        <f>-('5C1N_Delta'!AL68+'5C1N_Delta'!AO68)</f>
        <v>0</v>
      </c>
      <c r="R68" s="311">
        <f>-('5C1O_Impact'!AL68+'5C1O_Impact'!AO68)</f>
        <v>0</v>
      </c>
      <c r="S68" s="311">
        <f>-('5C1Q_Advantage'!AL68+'5C1Q_Advantage'!AO68)</f>
        <v>0</v>
      </c>
      <c r="T68" s="311">
        <f>-('5C1R_Iberville'!AL68+'5C1R_Iberville'!AO68)</f>
        <v>0</v>
      </c>
      <c r="U68" s="311">
        <f>-('5C1S_LC Col Prep'!AL68+'5C1S_LC Col Prep'!AO68)</f>
        <v>0</v>
      </c>
      <c r="V68" s="311">
        <f>-('5C1T_Northeast'!AL68+'5C1T_Northeast'!AO68)</f>
        <v>0</v>
      </c>
      <c r="W68" s="311">
        <f>-('5C1U_Acadiana Ren'!AL68+'5C1U_Acadiana Ren'!AO68)</f>
        <v>0</v>
      </c>
      <c r="X68" s="311">
        <f>-('5C1V_Laf Ren'!AL68+'5C1V_Laf Ren'!AO68)</f>
        <v>0</v>
      </c>
      <c r="Y68" s="311">
        <f>-('5C1W_Willow'!AL68+'5C1W_Willow'!AO68)</f>
        <v>0</v>
      </c>
      <c r="Z68" s="311">
        <f>-('5C1Y_GEO'!AL68+'5C1Y_GEO'!AO68)</f>
        <v>0</v>
      </c>
      <c r="AA68" s="311">
        <f>-('5C1Z_Lincoln Prep'!AL68+'5C1Z_Lincoln Prep'!AO68)</f>
        <v>0</v>
      </c>
      <c r="AB68" s="311">
        <f>-('5C1AE_Noble Minds'!$AL68+'5C1AE_Noble Minds'!$AO68)</f>
        <v>0</v>
      </c>
      <c r="AC68" s="311">
        <f>-('5C1AF_JCFA-Laf'!$AL68+'5C1AF_JCFA-Laf'!$AO68)</f>
        <v>0</v>
      </c>
      <c r="AD68" s="311">
        <f>-('5C1AG_Collegiate'!$AL68+'5C1AG_Collegiate'!$AO68)</f>
        <v>0</v>
      </c>
      <c r="AE68" s="311">
        <f>-('5C1AH_BRUP'!$AL68+'5C1AH_BRUP'!$AO68)</f>
        <v>0</v>
      </c>
      <c r="AF68" s="311">
        <f>-('5C1AI_Harmony'!$AL68+'5C1AI_Harmony'!$AO68)</f>
        <v>0</v>
      </c>
      <c r="AG68" s="311">
        <f>-('5C1AJ_Athlos'!$AL68+'5C1AJ_Athlos'!$AO68)</f>
        <v>0</v>
      </c>
      <c r="AH68" s="311">
        <f>-('5C1AK_NxtGen'!$AL68+'5C1AK_NxtGen'!$AO68)</f>
        <v>0</v>
      </c>
      <c r="AI68" s="311">
        <f>-('5C1AL_Red River'!$AL68+'5C1AL_Red River'!$AO68)</f>
        <v>0</v>
      </c>
      <c r="AJ68" s="311">
        <f>-('5C2_LAVCA'!AM68+'5C2_LAVCA'!AP68)</f>
        <v>-6888</v>
      </c>
      <c r="AK68" s="311">
        <f>-('5C3_UnvView'!AM68+'5C3_UnvView'!AP68)</f>
        <v>-36734</v>
      </c>
      <c r="AL68" s="312">
        <f t="shared" si="4"/>
        <v>-45349</v>
      </c>
      <c r="AM68" s="313">
        <f t="shared" si="5"/>
        <v>12784896</v>
      </c>
    </row>
    <row r="69" spans="1:39" ht="15.6" customHeight="1" x14ac:dyDescent="0.2">
      <c r="A69" s="309">
        <v>63</v>
      </c>
      <c r="B69" s="310" t="s">
        <v>65</v>
      </c>
      <c r="C69" s="311">
        <f>'2_State Distrib and Adjs'!BF69</f>
        <v>9580064</v>
      </c>
      <c r="D69" s="311">
        <f>-'5A3_OJJ'!P69</f>
        <v>0</v>
      </c>
      <c r="E69" s="311"/>
      <c r="F69" s="311">
        <f>-('5C1A_Madison'!AL69+'5C1A_Madison'!AO69)</f>
        <v>0</v>
      </c>
      <c r="G69" s="311">
        <f>-('5C1B_DArbonne'!AL69+'5C1B_DArbonne'!AO69)</f>
        <v>0</v>
      </c>
      <c r="H69" s="311">
        <f>-('5C1C_Intl High'!AL69+'5C1C_Intl High'!AO69)</f>
        <v>0</v>
      </c>
      <c r="I69" s="311">
        <f>-('5C1D_NOMMA'!AL69+'5C1D_NOMMA'!AO69)</f>
        <v>0</v>
      </c>
      <c r="J69" s="311">
        <f>-('5C1E_LFNO'!AL69+'5C1E_LFNO'!AO69)</f>
        <v>0</v>
      </c>
      <c r="K69" s="311">
        <f>-('5C1F_L.C. Charter'!AL69+'5C1F_L.C. Charter'!AO69)</f>
        <v>0</v>
      </c>
      <c r="L69" s="311">
        <f>-('5C1G_JS Clark'!AL69+'5C1G_JS Clark'!AO69)</f>
        <v>0</v>
      </c>
      <c r="M69" s="311">
        <f>-('5C1H_Southwest'!AL69+'5C1H_Southwest'!AO69)</f>
        <v>0</v>
      </c>
      <c r="N69" s="311">
        <f>-('5C1I_LA Key'!AL69+'5C1I_LA Key'!AO69)</f>
        <v>-32310</v>
      </c>
      <c r="O69" s="311">
        <f>-('5C1J_JCFA-East'!AL69+'5C1J_JCFA-East'!AO69)</f>
        <v>0</v>
      </c>
      <c r="P69" s="311">
        <f>-('5C1M_GEO Mid'!AL69+'5C1M_GEO Mid'!AO69)</f>
        <v>0</v>
      </c>
      <c r="Q69" s="311">
        <f>-('5C1N_Delta'!AL69+'5C1N_Delta'!AO69)</f>
        <v>0</v>
      </c>
      <c r="R69" s="311">
        <f>-('5C1O_Impact'!AL69+'5C1O_Impact'!AO69)</f>
        <v>0</v>
      </c>
      <c r="S69" s="311">
        <f>-('5C1Q_Advantage'!AL69+'5C1Q_Advantage'!AO69)</f>
        <v>0</v>
      </c>
      <c r="T69" s="311">
        <f>-('5C1R_Iberville'!AL69+'5C1R_Iberville'!AO69)</f>
        <v>0</v>
      </c>
      <c r="U69" s="311">
        <f>-('5C1S_LC Col Prep'!AL69+'5C1S_LC Col Prep'!AO69)</f>
        <v>0</v>
      </c>
      <c r="V69" s="311">
        <f>-('5C1T_Northeast'!AL69+'5C1T_Northeast'!AO69)</f>
        <v>0</v>
      </c>
      <c r="W69" s="311">
        <f>-('5C1U_Acadiana Ren'!AL69+'5C1U_Acadiana Ren'!AO69)</f>
        <v>0</v>
      </c>
      <c r="X69" s="311">
        <f>-('5C1V_Laf Ren'!AL69+'5C1V_Laf Ren'!AO69)</f>
        <v>0</v>
      </c>
      <c r="Y69" s="311">
        <f>-('5C1W_Willow'!AL69+'5C1W_Willow'!AO69)</f>
        <v>0</v>
      </c>
      <c r="Z69" s="311">
        <f>-('5C1Y_GEO'!AL69+'5C1Y_GEO'!AO69)</f>
        <v>0</v>
      </c>
      <c r="AA69" s="311">
        <f>-('5C1Z_Lincoln Prep'!AL69+'5C1Z_Lincoln Prep'!AO69)</f>
        <v>0</v>
      </c>
      <c r="AB69" s="311">
        <f>-('5C1AE_Noble Minds'!$AL69+'5C1AE_Noble Minds'!$AO69)</f>
        <v>0</v>
      </c>
      <c r="AC69" s="311">
        <f>-('5C1AF_JCFA-Laf'!$AL69+'5C1AF_JCFA-Laf'!$AO69)</f>
        <v>0</v>
      </c>
      <c r="AD69" s="311">
        <f>-('5C1AG_Collegiate'!$AL69+'5C1AG_Collegiate'!$AO69)</f>
        <v>0</v>
      </c>
      <c r="AE69" s="311">
        <f>-('5C1AH_BRUP'!$AL69+'5C1AH_BRUP'!$AO69)</f>
        <v>0</v>
      </c>
      <c r="AF69" s="311">
        <f>-('5C1AI_Harmony'!$AL69+'5C1AI_Harmony'!$AO69)</f>
        <v>0</v>
      </c>
      <c r="AG69" s="311">
        <f>-('5C1AJ_Athlos'!$AL69+'5C1AJ_Athlos'!$AO69)</f>
        <v>0</v>
      </c>
      <c r="AH69" s="311">
        <f>-('5C1AK_NxtGen'!$AL69+'5C1AK_NxtGen'!$AO69)</f>
        <v>0</v>
      </c>
      <c r="AI69" s="311">
        <f>-('5C1AL_Red River'!$AL69+'5C1AL_Red River'!$AO69)</f>
        <v>0</v>
      </c>
      <c r="AJ69" s="311">
        <f>-('5C2_LAVCA'!AM69+'5C2_LAVCA'!AP69)</f>
        <v>-77544</v>
      </c>
      <c r="AK69" s="311">
        <f>-('5C3_UnvView'!AM69+'5C3_UnvView'!AP69)</f>
        <v>-82390</v>
      </c>
      <c r="AL69" s="312">
        <f t="shared" si="4"/>
        <v>-192244</v>
      </c>
      <c r="AM69" s="313">
        <f t="shared" si="5"/>
        <v>9387820</v>
      </c>
    </row>
    <row r="70" spans="1:39" ht="15.6" customHeight="1" x14ac:dyDescent="0.2">
      <c r="A70" s="309">
        <v>64</v>
      </c>
      <c r="B70" s="310" t="s">
        <v>66</v>
      </c>
      <c r="C70" s="311">
        <f>'2_State Distrib and Adjs'!BF70</f>
        <v>14205307</v>
      </c>
      <c r="D70" s="311">
        <f>-'5A3_OJJ'!P70</f>
        <v>0</v>
      </c>
      <c r="E70" s="311"/>
      <c r="F70" s="311">
        <f>-('5C1A_Madison'!AL70+'5C1A_Madison'!AO70)</f>
        <v>0</v>
      </c>
      <c r="G70" s="311">
        <f>-('5C1B_DArbonne'!AL70+'5C1B_DArbonne'!AO70)</f>
        <v>0</v>
      </c>
      <c r="H70" s="311">
        <f>-('5C1C_Intl High'!AL70+'5C1C_Intl High'!AO70)</f>
        <v>0</v>
      </c>
      <c r="I70" s="311">
        <f>-('5C1D_NOMMA'!AL70+'5C1D_NOMMA'!AO70)</f>
        <v>0</v>
      </c>
      <c r="J70" s="311">
        <f>-('5C1E_LFNO'!AL70+'5C1E_LFNO'!AO70)</f>
        <v>0</v>
      </c>
      <c r="K70" s="311">
        <f>-('5C1F_L.C. Charter'!AL70+'5C1F_L.C. Charter'!AO70)</f>
        <v>0</v>
      </c>
      <c r="L70" s="311">
        <f>-('5C1G_JS Clark'!AL70+'5C1G_JS Clark'!AO70)</f>
        <v>0</v>
      </c>
      <c r="M70" s="311">
        <f>-('5C1H_Southwest'!AL70+'5C1H_Southwest'!AO70)</f>
        <v>0</v>
      </c>
      <c r="N70" s="311">
        <f>-('5C1I_LA Key'!AL70+'5C1I_LA Key'!AO70)</f>
        <v>0</v>
      </c>
      <c r="O70" s="311">
        <f>-('5C1J_JCFA-East'!AL70+'5C1J_JCFA-East'!AO70)</f>
        <v>0</v>
      </c>
      <c r="P70" s="311">
        <f>-('5C1M_GEO Mid'!AL70+'5C1M_GEO Mid'!AO70)</f>
        <v>0</v>
      </c>
      <c r="Q70" s="311">
        <f>-('5C1N_Delta'!AL70+'5C1N_Delta'!AO70)</f>
        <v>0</v>
      </c>
      <c r="R70" s="311">
        <f>-('5C1O_Impact'!AL70+'5C1O_Impact'!AO70)</f>
        <v>0</v>
      </c>
      <c r="S70" s="311">
        <f>-('5C1Q_Advantage'!AL70+'5C1Q_Advantage'!AO70)</f>
        <v>0</v>
      </c>
      <c r="T70" s="311">
        <f>-('5C1R_Iberville'!AL70+'5C1R_Iberville'!AO70)</f>
        <v>0</v>
      </c>
      <c r="U70" s="311">
        <f>-('5C1S_LC Col Prep'!AL70+'5C1S_LC Col Prep'!AO70)</f>
        <v>0</v>
      </c>
      <c r="V70" s="311">
        <f>-('5C1T_Northeast'!AL70+'5C1T_Northeast'!AO70)</f>
        <v>0</v>
      </c>
      <c r="W70" s="311">
        <f>-('5C1U_Acadiana Ren'!AL70+'5C1U_Acadiana Ren'!AO70)</f>
        <v>0</v>
      </c>
      <c r="X70" s="311">
        <f>-('5C1V_Laf Ren'!AL70+'5C1V_Laf Ren'!AO70)</f>
        <v>0</v>
      </c>
      <c r="Y70" s="311">
        <f>-('5C1W_Willow'!AL70+'5C1W_Willow'!AO70)</f>
        <v>0</v>
      </c>
      <c r="Z70" s="311">
        <f>-('5C1Y_GEO'!AL70+'5C1Y_GEO'!AO70)</f>
        <v>0</v>
      </c>
      <c r="AA70" s="311">
        <f>-('5C1Z_Lincoln Prep'!AL70+'5C1Z_Lincoln Prep'!AO70)</f>
        <v>-3347</v>
      </c>
      <c r="AB70" s="311">
        <f>-('5C1AE_Noble Minds'!$AL70+'5C1AE_Noble Minds'!$AO70)</f>
        <v>0</v>
      </c>
      <c r="AC70" s="311">
        <f>-('5C1AF_JCFA-Laf'!$AL70+'5C1AF_JCFA-Laf'!$AO70)</f>
        <v>0</v>
      </c>
      <c r="AD70" s="311">
        <f>-('5C1AG_Collegiate'!$AL70+'5C1AG_Collegiate'!$AO70)</f>
        <v>0</v>
      </c>
      <c r="AE70" s="311">
        <f>-('5C1AH_BRUP'!$AL70+'5C1AH_BRUP'!$AO70)</f>
        <v>0</v>
      </c>
      <c r="AF70" s="311">
        <f>-('5C1AI_Harmony'!$AL70+'5C1AI_Harmony'!$AO70)</f>
        <v>0</v>
      </c>
      <c r="AG70" s="311">
        <f>-('5C1AJ_Athlos'!$AL70+'5C1AJ_Athlos'!$AO70)</f>
        <v>0</v>
      </c>
      <c r="AH70" s="311">
        <f>-('5C1AK_NxtGen'!$AL70+'5C1AK_NxtGen'!$AO70)</f>
        <v>0</v>
      </c>
      <c r="AI70" s="311">
        <f>-('5C1AL_Red River'!$AL70+'5C1AL_Red River'!$AO70)</f>
        <v>0</v>
      </c>
      <c r="AJ70" s="311">
        <f>-('5C2_LAVCA'!AM70+'5C2_LAVCA'!AP70)</f>
        <v>-21086</v>
      </c>
      <c r="AK70" s="311">
        <f>-('5C3_UnvView'!AM70+'5C3_UnvView'!AP70)</f>
        <v>-13556</v>
      </c>
      <c r="AL70" s="312">
        <f t="shared" si="4"/>
        <v>-37989</v>
      </c>
      <c r="AM70" s="313">
        <f t="shared" si="5"/>
        <v>14167318</v>
      </c>
    </row>
    <row r="71" spans="1:39" ht="15.6" customHeight="1" x14ac:dyDescent="0.2">
      <c r="A71" s="314">
        <v>65</v>
      </c>
      <c r="B71" s="315" t="s">
        <v>67</v>
      </c>
      <c r="C71" s="316">
        <f>'2_State Distrib and Adjs'!BF71</f>
        <v>47563368</v>
      </c>
      <c r="D71" s="316">
        <f>-'5A3_OJJ'!P71</f>
        <v>-6412</v>
      </c>
      <c r="E71" s="316"/>
      <c r="F71" s="316">
        <f>-('5C1A_Madison'!AL71+'5C1A_Madison'!AO71)</f>
        <v>0</v>
      </c>
      <c r="G71" s="316">
        <f>-('5C1B_DArbonne'!AL71+'5C1B_DArbonne'!AO71)</f>
        <v>0</v>
      </c>
      <c r="H71" s="316">
        <f>-('5C1C_Intl High'!AL71+'5C1C_Intl High'!AO71)</f>
        <v>0</v>
      </c>
      <c r="I71" s="316">
        <f>-('5C1D_NOMMA'!AL71+'5C1D_NOMMA'!AO71)</f>
        <v>0</v>
      </c>
      <c r="J71" s="316">
        <f>-('5C1E_LFNO'!AL71+'5C1E_LFNO'!AO71)</f>
        <v>0</v>
      </c>
      <c r="K71" s="316">
        <f>-('5C1F_L.C. Charter'!AL71+'5C1F_L.C. Charter'!AO71)</f>
        <v>0</v>
      </c>
      <c r="L71" s="316">
        <f>-('5C1G_JS Clark'!AL71+'5C1G_JS Clark'!AO71)</f>
        <v>0</v>
      </c>
      <c r="M71" s="316">
        <f>-('5C1H_Southwest'!AL71+'5C1H_Southwest'!AO71)</f>
        <v>0</v>
      </c>
      <c r="N71" s="316">
        <f>-('5C1I_LA Key'!AL71+'5C1I_LA Key'!AO71)</f>
        <v>0</v>
      </c>
      <c r="O71" s="316">
        <f>-('5C1J_JCFA-East'!AL71+'5C1J_JCFA-East'!AO71)</f>
        <v>0</v>
      </c>
      <c r="P71" s="316">
        <f>-('5C1M_GEO Mid'!AL71+'5C1M_GEO Mid'!AO71)</f>
        <v>0</v>
      </c>
      <c r="Q71" s="316">
        <f>-('5C1N_Delta'!AL71+'5C1N_Delta'!AO71)</f>
        <v>0</v>
      </c>
      <c r="R71" s="316">
        <f>-('5C1O_Impact'!AL71+'5C1O_Impact'!AO71)</f>
        <v>0</v>
      </c>
      <c r="S71" s="316">
        <f>-('5C1Q_Advantage'!AL71+'5C1Q_Advantage'!AO71)</f>
        <v>0</v>
      </c>
      <c r="T71" s="316">
        <f>-('5C1R_Iberville'!AL71+'5C1R_Iberville'!AO71)</f>
        <v>0</v>
      </c>
      <c r="U71" s="316">
        <f>-('5C1S_LC Col Prep'!AL71+'5C1S_LC Col Prep'!AO71)</f>
        <v>0</v>
      </c>
      <c r="V71" s="316">
        <f>-('5C1T_Northeast'!AL71+'5C1T_Northeast'!AO71)</f>
        <v>0</v>
      </c>
      <c r="W71" s="316">
        <f>-('5C1U_Acadiana Ren'!AL71+'5C1U_Acadiana Ren'!AO71)</f>
        <v>0</v>
      </c>
      <c r="X71" s="316">
        <f>-('5C1V_Laf Ren'!AL71+'5C1V_Laf Ren'!AO71)</f>
        <v>0</v>
      </c>
      <c r="Y71" s="316">
        <f>-('5C1W_Willow'!AL71+'5C1W_Willow'!AO71)</f>
        <v>0</v>
      </c>
      <c r="Z71" s="316">
        <f>-('5C1Y_GEO'!AL71+'5C1Y_GEO'!AO71)</f>
        <v>0</v>
      </c>
      <c r="AA71" s="316">
        <f>-('5C1Z_Lincoln Prep'!AL71+'5C1Z_Lincoln Prep'!AO71)</f>
        <v>0</v>
      </c>
      <c r="AB71" s="316">
        <f>-('5C1AE_Noble Minds'!$AL71+'5C1AE_Noble Minds'!$AO71)</f>
        <v>0</v>
      </c>
      <c r="AC71" s="316">
        <f>-('5C1AF_JCFA-Laf'!$AL71+'5C1AF_JCFA-Laf'!$AO71)</f>
        <v>0</v>
      </c>
      <c r="AD71" s="316">
        <f>-('5C1AG_Collegiate'!$AL71+'5C1AG_Collegiate'!$AO71)</f>
        <v>0</v>
      </c>
      <c r="AE71" s="316">
        <f>-('5C1AH_BRUP'!$AL71+'5C1AH_BRUP'!$AO71)</f>
        <v>0</v>
      </c>
      <c r="AF71" s="586">
        <f>-('5C1AI_Harmony'!$AL71+'5C1AI_Harmony'!$AO71)</f>
        <v>0</v>
      </c>
      <c r="AG71" s="586">
        <f>-('5C1AJ_Athlos'!$AL71+'5C1AJ_Athlos'!$AO71)</f>
        <v>0</v>
      </c>
      <c r="AH71" s="781">
        <f>-('5C1AK_NxtGen'!$AL71+'5C1AK_NxtGen'!$AO71)</f>
        <v>0</v>
      </c>
      <c r="AI71" s="781">
        <f>-('5C1AL_Red River'!$AL71+'5C1AL_Red River'!$AO71)</f>
        <v>0</v>
      </c>
      <c r="AJ71" s="316">
        <f>-('5C2_LAVCA'!AM71+'5C2_LAVCA'!AP71)</f>
        <v>-31145</v>
      </c>
      <c r="AK71" s="316">
        <f>-('5C3_UnvView'!AM71+'5C3_UnvView'!AP71)</f>
        <v>-21562</v>
      </c>
      <c r="AL71" s="317">
        <f>SUM(D71:AK71)</f>
        <v>-59119</v>
      </c>
      <c r="AM71" s="318">
        <f t="shared" si="5"/>
        <v>47504249</v>
      </c>
    </row>
    <row r="72" spans="1:39" ht="15.6" customHeight="1" x14ac:dyDescent="0.2">
      <c r="A72" s="303">
        <v>66</v>
      </c>
      <c r="B72" s="304" t="s">
        <v>68</v>
      </c>
      <c r="C72" s="305">
        <f>'2_State Distrib and Adjs'!BF72</f>
        <v>13726878</v>
      </c>
      <c r="D72" s="305">
        <f>-'5A3_OJJ'!P72</f>
        <v>0</v>
      </c>
      <c r="E72" s="305"/>
      <c r="F72" s="305">
        <f>-('5C1A_Madison'!AL72+'5C1A_Madison'!AO72)</f>
        <v>0</v>
      </c>
      <c r="G72" s="305">
        <f>-('5C1B_DArbonne'!AL72+'5C1B_DArbonne'!AO72)</f>
        <v>0</v>
      </c>
      <c r="H72" s="305">
        <f>-('5C1C_Intl High'!AL72+'5C1C_Intl High'!AO72)</f>
        <v>0</v>
      </c>
      <c r="I72" s="305">
        <f>-('5C1D_NOMMA'!AL72+'5C1D_NOMMA'!AO72)</f>
        <v>0</v>
      </c>
      <c r="J72" s="305">
        <f>-('5C1E_LFNO'!AL72+'5C1E_LFNO'!AO72)</f>
        <v>0</v>
      </c>
      <c r="K72" s="305">
        <f>-('5C1F_L.C. Charter'!AL72+'5C1F_L.C. Charter'!AO72)</f>
        <v>0</v>
      </c>
      <c r="L72" s="305">
        <f>-('5C1G_JS Clark'!AL72+'5C1G_JS Clark'!AO72)</f>
        <v>0</v>
      </c>
      <c r="M72" s="305">
        <f>-('5C1H_Southwest'!AL72+'5C1H_Southwest'!AO72)</f>
        <v>0</v>
      </c>
      <c r="N72" s="305">
        <f>-('5C1I_LA Key'!AL72+'5C1I_LA Key'!AO72)</f>
        <v>0</v>
      </c>
      <c r="O72" s="305">
        <f>-('5C1J_JCFA-East'!AL72+'5C1J_JCFA-East'!AO72)</f>
        <v>0</v>
      </c>
      <c r="P72" s="305">
        <f>-('5C1M_GEO Mid'!AL72+'5C1M_GEO Mid'!AO72)</f>
        <v>0</v>
      </c>
      <c r="Q72" s="305">
        <f>-('5C1N_Delta'!AL72+'5C1N_Delta'!AO72)</f>
        <v>0</v>
      </c>
      <c r="R72" s="305">
        <f>-('5C1O_Impact'!AL72+'5C1O_Impact'!AO72)</f>
        <v>0</v>
      </c>
      <c r="S72" s="305">
        <f>-('5C1Q_Advantage'!AL72+'5C1Q_Advantage'!AO72)</f>
        <v>0</v>
      </c>
      <c r="T72" s="305">
        <f>-('5C1R_Iberville'!AL72+'5C1R_Iberville'!AO72)</f>
        <v>0</v>
      </c>
      <c r="U72" s="305">
        <f>-('5C1S_LC Col Prep'!AL72+'5C1S_LC Col Prep'!AO72)</f>
        <v>0</v>
      </c>
      <c r="V72" s="305">
        <f>-('5C1T_Northeast'!AL72+'5C1T_Northeast'!AO72)</f>
        <v>0</v>
      </c>
      <c r="W72" s="305">
        <f>-('5C1U_Acadiana Ren'!AL72+'5C1U_Acadiana Ren'!AO72)</f>
        <v>0</v>
      </c>
      <c r="X72" s="305">
        <f>-('5C1V_Laf Ren'!AL72+'5C1V_Laf Ren'!AO72)</f>
        <v>0</v>
      </c>
      <c r="Y72" s="305">
        <f>-('5C1W_Willow'!AL72+'5C1W_Willow'!AO72)</f>
        <v>0</v>
      </c>
      <c r="Z72" s="305">
        <f>-('5C1Y_GEO'!AL72+'5C1Y_GEO'!AO72)</f>
        <v>0</v>
      </c>
      <c r="AA72" s="306">
        <f>-('5C1Z_Lincoln Prep'!AL72+'5C1Z_Lincoln Prep'!AO72)</f>
        <v>0</v>
      </c>
      <c r="AB72" s="306">
        <f>-('5C1AE_Noble Minds'!$AL72+'5C1AE_Noble Minds'!$AO72)</f>
        <v>0</v>
      </c>
      <c r="AC72" s="306">
        <f>-('5C1AF_JCFA-Laf'!$AL72+'5C1AF_JCFA-Laf'!$AO72)</f>
        <v>0</v>
      </c>
      <c r="AD72" s="306">
        <f>-('5C1AG_Collegiate'!$AL72+'5C1AG_Collegiate'!$AO72)</f>
        <v>0</v>
      </c>
      <c r="AE72" s="306">
        <f>-('5C1AH_BRUP'!$AL72+'5C1AH_BRUP'!$AO72)</f>
        <v>0</v>
      </c>
      <c r="AF72" s="585">
        <f>-('5C1AI_Harmony'!$AL72+'5C1AI_Harmony'!$AO72)</f>
        <v>0</v>
      </c>
      <c r="AG72" s="585">
        <f>-('5C1AJ_Athlos'!$AL72+'5C1AJ_Athlos'!$AO72)</f>
        <v>0</v>
      </c>
      <c r="AH72" s="585">
        <f>-('5C1AK_NxtGen'!$AL72+'5C1AK_NxtGen'!$AO72)</f>
        <v>0</v>
      </c>
      <c r="AI72" s="585">
        <f>-('5C1AL_Red River'!$AL72+'5C1AL_Red River'!$AO72)</f>
        <v>0</v>
      </c>
      <c r="AJ72" s="305">
        <f>-('5C2_LAVCA'!AM72+'5C2_LAVCA'!AP72)</f>
        <v>-55452</v>
      </c>
      <c r="AK72" s="305">
        <f>-('5C3_UnvView'!AM72+'5C3_UnvView'!AP72)</f>
        <v>-90368</v>
      </c>
      <c r="AL72" s="307">
        <f>SUM(D72:AK72)</f>
        <v>-145820</v>
      </c>
      <c r="AM72" s="308">
        <f t="shared" si="5"/>
        <v>13581058</v>
      </c>
    </row>
    <row r="73" spans="1:39" ht="15.6" customHeight="1" x14ac:dyDescent="0.2">
      <c r="A73" s="309">
        <v>67</v>
      </c>
      <c r="B73" s="310" t="s">
        <v>2</v>
      </c>
      <c r="C73" s="311">
        <f>'2_State Distrib and Adjs'!BF73</f>
        <v>33311622</v>
      </c>
      <c r="D73" s="311">
        <f>-'5A3_OJJ'!P73</f>
        <v>-739</v>
      </c>
      <c r="E73" s="311"/>
      <c r="F73" s="311">
        <f>-('5C1A_Madison'!AL73+'5C1A_Madison'!AO73)</f>
        <v>-25076</v>
      </c>
      <c r="G73" s="311">
        <f>-('5C1B_DArbonne'!AL73+'5C1B_DArbonne'!AO73)</f>
        <v>0</v>
      </c>
      <c r="H73" s="311">
        <f>-('5C1C_Intl High'!AL73+'5C1C_Intl High'!AO73)</f>
        <v>0</v>
      </c>
      <c r="I73" s="311">
        <f>-('5C1D_NOMMA'!AL73+'5C1D_NOMMA'!AO73)</f>
        <v>0</v>
      </c>
      <c r="J73" s="311">
        <f>-('5C1E_LFNO'!AL73+'5C1E_LFNO'!AO73)</f>
        <v>0</v>
      </c>
      <c r="K73" s="311">
        <f>-('5C1F_L.C. Charter'!AL73+'5C1F_L.C. Charter'!AO73)</f>
        <v>0</v>
      </c>
      <c r="L73" s="311">
        <f>-('5C1G_JS Clark'!AL73+'5C1G_JS Clark'!AO73)</f>
        <v>0</v>
      </c>
      <c r="M73" s="311">
        <f>-('5C1H_Southwest'!AL73+'5C1H_Southwest'!AO73)</f>
        <v>0</v>
      </c>
      <c r="N73" s="311">
        <f>-('5C1I_LA Key'!AL73+'5C1I_LA Key'!AO73)</f>
        <v>-50152</v>
      </c>
      <c r="O73" s="311">
        <f>-('5C1J_JCFA-East'!AL73+'5C1J_JCFA-East'!AO73)</f>
        <v>0</v>
      </c>
      <c r="P73" s="311">
        <f>-('5C1M_GEO Mid'!AL73+'5C1M_GEO Mid'!AO73)</f>
        <v>-6269</v>
      </c>
      <c r="Q73" s="311">
        <f>-('5C1N_Delta'!AL73+'5C1N_Delta'!AO73)</f>
        <v>0</v>
      </c>
      <c r="R73" s="311">
        <f>-('5C1O_Impact'!AL73+'5C1O_Impact'!AO73)</f>
        <v>-37614</v>
      </c>
      <c r="S73" s="311">
        <f>-('5C1Q_Advantage'!AL73+'5C1Q_Advantage'!AO73)</f>
        <v>-100304</v>
      </c>
      <c r="T73" s="311">
        <f>-('5C1R_Iberville'!AL73+'5C1R_Iberville'!AO73)</f>
        <v>0</v>
      </c>
      <c r="U73" s="311">
        <f>-('5C1S_LC Col Prep'!AL73+'5C1S_LC Col Prep'!AO73)</f>
        <v>0</v>
      </c>
      <c r="V73" s="311">
        <f>-('5C1T_Northeast'!AL73+'5C1T_Northeast'!AO73)</f>
        <v>0</v>
      </c>
      <c r="W73" s="311">
        <f>-('5C1U_Acadiana Ren'!AL73+'5C1U_Acadiana Ren'!AO73)</f>
        <v>0</v>
      </c>
      <c r="X73" s="311">
        <f>-('5C1V_Laf Ren'!AL73+'5C1V_Laf Ren'!AO73)</f>
        <v>0</v>
      </c>
      <c r="Y73" s="311">
        <f>-('5C1W_Willow'!AL73+'5C1W_Willow'!AO73)</f>
        <v>0</v>
      </c>
      <c r="Z73" s="311">
        <f>-('5C1Y_GEO'!AL73+'5C1Y_GEO'!AO73)</f>
        <v>-28210</v>
      </c>
      <c r="AA73" s="311">
        <f>-('5C1Z_Lincoln Prep'!AL73+'5C1Z_Lincoln Prep'!AO73)</f>
        <v>0</v>
      </c>
      <c r="AB73" s="311">
        <f>-('5C1AE_Noble Minds'!$AL73+'5C1AE_Noble Minds'!$AO73)</f>
        <v>0</v>
      </c>
      <c r="AC73" s="311">
        <f>-('5C1AF_JCFA-Laf'!$AL73+'5C1AF_JCFA-Laf'!$AO73)</f>
        <v>0</v>
      </c>
      <c r="AD73" s="311">
        <f>-('5C1AG_Collegiate'!$AL73+'5C1AG_Collegiate'!$AO73)</f>
        <v>0</v>
      </c>
      <c r="AE73" s="311">
        <f>-('5C1AH_BRUP'!$AL73+'5C1AH_BRUP'!$AO73)</f>
        <v>-3134</v>
      </c>
      <c r="AF73" s="311">
        <f>-('5C1AI_Harmony'!$AL73+'5C1AI_Harmony'!$AO73)</f>
        <v>0</v>
      </c>
      <c r="AG73" s="311">
        <f>-('5C1AJ_Athlos'!$AL73+'5C1AJ_Athlos'!$AO73)</f>
        <v>0</v>
      </c>
      <c r="AH73" s="311">
        <f>-('5C1AK_NxtGen'!$AL73+'5C1AK_NxtGen'!$AO73)</f>
        <v>-3134</v>
      </c>
      <c r="AI73" s="311">
        <f>-('5C1AL_Red River'!$AL73+'5C1AL_Red River'!$AO73)</f>
        <v>0</v>
      </c>
      <c r="AJ73" s="311">
        <f>-('5C2_LAVCA'!AM73+'5C2_LAVCA'!AP73)</f>
        <v>-59242</v>
      </c>
      <c r="AK73" s="311">
        <f>-('5C3_UnvView'!AM73+'5C3_UnvView'!AP73)</f>
        <v>-177727</v>
      </c>
      <c r="AL73" s="312">
        <f>SUM(D73:AK73)</f>
        <v>-491601</v>
      </c>
      <c r="AM73" s="313">
        <f t="shared" si="5"/>
        <v>32820021</v>
      </c>
    </row>
    <row r="74" spans="1:39" ht="15.6" customHeight="1" x14ac:dyDescent="0.2">
      <c r="A74" s="309">
        <v>68</v>
      </c>
      <c r="B74" s="310" t="s">
        <v>1</v>
      </c>
      <c r="C74" s="311">
        <f>'2_State Distrib and Adjs'!BF74</f>
        <v>8804785</v>
      </c>
      <c r="D74" s="311">
        <f>-'5A3_OJJ'!P74</f>
        <v>-2120</v>
      </c>
      <c r="E74" s="311"/>
      <c r="F74" s="311">
        <f>-('5C1A_Madison'!AL74+'5C1A_Madison'!AO74)</f>
        <v>-43200</v>
      </c>
      <c r="G74" s="311">
        <f>-('5C1B_DArbonne'!AL74+'5C1B_DArbonne'!AO74)</f>
        <v>0</v>
      </c>
      <c r="H74" s="311">
        <f>-('5C1C_Intl High'!AL74+'5C1C_Intl High'!AO74)</f>
        <v>0</v>
      </c>
      <c r="I74" s="311">
        <f>-('5C1D_NOMMA'!AL74+'5C1D_NOMMA'!AO74)</f>
        <v>0</v>
      </c>
      <c r="J74" s="311">
        <f>-('5C1E_LFNO'!AL74+'5C1E_LFNO'!AO74)</f>
        <v>0</v>
      </c>
      <c r="K74" s="311">
        <f>-('5C1F_L.C. Charter'!AL74+'5C1F_L.C. Charter'!AO74)</f>
        <v>0</v>
      </c>
      <c r="L74" s="311">
        <f>-('5C1G_JS Clark'!AL74+'5C1G_JS Clark'!AO74)</f>
        <v>0</v>
      </c>
      <c r="M74" s="311">
        <f>-('5C1H_Southwest'!AL74+'5C1H_Southwest'!AO74)</f>
        <v>0</v>
      </c>
      <c r="N74" s="311">
        <f>-('5C1I_LA Key'!AL74+'5C1I_LA Key'!AO74)</f>
        <v>-55296</v>
      </c>
      <c r="O74" s="311">
        <f>-('5C1J_JCFA-East'!AL74+'5C1J_JCFA-East'!AO74)</f>
        <v>0</v>
      </c>
      <c r="P74" s="311">
        <f>-('5C1M_GEO Mid'!AL74+'5C1M_GEO Mid'!AO74)</f>
        <v>-20736</v>
      </c>
      <c r="Q74" s="311">
        <f>-('5C1N_Delta'!AL74+'5C1N_Delta'!AO74)</f>
        <v>0</v>
      </c>
      <c r="R74" s="311">
        <f>-('5C1O_Impact'!AL74+'5C1O_Impact'!AO74)</f>
        <v>-592704</v>
      </c>
      <c r="S74" s="311">
        <f>-('5C1Q_Advantage'!AL74+'5C1Q_Advantage'!AO74)</f>
        <v>-857088</v>
      </c>
      <c r="T74" s="311">
        <f>-('5C1R_Iberville'!AL74+'5C1R_Iberville'!AO74)</f>
        <v>0</v>
      </c>
      <c r="U74" s="311">
        <f>-('5C1S_LC Col Prep'!AL74+'5C1S_LC Col Prep'!AO74)</f>
        <v>0</v>
      </c>
      <c r="V74" s="311">
        <f>-('5C1T_Northeast'!AL74+'5C1T_Northeast'!AO74)</f>
        <v>0</v>
      </c>
      <c r="W74" s="311">
        <f>-('5C1U_Acadiana Ren'!AL74+'5C1U_Acadiana Ren'!AO74)</f>
        <v>0</v>
      </c>
      <c r="X74" s="311">
        <f>-('5C1V_Laf Ren'!AL74+'5C1V_Laf Ren'!AO74)</f>
        <v>0</v>
      </c>
      <c r="Y74" s="311">
        <f>-('5C1W_Willow'!AL74+'5C1W_Willow'!AO74)</f>
        <v>0</v>
      </c>
      <c r="Z74" s="311">
        <f>-('5C1Y_GEO'!AL74+'5C1Y_GEO'!AO74)</f>
        <v>-50112</v>
      </c>
      <c r="AA74" s="311">
        <f>-('5C1Z_Lincoln Prep'!AL74+'5C1Z_Lincoln Prep'!AO74)</f>
        <v>0</v>
      </c>
      <c r="AB74" s="311">
        <f>-('5C1AE_Noble Minds'!$AL74+'5C1AE_Noble Minds'!$AO74)</f>
        <v>0</v>
      </c>
      <c r="AC74" s="311">
        <f>-('5C1AF_JCFA-Laf'!$AL74+'5C1AF_JCFA-Laf'!$AO74)</f>
        <v>0</v>
      </c>
      <c r="AD74" s="311">
        <f>-('5C1AG_Collegiate'!$AL74+'5C1AG_Collegiate'!$AO74)</f>
        <v>-31104</v>
      </c>
      <c r="AE74" s="311">
        <f>-('5C1AH_BRUP'!$AL74+'5C1AH_BRUP'!$AO74)</f>
        <v>-43200</v>
      </c>
      <c r="AF74" s="311">
        <f>-('5C1AI_Harmony'!$AL74+'5C1AI_Harmony'!$AO74)</f>
        <v>0</v>
      </c>
      <c r="AG74" s="311">
        <f>-('5C1AJ_Athlos'!$AL74+'5C1AJ_Athlos'!$AO74)</f>
        <v>0</v>
      </c>
      <c r="AH74" s="311">
        <f>-('5C1AK_NxtGen'!$AL74+'5C1AK_NxtGen'!$AO74)</f>
        <v>-19008</v>
      </c>
      <c r="AI74" s="311">
        <f>-('5C1AL_Red River'!$AL74+'5C1AL_Red River'!$AO74)</f>
        <v>0</v>
      </c>
      <c r="AJ74" s="311">
        <f>-('5C2_LAVCA'!AM74+'5C2_LAVCA'!AP74)</f>
        <v>-17107</v>
      </c>
      <c r="AK74" s="311">
        <f>-('5C3_UnvView'!AM74+'5C3_UnvView'!AP74)</f>
        <v>-29549</v>
      </c>
      <c r="AL74" s="312">
        <f>SUM(D74:AK74)</f>
        <v>-1761224</v>
      </c>
      <c r="AM74" s="313">
        <f t="shared" si="5"/>
        <v>7043561</v>
      </c>
    </row>
    <row r="75" spans="1:39" ht="15.6" customHeight="1" x14ac:dyDescent="0.2">
      <c r="A75" s="319">
        <v>69</v>
      </c>
      <c r="B75" s="320" t="s">
        <v>74</v>
      </c>
      <c r="C75" s="321">
        <f>'2_State Distrib and Adjs'!BF75</f>
        <v>32809761</v>
      </c>
      <c r="D75" s="321">
        <f>-'5A3_OJJ'!P75</f>
        <v>0</v>
      </c>
      <c r="E75" s="321"/>
      <c r="F75" s="321">
        <f>-('5C1A_Madison'!AL75+'5C1A_Madison'!AO75)</f>
        <v>-7938</v>
      </c>
      <c r="G75" s="321">
        <f>-('5C1B_DArbonne'!AL75+'5C1B_DArbonne'!AO75)</f>
        <v>0</v>
      </c>
      <c r="H75" s="321">
        <f>-('5C1C_Intl High'!AL75+'5C1C_Intl High'!AO75)</f>
        <v>0</v>
      </c>
      <c r="I75" s="321">
        <f>-('5C1D_NOMMA'!AL75+'5C1D_NOMMA'!AO75)</f>
        <v>0</v>
      </c>
      <c r="J75" s="321">
        <f>-('5C1E_LFNO'!AL75+'5C1E_LFNO'!AO75)</f>
        <v>0</v>
      </c>
      <c r="K75" s="321">
        <f>-('5C1F_L.C. Charter'!AL75+'5C1F_L.C. Charter'!AO75)</f>
        <v>0</v>
      </c>
      <c r="L75" s="321">
        <f>-('5C1G_JS Clark'!AL75+'5C1G_JS Clark'!AO75)</f>
        <v>0</v>
      </c>
      <c r="M75" s="321">
        <f>-('5C1H_Southwest'!AL75+'5C1H_Southwest'!AO75)</f>
        <v>0</v>
      </c>
      <c r="N75" s="321">
        <f>-('5C1I_LA Key'!AL75+'5C1I_LA Key'!AO75)</f>
        <v>-59535</v>
      </c>
      <c r="O75" s="321">
        <f>-('5C1J_JCFA-East'!AL75+'5C1J_JCFA-East'!AO75)</f>
        <v>0</v>
      </c>
      <c r="P75" s="321">
        <f>-('5C1M_GEO Mid'!AL75+'5C1M_GEO Mid'!AO75)</f>
        <v>-19845</v>
      </c>
      <c r="Q75" s="321">
        <f>-('5C1N_Delta'!AL75+'5C1N_Delta'!AO75)</f>
        <v>0</v>
      </c>
      <c r="R75" s="321">
        <f>-('5C1O_Impact'!AL75+'5C1O_Impact'!AO75)</f>
        <v>-1984</v>
      </c>
      <c r="S75" s="321">
        <f>-('5C1Q_Advantage'!AL75+'5C1Q_Advantage'!AO75)</f>
        <v>-35721</v>
      </c>
      <c r="T75" s="321">
        <f>-('5C1R_Iberville'!AL75+'5C1R_Iberville'!AO75)</f>
        <v>0</v>
      </c>
      <c r="U75" s="321">
        <f>-('5C1S_LC Col Prep'!AL75+'5C1S_LC Col Prep'!AO75)</f>
        <v>0</v>
      </c>
      <c r="V75" s="321">
        <f>-('5C1T_Northeast'!AL75+'5C1T_Northeast'!AO75)</f>
        <v>0</v>
      </c>
      <c r="W75" s="321">
        <f>-('5C1U_Acadiana Ren'!AL75+'5C1U_Acadiana Ren'!AO75)</f>
        <v>0</v>
      </c>
      <c r="X75" s="321">
        <f>-('5C1V_Laf Ren'!AL75+'5C1V_Laf Ren'!AO75)</f>
        <v>0</v>
      </c>
      <c r="Y75" s="321">
        <f>-('5C1W_Willow'!AL75+'5C1W_Willow'!AO75)</f>
        <v>0</v>
      </c>
      <c r="Z75" s="321">
        <f>-('5C1Y_GEO'!AL75+'5C1Y_GEO'!AO75)</f>
        <v>-27783</v>
      </c>
      <c r="AA75" s="321">
        <f>-('5C1Z_Lincoln Prep'!$AL75+'5C1Z_Lincoln Prep'!$AO75)</f>
        <v>0</v>
      </c>
      <c r="AB75" s="321">
        <f>-('5C1AE_Noble Minds'!$AL75+'5C1AE_Noble Minds'!$AO75)</f>
        <v>0</v>
      </c>
      <c r="AC75" s="321">
        <f>-('5C1AF_JCFA-Laf'!$AL75+'5C1AF_JCFA-Laf'!$AO75)</f>
        <v>0</v>
      </c>
      <c r="AD75" s="321">
        <f>-('5C1AG_Collegiate'!$AL75+'5C1AG_Collegiate'!$AO75)</f>
        <v>0</v>
      </c>
      <c r="AE75" s="321">
        <f>-('5C1AH_BRUP'!$AL75+'5C1AH_BRUP'!$AO75)</f>
        <v>0</v>
      </c>
      <c r="AF75" s="321">
        <f>-('5C1AI_Harmony'!$AL75+'5C1AI_Harmony'!$AO75)</f>
        <v>0</v>
      </c>
      <c r="AG75" s="321">
        <f>-('5C1AJ_Athlos'!$AL75+'5C1AJ_Athlos'!$AO75)</f>
        <v>0</v>
      </c>
      <c r="AH75" s="321">
        <f>-('5C1AK_NxtGen'!$AL75+'5C1AK_NxtGen'!$AO75)</f>
        <v>-1984</v>
      </c>
      <c r="AI75" s="321">
        <f>-('5C1AL_Red River'!$AL75+'5C1AL_Red River'!$AO75)</f>
        <v>0</v>
      </c>
      <c r="AJ75" s="321">
        <f>-('5C2_LAVCA'!AM75+'5C2_LAVCA'!AP75)</f>
        <v>-30363</v>
      </c>
      <c r="AK75" s="321">
        <f>-('5C3_UnvView'!AM75+'5C3_UnvView'!AP75)</f>
        <v>-64298</v>
      </c>
      <c r="AL75" s="322">
        <f>SUM(D75:AK75)</f>
        <v>-249451</v>
      </c>
      <c r="AM75" s="323">
        <f t="shared" si="5"/>
        <v>32560310</v>
      </c>
    </row>
    <row r="76" spans="1:39" ht="15.6" customHeight="1" thickBot="1" x14ac:dyDescent="0.25">
      <c r="A76" s="452"/>
      <c r="B76" s="453" t="s">
        <v>69</v>
      </c>
      <c r="C76" s="1208">
        <f t="shared" ref="C76:AI76" si="6">SUM(C7:C75)</f>
        <v>3628023181</v>
      </c>
      <c r="D76" s="1208">
        <f>SUM(D7:D75)</f>
        <v>-709510</v>
      </c>
      <c r="E76" s="1208">
        <f t="shared" si="6"/>
        <v>-18200554</v>
      </c>
      <c r="F76" s="1208">
        <f t="shared" si="6"/>
        <v>-4564650</v>
      </c>
      <c r="G76" s="1208">
        <f t="shared" si="6"/>
        <v>-4209334</v>
      </c>
      <c r="H76" s="1208">
        <f t="shared" si="6"/>
        <v>-2284953</v>
      </c>
      <c r="I76" s="1208">
        <f t="shared" si="6"/>
        <v>-6335737</v>
      </c>
      <c r="J76" s="1208">
        <f t="shared" si="6"/>
        <v>-6185575</v>
      </c>
      <c r="K76" s="1208">
        <f t="shared" si="6"/>
        <v>-6592345</v>
      </c>
      <c r="L76" s="1208">
        <f t="shared" si="6"/>
        <v>-752876</v>
      </c>
      <c r="M76" s="1208">
        <f t="shared" si="6"/>
        <v>-4511772</v>
      </c>
      <c r="N76" s="1208">
        <f t="shared" si="6"/>
        <v>-3079166</v>
      </c>
      <c r="O76" s="1208">
        <f t="shared" si="6"/>
        <v>-1055081</v>
      </c>
      <c r="P76" s="1208">
        <f t="shared" si="6"/>
        <v>-5153661</v>
      </c>
      <c r="Q76" s="1208">
        <f t="shared" si="6"/>
        <v>-1658116</v>
      </c>
      <c r="R76" s="1208">
        <f t="shared" si="6"/>
        <v>-2209415</v>
      </c>
      <c r="S76" s="1208">
        <f t="shared" si="6"/>
        <v>-2865994</v>
      </c>
      <c r="T76" s="1208">
        <f t="shared" si="6"/>
        <v>-4832114</v>
      </c>
      <c r="U76" s="1208">
        <f t="shared" si="6"/>
        <v>-3979625</v>
      </c>
      <c r="V76" s="1208">
        <f t="shared" si="6"/>
        <v>-792074</v>
      </c>
      <c r="W76" s="1208">
        <f t="shared" si="6"/>
        <v>-7527819</v>
      </c>
      <c r="X76" s="1208">
        <f t="shared" si="6"/>
        <v>-5217460</v>
      </c>
      <c r="Y76" s="1208">
        <f t="shared" si="6"/>
        <v>-3490651</v>
      </c>
      <c r="Z76" s="1208">
        <f t="shared" si="6"/>
        <v>-5413624</v>
      </c>
      <c r="AA76" s="1208">
        <f t="shared" si="6"/>
        <v>-3469833</v>
      </c>
      <c r="AB76" s="1208">
        <f t="shared" si="6"/>
        <v>-726067</v>
      </c>
      <c r="AC76" s="1208">
        <f t="shared" si="6"/>
        <v>-361404</v>
      </c>
      <c r="AD76" s="1208">
        <f t="shared" si="6"/>
        <v>-3620923</v>
      </c>
      <c r="AE76" s="1208">
        <f t="shared" si="6"/>
        <v>-2545387</v>
      </c>
      <c r="AF76" s="1208">
        <f t="shared" si="6"/>
        <v>-1166435</v>
      </c>
      <c r="AG76" s="1208">
        <f t="shared" si="6"/>
        <v>-7524182</v>
      </c>
      <c r="AH76" s="1208">
        <f t="shared" si="6"/>
        <v>-1497607</v>
      </c>
      <c r="AI76" s="1208">
        <f t="shared" si="6"/>
        <v>-624453</v>
      </c>
      <c r="AJ76" s="1208">
        <f t="shared" ref="AJ76:AM76" si="7">SUM(AJ7:AJ75)</f>
        <v>-9166705</v>
      </c>
      <c r="AK76" s="1208">
        <f t="shared" si="7"/>
        <v>-16487983</v>
      </c>
      <c r="AL76" s="1209">
        <f t="shared" si="7"/>
        <v>-148813085</v>
      </c>
      <c r="AM76" s="1210">
        <f t="shared" si="7"/>
        <v>3479210096</v>
      </c>
    </row>
    <row r="77" spans="1:39" ht="13.5" thickTop="1" x14ac:dyDescent="0.2"/>
  </sheetData>
  <sheetProtection password="D893" sheet="1"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M1:AM2"/>
    <mergeCell ref="A1:B2"/>
    <mergeCell ref="C1:C2"/>
    <mergeCell ref="D1:I1"/>
    <mergeCell ref="J1:Q1"/>
    <mergeCell ref="R1:Y1"/>
    <mergeCell ref="Z1:AF1"/>
    <mergeCell ref="AG1:AL1"/>
  </mergeCells>
  <printOptions horizontalCentered="1"/>
  <pageMargins left="0.35" right="0.35" top="0.9" bottom="0.5" header="0.3" footer="0.25"/>
  <pageSetup paperSize="5" scale="75" firstPageNumber="7" fitToWidth="0" orientation="portrait" r:id="rId2"/>
  <headerFooter>
    <oddHeader xml:space="preserve">&amp;L&amp;"Arial,Bold"&amp;18&amp;K000000Table 2A-1: FY2020-21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2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1030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2624</v>
      </c>
      <c r="AM7" s="127"/>
      <c r="AN7" s="124"/>
      <c r="AO7" s="117">
        <v>0</v>
      </c>
      <c r="AP7" s="124"/>
      <c r="AQ7" s="125"/>
      <c r="AR7" s="125"/>
      <c r="AS7" s="124">
        <v>218</v>
      </c>
      <c r="AT7" s="695"/>
      <c r="AU7" s="696"/>
      <c r="AV7" s="118"/>
      <c r="AW7" s="118"/>
      <c r="AX7" s="118">
        <v>7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18481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-424</v>
      </c>
      <c r="AT26" s="699"/>
      <c r="AU26" s="700"/>
      <c r="AV26" s="150"/>
      <c r="AW26" s="150"/>
      <c r="AX26" s="150">
        <v>-13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2852</v>
      </c>
      <c r="AM34" s="146"/>
      <c r="AN34" s="143"/>
      <c r="AO34" s="135">
        <v>0</v>
      </c>
      <c r="AP34" s="143"/>
      <c r="AQ34" s="144"/>
      <c r="AR34" s="144"/>
      <c r="AS34" s="143">
        <v>237</v>
      </c>
      <c r="AT34" s="697"/>
      <c r="AU34" s="698"/>
      <c r="AV34" s="136"/>
      <c r="AW34" s="136"/>
      <c r="AX34" s="136">
        <v>7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1347580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747400</v>
      </c>
      <c r="AM55" s="146"/>
      <c r="AN55" s="143"/>
      <c r="AO55" s="135">
        <v>0</v>
      </c>
      <c r="AP55" s="143"/>
      <c r="AQ55" s="144"/>
      <c r="AR55" s="144"/>
      <c r="AS55" s="143">
        <v>68452</v>
      </c>
      <c r="AT55" s="697"/>
      <c r="AU55" s="698"/>
      <c r="AV55" s="136"/>
      <c r="AW55" s="136"/>
      <c r="AX55" s="136">
        <v>224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244</v>
      </c>
      <c r="D76" s="914">
        <v>4268.9653302959669</v>
      </c>
      <c r="E76" s="915">
        <v>1120603.8020653112</v>
      </c>
      <c r="F76" s="916">
        <v>230</v>
      </c>
      <c r="G76" s="917">
        <v>570.35224473434255</v>
      </c>
      <c r="H76" s="918">
        <v>152953.24022123413</v>
      </c>
      <c r="I76" s="1109">
        <v>278</v>
      </c>
      <c r="J76" s="917">
        <v>158.37628411149953</v>
      </c>
      <c r="K76" s="918">
        <v>50426.564033680079</v>
      </c>
      <c r="L76" s="916">
        <v>8</v>
      </c>
      <c r="M76" s="917">
        <v>3936.5780458287281</v>
      </c>
      <c r="N76" s="918">
        <v>36529.217888441475</v>
      </c>
      <c r="O76" s="916">
        <v>3</v>
      </c>
      <c r="P76" s="917">
        <v>1527.9418817790604</v>
      </c>
      <c r="Q76" s="918">
        <v>5548.0930831192845</v>
      </c>
      <c r="R76" s="919">
        <v>1366061</v>
      </c>
      <c r="S76" s="917">
        <v>71870</v>
      </c>
      <c r="T76" s="917">
        <v>-26614</v>
      </c>
      <c r="U76" s="920">
        <v>45256</v>
      </c>
      <c r="V76" s="919">
        <v>1411317</v>
      </c>
      <c r="W76" s="918">
        <v>-3528</v>
      </c>
      <c r="X76" s="919">
        <v>1407789</v>
      </c>
      <c r="Y76" s="918">
        <v>0</v>
      </c>
      <c r="Z76" s="919">
        <v>1407789</v>
      </c>
      <c r="AA76" s="917">
        <v>932330</v>
      </c>
      <c r="AB76" s="917">
        <v>475459</v>
      </c>
      <c r="AC76" s="919">
        <v>118865</v>
      </c>
      <c r="AD76" s="921">
        <v>1407789</v>
      </c>
      <c r="AE76" s="917">
        <v>5688</v>
      </c>
      <c r="AF76" s="922">
        <v>721706</v>
      </c>
      <c r="AG76" s="916">
        <v>16</v>
      </c>
      <c r="AH76" s="917">
        <v>49966</v>
      </c>
      <c r="AI76" s="916">
        <v>-12</v>
      </c>
      <c r="AJ76" s="917">
        <v>-18796</v>
      </c>
      <c r="AK76" s="920">
        <v>31170</v>
      </c>
      <c r="AL76" s="922">
        <v>752876</v>
      </c>
      <c r="AM76" s="917">
        <v>-1883</v>
      </c>
      <c r="AN76" s="922">
        <v>750993</v>
      </c>
      <c r="AO76" s="917">
        <v>0</v>
      </c>
      <c r="AP76" s="922">
        <v>750993</v>
      </c>
      <c r="AQ76" s="917">
        <v>477064</v>
      </c>
      <c r="AR76" s="917">
        <v>273929</v>
      </c>
      <c r="AS76" s="922">
        <v>68483</v>
      </c>
      <c r="AT76" s="1176">
        <v>2158782</v>
      </c>
      <c r="AU76" s="1177">
        <v>187348</v>
      </c>
      <c r="AV76" s="917">
        <v>1883</v>
      </c>
      <c r="AW76" s="917">
        <v>1658</v>
      </c>
      <c r="AX76" s="917">
        <v>225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40824</v>
      </c>
      <c r="S77" s="860"/>
      <c r="T77" s="860"/>
      <c r="U77" s="860"/>
      <c r="V77" s="861">
        <v>40824</v>
      </c>
      <c r="W77" s="910">
        <v>-102</v>
      </c>
      <c r="X77" s="861">
        <v>40722</v>
      </c>
      <c r="Y77" s="860"/>
      <c r="Z77" s="861">
        <v>40722</v>
      </c>
      <c r="AA77" s="860">
        <v>24538</v>
      </c>
      <c r="AB77" s="860">
        <v>16184</v>
      </c>
      <c r="AC77" s="861">
        <v>4046</v>
      </c>
      <c r="AD77" s="912">
        <v>40722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40722</v>
      </c>
      <c r="AU77" s="1175">
        <v>4046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21931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10561</v>
      </c>
      <c r="AA83" s="155">
        <v>7040</v>
      </c>
      <c r="AB83" s="709">
        <v>3521</v>
      </c>
      <c r="AC83" s="156">
        <v>880</v>
      </c>
      <c r="AD83" s="156">
        <v>10561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10561</v>
      </c>
      <c r="AU83" s="710">
        <v>880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244</v>
      </c>
      <c r="D84" s="914">
        <v>4268.9653302959669</v>
      </c>
      <c r="E84" s="915">
        <v>1120603.8020653112</v>
      </c>
      <c r="F84" s="916">
        <v>230</v>
      </c>
      <c r="G84" s="917">
        <v>570.35224473434255</v>
      </c>
      <c r="H84" s="918">
        <v>152953.24022123413</v>
      </c>
      <c r="I84" s="1109">
        <v>278</v>
      </c>
      <c r="J84" s="917">
        <v>158.37628411149953</v>
      </c>
      <c r="K84" s="918">
        <v>50426.564033680079</v>
      </c>
      <c r="L84" s="916">
        <v>8</v>
      </c>
      <c r="M84" s="917">
        <v>3936.5780458287281</v>
      </c>
      <c r="N84" s="918">
        <v>36529.217888441475</v>
      </c>
      <c r="O84" s="916">
        <v>3</v>
      </c>
      <c r="P84" s="917">
        <v>1527.9418817790604</v>
      </c>
      <c r="Q84" s="918">
        <v>5548.0930831192845</v>
      </c>
      <c r="R84" s="919">
        <v>1406885</v>
      </c>
      <c r="S84" s="917">
        <v>71870</v>
      </c>
      <c r="T84" s="917">
        <v>-26614</v>
      </c>
      <c r="U84" s="920">
        <v>45256</v>
      </c>
      <c r="V84" s="919">
        <v>1452141</v>
      </c>
      <c r="W84" s="918">
        <v>-3630</v>
      </c>
      <c r="X84" s="919">
        <v>1448511</v>
      </c>
      <c r="Y84" s="918">
        <v>0</v>
      </c>
      <c r="Z84" s="919">
        <v>1459072</v>
      </c>
      <c r="AA84" s="917">
        <v>963908</v>
      </c>
      <c r="AB84" s="917">
        <v>495164</v>
      </c>
      <c r="AC84" s="919">
        <v>123791</v>
      </c>
      <c r="AD84" s="921">
        <v>1481003</v>
      </c>
      <c r="AE84" s="917">
        <v>5688</v>
      </c>
      <c r="AF84" s="922">
        <v>721706</v>
      </c>
      <c r="AG84" s="916">
        <v>16</v>
      </c>
      <c r="AH84" s="917">
        <v>49966</v>
      </c>
      <c r="AI84" s="916">
        <v>-12</v>
      </c>
      <c r="AJ84" s="917">
        <v>-18796</v>
      </c>
      <c r="AK84" s="920">
        <v>31170</v>
      </c>
      <c r="AL84" s="922">
        <v>752876</v>
      </c>
      <c r="AM84" s="917">
        <v>-1883</v>
      </c>
      <c r="AN84" s="922">
        <v>750993</v>
      </c>
      <c r="AO84" s="917">
        <v>0</v>
      </c>
      <c r="AP84" s="922">
        <v>750993</v>
      </c>
      <c r="AQ84" s="917">
        <v>477064</v>
      </c>
      <c r="AR84" s="917">
        <v>273929</v>
      </c>
      <c r="AS84" s="922">
        <v>68483</v>
      </c>
      <c r="AT84" s="702">
        <v>2210065</v>
      </c>
      <c r="AU84" s="702">
        <v>192274</v>
      </c>
      <c r="AV84" s="917">
        <v>1883</v>
      </c>
      <c r="AW84" s="917">
        <v>1658</v>
      </c>
      <c r="AX84" s="917">
        <v>225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6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437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2855328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4487595</v>
      </c>
      <c r="AM16" s="161"/>
      <c r="AN16" s="158"/>
      <c r="AO16" s="149">
        <v>0</v>
      </c>
      <c r="AP16" s="158"/>
      <c r="AQ16" s="159"/>
      <c r="AR16" s="159"/>
      <c r="AS16" s="158">
        <v>337945</v>
      </c>
      <c r="AT16" s="699"/>
      <c r="AU16" s="700"/>
      <c r="AV16" s="150"/>
      <c r="AW16" s="150"/>
      <c r="AX16" s="150">
        <v>-609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6517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16428</v>
      </c>
      <c r="AM18" s="146"/>
      <c r="AN18" s="143"/>
      <c r="AO18" s="135">
        <v>0</v>
      </c>
      <c r="AP18" s="143"/>
      <c r="AQ18" s="144"/>
      <c r="AR18" s="144"/>
      <c r="AS18" s="143">
        <v>-603</v>
      </c>
      <c r="AT18" s="697"/>
      <c r="AU18" s="698"/>
      <c r="AV18" s="136"/>
      <c r="AW18" s="136"/>
      <c r="AX18" s="136">
        <v>-16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3504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7749</v>
      </c>
      <c r="AM23" s="146"/>
      <c r="AN23" s="143"/>
      <c r="AO23" s="135">
        <v>0</v>
      </c>
      <c r="AP23" s="143"/>
      <c r="AQ23" s="144"/>
      <c r="AR23" s="144"/>
      <c r="AS23" s="143">
        <v>665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21385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-597</v>
      </c>
      <c r="AT33" s="697"/>
      <c r="AU33" s="698"/>
      <c r="AV33" s="136"/>
      <c r="AW33" s="136"/>
      <c r="AX33" s="136">
        <v>-18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7609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-1087</v>
      </c>
      <c r="AT42" s="695"/>
      <c r="AU42" s="696"/>
      <c r="AV42" s="118"/>
      <c r="AW42" s="118"/>
      <c r="AX42" s="118">
        <v>-33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685</v>
      </c>
      <c r="D76" s="914">
        <v>4268.9653302959669</v>
      </c>
      <c r="E76" s="915">
        <v>2317139.6864063102</v>
      </c>
      <c r="F76" s="916">
        <v>614</v>
      </c>
      <c r="G76" s="917">
        <v>570.35224473434255</v>
      </c>
      <c r="H76" s="918">
        <v>294716.87894665293</v>
      </c>
      <c r="I76" s="1109">
        <v>113</v>
      </c>
      <c r="J76" s="917">
        <v>158.37628411149953</v>
      </c>
      <c r="K76" s="918">
        <v>14798.798915697394</v>
      </c>
      <c r="L76" s="916">
        <v>81</v>
      </c>
      <c r="M76" s="917">
        <v>3936.5780458287281</v>
      </c>
      <c r="N76" s="918">
        <v>266378.42893536558</v>
      </c>
      <c r="O76" s="916">
        <v>1</v>
      </c>
      <c r="P76" s="917">
        <v>1527.9418817790604</v>
      </c>
      <c r="Q76" s="918">
        <v>1309.628222628088</v>
      </c>
      <c r="R76" s="919">
        <v>2894343</v>
      </c>
      <c r="S76" s="917">
        <v>-331489</v>
      </c>
      <c r="T76" s="917">
        <v>-70749</v>
      </c>
      <c r="U76" s="920">
        <v>-402238</v>
      </c>
      <c r="V76" s="919">
        <v>2492105</v>
      </c>
      <c r="W76" s="918">
        <v>-6231</v>
      </c>
      <c r="X76" s="919">
        <v>2485874</v>
      </c>
      <c r="Y76" s="918">
        <v>0</v>
      </c>
      <c r="Z76" s="919">
        <v>2485874</v>
      </c>
      <c r="AA76" s="917">
        <v>1814522</v>
      </c>
      <c r="AB76" s="917">
        <v>671352</v>
      </c>
      <c r="AC76" s="919">
        <v>167838</v>
      </c>
      <c r="AD76" s="921">
        <v>2485874</v>
      </c>
      <c r="AE76" s="917">
        <v>5688</v>
      </c>
      <c r="AF76" s="922">
        <v>5185457</v>
      </c>
      <c r="AG76" s="916">
        <v>-65</v>
      </c>
      <c r="AH76" s="917">
        <v>-479268</v>
      </c>
      <c r="AI76" s="916">
        <v>-50</v>
      </c>
      <c r="AJ76" s="917">
        <v>-194417</v>
      </c>
      <c r="AK76" s="920">
        <v>-673685</v>
      </c>
      <c r="AL76" s="922">
        <v>4511772</v>
      </c>
      <c r="AM76" s="917">
        <v>-11279</v>
      </c>
      <c r="AN76" s="922">
        <v>4500493</v>
      </c>
      <c r="AO76" s="917">
        <v>0</v>
      </c>
      <c r="AP76" s="922">
        <v>4500493</v>
      </c>
      <c r="AQ76" s="917">
        <v>3155204</v>
      </c>
      <c r="AR76" s="917">
        <v>1345289</v>
      </c>
      <c r="AS76" s="922">
        <v>336323</v>
      </c>
      <c r="AT76" s="1176">
        <v>6986367</v>
      </c>
      <c r="AU76" s="1177">
        <v>504161</v>
      </c>
      <c r="AV76" s="917">
        <v>11279</v>
      </c>
      <c r="AW76" s="917">
        <v>11955</v>
      </c>
      <c r="AX76" s="917">
        <v>-676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74159</v>
      </c>
      <c r="S77" s="860"/>
      <c r="T77" s="860"/>
      <c r="U77" s="860"/>
      <c r="V77" s="861">
        <v>74159</v>
      </c>
      <c r="W77" s="910">
        <v>-185</v>
      </c>
      <c r="X77" s="861">
        <v>73974</v>
      </c>
      <c r="Y77" s="860"/>
      <c r="Z77" s="861">
        <v>73974</v>
      </c>
      <c r="AA77" s="860">
        <v>50962</v>
      </c>
      <c r="AB77" s="860">
        <v>23012</v>
      </c>
      <c r="AC77" s="861">
        <v>5753</v>
      </c>
      <c r="AD77" s="912">
        <v>73974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73974</v>
      </c>
      <c r="AU77" s="1175">
        <v>5753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10443</v>
      </c>
      <c r="AA83" s="155">
        <v>6962</v>
      </c>
      <c r="AB83" s="709">
        <v>3481</v>
      </c>
      <c r="AC83" s="156">
        <v>870</v>
      </c>
      <c r="AD83" s="156">
        <v>10443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10443</v>
      </c>
      <c r="AU83" s="710">
        <v>870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685</v>
      </c>
      <c r="D84" s="914">
        <v>4268.9653302959669</v>
      </c>
      <c r="E84" s="915">
        <v>2317139.6864063102</v>
      </c>
      <c r="F84" s="916">
        <v>614</v>
      </c>
      <c r="G84" s="917">
        <v>570.35224473434255</v>
      </c>
      <c r="H84" s="918">
        <v>294716.87894665293</v>
      </c>
      <c r="I84" s="1109">
        <v>113</v>
      </c>
      <c r="J84" s="917">
        <v>158.37628411149953</v>
      </c>
      <c r="K84" s="918">
        <v>14798.798915697394</v>
      </c>
      <c r="L84" s="916">
        <v>81</v>
      </c>
      <c r="M84" s="917">
        <v>3936.5780458287281</v>
      </c>
      <c r="N84" s="918">
        <v>266378.42893536558</v>
      </c>
      <c r="O84" s="916">
        <v>1</v>
      </c>
      <c r="P84" s="917">
        <v>1527.9418817790604</v>
      </c>
      <c r="Q84" s="918">
        <v>1309.628222628088</v>
      </c>
      <c r="R84" s="919">
        <v>2968502</v>
      </c>
      <c r="S84" s="917">
        <v>-331489</v>
      </c>
      <c r="T84" s="917">
        <v>-70749</v>
      </c>
      <c r="U84" s="920">
        <v>-402238</v>
      </c>
      <c r="V84" s="919">
        <v>2566264</v>
      </c>
      <c r="W84" s="918">
        <v>-6416</v>
      </c>
      <c r="X84" s="919">
        <v>2559848</v>
      </c>
      <c r="Y84" s="918">
        <v>0</v>
      </c>
      <c r="Z84" s="919">
        <v>2570291</v>
      </c>
      <c r="AA84" s="917">
        <v>1872446</v>
      </c>
      <c r="AB84" s="917">
        <v>697845</v>
      </c>
      <c r="AC84" s="919">
        <v>174461</v>
      </c>
      <c r="AD84" s="921">
        <v>2570291</v>
      </c>
      <c r="AE84" s="917">
        <v>5688</v>
      </c>
      <c r="AF84" s="922">
        <v>5185457</v>
      </c>
      <c r="AG84" s="916">
        <v>-65</v>
      </c>
      <c r="AH84" s="917">
        <v>-479268</v>
      </c>
      <c r="AI84" s="916">
        <v>-50</v>
      </c>
      <c r="AJ84" s="917">
        <v>-194417</v>
      </c>
      <c r="AK84" s="920">
        <v>-673685</v>
      </c>
      <c r="AL84" s="922">
        <v>4511772</v>
      </c>
      <c r="AM84" s="917">
        <v>-11279</v>
      </c>
      <c r="AN84" s="922">
        <v>4500493</v>
      </c>
      <c r="AO84" s="917">
        <v>0</v>
      </c>
      <c r="AP84" s="922">
        <v>4500493</v>
      </c>
      <c r="AQ84" s="917">
        <v>3155204</v>
      </c>
      <c r="AR84" s="917">
        <v>1345289</v>
      </c>
      <c r="AS84" s="922">
        <v>336323</v>
      </c>
      <c r="AT84" s="702">
        <v>7070784</v>
      </c>
      <c r="AU84" s="702">
        <v>510784</v>
      </c>
      <c r="AV84" s="917">
        <v>11279</v>
      </c>
      <c r="AW84" s="917">
        <v>11955</v>
      </c>
      <c r="AX84" s="917">
        <v>-676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26" t="s">
        <v>438</v>
      </c>
      <c r="B1" s="1408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409"/>
      <c r="B2" s="1410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411"/>
      <c r="B3" s="1412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101068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126464</v>
      </c>
      <c r="AM9" s="146"/>
      <c r="AN9" s="143"/>
      <c r="AO9" s="135">
        <v>0</v>
      </c>
      <c r="AP9" s="143"/>
      <c r="AQ9" s="144"/>
      <c r="AR9" s="144"/>
      <c r="AS9" s="143">
        <v>12276</v>
      </c>
      <c r="AT9" s="697"/>
      <c r="AU9" s="698"/>
      <c r="AV9" s="136"/>
      <c r="AW9" s="136"/>
      <c r="AX9" s="136">
        <v>53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1479074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2196842</v>
      </c>
      <c r="AM23" s="146"/>
      <c r="AN23" s="143"/>
      <c r="AO23" s="135">
        <v>0</v>
      </c>
      <c r="AP23" s="143"/>
      <c r="AQ23" s="144"/>
      <c r="AR23" s="144"/>
      <c r="AS23" s="143">
        <v>207908</v>
      </c>
      <c r="AT23" s="697"/>
      <c r="AU23" s="698"/>
      <c r="AV23" s="136"/>
      <c r="AW23" s="136"/>
      <c r="AX23" s="136">
        <v>582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40412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35136</v>
      </c>
      <c r="AM25" s="146"/>
      <c r="AN25" s="143"/>
      <c r="AO25" s="135">
        <v>0</v>
      </c>
      <c r="AP25" s="143"/>
      <c r="AQ25" s="144"/>
      <c r="AR25" s="144"/>
      <c r="AS25" s="143">
        <v>4479</v>
      </c>
      <c r="AT25" s="697"/>
      <c r="AU25" s="698"/>
      <c r="AV25" s="136"/>
      <c r="AW25" s="136"/>
      <c r="AX25" s="136">
        <v>36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68854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244020</v>
      </c>
      <c r="AM30" s="146"/>
      <c r="AN30" s="143"/>
      <c r="AO30" s="135">
        <v>0</v>
      </c>
      <c r="AP30" s="143"/>
      <c r="AQ30" s="144"/>
      <c r="AR30" s="144"/>
      <c r="AS30" s="143">
        <v>18757</v>
      </c>
      <c r="AT30" s="697"/>
      <c r="AU30" s="698"/>
      <c r="AV30" s="136"/>
      <c r="AW30" s="136"/>
      <c r="AX30" s="136">
        <v>-46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7710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6050</v>
      </c>
      <c r="AM32" s="127"/>
      <c r="AN32" s="124"/>
      <c r="AO32" s="117">
        <v>0</v>
      </c>
      <c r="AP32" s="124"/>
      <c r="AQ32" s="125"/>
      <c r="AR32" s="125"/>
      <c r="AS32" s="124">
        <v>576</v>
      </c>
      <c r="AT32" s="695"/>
      <c r="AU32" s="696"/>
      <c r="AV32" s="118"/>
      <c r="AW32" s="118"/>
      <c r="AX32" s="118">
        <v>2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5704</v>
      </c>
      <c r="AM34" s="146"/>
      <c r="AN34" s="143"/>
      <c r="AO34" s="135">
        <v>0</v>
      </c>
      <c r="AP34" s="143"/>
      <c r="AQ34" s="144"/>
      <c r="AR34" s="144"/>
      <c r="AS34" s="143">
        <v>948</v>
      </c>
      <c r="AT34" s="697"/>
      <c r="AU34" s="698"/>
      <c r="AV34" s="136"/>
      <c r="AW34" s="136"/>
      <c r="AX34" s="136">
        <v>14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171336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54131</v>
      </c>
      <c r="AM38" s="146"/>
      <c r="AN38" s="143"/>
      <c r="AO38" s="135">
        <v>0</v>
      </c>
      <c r="AP38" s="143"/>
      <c r="AQ38" s="144"/>
      <c r="AR38" s="144"/>
      <c r="AS38" s="143">
        <v>4769</v>
      </c>
      <c r="AT38" s="697"/>
      <c r="AU38" s="698"/>
      <c r="AV38" s="136"/>
      <c r="AW38" s="136"/>
      <c r="AX38" s="136">
        <v>8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3298</v>
      </c>
      <c r="AM42" s="127"/>
      <c r="AN42" s="124"/>
      <c r="AO42" s="117">
        <v>0</v>
      </c>
      <c r="AP42" s="124"/>
      <c r="AQ42" s="125"/>
      <c r="AR42" s="125"/>
      <c r="AS42" s="124">
        <v>823</v>
      </c>
      <c r="AT42" s="695"/>
      <c r="AU42" s="696"/>
      <c r="AV42" s="118"/>
      <c r="AW42" s="118"/>
      <c r="AX42" s="118">
        <v>8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33772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40138</v>
      </c>
      <c r="AM45" s="146"/>
      <c r="AN45" s="143"/>
      <c r="AO45" s="135">
        <v>0</v>
      </c>
      <c r="AP45" s="143"/>
      <c r="AQ45" s="144"/>
      <c r="AR45" s="144"/>
      <c r="AS45" s="143">
        <v>3933</v>
      </c>
      <c r="AT45" s="697"/>
      <c r="AU45" s="698"/>
      <c r="AV45" s="136"/>
      <c r="AW45" s="136"/>
      <c r="AX45" s="136">
        <v>18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9787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2960</v>
      </c>
      <c r="AM55" s="146"/>
      <c r="AN55" s="143"/>
      <c r="AO55" s="135">
        <v>0</v>
      </c>
      <c r="AP55" s="143"/>
      <c r="AQ55" s="144"/>
      <c r="AR55" s="144"/>
      <c r="AS55" s="143">
        <v>266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8855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16233</v>
      </c>
      <c r="AM58" s="146"/>
      <c r="AN58" s="143"/>
      <c r="AO58" s="135">
        <v>0</v>
      </c>
      <c r="AP58" s="143"/>
      <c r="AQ58" s="144"/>
      <c r="AR58" s="144"/>
      <c r="AS58" s="143">
        <v>2460</v>
      </c>
      <c r="AT58" s="697"/>
      <c r="AU58" s="698"/>
      <c r="AV58" s="136"/>
      <c r="AW58" s="136"/>
      <c r="AX58" s="136">
        <v>26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12834</v>
      </c>
      <c r="AM59" s="146"/>
      <c r="AN59" s="143"/>
      <c r="AO59" s="135">
        <v>0</v>
      </c>
      <c r="AP59" s="143"/>
      <c r="AQ59" s="144"/>
      <c r="AR59" s="144"/>
      <c r="AS59" s="143">
        <v>2252</v>
      </c>
      <c r="AT59" s="697"/>
      <c r="AU59" s="698"/>
      <c r="AV59" s="136"/>
      <c r="AW59" s="136"/>
      <c r="AX59" s="136">
        <v>32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76087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138063</v>
      </c>
      <c r="AM67" s="127"/>
      <c r="AN67" s="124"/>
      <c r="AO67" s="117">
        <v>0</v>
      </c>
      <c r="AP67" s="124"/>
      <c r="AQ67" s="125"/>
      <c r="AR67" s="125"/>
      <c r="AS67" s="124">
        <v>13751</v>
      </c>
      <c r="AT67" s="695"/>
      <c r="AU67" s="696"/>
      <c r="AV67" s="118"/>
      <c r="AW67" s="118"/>
      <c r="AX67" s="118">
        <v>54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13020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32310</v>
      </c>
      <c r="AM69" s="146"/>
      <c r="AN69" s="143"/>
      <c r="AO69" s="135">
        <v>0</v>
      </c>
      <c r="AP69" s="143"/>
      <c r="AQ69" s="144"/>
      <c r="AR69" s="144"/>
      <c r="AS69" s="143">
        <v>3040</v>
      </c>
      <c r="AT69" s="697"/>
      <c r="AU69" s="698"/>
      <c r="AV69" s="136"/>
      <c r="AW69" s="136"/>
      <c r="AX69" s="136">
        <v>11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77208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50152</v>
      </c>
      <c r="AM73" s="146"/>
      <c r="AN73" s="143"/>
      <c r="AO73" s="135">
        <v>0</v>
      </c>
      <c r="AP73" s="143"/>
      <c r="AQ73" s="144"/>
      <c r="AR73" s="144"/>
      <c r="AS73" s="143">
        <v>3813</v>
      </c>
      <c r="AT73" s="697"/>
      <c r="AU73" s="698"/>
      <c r="AV73" s="701"/>
      <c r="AW73" s="701"/>
      <c r="AX73" s="701">
        <v>-11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142473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55296</v>
      </c>
      <c r="AM74" s="146"/>
      <c r="AN74" s="143"/>
      <c r="AO74" s="135">
        <v>0</v>
      </c>
      <c r="AP74" s="143"/>
      <c r="AQ74" s="144"/>
      <c r="AR74" s="144"/>
      <c r="AS74" s="143">
        <v>5017</v>
      </c>
      <c r="AT74" s="697"/>
      <c r="AU74" s="698"/>
      <c r="AV74" s="701"/>
      <c r="AW74" s="701"/>
      <c r="AX74" s="701">
        <v>4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157118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59535</v>
      </c>
      <c r="AM75" s="146"/>
      <c r="AN75" s="143"/>
      <c r="AO75" s="135">
        <v>0</v>
      </c>
      <c r="AP75" s="143"/>
      <c r="AQ75" s="144"/>
      <c r="AR75" s="144"/>
      <c r="AS75" s="143">
        <v>4268</v>
      </c>
      <c r="AT75" s="1172"/>
      <c r="AU75" s="1173"/>
      <c r="AV75" s="1174"/>
      <c r="AW75" s="1174"/>
      <c r="AX75" s="1174">
        <v>-20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390</v>
      </c>
      <c r="D76" s="914">
        <v>4268.9653302959669</v>
      </c>
      <c r="E76" s="915">
        <v>1469572.742387115</v>
      </c>
      <c r="F76" s="916">
        <v>248</v>
      </c>
      <c r="G76" s="917">
        <v>570.35224473434255</v>
      </c>
      <c r="H76" s="918">
        <v>117485.49668507927</v>
      </c>
      <c r="I76" s="1109">
        <v>135</v>
      </c>
      <c r="J76" s="917">
        <v>158.37628411149953</v>
      </c>
      <c r="K76" s="918">
        <v>17778.701818614252</v>
      </c>
      <c r="L76" s="916">
        <v>238</v>
      </c>
      <c r="M76" s="917">
        <v>3936.5780458287281</v>
      </c>
      <c r="N76" s="918">
        <v>781936.3448577997</v>
      </c>
      <c r="O76" s="916">
        <v>0</v>
      </c>
      <c r="P76" s="917">
        <v>1527.9418817790604</v>
      </c>
      <c r="Q76" s="918">
        <v>0</v>
      </c>
      <c r="R76" s="919">
        <v>2386774</v>
      </c>
      <c r="S76" s="917">
        <v>-42054</v>
      </c>
      <c r="T76" s="917">
        <v>121526</v>
      </c>
      <c r="U76" s="920">
        <v>79472</v>
      </c>
      <c r="V76" s="919">
        <v>2466246</v>
      </c>
      <c r="W76" s="918">
        <v>-6165</v>
      </c>
      <c r="X76" s="919">
        <v>2460081</v>
      </c>
      <c r="Y76" s="918">
        <v>0</v>
      </c>
      <c r="Z76" s="919">
        <v>2460081</v>
      </c>
      <c r="AA76" s="917">
        <v>1570904</v>
      </c>
      <c r="AB76" s="917">
        <v>889177</v>
      </c>
      <c r="AC76" s="919">
        <v>222297</v>
      </c>
      <c r="AD76" s="921">
        <v>2460081</v>
      </c>
      <c r="AE76" s="917">
        <v>5688</v>
      </c>
      <c r="AF76" s="922">
        <v>2929111</v>
      </c>
      <c r="AG76" s="916">
        <v>14</v>
      </c>
      <c r="AH76" s="917">
        <v>62846</v>
      </c>
      <c r="AI76" s="916">
        <v>25</v>
      </c>
      <c r="AJ76" s="917">
        <v>87209</v>
      </c>
      <c r="AK76" s="920">
        <v>150055</v>
      </c>
      <c r="AL76" s="922">
        <v>3079166</v>
      </c>
      <c r="AM76" s="917">
        <v>-7696</v>
      </c>
      <c r="AN76" s="922">
        <v>3071470</v>
      </c>
      <c r="AO76" s="917">
        <v>0</v>
      </c>
      <c r="AP76" s="922">
        <v>3071470</v>
      </c>
      <c r="AQ76" s="917">
        <v>1914140</v>
      </c>
      <c r="AR76" s="917">
        <v>1157330</v>
      </c>
      <c r="AS76" s="922">
        <v>289336</v>
      </c>
      <c r="AT76" s="1176">
        <v>5531551</v>
      </c>
      <c r="AU76" s="1177">
        <v>511633</v>
      </c>
      <c r="AV76" s="917">
        <v>7696</v>
      </c>
      <c r="AW76" s="917">
        <v>6925</v>
      </c>
      <c r="AX76" s="917">
        <v>771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73931</v>
      </c>
      <c r="S77" s="860"/>
      <c r="T77" s="860"/>
      <c r="U77" s="860"/>
      <c r="V77" s="861">
        <v>73931</v>
      </c>
      <c r="W77" s="910">
        <v>-185</v>
      </c>
      <c r="X77" s="861">
        <v>73746</v>
      </c>
      <c r="Y77" s="860"/>
      <c r="Z77" s="861">
        <v>73746</v>
      </c>
      <c r="AA77" s="860">
        <v>48770</v>
      </c>
      <c r="AB77" s="860">
        <v>24976</v>
      </c>
      <c r="AC77" s="861">
        <v>6244</v>
      </c>
      <c r="AD77" s="912">
        <v>73746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73746</v>
      </c>
      <c r="AU77" s="1175">
        <v>6244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5074</v>
      </c>
      <c r="AA83" s="155">
        <v>3384</v>
      </c>
      <c r="AB83" s="709">
        <v>1690</v>
      </c>
      <c r="AC83" s="156">
        <v>423</v>
      </c>
      <c r="AD83" s="156">
        <v>5074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5074</v>
      </c>
      <c r="AU83" s="710">
        <v>423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390</v>
      </c>
      <c r="D84" s="914">
        <v>4268.9653302959669</v>
      </c>
      <c r="E84" s="915">
        <v>1469572.742387115</v>
      </c>
      <c r="F84" s="916">
        <v>248</v>
      </c>
      <c r="G84" s="917">
        <v>570.35224473434255</v>
      </c>
      <c r="H84" s="918">
        <v>117485.49668507927</v>
      </c>
      <c r="I84" s="1109">
        <v>135</v>
      </c>
      <c r="J84" s="917">
        <v>158.37628411149953</v>
      </c>
      <c r="K84" s="918">
        <v>17778.701818614252</v>
      </c>
      <c r="L84" s="916">
        <v>238</v>
      </c>
      <c r="M84" s="917">
        <v>3936.5780458287281</v>
      </c>
      <c r="N84" s="918">
        <v>781936.3448577997</v>
      </c>
      <c r="O84" s="916">
        <v>0</v>
      </c>
      <c r="P84" s="917">
        <v>1527.9418817790604</v>
      </c>
      <c r="Q84" s="918">
        <v>0</v>
      </c>
      <c r="R84" s="919">
        <v>2460705</v>
      </c>
      <c r="S84" s="917">
        <v>-42054</v>
      </c>
      <c r="T84" s="917">
        <v>121526</v>
      </c>
      <c r="U84" s="920">
        <v>79472</v>
      </c>
      <c r="V84" s="919">
        <v>2540177</v>
      </c>
      <c r="W84" s="918">
        <v>-6350</v>
      </c>
      <c r="X84" s="919">
        <v>2533827</v>
      </c>
      <c r="Y84" s="918">
        <v>0</v>
      </c>
      <c r="Z84" s="919">
        <v>2538901</v>
      </c>
      <c r="AA84" s="917">
        <v>1623058</v>
      </c>
      <c r="AB84" s="917">
        <v>915843</v>
      </c>
      <c r="AC84" s="919">
        <v>228964</v>
      </c>
      <c r="AD84" s="921">
        <v>2538901</v>
      </c>
      <c r="AE84" s="917">
        <v>5688</v>
      </c>
      <c r="AF84" s="922">
        <v>2929111</v>
      </c>
      <c r="AG84" s="916">
        <v>14</v>
      </c>
      <c r="AH84" s="917">
        <v>62846</v>
      </c>
      <c r="AI84" s="916">
        <v>25</v>
      </c>
      <c r="AJ84" s="917">
        <v>87209</v>
      </c>
      <c r="AK84" s="920">
        <v>150055</v>
      </c>
      <c r="AL84" s="922">
        <v>3079166</v>
      </c>
      <c r="AM84" s="917">
        <v>-7696</v>
      </c>
      <c r="AN84" s="922">
        <v>3071470</v>
      </c>
      <c r="AO84" s="917">
        <v>0</v>
      </c>
      <c r="AP84" s="922">
        <v>3071470</v>
      </c>
      <c r="AQ84" s="917">
        <v>1914140</v>
      </c>
      <c r="AR84" s="917">
        <v>1157330</v>
      </c>
      <c r="AS84" s="922">
        <v>289336</v>
      </c>
      <c r="AT84" s="702">
        <v>5610371</v>
      </c>
      <c r="AU84" s="702">
        <v>518300</v>
      </c>
      <c r="AV84" s="917">
        <v>7696</v>
      </c>
      <c r="AW84" s="917">
        <v>6925</v>
      </c>
      <c r="AX84" s="917">
        <v>771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850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835407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859100</v>
      </c>
      <c r="AM32" s="127"/>
      <c r="AN32" s="124"/>
      <c r="AO32" s="117">
        <v>-2632</v>
      </c>
      <c r="AP32" s="124"/>
      <c r="AQ32" s="125"/>
      <c r="AR32" s="125"/>
      <c r="AS32" s="124">
        <v>76048</v>
      </c>
      <c r="AT32" s="695"/>
      <c r="AU32" s="696"/>
      <c r="AV32" s="118"/>
      <c r="AW32" s="118"/>
      <c r="AX32" s="118">
        <v>-65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171485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125324</v>
      </c>
      <c r="AM42" s="127"/>
      <c r="AN42" s="124"/>
      <c r="AO42" s="117">
        <v>0</v>
      </c>
      <c r="AP42" s="124"/>
      <c r="AQ42" s="125"/>
      <c r="AR42" s="125"/>
      <c r="AS42" s="124">
        <v>-924</v>
      </c>
      <c r="AT42" s="695"/>
      <c r="AU42" s="696"/>
      <c r="AV42" s="118"/>
      <c r="AW42" s="118"/>
      <c r="AX42" s="118">
        <v>-341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4318</v>
      </c>
      <c r="AM43" s="146"/>
      <c r="AN43" s="143"/>
      <c r="AO43" s="135">
        <v>0</v>
      </c>
      <c r="AP43" s="143"/>
      <c r="AQ43" s="144"/>
      <c r="AR43" s="144"/>
      <c r="AS43" s="143">
        <v>718</v>
      </c>
      <c r="AT43" s="697"/>
      <c r="AU43" s="698"/>
      <c r="AV43" s="136"/>
      <c r="AW43" s="136"/>
      <c r="AX43" s="136">
        <v>11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11056</v>
      </c>
      <c r="AM44" s="146"/>
      <c r="AN44" s="143"/>
      <c r="AO44" s="135">
        <v>0</v>
      </c>
      <c r="AP44" s="143"/>
      <c r="AQ44" s="144"/>
      <c r="AR44" s="144"/>
      <c r="AS44" s="143">
        <v>1838</v>
      </c>
      <c r="AT44" s="697"/>
      <c r="AU44" s="698"/>
      <c r="AV44" s="136"/>
      <c r="AW44" s="136"/>
      <c r="AX44" s="136">
        <v>28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2531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37525</v>
      </c>
      <c r="AM51" s="161"/>
      <c r="AN51" s="158"/>
      <c r="AO51" s="149">
        <v>0</v>
      </c>
      <c r="AP51" s="158"/>
      <c r="AQ51" s="159"/>
      <c r="AR51" s="159"/>
      <c r="AS51" s="158">
        <v>5609</v>
      </c>
      <c r="AT51" s="699"/>
      <c r="AU51" s="700"/>
      <c r="AV51" s="150"/>
      <c r="AW51" s="150"/>
      <c r="AX51" s="150">
        <v>56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9385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17538</v>
      </c>
      <c r="AM54" s="146"/>
      <c r="AN54" s="143"/>
      <c r="AO54" s="135">
        <v>0</v>
      </c>
      <c r="AP54" s="143"/>
      <c r="AQ54" s="144"/>
      <c r="AR54" s="144"/>
      <c r="AS54" s="143">
        <v>2150</v>
      </c>
      <c r="AT54" s="697"/>
      <c r="AU54" s="698"/>
      <c r="AV54" s="136"/>
      <c r="AW54" s="136"/>
      <c r="AX54" s="136">
        <v>11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23132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-1526</v>
      </c>
      <c r="AT58" s="697"/>
      <c r="AU58" s="698"/>
      <c r="AV58" s="136"/>
      <c r="AW58" s="136"/>
      <c r="AX58" s="136">
        <v>-46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2852</v>
      </c>
      <c r="AM59" s="146"/>
      <c r="AN59" s="143"/>
      <c r="AO59" s="135">
        <v>0</v>
      </c>
      <c r="AP59" s="143"/>
      <c r="AQ59" s="144"/>
      <c r="AR59" s="144"/>
      <c r="AS59" s="143">
        <v>474</v>
      </c>
      <c r="AT59" s="697"/>
      <c r="AU59" s="698"/>
      <c r="AV59" s="136"/>
      <c r="AW59" s="136"/>
      <c r="AX59" s="136">
        <v>7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217</v>
      </c>
      <c r="D76" s="914">
        <v>4268.9653302959669</v>
      </c>
      <c r="E76" s="915">
        <v>824202.12794764782</v>
      </c>
      <c r="F76" s="916">
        <v>162</v>
      </c>
      <c r="G76" s="917">
        <v>570.35224473434255</v>
      </c>
      <c r="H76" s="918">
        <v>78351.791197001017</v>
      </c>
      <c r="I76" s="1109">
        <v>196</v>
      </c>
      <c r="J76" s="917">
        <v>158.37628411149953</v>
      </c>
      <c r="K76" s="918">
        <v>25658.584348379845</v>
      </c>
      <c r="L76" s="916">
        <v>34</v>
      </c>
      <c r="M76" s="917">
        <v>3936.5780458287281</v>
      </c>
      <c r="N76" s="918">
        <v>113727.71791122961</v>
      </c>
      <c r="O76" s="916">
        <v>0</v>
      </c>
      <c r="P76" s="917">
        <v>1527.9418817790604</v>
      </c>
      <c r="Q76" s="918">
        <v>0</v>
      </c>
      <c r="R76" s="919">
        <v>1041940</v>
      </c>
      <c r="S76" s="917">
        <v>-300848</v>
      </c>
      <c r="T76" s="917">
        <v>63582</v>
      </c>
      <c r="U76" s="920">
        <v>-237266</v>
      </c>
      <c r="V76" s="919">
        <v>804674</v>
      </c>
      <c r="W76" s="918">
        <v>-2012</v>
      </c>
      <c r="X76" s="919">
        <v>802662</v>
      </c>
      <c r="Y76" s="918">
        <v>-2118</v>
      </c>
      <c r="Z76" s="919">
        <v>800544</v>
      </c>
      <c r="AA76" s="917">
        <v>591446</v>
      </c>
      <c r="AB76" s="917">
        <v>209098</v>
      </c>
      <c r="AC76" s="919">
        <v>52275</v>
      </c>
      <c r="AD76" s="921">
        <v>800544</v>
      </c>
      <c r="AE76" s="917">
        <v>5688</v>
      </c>
      <c r="AF76" s="922">
        <v>1350417</v>
      </c>
      <c r="AG76" s="916">
        <v>-63</v>
      </c>
      <c r="AH76" s="917">
        <v>-384909</v>
      </c>
      <c r="AI76" s="916">
        <v>29</v>
      </c>
      <c r="AJ76" s="917">
        <v>92205</v>
      </c>
      <c r="AK76" s="920">
        <v>-292704</v>
      </c>
      <c r="AL76" s="922">
        <v>1057713</v>
      </c>
      <c r="AM76" s="917">
        <v>-2645</v>
      </c>
      <c r="AN76" s="922">
        <v>1055068</v>
      </c>
      <c r="AO76" s="917">
        <v>-2632</v>
      </c>
      <c r="AP76" s="922">
        <v>1052436</v>
      </c>
      <c r="AQ76" s="917">
        <v>714892</v>
      </c>
      <c r="AR76" s="917">
        <v>337544</v>
      </c>
      <c r="AS76" s="922">
        <v>84387</v>
      </c>
      <c r="AT76" s="1176">
        <v>1852980</v>
      </c>
      <c r="AU76" s="1177">
        <v>136662</v>
      </c>
      <c r="AV76" s="917">
        <v>2645</v>
      </c>
      <c r="AW76" s="917">
        <v>2984</v>
      </c>
      <c r="AX76" s="917">
        <v>-339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24981</v>
      </c>
      <c r="S77" s="860"/>
      <c r="T77" s="860"/>
      <c r="U77" s="860"/>
      <c r="V77" s="861">
        <v>24981</v>
      </c>
      <c r="W77" s="910">
        <v>-62</v>
      </c>
      <c r="X77" s="861">
        <v>24919</v>
      </c>
      <c r="Y77" s="860"/>
      <c r="Z77" s="861">
        <v>24919</v>
      </c>
      <c r="AA77" s="860">
        <v>19838</v>
      </c>
      <c r="AB77" s="860">
        <v>5081</v>
      </c>
      <c r="AC77" s="861">
        <v>1270</v>
      </c>
      <c r="AD77" s="912">
        <v>24919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24919</v>
      </c>
      <c r="AU77" s="1175">
        <v>1270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12050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12803</v>
      </c>
      <c r="AA83" s="155">
        <v>8536</v>
      </c>
      <c r="AB83" s="709">
        <v>4267</v>
      </c>
      <c r="AC83" s="156">
        <v>1067</v>
      </c>
      <c r="AD83" s="156">
        <v>12803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12803</v>
      </c>
      <c r="AU83" s="710">
        <v>1067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217</v>
      </c>
      <c r="D84" s="914">
        <v>4268.9653302959669</v>
      </c>
      <c r="E84" s="915">
        <v>824202.12794764782</v>
      </c>
      <c r="F84" s="916">
        <v>162</v>
      </c>
      <c r="G84" s="917">
        <v>570.35224473434255</v>
      </c>
      <c r="H84" s="918">
        <v>78351.791197001017</v>
      </c>
      <c r="I84" s="1109">
        <v>196</v>
      </c>
      <c r="J84" s="917">
        <v>158.37628411149953</v>
      </c>
      <c r="K84" s="918">
        <v>25658.584348379845</v>
      </c>
      <c r="L84" s="916">
        <v>34</v>
      </c>
      <c r="M84" s="917">
        <v>3936.5780458287281</v>
      </c>
      <c r="N84" s="918">
        <v>113727.71791122961</v>
      </c>
      <c r="O84" s="916">
        <v>0</v>
      </c>
      <c r="P84" s="917">
        <v>1527.9418817790604</v>
      </c>
      <c r="Q84" s="918">
        <v>0</v>
      </c>
      <c r="R84" s="919">
        <v>1066921</v>
      </c>
      <c r="S84" s="917">
        <v>-300848</v>
      </c>
      <c r="T84" s="917">
        <v>63582</v>
      </c>
      <c r="U84" s="920">
        <v>-237266</v>
      </c>
      <c r="V84" s="919">
        <v>829655</v>
      </c>
      <c r="W84" s="918">
        <v>-2074</v>
      </c>
      <c r="X84" s="919">
        <v>827581</v>
      </c>
      <c r="Y84" s="918">
        <v>-2118</v>
      </c>
      <c r="Z84" s="919">
        <v>838266</v>
      </c>
      <c r="AA84" s="917">
        <v>619820</v>
      </c>
      <c r="AB84" s="917">
        <v>218446</v>
      </c>
      <c r="AC84" s="919">
        <v>54612</v>
      </c>
      <c r="AD84" s="921">
        <v>850316</v>
      </c>
      <c r="AE84" s="917">
        <v>5688</v>
      </c>
      <c r="AF84" s="922">
        <v>1350417</v>
      </c>
      <c r="AG84" s="916">
        <v>-63</v>
      </c>
      <c r="AH84" s="917">
        <v>-384909</v>
      </c>
      <c r="AI84" s="916">
        <v>29</v>
      </c>
      <c r="AJ84" s="917">
        <v>92205</v>
      </c>
      <c r="AK84" s="920">
        <v>-292704</v>
      </c>
      <c r="AL84" s="922">
        <v>1057713</v>
      </c>
      <c r="AM84" s="917">
        <v>-2645</v>
      </c>
      <c r="AN84" s="922">
        <v>1055068</v>
      </c>
      <c r="AO84" s="917">
        <v>-2632</v>
      </c>
      <c r="AP84" s="922">
        <v>1052436</v>
      </c>
      <c r="AQ84" s="917">
        <v>714892</v>
      </c>
      <c r="AR84" s="917">
        <v>337544</v>
      </c>
      <c r="AS84" s="922">
        <v>84387</v>
      </c>
      <c r="AT84" s="702">
        <v>1890702</v>
      </c>
      <c r="AU84" s="702">
        <v>138999</v>
      </c>
      <c r="AV84" s="917">
        <v>2645</v>
      </c>
      <c r="AW84" s="917">
        <v>2984</v>
      </c>
      <c r="AX84" s="917">
        <v>-339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2.425781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1027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20169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-2734</v>
      </c>
      <c r="AT9" s="697"/>
      <c r="AU9" s="698"/>
      <c r="AV9" s="136"/>
      <c r="AW9" s="136"/>
      <c r="AX9" s="136">
        <v>-82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2910683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5087219</v>
      </c>
      <c r="AM23" s="146"/>
      <c r="AN23" s="143"/>
      <c r="AO23" s="135">
        <v>0</v>
      </c>
      <c r="AP23" s="143"/>
      <c r="AQ23" s="144"/>
      <c r="AR23" s="144"/>
      <c r="AS23" s="143">
        <v>423301</v>
      </c>
      <c r="AT23" s="697"/>
      <c r="AU23" s="698"/>
      <c r="AV23" s="136"/>
      <c r="AW23" s="136"/>
      <c r="AX23" s="136">
        <v>-100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24179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8547</v>
      </c>
      <c r="AM38" s="146"/>
      <c r="AN38" s="143"/>
      <c r="AO38" s="135">
        <v>0</v>
      </c>
      <c r="AP38" s="143"/>
      <c r="AQ38" s="144"/>
      <c r="AR38" s="144"/>
      <c r="AS38" s="143">
        <v>57</v>
      </c>
      <c r="AT38" s="697"/>
      <c r="AU38" s="698"/>
      <c r="AV38" s="136"/>
      <c r="AW38" s="136"/>
      <c r="AX38" s="136">
        <v>-6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3449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11045</v>
      </c>
      <c r="AM67" s="127"/>
      <c r="AN67" s="124"/>
      <c r="AO67" s="117">
        <v>0</v>
      </c>
      <c r="AP67" s="124"/>
      <c r="AQ67" s="125"/>
      <c r="AR67" s="125"/>
      <c r="AS67" s="124">
        <v>1146</v>
      </c>
      <c r="AT67" s="695"/>
      <c r="AU67" s="696"/>
      <c r="AV67" s="118"/>
      <c r="AW67" s="118"/>
      <c r="AX67" s="118">
        <v>7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6269</v>
      </c>
      <c r="AM73" s="146"/>
      <c r="AN73" s="143"/>
      <c r="AO73" s="135">
        <v>0</v>
      </c>
      <c r="AP73" s="143"/>
      <c r="AQ73" s="144"/>
      <c r="AR73" s="144"/>
      <c r="AS73" s="143">
        <v>521</v>
      </c>
      <c r="AT73" s="697"/>
      <c r="AU73" s="698"/>
      <c r="AV73" s="701"/>
      <c r="AW73" s="701"/>
      <c r="AX73" s="701">
        <v>16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50384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20736</v>
      </c>
      <c r="AM74" s="146"/>
      <c r="AN74" s="143"/>
      <c r="AO74" s="135">
        <v>0</v>
      </c>
      <c r="AP74" s="143"/>
      <c r="AQ74" s="144"/>
      <c r="AR74" s="144"/>
      <c r="AS74" s="143">
        <v>-90</v>
      </c>
      <c r="AT74" s="697"/>
      <c r="AU74" s="698"/>
      <c r="AV74" s="701"/>
      <c r="AW74" s="701"/>
      <c r="AX74" s="701">
        <v>-11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35748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19845</v>
      </c>
      <c r="AM75" s="146"/>
      <c r="AN75" s="143"/>
      <c r="AO75" s="135">
        <v>0</v>
      </c>
      <c r="AP75" s="143"/>
      <c r="AQ75" s="144"/>
      <c r="AR75" s="144"/>
      <c r="AS75" s="143">
        <v>745</v>
      </c>
      <c r="AT75" s="1172"/>
      <c r="AU75" s="1173"/>
      <c r="AV75" s="1174"/>
      <c r="AW75" s="1174"/>
      <c r="AX75" s="1174">
        <v>3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707</v>
      </c>
      <c r="D76" s="914">
        <v>4268.9653302959669</v>
      </c>
      <c r="E76" s="915">
        <v>2513288.4721809453</v>
      </c>
      <c r="F76" s="916">
        <v>648</v>
      </c>
      <c r="G76" s="917">
        <v>570.35224473434255</v>
      </c>
      <c r="H76" s="918">
        <v>292868.92790241778</v>
      </c>
      <c r="I76" s="1109">
        <v>24</v>
      </c>
      <c r="J76" s="917">
        <v>158.37628411149953</v>
      </c>
      <c r="K76" s="918">
        <v>2987.4006500886994</v>
      </c>
      <c r="L76" s="916">
        <v>77</v>
      </c>
      <c r="M76" s="917">
        <v>3936.5780458287281</v>
      </c>
      <c r="N76" s="918">
        <v>235467.08004121052</v>
      </c>
      <c r="O76" s="916">
        <v>0</v>
      </c>
      <c r="P76" s="917">
        <v>1527.9418817790604</v>
      </c>
      <c r="Q76" s="918">
        <v>0</v>
      </c>
      <c r="R76" s="919">
        <v>3044612</v>
      </c>
      <c r="S76" s="917">
        <v>-97065</v>
      </c>
      <c r="T76" s="917">
        <v>-33891</v>
      </c>
      <c r="U76" s="920">
        <v>-130956</v>
      </c>
      <c r="V76" s="919">
        <v>2913656</v>
      </c>
      <c r="W76" s="918">
        <v>-7284</v>
      </c>
      <c r="X76" s="919">
        <v>2906372</v>
      </c>
      <c r="Y76" s="918">
        <v>0</v>
      </c>
      <c r="Z76" s="919">
        <v>2906372</v>
      </c>
      <c r="AA76" s="917">
        <v>1992398</v>
      </c>
      <c r="AB76" s="917">
        <v>913974</v>
      </c>
      <c r="AC76" s="919">
        <v>228494</v>
      </c>
      <c r="AD76" s="921">
        <v>2906372</v>
      </c>
      <c r="AE76" s="917">
        <v>5688</v>
      </c>
      <c r="AF76" s="922">
        <v>5403530</v>
      </c>
      <c r="AG76" s="916">
        <v>-30</v>
      </c>
      <c r="AH76" s="917">
        <v>-259084</v>
      </c>
      <c r="AI76" s="916">
        <v>-9</v>
      </c>
      <c r="AJ76" s="917">
        <v>9215</v>
      </c>
      <c r="AK76" s="920">
        <v>-249869</v>
      </c>
      <c r="AL76" s="922">
        <v>5153661</v>
      </c>
      <c r="AM76" s="917">
        <v>-12885</v>
      </c>
      <c r="AN76" s="922">
        <v>5140776</v>
      </c>
      <c r="AO76" s="917">
        <v>0</v>
      </c>
      <c r="AP76" s="922">
        <v>5140776</v>
      </c>
      <c r="AQ76" s="917">
        <v>3448994</v>
      </c>
      <c r="AR76" s="917">
        <v>1691782</v>
      </c>
      <c r="AS76" s="922">
        <v>422946</v>
      </c>
      <c r="AT76" s="1176">
        <v>8047148</v>
      </c>
      <c r="AU76" s="1177">
        <v>651440</v>
      </c>
      <c r="AV76" s="917">
        <v>12885</v>
      </c>
      <c r="AW76" s="917">
        <v>13058</v>
      </c>
      <c r="AX76" s="917">
        <v>-173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86101</v>
      </c>
      <c r="S77" s="860"/>
      <c r="T77" s="860"/>
      <c r="U77" s="860"/>
      <c r="V77" s="861">
        <v>86101</v>
      </c>
      <c r="W77" s="910">
        <v>-215</v>
      </c>
      <c r="X77" s="861">
        <v>85886</v>
      </c>
      <c r="Y77" s="860"/>
      <c r="Z77" s="861">
        <v>85886</v>
      </c>
      <c r="AA77" s="860">
        <v>60472</v>
      </c>
      <c r="AB77" s="860">
        <v>25414</v>
      </c>
      <c r="AC77" s="861">
        <v>6354</v>
      </c>
      <c r="AD77" s="912">
        <v>85886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85886</v>
      </c>
      <c r="AU77" s="1175">
        <v>6354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14942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8968</v>
      </c>
      <c r="AA83" s="155">
        <v>5978</v>
      </c>
      <c r="AB83" s="709">
        <v>2990</v>
      </c>
      <c r="AC83" s="156">
        <v>748</v>
      </c>
      <c r="AD83" s="156">
        <v>8968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8968</v>
      </c>
      <c r="AU83" s="710">
        <v>748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707</v>
      </c>
      <c r="D84" s="914">
        <v>4268.9653302959669</v>
      </c>
      <c r="E84" s="915">
        <v>2513288.4721809453</v>
      </c>
      <c r="F84" s="916">
        <v>648</v>
      </c>
      <c r="G84" s="917">
        <v>570.35224473434255</v>
      </c>
      <c r="H84" s="918">
        <v>292868.92790241778</v>
      </c>
      <c r="I84" s="1109">
        <v>24</v>
      </c>
      <c r="J84" s="917">
        <v>158.37628411149953</v>
      </c>
      <c r="K84" s="918">
        <v>2987.4006500886994</v>
      </c>
      <c r="L84" s="916">
        <v>77</v>
      </c>
      <c r="M84" s="917">
        <v>3936.5780458287281</v>
      </c>
      <c r="N84" s="918">
        <v>235467.08004121052</v>
      </c>
      <c r="O84" s="916">
        <v>0</v>
      </c>
      <c r="P84" s="917">
        <v>1527.9418817790604</v>
      </c>
      <c r="Q84" s="918">
        <v>0</v>
      </c>
      <c r="R84" s="919">
        <v>3130713</v>
      </c>
      <c r="S84" s="917">
        <v>-97065</v>
      </c>
      <c r="T84" s="917">
        <v>-33891</v>
      </c>
      <c r="U84" s="920">
        <v>-130956</v>
      </c>
      <c r="V84" s="919">
        <v>2999757</v>
      </c>
      <c r="W84" s="918">
        <v>-7499</v>
      </c>
      <c r="X84" s="919">
        <v>2992258</v>
      </c>
      <c r="Y84" s="918">
        <v>0</v>
      </c>
      <c r="Z84" s="919">
        <v>3001226</v>
      </c>
      <c r="AA84" s="917">
        <v>2058848</v>
      </c>
      <c r="AB84" s="917">
        <v>942378</v>
      </c>
      <c r="AC84" s="919">
        <v>235596</v>
      </c>
      <c r="AD84" s="921">
        <v>3016168</v>
      </c>
      <c r="AE84" s="917">
        <v>5688</v>
      </c>
      <c r="AF84" s="922">
        <v>5403530</v>
      </c>
      <c r="AG84" s="916">
        <v>-30</v>
      </c>
      <c r="AH84" s="917">
        <v>-259084</v>
      </c>
      <c r="AI84" s="916">
        <v>-9</v>
      </c>
      <c r="AJ84" s="917">
        <v>9215</v>
      </c>
      <c r="AK84" s="920">
        <v>-249869</v>
      </c>
      <c r="AL84" s="922">
        <v>5153661</v>
      </c>
      <c r="AM84" s="917">
        <v>-12885</v>
      </c>
      <c r="AN84" s="922">
        <v>5140776</v>
      </c>
      <c r="AO84" s="917">
        <v>0</v>
      </c>
      <c r="AP84" s="922">
        <v>5140776</v>
      </c>
      <c r="AQ84" s="917">
        <v>3448994</v>
      </c>
      <c r="AR84" s="917">
        <v>1691782</v>
      </c>
      <c r="AS84" s="922">
        <v>422946</v>
      </c>
      <c r="AT84" s="702">
        <v>8142002</v>
      </c>
      <c r="AU84" s="702">
        <v>658542</v>
      </c>
      <c r="AV84" s="917">
        <v>12885</v>
      </c>
      <c r="AW84" s="917">
        <v>13058</v>
      </c>
      <c r="AX84" s="917">
        <v>-173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439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563609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288652</v>
      </c>
      <c r="AM19" s="146"/>
      <c r="AN19" s="143"/>
      <c r="AO19" s="135">
        <v>0</v>
      </c>
      <c r="AP19" s="143"/>
      <c r="AQ19" s="144"/>
      <c r="AR19" s="144"/>
      <c r="AS19" s="143">
        <v>27674</v>
      </c>
      <c r="AT19" s="697"/>
      <c r="AU19" s="698"/>
      <c r="AV19" s="136"/>
      <c r="AW19" s="136"/>
      <c r="AX19" s="136">
        <v>127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2068924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1000849</v>
      </c>
      <c r="AM21" s="161"/>
      <c r="AN21" s="158"/>
      <c r="AO21" s="149">
        <v>0</v>
      </c>
      <c r="AP21" s="158"/>
      <c r="AQ21" s="159"/>
      <c r="AR21" s="159"/>
      <c r="AS21" s="158">
        <v>84410</v>
      </c>
      <c r="AT21" s="699"/>
      <c r="AU21" s="700"/>
      <c r="AV21" s="150"/>
      <c r="AW21" s="150"/>
      <c r="AX21" s="150">
        <v>48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11719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2897</v>
      </c>
      <c r="AM27" s="127"/>
      <c r="AN27" s="124"/>
      <c r="AO27" s="117">
        <v>0</v>
      </c>
      <c r="AP27" s="124"/>
      <c r="AQ27" s="125"/>
      <c r="AR27" s="125"/>
      <c r="AS27" s="124">
        <v>67</v>
      </c>
      <c r="AT27" s="695"/>
      <c r="AU27" s="696"/>
      <c r="AV27" s="118"/>
      <c r="AW27" s="118"/>
      <c r="AX27" s="118">
        <v>-5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5890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6477</v>
      </c>
      <c r="AM43" s="146"/>
      <c r="AN43" s="143"/>
      <c r="AO43" s="135">
        <v>0</v>
      </c>
      <c r="AP43" s="143"/>
      <c r="AQ43" s="144"/>
      <c r="AR43" s="144"/>
      <c r="AS43" s="143">
        <v>588</v>
      </c>
      <c r="AT43" s="697"/>
      <c r="AU43" s="698"/>
      <c r="AV43" s="136"/>
      <c r="AW43" s="136"/>
      <c r="AX43" s="136">
        <v>7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4936</v>
      </c>
      <c r="AM49" s="146"/>
      <c r="AN49" s="143"/>
      <c r="AO49" s="135">
        <v>0</v>
      </c>
      <c r="AP49" s="143"/>
      <c r="AQ49" s="144"/>
      <c r="AR49" s="144"/>
      <c r="AS49" s="143">
        <v>821</v>
      </c>
      <c r="AT49" s="697"/>
      <c r="AU49" s="698"/>
      <c r="AV49" s="136"/>
      <c r="AW49" s="136"/>
      <c r="AX49" s="136">
        <v>12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247016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354305</v>
      </c>
      <c r="AM60" s="146"/>
      <c r="AN60" s="143"/>
      <c r="AO60" s="135">
        <v>0</v>
      </c>
      <c r="AP60" s="143"/>
      <c r="AQ60" s="144"/>
      <c r="AR60" s="144"/>
      <c r="AS60" s="143">
        <v>38600</v>
      </c>
      <c r="AT60" s="697"/>
      <c r="AU60" s="698"/>
      <c r="AV60" s="136"/>
      <c r="AW60" s="136"/>
      <c r="AX60" s="136">
        <v>292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464</v>
      </c>
      <c r="D76" s="914">
        <v>4268.9653302959669</v>
      </c>
      <c r="E76" s="915">
        <v>2415870.9308842104</v>
      </c>
      <c r="F76" s="916">
        <v>279</v>
      </c>
      <c r="G76" s="917">
        <v>570.35224473434255</v>
      </c>
      <c r="H76" s="918">
        <v>193828.33999372052</v>
      </c>
      <c r="I76" s="1109">
        <v>239.5</v>
      </c>
      <c r="J76" s="917">
        <v>158.37628411149953</v>
      </c>
      <c r="K76" s="918">
        <v>45856.229609958798</v>
      </c>
      <c r="L76" s="916">
        <v>50</v>
      </c>
      <c r="M76" s="917">
        <v>3936.5780458287281</v>
      </c>
      <c r="N76" s="918">
        <v>234214.00842306935</v>
      </c>
      <c r="O76" s="916">
        <v>4</v>
      </c>
      <c r="P76" s="917">
        <v>1527.9418817790604</v>
      </c>
      <c r="Q76" s="918">
        <v>7387.7101979895624</v>
      </c>
      <c r="R76" s="919">
        <v>2897158</v>
      </c>
      <c r="S76" s="917">
        <v>34126</v>
      </c>
      <c r="T76" s="917">
        <v>-30207</v>
      </c>
      <c r="U76" s="920">
        <v>3919</v>
      </c>
      <c r="V76" s="919">
        <v>2901077</v>
      </c>
      <c r="W76" s="918">
        <v>-7253</v>
      </c>
      <c r="X76" s="919">
        <v>2893824</v>
      </c>
      <c r="Y76" s="918">
        <v>0</v>
      </c>
      <c r="Z76" s="919">
        <v>2893824</v>
      </c>
      <c r="AA76" s="917">
        <v>1937958</v>
      </c>
      <c r="AB76" s="917">
        <v>955866</v>
      </c>
      <c r="AC76" s="919">
        <v>238967</v>
      </c>
      <c r="AD76" s="921">
        <v>2893824</v>
      </c>
      <c r="AE76" s="917">
        <v>5688</v>
      </c>
      <c r="AF76" s="922">
        <v>1633521</v>
      </c>
      <c r="AG76" s="916">
        <v>0</v>
      </c>
      <c r="AH76" s="917">
        <v>44603</v>
      </c>
      <c r="AI76" s="916">
        <v>-10</v>
      </c>
      <c r="AJ76" s="917">
        <v>-20008</v>
      </c>
      <c r="AK76" s="920">
        <v>24595</v>
      </c>
      <c r="AL76" s="922">
        <v>1658116</v>
      </c>
      <c r="AM76" s="917">
        <v>-4145</v>
      </c>
      <c r="AN76" s="922">
        <v>1653971</v>
      </c>
      <c r="AO76" s="917">
        <v>0</v>
      </c>
      <c r="AP76" s="922">
        <v>1653971</v>
      </c>
      <c r="AQ76" s="917">
        <v>1045332</v>
      </c>
      <c r="AR76" s="917">
        <v>608639</v>
      </c>
      <c r="AS76" s="922">
        <v>152160</v>
      </c>
      <c r="AT76" s="1176">
        <v>4547795</v>
      </c>
      <c r="AU76" s="1177">
        <v>391127</v>
      </c>
      <c r="AV76" s="917">
        <v>4145</v>
      </c>
      <c r="AW76" s="917">
        <v>3664</v>
      </c>
      <c r="AX76" s="917">
        <v>481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56333</v>
      </c>
      <c r="S77" s="860"/>
      <c r="T77" s="860"/>
      <c r="U77" s="860"/>
      <c r="V77" s="861">
        <v>56333</v>
      </c>
      <c r="W77" s="910">
        <v>-141</v>
      </c>
      <c r="X77" s="861">
        <v>56192</v>
      </c>
      <c r="Y77" s="860"/>
      <c r="Z77" s="861">
        <v>56192</v>
      </c>
      <c r="AA77" s="860">
        <v>38498</v>
      </c>
      <c r="AB77" s="860">
        <v>17694</v>
      </c>
      <c r="AC77" s="861">
        <v>4424</v>
      </c>
      <c r="AD77" s="912">
        <v>56192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56192</v>
      </c>
      <c r="AU77" s="1175">
        <v>4424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13098</v>
      </c>
      <c r="AA83" s="155">
        <v>8734</v>
      </c>
      <c r="AB83" s="709">
        <v>4364</v>
      </c>
      <c r="AC83" s="156">
        <v>1091</v>
      </c>
      <c r="AD83" s="156">
        <v>13098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13098</v>
      </c>
      <c r="AU83" s="710">
        <v>1091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464</v>
      </c>
      <c r="D84" s="914">
        <v>4268.9653302959669</v>
      </c>
      <c r="E84" s="915">
        <v>2415870.9308842104</v>
      </c>
      <c r="F84" s="916">
        <v>279</v>
      </c>
      <c r="G84" s="917">
        <v>570.35224473434255</v>
      </c>
      <c r="H84" s="918">
        <v>193828.33999372052</v>
      </c>
      <c r="I84" s="1109">
        <v>239.5</v>
      </c>
      <c r="J84" s="917">
        <v>158.37628411149953</v>
      </c>
      <c r="K84" s="918">
        <v>45856.229609958798</v>
      </c>
      <c r="L84" s="916">
        <v>50</v>
      </c>
      <c r="M84" s="917">
        <v>3936.5780458287281</v>
      </c>
      <c r="N84" s="918">
        <v>234214.00842306935</v>
      </c>
      <c r="O84" s="916">
        <v>4</v>
      </c>
      <c r="P84" s="917">
        <v>1527.9418817790604</v>
      </c>
      <c r="Q84" s="918">
        <v>7387.7101979895624</v>
      </c>
      <c r="R84" s="919">
        <v>2953491</v>
      </c>
      <c r="S84" s="917">
        <v>34126</v>
      </c>
      <c r="T84" s="917">
        <v>-30207</v>
      </c>
      <c r="U84" s="920">
        <v>3919</v>
      </c>
      <c r="V84" s="919">
        <v>2957410</v>
      </c>
      <c r="W84" s="918">
        <v>-7394</v>
      </c>
      <c r="X84" s="919">
        <v>2950016</v>
      </c>
      <c r="Y84" s="918">
        <v>0</v>
      </c>
      <c r="Z84" s="919">
        <v>2963114</v>
      </c>
      <c r="AA84" s="917">
        <v>1985190</v>
      </c>
      <c r="AB84" s="917">
        <v>977924</v>
      </c>
      <c r="AC84" s="919">
        <v>244482</v>
      </c>
      <c r="AD84" s="921">
        <v>2973114</v>
      </c>
      <c r="AE84" s="917">
        <v>5688</v>
      </c>
      <c r="AF84" s="922">
        <v>1633521</v>
      </c>
      <c r="AG84" s="916">
        <v>0</v>
      </c>
      <c r="AH84" s="917">
        <v>44603</v>
      </c>
      <c r="AI84" s="916">
        <v>-10</v>
      </c>
      <c r="AJ84" s="917">
        <v>-20008</v>
      </c>
      <c r="AK84" s="920">
        <v>24595</v>
      </c>
      <c r="AL84" s="922">
        <v>1658116</v>
      </c>
      <c r="AM84" s="917">
        <v>-4145</v>
      </c>
      <c r="AN84" s="922">
        <v>1653971</v>
      </c>
      <c r="AO84" s="917">
        <v>0</v>
      </c>
      <c r="AP84" s="922">
        <v>1653971</v>
      </c>
      <c r="AQ84" s="917">
        <v>1045332</v>
      </c>
      <c r="AR84" s="917">
        <v>608639</v>
      </c>
      <c r="AS84" s="922">
        <v>152160</v>
      </c>
      <c r="AT84" s="702">
        <v>4617085</v>
      </c>
      <c r="AU84" s="702">
        <v>396642</v>
      </c>
      <c r="AV84" s="917">
        <v>4145</v>
      </c>
      <c r="AW84" s="917">
        <v>3664</v>
      </c>
      <c r="AX84" s="917">
        <v>481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440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874210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1553675</v>
      </c>
      <c r="AM23" s="146"/>
      <c r="AN23" s="143"/>
      <c r="AO23" s="135">
        <v>0</v>
      </c>
      <c r="AP23" s="143"/>
      <c r="AQ23" s="144"/>
      <c r="AR23" s="144"/>
      <c r="AS23" s="143">
        <v>146850</v>
      </c>
      <c r="AT23" s="697"/>
      <c r="AU23" s="698"/>
      <c r="AV23" s="136"/>
      <c r="AW23" s="136"/>
      <c r="AX23" s="136">
        <v>61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2481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16268</v>
      </c>
      <c r="AM30" s="146"/>
      <c r="AN30" s="143"/>
      <c r="AO30" s="135">
        <v>0</v>
      </c>
      <c r="AP30" s="143"/>
      <c r="AQ30" s="144"/>
      <c r="AR30" s="144"/>
      <c r="AS30" s="143">
        <v>1492</v>
      </c>
      <c r="AT30" s="697"/>
      <c r="AU30" s="698"/>
      <c r="AV30" s="136"/>
      <c r="AW30" s="136"/>
      <c r="AX30" s="136">
        <v>5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11780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4318</v>
      </c>
      <c r="AM43" s="146"/>
      <c r="AN43" s="143"/>
      <c r="AO43" s="135">
        <v>0</v>
      </c>
      <c r="AP43" s="143"/>
      <c r="AQ43" s="144"/>
      <c r="AR43" s="144"/>
      <c r="AS43" s="143">
        <v>100</v>
      </c>
      <c r="AT43" s="697"/>
      <c r="AU43" s="698"/>
      <c r="AV43" s="136"/>
      <c r="AW43" s="136"/>
      <c r="AX43" s="136">
        <v>-8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2852</v>
      </c>
      <c r="AM59" s="146"/>
      <c r="AN59" s="143"/>
      <c r="AO59" s="135">
        <v>0</v>
      </c>
      <c r="AP59" s="143"/>
      <c r="AQ59" s="144"/>
      <c r="AR59" s="144"/>
      <c r="AS59" s="143">
        <v>237</v>
      </c>
      <c r="AT59" s="697"/>
      <c r="AU59" s="698"/>
      <c r="AV59" s="136"/>
      <c r="AW59" s="136"/>
      <c r="AX59" s="136">
        <v>7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65759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37614</v>
      </c>
      <c r="AM73" s="146"/>
      <c r="AN73" s="143"/>
      <c r="AO73" s="135">
        <v>0</v>
      </c>
      <c r="AP73" s="143"/>
      <c r="AQ73" s="144"/>
      <c r="AR73" s="144"/>
      <c r="AS73" s="143">
        <v>724</v>
      </c>
      <c r="AT73" s="697"/>
      <c r="AU73" s="698"/>
      <c r="AV73" s="701"/>
      <c r="AW73" s="701"/>
      <c r="AX73" s="701">
        <v>-72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1179067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592704</v>
      </c>
      <c r="AM74" s="146"/>
      <c r="AN74" s="143"/>
      <c r="AO74" s="135">
        <v>0</v>
      </c>
      <c r="AP74" s="143"/>
      <c r="AQ74" s="144"/>
      <c r="AR74" s="144"/>
      <c r="AS74" s="143">
        <v>44806</v>
      </c>
      <c r="AT74" s="697"/>
      <c r="AU74" s="698"/>
      <c r="AV74" s="701"/>
      <c r="AW74" s="701"/>
      <c r="AX74" s="701">
        <v>60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17789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1984</v>
      </c>
      <c r="AM75" s="146"/>
      <c r="AN75" s="143"/>
      <c r="AO75" s="135">
        <v>0</v>
      </c>
      <c r="AP75" s="143"/>
      <c r="AQ75" s="144"/>
      <c r="AR75" s="144"/>
      <c r="AS75" s="143">
        <v>-773</v>
      </c>
      <c r="AT75" s="1172"/>
      <c r="AU75" s="1173"/>
      <c r="AV75" s="1174"/>
      <c r="AW75" s="1174"/>
      <c r="AX75" s="1174">
        <v>-23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401</v>
      </c>
      <c r="D76" s="914">
        <v>4268.9653302959669</v>
      </c>
      <c r="E76" s="915">
        <v>1814312.783505952</v>
      </c>
      <c r="F76" s="916">
        <v>348</v>
      </c>
      <c r="G76" s="917">
        <v>570.35224473434255</v>
      </c>
      <c r="H76" s="918">
        <v>198980.23636930529</v>
      </c>
      <c r="I76" s="1109">
        <v>21.5</v>
      </c>
      <c r="J76" s="917">
        <v>158.37628411149953</v>
      </c>
      <c r="K76" s="918">
        <v>3474.692090192284</v>
      </c>
      <c r="L76" s="916">
        <v>37</v>
      </c>
      <c r="M76" s="917">
        <v>3936.5780458287281</v>
      </c>
      <c r="N76" s="918">
        <v>134317.92298378985</v>
      </c>
      <c r="O76" s="916">
        <v>0</v>
      </c>
      <c r="P76" s="917">
        <v>1527.9418817790604</v>
      </c>
      <c r="Q76" s="918">
        <v>0</v>
      </c>
      <c r="R76" s="919">
        <v>2151086</v>
      </c>
      <c r="S76" s="917">
        <v>-60018</v>
      </c>
      <c r="T76" s="917">
        <v>-63814</v>
      </c>
      <c r="U76" s="920">
        <v>-123832</v>
      </c>
      <c r="V76" s="919">
        <v>2027254</v>
      </c>
      <c r="W76" s="918">
        <v>-5069</v>
      </c>
      <c r="X76" s="919">
        <v>2022185</v>
      </c>
      <c r="Y76" s="918">
        <v>0</v>
      </c>
      <c r="Z76" s="919">
        <v>2022185</v>
      </c>
      <c r="AA76" s="917">
        <v>1407894</v>
      </c>
      <c r="AB76" s="917">
        <v>614291</v>
      </c>
      <c r="AC76" s="919">
        <v>153573</v>
      </c>
      <c r="AD76" s="921">
        <v>2022185</v>
      </c>
      <c r="AE76" s="917">
        <v>5688</v>
      </c>
      <c r="AF76" s="922">
        <v>2308646</v>
      </c>
      <c r="AG76" s="916">
        <v>-18</v>
      </c>
      <c r="AH76" s="917">
        <v>-190987</v>
      </c>
      <c r="AI76" s="916">
        <v>-3</v>
      </c>
      <c r="AJ76" s="917">
        <v>91756</v>
      </c>
      <c r="AK76" s="920">
        <v>-99231</v>
      </c>
      <c r="AL76" s="922">
        <v>2209415</v>
      </c>
      <c r="AM76" s="917">
        <v>-5524</v>
      </c>
      <c r="AN76" s="922">
        <v>2203891</v>
      </c>
      <c r="AO76" s="917">
        <v>0</v>
      </c>
      <c r="AP76" s="922">
        <v>2203891</v>
      </c>
      <c r="AQ76" s="917">
        <v>1430150</v>
      </c>
      <c r="AR76" s="917">
        <v>773741</v>
      </c>
      <c r="AS76" s="922">
        <v>193436</v>
      </c>
      <c r="AT76" s="1176">
        <v>4226076</v>
      </c>
      <c r="AU76" s="1177">
        <v>347009</v>
      </c>
      <c r="AV76" s="917">
        <v>5524</v>
      </c>
      <c r="AW76" s="917">
        <v>5494</v>
      </c>
      <c r="AX76" s="917">
        <v>30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57443</v>
      </c>
      <c r="S77" s="860"/>
      <c r="T77" s="860"/>
      <c r="U77" s="860"/>
      <c r="V77" s="861">
        <v>57443</v>
      </c>
      <c r="W77" s="910">
        <v>-144</v>
      </c>
      <c r="X77" s="861">
        <v>57299</v>
      </c>
      <c r="Y77" s="860"/>
      <c r="Z77" s="861">
        <v>57299</v>
      </c>
      <c r="AA77" s="860">
        <v>35836</v>
      </c>
      <c r="AB77" s="860">
        <v>21463</v>
      </c>
      <c r="AC77" s="861">
        <v>5366</v>
      </c>
      <c r="AD77" s="912">
        <v>57299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57299</v>
      </c>
      <c r="AU77" s="1175">
        <v>5366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4579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4071</v>
      </c>
      <c r="AA83" s="155">
        <v>2714</v>
      </c>
      <c r="AB83" s="709">
        <v>1357</v>
      </c>
      <c r="AC83" s="156">
        <v>339</v>
      </c>
      <c r="AD83" s="156">
        <v>4071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4071</v>
      </c>
      <c r="AU83" s="710">
        <v>339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401</v>
      </c>
      <c r="D84" s="914">
        <v>4268.9653302959669</v>
      </c>
      <c r="E84" s="915">
        <v>1814312.783505952</v>
      </c>
      <c r="F84" s="916">
        <v>348</v>
      </c>
      <c r="G84" s="917">
        <v>570.35224473434255</v>
      </c>
      <c r="H84" s="918">
        <v>198980.23636930529</v>
      </c>
      <c r="I84" s="1109">
        <v>21.5</v>
      </c>
      <c r="J84" s="917">
        <v>158.37628411149953</v>
      </c>
      <c r="K84" s="918">
        <v>3474.692090192284</v>
      </c>
      <c r="L84" s="916">
        <v>37</v>
      </c>
      <c r="M84" s="917">
        <v>3936.5780458287281</v>
      </c>
      <c r="N84" s="918">
        <v>134317.92298378985</v>
      </c>
      <c r="O84" s="916">
        <v>0</v>
      </c>
      <c r="P84" s="917">
        <v>1527.9418817790604</v>
      </c>
      <c r="Q84" s="918">
        <v>0</v>
      </c>
      <c r="R84" s="919">
        <v>2208529</v>
      </c>
      <c r="S84" s="917">
        <v>-60018</v>
      </c>
      <c r="T84" s="917">
        <v>-63814</v>
      </c>
      <c r="U84" s="920">
        <v>-123832</v>
      </c>
      <c r="V84" s="919">
        <v>2084697</v>
      </c>
      <c r="W84" s="918">
        <v>-5213</v>
      </c>
      <c r="X84" s="919">
        <v>2079484</v>
      </c>
      <c r="Y84" s="918">
        <v>0</v>
      </c>
      <c r="Z84" s="919">
        <v>2083555</v>
      </c>
      <c r="AA84" s="917">
        <v>1446444</v>
      </c>
      <c r="AB84" s="917">
        <v>637111</v>
      </c>
      <c r="AC84" s="919">
        <v>159278</v>
      </c>
      <c r="AD84" s="921">
        <v>2088134</v>
      </c>
      <c r="AE84" s="917">
        <v>5688</v>
      </c>
      <c r="AF84" s="922">
        <v>2308646</v>
      </c>
      <c r="AG84" s="916">
        <v>-18</v>
      </c>
      <c r="AH84" s="917">
        <v>-190987</v>
      </c>
      <c r="AI84" s="916">
        <v>-3</v>
      </c>
      <c r="AJ84" s="917">
        <v>91756</v>
      </c>
      <c r="AK84" s="920">
        <v>-99231</v>
      </c>
      <c r="AL84" s="922">
        <v>2209415</v>
      </c>
      <c r="AM84" s="917">
        <v>-5524</v>
      </c>
      <c r="AN84" s="922">
        <v>2203891</v>
      </c>
      <c r="AO84" s="917">
        <v>0</v>
      </c>
      <c r="AP84" s="922">
        <v>2203891</v>
      </c>
      <c r="AQ84" s="917">
        <v>1430150</v>
      </c>
      <c r="AR84" s="917">
        <v>773741</v>
      </c>
      <c r="AS84" s="922">
        <v>193436</v>
      </c>
      <c r="AT84" s="702">
        <v>4287446</v>
      </c>
      <c r="AU84" s="702">
        <v>352714</v>
      </c>
      <c r="AV84" s="917">
        <v>5524</v>
      </c>
      <c r="AW84" s="917">
        <v>5494</v>
      </c>
      <c r="AX84" s="917">
        <v>30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4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441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717704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1731902</v>
      </c>
      <c r="AM23" s="146"/>
      <c r="AN23" s="143"/>
      <c r="AO23" s="135">
        <v>0</v>
      </c>
      <c r="AP23" s="143"/>
      <c r="AQ23" s="144"/>
      <c r="AR23" s="144"/>
      <c r="AS23" s="143">
        <v>183464</v>
      </c>
      <c r="AT23" s="697"/>
      <c r="AU23" s="698"/>
      <c r="AV23" s="136"/>
      <c r="AW23" s="136"/>
      <c r="AX23" s="136">
        <v>1144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112832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48312</v>
      </c>
      <c r="AM25" s="146"/>
      <c r="AN25" s="143"/>
      <c r="AO25" s="135">
        <v>0</v>
      </c>
      <c r="AP25" s="143"/>
      <c r="AQ25" s="144"/>
      <c r="AR25" s="144"/>
      <c r="AS25" s="143">
        <v>396</v>
      </c>
      <c r="AT25" s="697"/>
      <c r="AU25" s="698"/>
      <c r="AV25" s="136"/>
      <c r="AW25" s="136"/>
      <c r="AX25" s="136">
        <v>-87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5467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-2424</v>
      </c>
      <c r="AT30" s="697"/>
      <c r="AU30" s="698"/>
      <c r="AV30" s="136"/>
      <c r="AW30" s="136"/>
      <c r="AX30" s="136">
        <v>-73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11396</v>
      </c>
      <c r="AM38" s="146"/>
      <c r="AN38" s="143"/>
      <c r="AO38" s="135">
        <v>0</v>
      </c>
      <c r="AP38" s="143"/>
      <c r="AQ38" s="144"/>
      <c r="AR38" s="144"/>
      <c r="AS38" s="143">
        <v>1421</v>
      </c>
      <c r="AT38" s="697"/>
      <c r="AU38" s="698"/>
      <c r="AV38" s="136"/>
      <c r="AW38" s="136"/>
      <c r="AX38" s="136">
        <v>28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12375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22936</v>
      </c>
      <c r="AM45" s="146"/>
      <c r="AN45" s="143"/>
      <c r="AO45" s="135">
        <v>0</v>
      </c>
      <c r="AP45" s="143"/>
      <c r="AQ45" s="144"/>
      <c r="AR45" s="144"/>
      <c r="AS45" s="143">
        <v>1987</v>
      </c>
      <c r="AT45" s="697"/>
      <c r="AU45" s="698"/>
      <c r="AV45" s="136"/>
      <c r="AW45" s="136"/>
      <c r="AX45" s="136">
        <v>2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3110</v>
      </c>
      <c r="AM52" s="127"/>
      <c r="AN52" s="124"/>
      <c r="AO52" s="117">
        <v>0</v>
      </c>
      <c r="AP52" s="124"/>
      <c r="AQ52" s="125"/>
      <c r="AR52" s="125"/>
      <c r="AS52" s="124">
        <v>517</v>
      </c>
      <c r="AT52" s="695"/>
      <c r="AU52" s="696"/>
      <c r="AV52" s="118"/>
      <c r="AW52" s="118"/>
      <c r="AX52" s="118">
        <v>8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33925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-3335</v>
      </c>
      <c r="AT54" s="697"/>
      <c r="AU54" s="698"/>
      <c r="AV54" s="136"/>
      <c r="AW54" s="136"/>
      <c r="AX54" s="136">
        <v>-100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20693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55225</v>
      </c>
      <c r="AM67" s="127"/>
      <c r="AN67" s="124"/>
      <c r="AO67" s="117">
        <v>0</v>
      </c>
      <c r="AP67" s="124"/>
      <c r="AQ67" s="125"/>
      <c r="AR67" s="125"/>
      <c r="AS67" s="124">
        <v>5040</v>
      </c>
      <c r="AT67" s="695"/>
      <c r="AU67" s="696"/>
      <c r="AV67" s="118"/>
      <c r="AW67" s="118"/>
      <c r="AX67" s="118">
        <v>13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6833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-777</v>
      </c>
      <c r="AT69" s="697"/>
      <c r="AU69" s="698"/>
      <c r="AV69" s="136"/>
      <c r="AW69" s="136"/>
      <c r="AX69" s="136">
        <v>-23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131817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100304</v>
      </c>
      <c r="AM73" s="146"/>
      <c r="AN73" s="143"/>
      <c r="AO73" s="135">
        <v>0</v>
      </c>
      <c r="AP73" s="143"/>
      <c r="AQ73" s="144"/>
      <c r="AR73" s="144"/>
      <c r="AS73" s="143">
        <v>5615</v>
      </c>
      <c r="AT73" s="697"/>
      <c r="AU73" s="698"/>
      <c r="AV73" s="701"/>
      <c r="AW73" s="701"/>
      <c r="AX73" s="701">
        <v>-82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1747152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857088</v>
      </c>
      <c r="AM74" s="146"/>
      <c r="AN74" s="143"/>
      <c r="AO74" s="135">
        <v>0</v>
      </c>
      <c r="AP74" s="143"/>
      <c r="AQ74" s="144"/>
      <c r="AR74" s="144"/>
      <c r="AS74" s="143">
        <v>75793</v>
      </c>
      <c r="AT74" s="697"/>
      <c r="AU74" s="698"/>
      <c r="AV74" s="701"/>
      <c r="AW74" s="701"/>
      <c r="AX74" s="701">
        <v>137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23605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35721</v>
      </c>
      <c r="AM75" s="146"/>
      <c r="AN75" s="143"/>
      <c r="AO75" s="135">
        <v>0</v>
      </c>
      <c r="AP75" s="143"/>
      <c r="AQ75" s="144"/>
      <c r="AR75" s="144"/>
      <c r="AS75" s="143">
        <v>5001</v>
      </c>
      <c r="AT75" s="1172"/>
      <c r="AU75" s="1173"/>
      <c r="AV75" s="1174"/>
      <c r="AW75" s="1174"/>
      <c r="AX75" s="1174">
        <v>61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488</v>
      </c>
      <c r="D76" s="914">
        <v>4268.9653302959669</v>
      </c>
      <c r="E76" s="915">
        <v>2306001.771569679</v>
      </c>
      <c r="F76" s="916">
        <v>467</v>
      </c>
      <c r="G76" s="917">
        <v>570.35224473434255</v>
      </c>
      <c r="H76" s="918">
        <v>282043.23421623913</v>
      </c>
      <c r="I76" s="1109">
        <v>44</v>
      </c>
      <c r="J76" s="917">
        <v>158.37628411149953</v>
      </c>
      <c r="K76" s="918">
        <v>7661.1312906498151</v>
      </c>
      <c r="L76" s="916">
        <v>52</v>
      </c>
      <c r="M76" s="917">
        <v>3936.5780458287281</v>
      </c>
      <c r="N76" s="918">
        <v>216697.53717824406</v>
      </c>
      <c r="O76" s="916">
        <v>0</v>
      </c>
      <c r="P76" s="917">
        <v>1527.9418817790604</v>
      </c>
      <c r="Q76" s="918">
        <v>0</v>
      </c>
      <c r="R76" s="919">
        <v>2812403</v>
      </c>
      <c r="S76" s="917">
        <v>121039</v>
      </c>
      <c r="T76" s="917">
        <v>-31870</v>
      </c>
      <c r="U76" s="920">
        <v>89169</v>
      </c>
      <c r="V76" s="919">
        <v>2901572</v>
      </c>
      <c r="W76" s="918">
        <v>-7253</v>
      </c>
      <c r="X76" s="919">
        <v>2894319</v>
      </c>
      <c r="Y76" s="918">
        <v>0</v>
      </c>
      <c r="Z76" s="919">
        <v>2894319</v>
      </c>
      <c r="AA76" s="917">
        <v>1907864</v>
      </c>
      <c r="AB76" s="917">
        <v>986455</v>
      </c>
      <c r="AC76" s="919">
        <v>246615</v>
      </c>
      <c r="AD76" s="921">
        <v>2894319</v>
      </c>
      <c r="AE76" s="917">
        <v>5688</v>
      </c>
      <c r="AF76" s="922">
        <v>2617945</v>
      </c>
      <c r="AG76" s="916">
        <v>37</v>
      </c>
      <c r="AH76" s="917">
        <v>258656</v>
      </c>
      <c r="AI76" s="916">
        <v>-7</v>
      </c>
      <c r="AJ76" s="917">
        <v>-10607</v>
      </c>
      <c r="AK76" s="920">
        <v>248049</v>
      </c>
      <c r="AL76" s="922">
        <v>2865994</v>
      </c>
      <c r="AM76" s="917">
        <v>-7165</v>
      </c>
      <c r="AN76" s="922">
        <v>2858829</v>
      </c>
      <c r="AO76" s="917">
        <v>0</v>
      </c>
      <c r="AP76" s="922">
        <v>2858829</v>
      </c>
      <c r="AQ76" s="917">
        <v>1768036</v>
      </c>
      <c r="AR76" s="917">
        <v>1090793</v>
      </c>
      <c r="AS76" s="922">
        <v>272698</v>
      </c>
      <c r="AT76" s="1176">
        <v>5753148</v>
      </c>
      <c r="AU76" s="1177">
        <v>519313</v>
      </c>
      <c r="AV76" s="917">
        <v>7165</v>
      </c>
      <c r="AW76" s="917">
        <v>6137</v>
      </c>
      <c r="AX76" s="917">
        <v>1028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62084</v>
      </c>
      <c r="S77" s="860"/>
      <c r="T77" s="860"/>
      <c r="U77" s="860"/>
      <c r="V77" s="861">
        <v>62084</v>
      </c>
      <c r="W77" s="910">
        <v>-155</v>
      </c>
      <c r="X77" s="861">
        <v>61929</v>
      </c>
      <c r="Y77" s="860"/>
      <c r="Z77" s="861">
        <v>61929</v>
      </c>
      <c r="AA77" s="860">
        <v>43140</v>
      </c>
      <c r="AB77" s="860">
        <v>18789</v>
      </c>
      <c r="AC77" s="861">
        <v>4697</v>
      </c>
      <c r="AD77" s="912">
        <v>61929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61929</v>
      </c>
      <c r="AU77" s="1175">
        <v>4697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7316</v>
      </c>
      <c r="AA83" s="155">
        <v>4878</v>
      </c>
      <c r="AB83" s="709">
        <v>2438</v>
      </c>
      <c r="AC83" s="156">
        <v>610</v>
      </c>
      <c r="AD83" s="156">
        <v>7316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7316</v>
      </c>
      <c r="AU83" s="710">
        <v>610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488</v>
      </c>
      <c r="D84" s="914">
        <v>4268.9653302959669</v>
      </c>
      <c r="E84" s="915">
        <v>2306001.771569679</v>
      </c>
      <c r="F84" s="916">
        <v>467</v>
      </c>
      <c r="G84" s="917">
        <v>570.35224473434255</v>
      </c>
      <c r="H84" s="918">
        <v>282043.23421623913</v>
      </c>
      <c r="I84" s="1109">
        <v>44</v>
      </c>
      <c r="J84" s="917">
        <v>158.37628411149953</v>
      </c>
      <c r="K84" s="918">
        <v>7661.1312906498151</v>
      </c>
      <c r="L84" s="916">
        <v>52</v>
      </c>
      <c r="M84" s="917">
        <v>3936.5780458287281</v>
      </c>
      <c r="N84" s="918">
        <v>216697.53717824406</v>
      </c>
      <c r="O84" s="916">
        <v>0</v>
      </c>
      <c r="P84" s="917">
        <v>1527.9418817790604</v>
      </c>
      <c r="Q84" s="918">
        <v>0</v>
      </c>
      <c r="R84" s="919">
        <v>2874487</v>
      </c>
      <c r="S84" s="917">
        <v>121039</v>
      </c>
      <c r="T84" s="917">
        <v>-31870</v>
      </c>
      <c r="U84" s="920">
        <v>89169</v>
      </c>
      <c r="V84" s="919">
        <v>2963656</v>
      </c>
      <c r="W84" s="918">
        <v>-7408</v>
      </c>
      <c r="X84" s="919">
        <v>2956248</v>
      </c>
      <c r="Y84" s="918">
        <v>0</v>
      </c>
      <c r="Z84" s="919">
        <v>2963564</v>
      </c>
      <c r="AA84" s="917">
        <v>1955882</v>
      </c>
      <c r="AB84" s="917">
        <v>1007682</v>
      </c>
      <c r="AC84" s="919">
        <v>251922</v>
      </c>
      <c r="AD84" s="921">
        <v>2963564</v>
      </c>
      <c r="AE84" s="917">
        <v>5688</v>
      </c>
      <c r="AF84" s="922">
        <v>2617945</v>
      </c>
      <c r="AG84" s="916">
        <v>37</v>
      </c>
      <c r="AH84" s="917">
        <v>258656</v>
      </c>
      <c r="AI84" s="916">
        <v>-7</v>
      </c>
      <c r="AJ84" s="917">
        <v>-10607</v>
      </c>
      <c r="AK84" s="920">
        <v>248049</v>
      </c>
      <c r="AL84" s="922">
        <v>2865994</v>
      </c>
      <c r="AM84" s="917">
        <v>-7165</v>
      </c>
      <c r="AN84" s="922">
        <v>2858829</v>
      </c>
      <c r="AO84" s="917">
        <v>0</v>
      </c>
      <c r="AP84" s="922">
        <v>2858829</v>
      </c>
      <c r="AQ84" s="917">
        <v>1768036</v>
      </c>
      <c r="AR84" s="917">
        <v>1090793</v>
      </c>
      <c r="AS84" s="922">
        <v>272698</v>
      </c>
      <c r="AT84" s="702">
        <v>5822393</v>
      </c>
      <c r="AU84" s="702">
        <v>524620</v>
      </c>
      <c r="AV84" s="917">
        <v>7165</v>
      </c>
      <c r="AW84" s="917">
        <v>6137</v>
      </c>
      <c r="AX84" s="917">
        <v>1028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442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64826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129792</v>
      </c>
      <c r="AM9" s="146"/>
      <c r="AN9" s="143"/>
      <c r="AO9" s="135">
        <v>0</v>
      </c>
      <c r="AP9" s="143"/>
      <c r="AQ9" s="144"/>
      <c r="AR9" s="144"/>
      <c r="AS9" s="143">
        <v>14200</v>
      </c>
      <c r="AT9" s="697"/>
      <c r="AU9" s="698"/>
      <c r="AV9" s="136"/>
      <c r="AW9" s="136"/>
      <c r="AX9" s="136">
        <v>94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30880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42678</v>
      </c>
      <c r="AM10" s="146"/>
      <c r="AN10" s="143"/>
      <c r="AO10" s="135">
        <v>0</v>
      </c>
      <c r="AP10" s="143"/>
      <c r="AQ10" s="144"/>
      <c r="AR10" s="144"/>
      <c r="AS10" s="143">
        <v>4759</v>
      </c>
      <c r="AT10" s="697"/>
      <c r="AU10" s="698"/>
      <c r="AV10" s="136"/>
      <c r="AW10" s="136"/>
      <c r="AX10" s="136">
        <v>37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7135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11361</v>
      </c>
      <c r="AM16" s="161"/>
      <c r="AN16" s="158"/>
      <c r="AO16" s="149">
        <v>0</v>
      </c>
      <c r="AP16" s="158"/>
      <c r="AQ16" s="159"/>
      <c r="AR16" s="159"/>
      <c r="AS16" s="158">
        <v>994</v>
      </c>
      <c r="AT16" s="699"/>
      <c r="AU16" s="700"/>
      <c r="AV16" s="150"/>
      <c r="AW16" s="150"/>
      <c r="AX16" s="150">
        <v>11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3949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240219</v>
      </c>
      <c r="AM23" s="146"/>
      <c r="AN23" s="143"/>
      <c r="AO23" s="135">
        <v>0</v>
      </c>
      <c r="AP23" s="143"/>
      <c r="AQ23" s="144"/>
      <c r="AR23" s="144"/>
      <c r="AS23" s="143">
        <v>44451</v>
      </c>
      <c r="AT23" s="697"/>
      <c r="AU23" s="698"/>
      <c r="AV23" s="136"/>
      <c r="AW23" s="136"/>
      <c r="AX23" s="136">
        <v>582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589006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2708622</v>
      </c>
      <c r="AM30" s="146"/>
      <c r="AN30" s="143"/>
      <c r="AO30" s="135">
        <v>0</v>
      </c>
      <c r="AP30" s="143"/>
      <c r="AQ30" s="144"/>
      <c r="AR30" s="144"/>
      <c r="AS30" s="143">
        <v>209696</v>
      </c>
      <c r="AT30" s="697"/>
      <c r="AU30" s="698"/>
      <c r="AV30" s="136"/>
      <c r="AW30" s="136"/>
      <c r="AX30" s="136">
        <v>-444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31172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45375</v>
      </c>
      <c r="AM32" s="127"/>
      <c r="AN32" s="124"/>
      <c r="AO32" s="117">
        <v>0</v>
      </c>
      <c r="AP32" s="124"/>
      <c r="AQ32" s="125"/>
      <c r="AR32" s="125"/>
      <c r="AS32" s="124">
        <v>4855</v>
      </c>
      <c r="AT32" s="695"/>
      <c r="AU32" s="696"/>
      <c r="AV32" s="118"/>
      <c r="AW32" s="118"/>
      <c r="AX32" s="118">
        <v>9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51336</v>
      </c>
      <c r="AM34" s="146"/>
      <c r="AN34" s="143"/>
      <c r="AO34" s="135">
        <v>0</v>
      </c>
      <c r="AP34" s="143"/>
      <c r="AQ34" s="144"/>
      <c r="AR34" s="144"/>
      <c r="AS34" s="143">
        <v>8534</v>
      </c>
      <c r="AT34" s="697"/>
      <c r="AU34" s="698"/>
      <c r="AV34" s="136"/>
      <c r="AW34" s="136"/>
      <c r="AX34" s="136">
        <v>128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308333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367438</v>
      </c>
      <c r="AM35" s="146"/>
      <c r="AN35" s="143"/>
      <c r="AO35" s="135">
        <v>0</v>
      </c>
      <c r="AP35" s="143"/>
      <c r="AQ35" s="144"/>
      <c r="AR35" s="144"/>
      <c r="AS35" s="143">
        <v>36056</v>
      </c>
      <c r="AT35" s="697"/>
      <c r="AU35" s="698"/>
      <c r="AV35" s="136"/>
      <c r="AW35" s="136"/>
      <c r="AX35" s="136">
        <v>185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6045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11396</v>
      </c>
      <c r="AM38" s="146"/>
      <c r="AN38" s="143"/>
      <c r="AO38" s="135">
        <v>0</v>
      </c>
      <c r="AP38" s="143"/>
      <c r="AQ38" s="144"/>
      <c r="AR38" s="144"/>
      <c r="AS38" s="143">
        <v>1672</v>
      </c>
      <c r="AT38" s="697"/>
      <c r="AU38" s="698"/>
      <c r="AV38" s="136"/>
      <c r="AW38" s="136"/>
      <c r="AX38" s="136">
        <v>21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14300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26384</v>
      </c>
      <c r="AM42" s="127"/>
      <c r="AN42" s="124"/>
      <c r="AO42" s="117">
        <v>0</v>
      </c>
      <c r="AP42" s="124"/>
      <c r="AQ42" s="125"/>
      <c r="AR42" s="125"/>
      <c r="AS42" s="124">
        <v>2208</v>
      </c>
      <c r="AT42" s="695"/>
      <c r="AU42" s="696"/>
      <c r="AV42" s="118"/>
      <c r="AW42" s="118"/>
      <c r="AX42" s="118">
        <v>1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60040</v>
      </c>
      <c r="AM51" s="161"/>
      <c r="AN51" s="158"/>
      <c r="AO51" s="149">
        <v>0</v>
      </c>
      <c r="AP51" s="158"/>
      <c r="AQ51" s="159"/>
      <c r="AR51" s="159"/>
      <c r="AS51" s="158">
        <v>9982</v>
      </c>
      <c r="AT51" s="699"/>
      <c r="AU51" s="700"/>
      <c r="AV51" s="150"/>
      <c r="AW51" s="150"/>
      <c r="AX51" s="150">
        <v>150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2432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-1327</v>
      </c>
      <c r="AT53" s="697"/>
      <c r="AU53" s="698"/>
      <c r="AV53" s="136"/>
      <c r="AW53" s="136"/>
      <c r="AX53" s="136">
        <v>-40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3966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17538</v>
      </c>
      <c r="AM54" s="146"/>
      <c r="AN54" s="143"/>
      <c r="AO54" s="135">
        <v>0</v>
      </c>
      <c r="AP54" s="143"/>
      <c r="AQ54" s="144"/>
      <c r="AR54" s="144"/>
      <c r="AS54" s="143">
        <v>2706</v>
      </c>
      <c r="AT54" s="697"/>
      <c r="AU54" s="698"/>
      <c r="AV54" s="136"/>
      <c r="AW54" s="136"/>
      <c r="AX54" s="136">
        <v>27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8880</v>
      </c>
      <c r="AM55" s="146"/>
      <c r="AN55" s="143"/>
      <c r="AO55" s="135">
        <v>0</v>
      </c>
      <c r="AP55" s="143"/>
      <c r="AQ55" s="144"/>
      <c r="AR55" s="144"/>
      <c r="AS55" s="143">
        <v>1723</v>
      </c>
      <c r="AT55" s="697"/>
      <c r="AU55" s="698"/>
      <c r="AV55" s="136"/>
      <c r="AW55" s="136"/>
      <c r="AX55" s="136">
        <v>22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161826</v>
      </c>
      <c r="AM56" s="161"/>
      <c r="AN56" s="158"/>
      <c r="AO56" s="149">
        <v>0</v>
      </c>
      <c r="AP56" s="158"/>
      <c r="AQ56" s="159"/>
      <c r="AR56" s="159"/>
      <c r="AS56" s="158">
        <v>26263</v>
      </c>
      <c r="AT56" s="699"/>
      <c r="AU56" s="700"/>
      <c r="AV56" s="150"/>
      <c r="AW56" s="150"/>
      <c r="AX56" s="150">
        <v>405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44172</v>
      </c>
      <c r="AM57" s="127"/>
      <c r="AN57" s="124"/>
      <c r="AO57" s="117">
        <v>0</v>
      </c>
      <c r="AP57" s="124"/>
      <c r="AQ57" s="125"/>
      <c r="AR57" s="125"/>
      <c r="AS57" s="124">
        <v>7752</v>
      </c>
      <c r="AT57" s="695"/>
      <c r="AU57" s="696"/>
      <c r="AV57" s="118"/>
      <c r="AW57" s="118"/>
      <c r="AX57" s="118">
        <v>110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9740</v>
      </c>
      <c r="AM58" s="146"/>
      <c r="AN58" s="143"/>
      <c r="AO58" s="135">
        <v>0</v>
      </c>
      <c r="AP58" s="143"/>
      <c r="AQ58" s="144"/>
      <c r="AR58" s="144"/>
      <c r="AS58" s="143">
        <v>1889</v>
      </c>
      <c r="AT58" s="697"/>
      <c r="AU58" s="698"/>
      <c r="AV58" s="136"/>
      <c r="AW58" s="136"/>
      <c r="AX58" s="136">
        <v>24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5704</v>
      </c>
      <c r="AM59" s="146"/>
      <c r="AN59" s="143"/>
      <c r="AO59" s="135">
        <v>0</v>
      </c>
      <c r="AP59" s="143"/>
      <c r="AQ59" s="144"/>
      <c r="AR59" s="144"/>
      <c r="AS59" s="143">
        <v>949</v>
      </c>
      <c r="AT59" s="697"/>
      <c r="AU59" s="698"/>
      <c r="AV59" s="136"/>
      <c r="AW59" s="136"/>
      <c r="AX59" s="136">
        <v>14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308873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331840</v>
      </c>
      <c r="AM61" s="161"/>
      <c r="AN61" s="158"/>
      <c r="AO61" s="149">
        <v>0</v>
      </c>
      <c r="AP61" s="158"/>
      <c r="AQ61" s="159"/>
      <c r="AR61" s="159"/>
      <c r="AS61" s="158">
        <v>38064</v>
      </c>
      <c r="AT61" s="699"/>
      <c r="AU61" s="700"/>
      <c r="AV61" s="150"/>
      <c r="AW61" s="150"/>
      <c r="AX61" s="150">
        <v>316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143613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557773</v>
      </c>
      <c r="AM67" s="127"/>
      <c r="AN67" s="124"/>
      <c r="AO67" s="117">
        <v>0</v>
      </c>
      <c r="AP67" s="124"/>
      <c r="AQ67" s="125"/>
      <c r="AR67" s="125"/>
      <c r="AS67" s="124">
        <v>66965</v>
      </c>
      <c r="AT67" s="695"/>
      <c r="AU67" s="696"/>
      <c r="AV67" s="118"/>
      <c r="AW67" s="118"/>
      <c r="AX67" s="118">
        <v>605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396</v>
      </c>
      <c r="D76" s="914">
        <v>4268.9653302959669</v>
      </c>
      <c r="E76" s="915">
        <v>1297315.5191994694</v>
      </c>
      <c r="F76" s="916">
        <v>259</v>
      </c>
      <c r="G76" s="917">
        <v>570.35224473434255</v>
      </c>
      <c r="H76" s="918">
        <v>87604.86793100572</v>
      </c>
      <c r="I76" s="1109">
        <v>66</v>
      </c>
      <c r="J76" s="917">
        <v>158.37628411149953</v>
      </c>
      <c r="K76" s="918">
        <v>5574.5690655471926</v>
      </c>
      <c r="L76" s="916">
        <v>49</v>
      </c>
      <c r="M76" s="917">
        <v>3936.5780458287281</v>
      </c>
      <c r="N76" s="918">
        <v>122914.20815057329</v>
      </c>
      <c r="O76" s="916">
        <v>1</v>
      </c>
      <c r="P76" s="917">
        <v>1527.9418817790604</v>
      </c>
      <c r="Q76" s="918">
        <v>1121.0946677221748</v>
      </c>
      <c r="R76" s="919">
        <v>1514530</v>
      </c>
      <c r="S76" s="917">
        <v>581644</v>
      </c>
      <c r="T76" s="917">
        <v>36228</v>
      </c>
      <c r="U76" s="920">
        <v>617872</v>
      </c>
      <c r="V76" s="919">
        <v>2132402</v>
      </c>
      <c r="W76" s="918">
        <v>-5332</v>
      </c>
      <c r="X76" s="919">
        <v>2127070</v>
      </c>
      <c r="Y76" s="918">
        <v>0</v>
      </c>
      <c r="Z76" s="919">
        <v>2127070</v>
      </c>
      <c r="AA76" s="917">
        <v>1200566</v>
      </c>
      <c r="AB76" s="917">
        <v>926504</v>
      </c>
      <c r="AC76" s="919">
        <v>231630</v>
      </c>
      <c r="AD76" s="921">
        <v>2127070</v>
      </c>
      <c r="AE76" s="917">
        <v>5688</v>
      </c>
      <c r="AF76" s="922">
        <v>4450718</v>
      </c>
      <c r="AG76" s="916">
        <v>113</v>
      </c>
      <c r="AH76" s="917">
        <v>317699</v>
      </c>
      <c r="AI76" s="916">
        <v>17</v>
      </c>
      <c r="AJ76" s="917">
        <v>63697</v>
      </c>
      <c r="AK76" s="920">
        <v>381396</v>
      </c>
      <c r="AL76" s="922">
        <v>4832114</v>
      </c>
      <c r="AM76" s="917">
        <v>-12079</v>
      </c>
      <c r="AN76" s="922">
        <v>4820035</v>
      </c>
      <c r="AO76" s="917">
        <v>0</v>
      </c>
      <c r="AP76" s="922">
        <v>4820035</v>
      </c>
      <c r="AQ76" s="917">
        <v>2890492</v>
      </c>
      <c r="AR76" s="917">
        <v>1929543</v>
      </c>
      <c r="AS76" s="922">
        <v>482391</v>
      </c>
      <c r="AT76" s="1176">
        <v>6947105</v>
      </c>
      <c r="AU76" s="1177">
        <v>714021</v>
      </c>
      <c r="AV76" s="917">
        <v>12079</v>
      </c>
      <c r="AW76" s="917">
        <v>9822</v>
      </c>
      <c r="AX76" s="917">
        <v>2257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24295</v>
      </c>
      <c r="S77" s="860"/>
      <c r="T77" s="860"/>
      <c r="U77" s="860"/>
      <c r="V77" s="861">
        <v>24295</v>
      </c>
      <c r="W77" s="910">
        <v>-61</v>
      </c>
      <c r="X77" s="861">
        <v>24234</v>
      </c>
      <c r="Y77" s="860"/>
      <c r="Z77" s="861">
        <v>24234</v>
      </c>
      <c r="AA77" s="860">
        <v>20510</v>
      </c>
      <c r="AB77" s="860">
        <v>3724</v>
      </c>
      <c r="AC77" s="861">
        <v>931</v>
      </c>
      <c r="AD77" s="912">
        <v>24234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24234</v>
      </c>
      <c r="AU77" s="1175">
        <v>931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5841</v>
      </c>
      <c r="AA83" s="155">
        <v>3896</v>
      </c>
      <c r="AB83" s="709">
        <v>1945</v>
      </c>
      <c r="AC83" s="156">
        <v>486</v>
      </c>
      <c r="AD83" s="156">
        <v>5841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5841</v>
      </c>
      <c r="AU83" s="710">
        <v>486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396</v>
      </c>
      <c r="D84" s="914">
        <v>4268.9653302959669</v>
      </c>
      <c r="E84" s="915">
        <v>1297315.5191994694</v>
      </c>
      <c r="F84" s="916">
        <v>259</v>
      </c>
      <c r="G84" s="917">
        <v>570.35224473434255</v>
      </c>
      <c r="H84" s="918">
        <v>87604.86793100572</v>
      </c>
      <c r="I84" s="1109">
        <v>66</v>
      </c>
      <c r="J84" s="917">
        <v>158.37628411149953</v>
      </c>
      <c r="K84" s="918">
        <v>5574.5690655471926</v>
      </c>
      <c r="L84" s="916">
        <v>49</v>
      </c>
      <c r="M84" s="917">
        <v>3936.5780458287281</v>
      </c>
      <c r="N84" s="918">
        <v>122914.20815057329</v>
      </c>
      <c r="O84" s="916">
        <v>1</v>
      </c>
      <c r="P84" s="917">
        <v>1527.9418817790604</v>
      </c>
      <c r="Q84" s="918">
        <v>1121.0946677221748</v>
      </c>
      <c r="R84" s="919">
        <v>1538825</v>
      </c>
      <c r="S84" s="917">
        <v>581644</v>
      </c>
      <c r="T84" s="917">
        <v>36228</v>
      </c>
      <c r="U84" s="920">
        <v>617872</v>
      </c>
      <c r="V84" s="919">
        <v>2156697</v>
      </c>
      <c r="W84" s="918">
        <v>-5393</v>
      </c>
      <c r="X84" s="919">
        <v>2151304</v>
      </c>
      <c r="Y84" s="918">
        <v>0</v>
      </c>
      <c r="Z84" s="919">
        <v>2157145</v>
      </c>
      <c r="AA84" s="917">
        <v>1224972</v>
      </c>
      <c r="AB84" s="917">
        <v>932173</v>
      </c>
      <c r="AC84" s="919">
        <v>233047</v>
      </c>
      <c r="AD84" s="921">
        <v>2157145</v>
      </c>
      <c r="AE84" s="917">
        <v>5688</v>
      </c>
      <c r="AF84" s="922">
        <v>4450718</v>
      </c>
      <c r="AG84" s="916">
        <v>113</v>
      </c>
      <c r="AH84" s="917">
        <v>317699</v>
      </c>
      <c r="AI84" s="916">
        <v>17</v>
      </c>
      <c r="AJ84" s="917">
        <v>63697</v>
      </c>
      <c r="AK84" s="920">
        <v>381396</v>
      </c>
      <c r="AL84" s="922">
        <v>4832114</v>
      </c>
      <c r="AM84" s="917">
        <v>-12079</v>
      </c>
      <c r="AN84" s="922">
        <v>4820035</v>
      </c>
      <c r="AO84" s="917">
        <v>0</v>
      </c>
      <c r="AP84" s="922">
        <v>4820035</v>
      </c>
      <c r="AQ84" s="917">
        <v>2890492</v>
      </c>
      <c r="AR84" s="917">
        <v>1929543</v>
      </c>
      <c r="AS84" s="922">
        <v>482391</v>
      </c>
      <c r="AT84" s="702">
        <v>6977180</v>
      </c>
      <c r="AU84" s="702">
        <v>715438</v>
      </c>
      <c r="AV84" s="917">
        <v>12079</v>
      </c>
      <c r="AW84" s="917">
        <v>9822</v>
      </c>
      <c r="AX84" s="917">
        <v>2257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443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6405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3394</v>
      </c>
      <c r="AM8" s="146"/>
      <c r="AN8" s="143"/>
      <c r="AO8" s="135">
        <v>0</v>
      </c>
      <c r="AP8" s="143"/>
      <c r="AQ8" s="144"/>
      <c r="AR8" s="144"/>
      <c r="AS8" s="143">
        <v>280</v>
      </c>
      <c r="AT8" s="697"/>
      <c r="AU8" s="698"/>
      <c r="AV8" s="136"/>
      <c r="AW8" s="136"/>
      <c r="AX8" s="136">
        <v>-1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2101488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3980137</v>
      </c>
      <c r="AM16" s="161"/>
      <c r="AN16" s="158"/>
      <c r="AO16" s="149">
        <v>-3906</v>
      </c>
      <c r="AP16" s="158"/>
      <c r="AQ16" s="159"/>
      <c r="AR16" s="159"/>
      <c r="AS16" s="158">
        <v>361199</v>
      </c>
      <c r="AT16" s="699"/>
      <c r="AU16" s="700"/>
      <c r="AV16" s="150"/>
      <c r="AW16" s="150"/>
      <c r="AX16" s="150">
        <v>1350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494</v>
      </c>
      <c r="D76" s="914">
        <v>4268.9653302959669</v>
      </c>
      <c r="E76" s="915">
        <v>1672315.9376848289</v>
      </c>
      <c r="F76" s="916">
        <v>359</v>
      </c>
      <c r="G76" s="917">
        <v>570.35224473434255</v>
      </c>
      <c r="H76" s="918">
        <v>172390.72837194402</v>
      </c>
      <c r="I76" s="1109">
        <v>733</v>
      </c>
      <c r="J76" s="917">
        <v>158.37628411149953</v>
      </c>
      <c r="K76" s="918">
        <v>96208.667169909197</v>
      </c>
      <c r="L76" s="916">
        <v>51</v>
      </c>
      <c r="M76" s="917">
        <v>3936.5780458287281</v>
      </c>
      <c r="N76" s="918">
        <v>166977.59838508122</v>
      </c>
      <c r="O76" s="916">
        <v>0</v>
      </c>
      <c r="P76" s="917">
        <v>1527.9418817790604</v>
      </c>
      <c r="Q76" s="918">
        <v>0</v>
      </c>
      <c r="R76" s="919">
        <v>2107893</v>
      </c>
      <c r="S76" s="917">
        <v>271831</v>
      </c>
      <c r="T76" s="917">
        <v>-85422</v>
      </c>
      <c r="U76" s="920">
        <v>186409</v>
      </c>
      <c r="V76" s="919">
        <v>2294302</v>
      </c>
      <c r="W76" s="918">
        <v>-5736</v>
      </c>
      <c r="X76" s="919">
        <v>2288566</v>
      </c>
      <c r="Y76" s="918">
        <v>-1968</v>
      </c>
      <c r="Z76" s="919">
        <v>2286598</v>
      </c>
      <c r="AA76" s="917">
        <v>1490818</v>
      </c>
      <c r="AB76" s="917">
        <v>795780</v>
      </c>
      <c r="AC76" s="919">
        <v>198945</v>
      </c>
      <c r="AD76" s="921">
        <v>2286598</v>
      </c>
      <c r="AE76" s="917">
        <v>5688</v>
      </c>
      <c r="AF76" s="922">
        <v>3737376</v>
      </c>
      <c r="AG76" s="916">
        <v>55</v>
      </c>
      <c r="AH76" s="917">
        <v>416570</v>
      </c>
      <c r="AI76" s="916">
        <v>-45</v>
      </c>
      <c r="AJ76" s="917">
        <v>-170415</v>
      </c>
      <c r="AK76" s="920">
        <v>246155</v>
      </c>
      <c r="AL76" s="922">
        <v>3983531</v>
      </c>
      <c r="AM76" s="917">
        <v>-9958</v>
      </c>
      <c r="AN76" s="922">
        <v>3973573</v>
      </c>
      <c r="AO76" s="917">
        <v>-3906</v>
      </c>
      <c r="AP76" s="922">
        <v>3969667</v>
      </c>
      <c r="AQ76" s="917">
        <v>2523754</v>
      </c>
      <c r="AR76" s="917">
        <v>1445913</v>
      </c>
      <c r="AS76" s="922">
        <v>361479</v>
      </c>
      <c r="AT76" s="1176">
        <v>6256265</v>
      </c>
      <c r="AU76" s="1177">
        <v>560424</v>
      </c>
      <c r="AV76" s="917">
        <v>9958</v>
      </c>
      <c r="AW76" s="917">
        <v>8609</v>
      </c>
      <c r="AX76" s="917">
        <v>1349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51200</v>
      </c>
      <c r="S77" s="860"/>
      <c r="T77" s="860"/>
      <c r="U77" s="860"/>
      <c r="V77" s="861">
        <v>51200</v>
      </c>
      <c r="W77" s="910">
        <v>-128</v>
      </c>
      <c r="X77" s="861">
        <v>51072</v>
      </c>
      <c r="Y77" s="860"/>
      <c r="Z77" s="861">
        <v>51072</v>
      </c>
      <c r="AA77" s="860">
        <v>36976</v>
      </c>
      <c r="AB77" s="860">
        <v>14096</v>
      </c>
      <c r="AC77" s="861">
        <v>3524</v>
      </c>
      <c r="AD77" s="912">
        <v>51072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51072</v>
      </c>
      <c r="AU77" s="1175">
        <v>3524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42898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29146</v>
      </c>
      <c r="AA83" s="155">
        <v>19432</v>
      </c>
      <c r="AB83" s="709">
        <v>9714</v>
      </c>
      <c r="AC83" s="156">
        <v>2429</v>
      </c>
      <c r="AD83" s="156">
        <v>29146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29146</v>
      </c>
      <c r="AU83" s="710">
        <v>2429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494</v>
      </c>
      <c r="D84" s="914">
        <v>4268.9653302959669</v>
      </c>
      <c r="E84" s="915">
        <v>1672315.9376848289</v>
      </c>
      <c r="F84" s="916">
        <v>359</v>
      </c>
      <c r="G84" s="917">
        <v>570.35224473434255</v>
      </c>
      <c r="H84" s="918">
        <v>172390.72837194402</v>
      </c>
      <c r="I84" s="1109">
        <v>733</v>
      </c>
      <c r="J84" s="917">
        <v>158.37628411149953</v>
      </c>
      <c r="K84" s="918">
        <v>96208.667169909197</v>
      </c>
      <c r="L84" s="916">
        <v>51</v>
      </c>
      <c r="M84" s="917">
        <v>3936.5780458287281</v>
      </c>
      <c r="N84" s="918">
        <v>166977.59838508122</v>
      </c>
      <c r="O84" s="916">
        <v>0</v>
      </c>
      <c r="P84" s="917">
        <v>1527.9418817790604</v>
      </c>
      <c r="Q84" s="918">
        <v>0</v>
      </c>
      <c r="R84" s="919">
        <v>2159093</v>
      </c>
      <c r="S84" s="917">
        <v>271831</v>
      </c>
      <c r="T84" s="917">
        <v>-85422</v>
      </c>
      <c r="U84" s="920">
        <v>186409</v>
      </c>
      <c r="V84" s="919">
        <v>2345502</v>
      </c>
      <c r="W84" s="918">
        <v>-5864</v>
      </c>
      <c r="X84" s="919">
        <v>2339638</v>
      </c>
      <c r="Y84" s="918">
        <v>-1968</v>
      </c>
      <c r="Z84" s="919">
        <v>2366816</v>
      </c>
      <c r="AA84" s="917">
        <v>1547226</v>
      </c>
      <c r="AB84" s="917">
        <v>819590</v>
      </c>
      <c r="AC84" s="919">
        <v>204898</v>
      </c>
      <c r="AD84" s="921">
        <v>2409714</v>
      </c>
      <c r="AE84" s="917">
        <v>5688</v>
      </c>
      <c r="AF84" s="922">
        <v>3737376</v>
      </c>
      <c r="AG84" s="916">
        <v>55</v>
      </c>
      <c r="AH84" s="917">
        <v>416570</v>
      </c>
      <c r="AI84" s="916">
        <v>-45</v>
      </c>
      <c r="AJ84" s="917">
        <v>-170415</v>
      </c>
      <c r="AK84" s="920">
        <v>246155</v>
      </c>
      <c r="AL84" s="922">
        <v>3983531</v>
      </c>
      <c r="AM84" s="917">
        <v>-9958</v>
      </c>
      <c r="AN84" s="922">
        <v>3973573</v>
      </c>
      <c r="AO84" s="917">
        <v>-3906</v>
      </c>
      <c r="AP84" s="922">
        <v>3969667</v>
      </c>
      <c r="AQ84" s="917">
        <v>2523754</v>
      </c>
      <c r="AR84" s="917">
        <v>1445913</v>
      </c>
      <c r="AS84" s="922">
        <v>361479</v>
      </c>
      <c r="AT84" s="702">
        <v>6336483</v>
      </c>
      <c r="AU84" s="702">
        <v>566377</v>
      </c>
      <c r="AV84" s="917">
        <v>9958</v>
      </c>
      <c r="AW84" s="917">
        <v>8609</v>
      </c>
      <c r="AX84" s="917">
        <v>1349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6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W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6" customWidth="1"/>
    <col min="2" max="2" width="19.5703125" style="6" customWidth="1"/>
    <col min="3" max="3" width="14.85546875" style="6" customWidth="1"/>
    <col min="4" max="37" width="14" style="6" customWidth="1"/>
    <col min="38" max="39" width="15.85546875" style="6" customWidth="1"/>
    <col min="40" max="40" width="14.85546875" style="6" bestFit="1" customWidth="1"/>
    <col min="41" max="41" width="13.5703125" style="6" customWidth="1"/>
    <col min="42" max="47" width="14.140625" style="6" customWidth="1"/>
    <col min="48" max="68" width="14.42578125" style="6" customWidth="1"/>
    <col min="69" max="75" width="16.140625" style="6" customWidth="1"/>
    <col min="76" max="16384" width="8.85546875" style="6"/>
  </cols>
  <sheetData>
    <row r="1" spans="1:75" s="19" customFormat="1" ht="23.25" customHeight="1" x14ac:dyDescent="0.2">
      <c r="A1" s="1286" t="s">
        <v>79</v>
      </c>
      <c r="B1" s="1286"/>
      <c r="C1" s="1294" t="s">
        <v>449</v>
      </c>
      <c r="D1" s="1289" t="s">
        <v>409</v>
      </c>
      <c r="E1" s="1289"/>
      <c r="F1" s="1289"/>
      <c r="G1" s="1289"/>
      <c r="H1" s="1289"/>
      <c r="I1" s="1290"/>
      <c r="J1" s="1287" t="s">
        <v>409</v>
      </c>
      <c r="K1" s="1287"/>
      <c r="L1" s="1287"/>
      <c r="M1" s="1287"/>
      <c r="N1" s="1287"/>
      <c r="O1" s="1287"/>
      <c r="P1" s="1287"/>
      <c r="Q1" s="1287"/>
      <c r="R1" s="1287" t="s">
        <v>409</v>
      </c>
      <c r="S1" s="1287"/>
      <c r="T1" s="1287"/>
      <c r="U1" s="1287"/>
      <c r="V1" s="1287"/>
      <c r="W1" s="1287"/>
      <c r="X1" s="1287"/>
      <c r="Y1" s="1287"/>
      <c r="Z1" s="1287" t="s">
        <v>409</v>
      </c>
      <c r="AA1" s="1287"/>
      <c r="AB1" s="1287"/>
      <c r="AC1" s="1287"/>
      <c r="AD1" s="1287"/>
      <c r="AE1" s="1287"/>
      <c r="AF1" s="1287"/>
      <c r="AG1" s="1289" t="s">
        <v>409</v>
      </c>
      <c r="AH1" s="1289"/>
      <c r="AI1" s="1289"/>
      <c r="AJ1" s="1289"/>
      <c r="AK1" s="1289"/>
      <c r="AL1" s="1290"/>
      <c r="AM1" s="1285" t="s">
        <v>408</v>
      </c>
      <c r="AN1" s="1292" t="s">
        <v>1425</v>
      </c>
      <c r="AO1" s="1295" t="s">
        <v>1424</v>
      </c>
      <c r="AP1" s="1296"/>
      <c r="AQ1" s="1296"/>
      <c r="AR1" s="1296"/>
      <c r="AS1" s="1296"/>
      <c r="AT1" s="1296"/>
      <c r="AU1" s="1297"/>
      <c r="AV1" s="1295" t="s">
        <v>1424</v>
      </c>
      <c r="AW1" s="1296"/>
      <c r="AX1" s="1296"/>
      <c r="AY1" s="1296"/>
      <c r="AZ1" s="1296"/>
      <c r="BA1" s="1296"/>
      <c r="BB1" s="1297"/>
      <c r="BC1" s="1291" t="s">
        <v>1424</v>
      </c>
      <c r="BD1" s="1291"/>
      <c r="BE1" s="1291"/>
      <c r="BF1" s="1291"/>
      <c r="BG1" s="1291"/>
      <c r="BH1" s="1291"/>
      <c r="BI1" s="1291"/>
      <c r="BJ1" s="1291" t="s">
        <v>1424</v>
      </c>
      <c r="BK1" s="1291"/>
      <c r="BL1" s="1291"/>
      <c r="BM1" s="1291"/>
      <c r="BN1" s="1291"/>
      <c r="BO1" s="1291"/>
      <c r="BP1" s="1291"/>
      <c r="BQ1" s="1291" t="s">
        <v>1424</v>
      </c>
      <c r="BR1" s="1291"/>
      <c r="BS1" s="1291"/>
      <c r="BT1" s="1291"/>
      <c r="BU1" s="1291"/>
      <c r="BV1" s="1288" t="s">
        <v>1423</v>
      </c>
      <c r="BW1" s="1293" t="s">
        <v>1443</v>
      </c>
    </row>
    <row r="2" spans="1:75" ht="93.75" customHeight="1" x14ac:dyDescent="0.2">
      <c r="A2" s="1286"/>
      <c r="B2" s="1286"/>
      <c r="C2" s="1294"/>
      <c r="D2" s="535" t="s">
        <v>406</v>
      </c>
      <c r="E2" s="535" t="s">
        <v>1156</v>
      </c>
      <c r="F2" s="536" t="s">
        <v>1065</v>
      </c>
      <c r="G2" s="536" t="s">
        <v>1066</v>
      </c>
      <c r="H2" s="536" t="s">
        <v>1067</v>
      </c>
      <c r="I2" s="536" t="s">
        <v>1068</v>
      </c>
      <c r="J2" s="536" t="s">
        <v>1069</v>
      </c>
      <c r="K2" s="536" t="s">
        <v>1070</v>
      </c>
      <c r="L2" s="536" t="s">
        <v>1071</v>
      </c>
      <c r="M2" s="536" t="s">
        <v>1072</v>
      </c>
      <c r="N2" s="536" t="s">
        <v>1073</v>
      </c>
      <c r="O2" s="536" t="s">
        <v>1074</v>
      </c>
      <c r="P2" s="536" t="s">
        <v>1075</v>
      </c>
      <c r="Q2" s="536" t="s">
        <v>1076</v>
      </c>
      <c r="R2" s="536" t="s">
        <v>1077</v>
      </c>
      <c r="S2" s="536" t="s">
        <v>1078</v>
      </c>
      <c r="T2" s="536" t="s">
        <v>1079</v>
      </c>
      <c r="U2" s="536" t="s">
        <v>1080</v>
      </c>
      <c r="V2" s="536" t="s">
        <v>1081</v>
      </c>
      <c r="W2" s="536" t="s">
        <v>1082</v>
      </c>
      <c r="X2" s="536" t="s">
        <v>1083</v>
      </c>
      <c r="Y2" s="536" t="s">
        <v>1084</v>
      </c>
      <c r="Z2" s="535" t="s">
        <v>1085</v>
      </c>
      <c r="AA2" s="535" t="s">
        <v>1086</v>
      </c>
      <c r="AB2" s="535" t="s">
        <v>1274</v>
      </c>
      <c r="AC2" s="535" t="s">
        <v>1088</v>
      </c>
      <c r="AD2" s="535" t="s">
        <v>1089</v>
      </c>
      <c r="AE2" s="535" t="s">
        <v>1090</v>
      </c>
      <c r="AF2" s="535" t="s">
        <v>1091</v>
      </c>
      <c r="AG2" s="535" t="s">
        <v>1092</v>
      </c>
      <c r="AH2" s="1000" t="s">
        <v>1206</v>
      </c>
      <c r="AI2" s="1000" t="s">
        <v>1207</v>
      </c>
      <c r="AJ2" s="536" t="s">
        <v>1093</v>
      </c>
      <c r="AK2" s="536" t="s">
        <v>1094</v>
      </c>
      <c r="AL2" s="535" t="s">
        <v>338</v>
      </c>
      <c r="AM2" s="1285"/>
      <c r="AN2" s="1292"/>
      <c r="AO2" s="536" t="s">
        <v>1232</v>
      </c>
      <c r="AP2" s="724" t="s">
        <v>1065</v>
      </c>
      <c r="AQ2" s="724" t="s">
        <v>1066</v>
      </c>
      <c r="AR2" s="724" t="s">
        <v>1067</v>
      </c>
      <c r="AS2" s="724" t="s">
        <v>1068</v>
      </c>
      <c r="AT2" s="724" t="s">
        <v>1069</v>
      </c>
      <c r="AU2" s="724" t="s">
        <v>1070</v>
      </c>
      <c r="AV2" s="724" t="s">
        <v>1071</v>
      </c>
      <c r="AW2" s="724" t="s">
        <v>1072</v>
      </c>
      <c r="AX2" s="724" t="s">
        <v>1073</v>
      </c>
      <c r="AY2" s="724" t="s">
        <v>1074</v>
      </c>
      <c r="AZ2" s="724" t="s">
        <v>1075</v>
      </c>
      <c r="BA2" s="724" t="s">
        <v>1076</v>
      </c>
      <c r="BB2" s="724" t="s">
        <v>1077</v>
      </c>
      <c r="BC2" s="724" t="s">
        <v>1078</v>
      </c>
      <c r="BD2" s="724" t="s">
        <v>1079</v>
      </c>
      <c r="BE2" s="724" t="s">
        <v>1080</v>
      </c>
      <c r="BF2" s="724" t="s">
        <v>1081</v>
      </c>
      <c r="BG2" s="724" t="s">
        <v>1082</v>
      </c>
      <c r="BH2" s="724" t="s">
        <v>1083</v>
      </c>
      <c r="BI2" s="724" t="s">
        <v>1084</v>
      </c>
      <c r="BJ2" s="725" t="s">
        <v>1085</v>
      </c>
      <c r="BK2" s="535" t="s">
        <v>1086</v>
      </c>
      <c r="BL2" s="535" t="s">
        <v>1087</v>
      </c>
      <c r="BM2" s="535" t="s">
        <v>1088</v>
      </c>
      <c r="BN2" s="535" t="s">
        <v>1089</v>
      </c>
      <c r="BO2" s="535" t="s">
        <v>1090</v>
      </c>
      <c r="BP2" s="535" t="s">
        <v>1091</v>
      </c>
      <c r="BQ2" s="535" t="s">
        <v>1092</v>
      </c>
      <c r="BR2" s="1000" t="s">
        <v>1206</v>
      </c>
      <c r="BS2" s="1000" t="s">
        <v>1207</v>
      </c>
      <c r="BT2" s="724" t="s">
        <v>1093</v>
      </c>
      <c r="BU2" s="724" t="s">
        <v>1094</v>
      </c>
      <c r="BV2" s="1288"/>
      <c r="BW2" s="1293"/>
    </row>
    <row r="3" spans="1:75" hidden="1" x14ac:dyDescent="0.2">
      <c r="A3" s="467"/>
      <c r="B3" s="467"/>
      <c r="C3" s="472"/>
      <c r="D3" s="478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478"/>
      <c r="AA3" s="478"/>
      <c r="AB3" s="478"/>
      <c r="AC3" s="478"/>
      <c r="AD3" s="478"/>
      <c r="AE3" s="478"/>
      <c r="AF3" s="535"/>
      <c r="AG3" s="535"/>
      <c r="AH3" s="1000"/>
      <c r="AI3" s="1000"/>
      <c r="AJ3" s="225"/>
      <c r="AK3" s="225"/>
      <c r="AL3" s="478"/>
      <c r="AM3" s="469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1"/>
      <c r="BK3" s="478"/>
      <c r="BL3" s="478"/>
      <c r="BM3" s="478"/>
      <c r="BN3" s="478"/>
      <c r="BO3" s="478"/>
      <c r="BP3" s="535"/>
      <c r="BQ3" s="535"/>
      <c r="BR3" s="1000"/>
      <c r="BS3" s="1000"/>
      <c r="BT3" s="473"/>
      <c r="BU3" s="473"/>
      <c r="BV3" s="473"/>
      <c r="BW3" s="470"/>
    </row>
    <row r="4" spans="1:75" s="14" customFormat="1" ht="13.5" customHeight="1" x14ac:dyDescent="0.2">
      <c r="A4" s="333"/>
      <c r="B4" s="279"/>
      <c r="C4" s="951">
        <v>1</v>
      </c>
      <c r="D4" s="951">
        <f>C4+1</f>
        <v>2</v>
      </c>
      <c r="E4" s="951">
        <f>D4+1</f>
        <v>3</v>
      </c>
      <c r="F4" s="951">
        <f>E4+1</f>
        <v>4</v>
      </c>
      <c r="G4" s="951">
        <f>F4+1</f>
        <v>5</v>
      </c>
      <c r="H4" s="951">
        <f t="shared" ref="H4:AA4" si="0">G4+1</f>
        <v>6</v>
      </c>
      <c r="I4" s="951">
        <f t="shared" si="0"/>
        <v>7</v>
      </c>
      <c r="J4" s="951">
        <f t="shared" si="0"/>
        <v>8</v>
      </c>
      <c r="K4" s="951">
        <f t="shared" si="0"/>
        <v>9</v>
      </c>
      <c r="L4" s="951">
        <f t="shared" si="0"/>
        <v>10</v>
      </c>
      <c r="M4" s="951">
        <f t="shared" si="0"/>
        <v>11</v>
      </c>
      <c r="N4" s="951">
        <f t="shared" si="0"/>
        <v>12</v>
      </c>
      <c r="O4" s="951">
        <f t="shared" si="0"/>
        <v>13</v>
      </c>
      <c r="P4" s="951">
        <f t="shared" si="0"/>
        <v>14</v>
      </c>
      <c r="Q4" s="951">
        <f t="shared" si="0"/>
        <v>15</v>
      </c>
      <c r="R4" s="951">
        <f t="shared" si="0"/>
        <v>16</v>
      </c>
      <c r="S4" s="951">
        <f t="shared" si="0"/>
        <v>17</v>
      </c>
      <c r="T4" s="951">
        <f t="shared" si="0"/>
        <v>18</v>
      </c>
      <c r="U4" s="951">
        <f t="shared" si="0"/>
        <v>19</v>
      </c>
      <c r="V4" s="951">
        <f t="shared" si="0"/>
        <v>20</v>
      </c>
      <c r="W4" s="951">
        <f t="shared" si="0"/>
        <v>21</v>
      </c>
      <c r="X4" s="951">
        <f t="shared" si="0"/>
        <v>22</v>
      </c>
      <c r="Y4" s="951">
        <f t="shared" si="0"/>
        <v>23</v>
      </c>
      <c r="Z4" s="951">
        <f t="shared" si="0"/>
        <v>24</v>
      </c>
      <c r="AA4" s="951">
        <f t="shared" si="0"/>
        <v>25</v>
      </c>
      <c r="AB4" s="951">
        <f t="shared" ref="AB4:BG4" si="1">AA4+1</f>
        <v>26</v>
      </c>
      <c r="AC4" s="951">
        <f t="shared" si="1"/>
        <v>27</v>
      </c>
      <c r="AD4" s="951">
        <f t="shared" si="1"/>
        <v>28</v>
      </c>
      <c r="AE4" s="951">
        <f t="shared" si="1"/>
        <v>29</v>
      </c>
      <c r="AF4" s="951">
        <f t="shared" si="1"/>
        <v>30</v>
      </c>
      <c r="AG4" s="951">
        <f t="shared" si="1"/>
        <v>31</v>
      </c>
      <c r="AH4" s="951">
        <f t="shared" si="1"/>
        <v>32</v>
      </c>
      <c r="AI4" s="951">
        <f t="shared" si="1"/>
        <v>33</v>
      </c>
      <c r="AJ4" s="951">
        <f t="shared" si="1"/>
        <v>34</v>
      </c>
      <c r="AK4" s="951">
        <f t="shared" si="1"/>
        <v>35</v>
      </c>
      <c r="AL4" s="951">
        <f t="shared" si="1"/>
        <v>36</v>
      </c>
      <c r="AM4" s="951">
        <f t="shared" si="1"/>
        <v>37</v>
      </c>
      <c r="AN4" s="951">
        <f t="shared" si="1"/>
        <v>38</v>
      </c>
      <c r="AO4" s="951">
        <f t="shared" si="1"/>
        <v>39</v>
      </c>
      <c r="AP4" s="951">
        <f t="shared" si="1"/>
        <v>40</v>
      </c>
      <c r="AQ4" s="951">
        <f t="shared" si="1"/>
        <v>41</v>
      </c>
      <c r="AR4" s="951">
        <f t="shared" si="1"/>
        <v>42</v>
      </c>
      <c r="AS4" s="951">
        <f t="shared" si="1"/>
        <v>43</v>
      </c>
      <c r="AT4" s="951">
        <f t="shared" si="1"/>
        <v>44</v>
      </c>
      <c r="AU4" s="951">
        <f t="shared" si="1"/>
        <v>45</v>
      </c>
      <c r="AV4" s="951">
        <f t="shared" si="1"/>
        <v>46</v>
      </c>
      <c r="AW4" s="951">
        <f t="shared" si="1"/>
        <v>47</v>
      </c>
      <c r="AX4" s="951">
        <f t="shared" si="1"/>
        <v>48</v>
      </c>
      <c r="AY4" s="951">
        <f t="shared" si="1"/>
        <v>49</v>
      </c>
      <c r="AZ4" s="951">
        <f t="shared" si="1"/>
        <v>50</v>
      </c>
      <c r="BA4" s="951">
        <f t="shared" si="1"/>
        <v>51</v>
      </c>
      <c r="BB4" s="951">
        <f t="shared" si="1"/>
        <v>52</v>
      </c>
      <c r="BC4" s="951">
        <f t="shared" si="1"/>
        <v>53</v>
      </c>
      <c r="BD4" s="951">
        <f t="shared" si="1"/>
        <v>54</v>
      </c>
      <c r="BE4" s="951">
        <f t="shared" si="1"/>
        <v>55</v>
      </c>
      <c r="BF4" s="951">
        <f t="shared" si="1"/>
        <v>56</v>
      </c>
      <c r="BG4" s="951">
        <f t="shared" si="1"/>
        <v>57</v>
      </c>
      <c r="BH4" s="951">
        <f t="shared" ref="BH4:BW4" si="2">BG4+1</f>
        <v>58</v>
      </c>
      <c r="BI4" s="951">
        <f t="shared" si="2"/>
        <v>59</v>
      </c>
      <c r="BJ4" s="951">
        <f t="shared" si="2"/>
        <v>60</v>
      </c>
      <c r="BK4" s="951">
        <f t="shared" si="2"/>
        <v>61</v>
      </c>
      <c r="BL4" s="951">
        <f t="shared" si="2"/>
        <v>62</v>
      </c>
      <c r="BM4" s="951">
        <f t="shared" si="2"/>
        <v>63</v>
      </c>
      <c r="BN4" s="951">
        <f t="shared" si="2"/>
        <v>64</v>
      </c>
      <c r="BO4" s="951">
        <f t="shared" si="2"/>
        <v>65</v>
      </c>
      <c r="BP4" s="951">
        <f t="shared" si="2"/>
        <v>66</v>
      </c>
      <c r="BQ4" s="951">
        <f t="shared" si="2"/>
        <v>67</v>
      </c>
      <c r="BR4" s="951">
        <f t="shared" si="2"/>
        <v>68</v>
      </c>
      <c r="BS4" s="951">
        <f t="shared" si="2"/>
        <v>69</v>
      </c>
      <c r="BT4" s="951">
        <f t="shared" si="2"/>
        <v>70</v>
      </c>
      <c r="BU4" s="951">
        <f t="shared" si="2"/>
        <v>71</v>
      </c>
      <c r="BV4" s="951">
        <f t="shared" si="2"/>
        <v>72</v>
      </c>
      <c r="BW4" s="951">
        <f t="shared" si="2"/>
        <v>73</v>
      </c>
    </row>
    <row r="5" spans="1:75" s="540" customFormat="1" hidden="1" x14ac:dyDescent="0.2">
      <c r="A5" s="537"/>
      <c r="B5" s="537"/>
      <c r="C5" s="957" t="s">
        <v>554</v>
      </c>
      <c r="D5" s="957" t="s">
        <v>554</v>
      </c>
      <c r="E5" s="957" t="s">
        <v>554</v>
      </c>
      <c r="F5" s="957" t="s">
        <v>554</v>
      </c>
      <c r="G5" s="957" t="s">
        <v>554</v>
      </c>
      <c r="H5" s="957" t="s">
        <v>554</v>
      </c>
      <c r="I5" s="957" t="s">
        <v>554</v>
      </c>
      <c r="J5" s="957" t="s">
        <v>554</v>
      </c>
      <c r="K5" s="957" t="s">
        <v>554</v>
      </c>
      <c r="L5" s="957" t="s">
        <v>554</v>
      </c>
      <c r="M5" s="957" t="s">
        <v>554</v>
      </c>
      <c r="N5" s="957" t="s">
        <v>554</v>
      </c>
      <c r="O5" s="957" t="s">
        <v>554</v>
      </c>
      <c r="P5" s="957" t="s">
        <v>554</v>
      </c>
      <c r="Q5" s="957" t="s">
        <v>554</v>
      </c>
      <c r="R5" s="957" t="s">
        <v>554</v>
      </c>
      <c r="S5" s="957" t="s">
        <v>554</v>
      </c>
      <c r="T5" s="957" t="s">
        <v>554</v>
      </c>
      <c r="U5" s="957" t="s">
        <v>554</v>
      </c>
      <c r="V5" s="957" t="s">
        <v>554</v>
      </c>
      <c r="W5" s="957" t="s">
        <v>554</v>
      </c>
      <c r="X5" s="957" t="s">
        <v>554</v>
      </c>
      <c r="Y5" s="957" t="s">
        <v>554</v>
      </c>
      <c r="Z5" s="957" t="s">
        <v>554</v>
      </c>
      <c r="AA5" s="957" t="s">
        <v>554</v>
      </c>
      <c r="AB5" s="957" t="s">
        <v>554</v>
      </c>
      <c r="AC5" s="957" t="s">
        <v>554</v>
      </c>
      <c r="AD5" s="957" t="s">
        <v>554</v>
      </c>
      <c r="AE5" s="957" t="s">
        <v>554</v>
      </c>
      <c r="AF5" s="957" t="s">
        <v>554</v>
      </c>
      <c r="AG5" s="957" t="s">
        <v>554</v>
      </c>
      <c r="AH5" s="1001" t="s">
        <v>554</v>
      </c>
      <c r="AI5" s="1001" t="s">
        <v>554</v>
      </c>
      <c r="AJ5" s="957" t="s">
        <v>554</v>
      </c>
      <c r="AK5" s="957" t="s">
        <v>554</v>
      </c>
      <c r="AL5" s="957" t="s">
        <v>555</v>
      </c>
      <c r="AM5" s="957" t="s">
        <v>555</v>
      </c>
      <c r="AN5" s="958"/>
      <c r="AO5" s="952" t="s">
        <v>554</v>
      </c>
      <c r="AP5" s="952" t="s">
        <v>554</v>
      </c>
      <c r="AQ5" s="952" t="s">
        <v>554</v>
      </c>
      <c r="AR5" s="952" t="s">
        <v>554</v>
      </c>
      <c r="AS5" s="952" t="s">
        <v>554</v>
      </c>
      <c r="AT5" s="952" t="s">
        <v>554</v>
      </c>
      <c r="AU5" s="952" t="s">
        <v>554</v>
      </c>
      <c r="AV5" s="952" t="s">
        <v>554</v>
      </c>
      <c r="AW5" s="952" t="s">
        <v>554</v>
      </c>
      <c r="AX5" s="952" t="s">
        <v>554</v>
      </c>
      <c r="AY5" s="952" t="s">
        <v>554</v>
      </c>
      <c r="AZ5" s="952" t="s">
        <v>554</v>
      </c>
      <c r="BA5" s="952" t="s">
        <v>554</v>
      </c>
      <c r="BB5" s="952" t="s">
        <v>554</v>
      </c>
      <c r="BC5" s="952" t="s">
        <v>554</v>
      </c>
      <c r="BD5" s="952" t="s">
        <v>554</v>
      </c>
      <c r="BE5" s="952" t="s">
        <v>554</v>
      </c>
      <c r="BF5" s="952" t="s">
        <v>554</v>
      </c>
      <c r="BG5" s="952" t="s">
        <v>554</v>
      </c>
      <c r="BH5" s="952" t="s">
        <v>554</v>
      </c>
      <c r="BI5" s="952" t="s">
        <v>554</v>
      </c>
      <c r="BJ5" s="952" t="s">
        <v>554</v>
      </c>
      <c r="BK5" s="952" t="s">
        <v>554</v>
      </c>
      <c r="BL5" s="952" t="s">
        <v>554</v>
      </c>
      <c r="BM5" s="952" t="s">
        <v>554</v>
      </c>
      <c r="BN5" s="952" t="s">
        <v>554</v>
      </c>
      <c r="BO5" s="952" t="s">
        <v>554</v>
      </c>
      <c r="BP5" s="952" t="s">
        <v>554</v>
      </c>
      <c r="BQ5" s="952" t="s">
        <v>554</v>
      </c>
      <c r="BR5" s="1001" t="s">
        <v>554</v>
      </c>
      <c r="BS5" s="951" t="e">
        <f>BR5+1</f>
        <v>#VALUE!</v>
      </c>
      <c r="BT5" s="952" t="s">
        <v>554</v>
      </c>
      <c r="BU5" s="952" t="s">
        <v>554</v>
      </c>
      <c r="BV5" s="958" t="s">
        <v>555</v>
      </c>
      <c r="BW5" s="958" t="s">
        <v>555</v>
      </c>
    </row>
    <row r="6" spans="1:75" s="601" customFormat="1" ht="17.25" customHeight="1" x14ac:dyDescent="0.2">
      <c r="A6" s="600"/>
      <c r="B6" s="600"/>
      <c r="C6" s="952" t="s">
        <v>1228</v>
      </c>
      <c r="D6" s="952" t="s">
        <v>719</v>
      </c>
      <c r="E6" s="952" t="s">
        <v>1158</v>
      </c>
      <c r="F6" s="952" t="s">
        <v>864</v>
      </c>
      <c r="G6" s="952" t="s">
        <v>865</v>
      </c>
      <c r="H6" s="952" t="s">
        <v>866</v>
      </c>
      <c r="I6" s="952" t="s">
        <v>867</v>
      </c>
      <c r="J6" s="952" t="s">
        <v>868</v>
      </c>
      <c r="K6" s="952" t="s">
        <v>869</v>
      </c>
      <c r="L6" s="952" t="s">
        <v>870</v>
      </c>
      <c r="M6" s="952" t="s">
        <v>871</v>
      </c>
      <c r="N6" s="952" t="s">
        <v>872</v>
      </c>
      <c r="O6" s="952" t="s">
        <v>873</v>
      </c>
      <c r="P6" s="952" t="s">
        <v>874</v>
      </c>
      <c r="Q6" s="952" t="s">
        <v>875</v>
      </c>
      <c r="R6" s="952" t="s">
        <v>957</v>
      </c>
      <c r="S6" s="952" t="s">
        <v>958</v>
      </c>
      <c r="T6" s="952" t="s">
        <v>959</v>
      </c>
      <c r="U6" s="952" t="s">
        <v>960</v>
      </c>
      <c r="V6" s="952" t="s">
        <v>961</v>
      </c>
      <c r="W6" s="952" t="s">
        <v>962</v>
      </c>
      <c r="X6" s="952" t="s">
        <v>963</v>
      </c>
      <c r="Y6" s="952" t="s">
        <v>964</v>
      </c>
      <c r="Z6" s="952" t="s">
        <v>965</v>
      </c>
      <c r="AA6" s="952" t="s">
        <v>966</v>
      </c>
      <c r="AB6" s="952" t="s">
        <v>967</v>
      </c>
      <c r="AC6" s="952" t="s">
        <v>968</v>
      </c>
      <c r="AD6" s="952" t="s">
        <v>969</v>
      </c>
      <c r="AE6" s="952" t="s">
        <v>970</v>
      </c>
      <c r="AF6" s="952" t="s">
        <v>971</v>
      </c>
      <c r="AG6" s="952" t="s">
        <v>972</v>
      </c>
      <c r="AH6" s="1002" t="s">
        <v>1059</v>
      </c>
      <c r="AI6" s="1002" t="s">
        <v>1060</v>
      </c>
      <c r="AJ6" s="952" t="s">
        <v>973</v>
      </c>
      <c r="AK6" s="952" t="s">
        <v>974</v>
      </c>
      <c r="AL6" s="952" t="s">
        <v>1300</v>
      </c>
      <c r="AM6" s="952" t="s">
        <v>1324</v>
      </c>
      <c r="AN6" s="957" t="s">
        <v>1233</v>
      </c>
      <c r="AO6" s="952" t="s">
        <v>1229</v>
      </c>
      <c r="AP6" s="952" t="s">
        <v>975</v>
      </c>
      <c r="AQ6" s="952" t="s">
        <v>976</v>
      </c>
      <c r="AR6" s="952" t="s">
        <v>977</v>
      </c>
      <c r="AS6" s="952" t="s">
        <v>978</v>
      </c>
      <c r="AT6" s="952" t="s">
        <v>979</v>
      </c>
      <c r="AU6" s="952" t="s">
        <v>980</v>
      </c>
      <c r="AV6" s="952" t="s">
        <v>981</v>
      </c>
      <c r="AW6" s="952" t="s">
        <v>982</v>
      </c>
      <c r="AX6" s="952" t="s">
        <v>983</v>
      </c>
      <c r="AY6" s="952" t="s">
        <v>984</v>
      </c>
      <c r="AZ6" s="952" t="s">
        <v>985</v>
      </c>
      <c r="BA6" s="952" t="s">
        <v>986</v>
      </c>
      <c r="BB6" s="952" t="s">
        <v>987</v>
      </c>
      <c r="BC6" s="952" t="s">
        <v>988</v>
      </c>
      <c r="BD6" s="952" t="s">
        <v>989</v>
      </c>
      <c r="BE6" s="952" t="s">
        <v>990</v>
      </c>
      <c r="BF6" s="952" t="s">
        <v>991</v>
      </c>
      <c r="BG6" s="952" t="s">
        <v>992</v>
      </c>
      <c r="BH6" s="952" t="s">
        <v>993</v>
      </c>
      <c r="BI6" s="952" t="s">
        <v>994</v>
      </c>
      <c r="BJ6" s="952" t="s">
        <v>995</v>
      </c>
      <c r="BK6" s="952" t="s">
        <v>996</v>
      </c>
      <c r="BL6" s="952" t="s">
        <v>997</v>
      </c>
      <c r="BM6" s="952" t="s">
        <v>998</v>
      </c>
      <c r="BN6" s="952" t="s">
        <v>999</v>
      </c>
      <c r="BO6" s="952" t="s">
        <v>1000</v>
      </c>
      <c r="BP6" s="952" t="s">
        <v>1001</v>
      </c>
      <c r="BQ6" s="952" t="s">
        <v>1002</v>
      </c>
      <c r="BR6" s="1002" t="s">
        <v>1061</v>
      </c>
      <c r="BS6" s="1002" t="s">
        <v>1062</v>
      </c>
      <c r="BT6" s="952" t="s">
        <v>1003</v>
      </c>
      <c r="BU6" s="952" t="s">
        <v>1004</v>
      </c>
      <c r="BV6" s="957" t="s">
        <v>1325</v>
      </c>
      <c r="BW6" s="952" t="s">
        <v>1326</v>
      </c>
    </row>
    <row r="7" spans="1:75" s="8" customFormat="1" ht="15.75" customHeight="1" x14ac:dyDescent="0.2">
      <c r="A7" s="324">
        <v>1</v>
      </c>
      <c r="B7" s="325" t="s">
        <v>4</v>
      </c>
      <c r="C7" s="62">
        <f>'2_State Distrib and Adjs'!BB7</f>
        <v>4585564</v>
      </c>
      <c r="D7" s="62">
        <f>-'5A3_OJJ'!S7</f>
        <v>-414</v>
      </c>
      <c r="E7" s="62"/>
      <c r="F7" s="62">
        <f>-'5C1A_Madison'!AS7</f>
        <v>0</v>
      </c>
      <c r="G7" s="62">
        <f>-'5C1B_DArbonne'!AS7</f>
        <v>0</v>
      </c>
      <c r="H7" s="62">
        <f>-'5C1C_Intl High'!AS7</f>
        <v>0</v>
      </c>
      <c r="I7" s="62">
        <f>-'5C1D_NOMMA'!AS7</f>
        <v>0</v>
      </c>
      <c r="J7" s="62">
        <f>-'5C1E_LFNO'!AS7</f>
        <v>0</v>
      </c>
      <c r="K7" s="62">
        <f>-'5C1F_L.C. Charter'!AS7</f>
        <v>0</v>
      </c>
      <c r="L7" s="62">
        <f>-'5C1G_JS Clark'!AS7</f>
        <v>-218</v>
      </c>
      <c r="M7" s="62">
        <f>-'5C1H_Southwest'!AS7</f>
        <v>0</v>
      </c>
      <c r="N7" s="62">
        <f>-'5C1I_LA Key'!AS7</f>
        <v>0</v>
      </c>
      <c r="O7" s="62">
        <f>-'5C1J_JCFA-East'!AS7</f>
        <v>0</v>
      </c>
      <c r="P7" s="62">
        <f>-'5C1M_GEO Mid'!AS7</f>
        <v>0</v>
      </c>
      <c r="Q7" s="62">
        <f>-'5C1N_Delta'!AS7</f>
        <v>0</v>
      </c>
      <c r="R7" s="62">
        <f>-'5C1O_Impact'!AS7</f>
        <v>0</v>
      </c>
      <c r="S7" s="62">
        <f>-'5C1Q_Advantage'!AS7</f>
        <v>0</v>
      </c>
      <c r="T7" s="62">
        <f>-'5C1R_Iberville'!AS7</f>
        <v>0</v>
      </c>
      <c r="U7" s="62">
        <f>-'5C1S_LC Col Prep'!AS7</f>
        <v>0</v>
      </c>
      <c r="V7" s="62">
        <f>-'5C1T_Northeast'!AS7</f>
        <v>0</v>
      </c>
      <c r="W7" s="62">
        <f>-'5C1U_Acadiana Ren'!AS7</f>
        <v>-1971</v>
      </c>
      <c r="X7" s="62">
        <f>-'5C1V_Laf Ren'!AS7</f>
        <v>-5716</v>
      </c>
      <c r="Y7" s="62">
        <f>-'5C1W_Willow'!AS7</f>
        <v>-1886</v>
      </c>
      <c r="Z7" s="62">
        <f>-'5C1Y_GEO'!AS7</f>
        <v>0</v>
      </c>
      <c r="AA7" s="62">
        <f>-'5C1Z_Lincoln Prep'!$AS7</f>
        <v>0</v>
      </c>
      <c r="AB7" s="62">
        <f>-'5C1AE_Noble Minds'!$AS7</f>
        <v>0</v>
      </c>
      <c r="AC7" s="62">
        <f>-'5C1AF_JCFA-Laf'!$AS7</f>
        <v>-452</v>
      </c>
      <c r="AD7" s="62">
        <f>-'5C1AG_Collegiate'!$AS7</f>
        <v>0</v>
      </c>
      <c r="AE7" s="62">
        <f>-'5C1AH_BRUP'!$AS7</f>
        <v>0</v>
      </c>
      <c r="AF7" s="62">
        <f>-'5C1AI_Harmony'!$AS7</f>
        <v>0</v>
      </c>
      <c r="AG7" s="62">
        <f>-'5C1AJ_Athlos'!$AS7</f>
        <v>0</v>
      </c>
      <c r="AH7" s="62">
        <f>-'5C1AK_NxtGen'!$AS7</f>
        <v>0</v>
      </c>
      <c r="AI7" s="62">
        <f>-'5C1AL_Red River'!$AS7</f>
        <v>0</v>
      </c>
      <c r="AJ7" s="62">
        <f>-'5C2_LAVCA'!AT7</f>
        <v>-6064</v>
      </c>
      <c r="AK7" s="62">
        <f>-'5C3_UnvView'!AT7</f>
        <v>-5765</v>
      </c>
      <c r="AL7" s="326">
        <f t="shared" ref="AL7:AL38" si="3">SUM(D7:AK7)</f>
        <v>-22486</v>
      </c>
      <c r="AM7" s="327">
        <f t="shared" ref="AM7:AM38" si="4">C7+AL7</f>
        <v>4563078</v>
      </c>
      <c r="AN7" s="62"/>
      <c r="AO7" s="62"/>
      <c r="AP7" s="62">
        <f>-'5C1A_Madison'!AX7</f>
        <v>0</v>
      </c>
      <c r="AQ7" s="62">
        <f>-'5C1B_DArbonne'!AX7</f>
        <v>0</v>
      </c>
      <c r="AR7" s="62">
        <f>-'5C1C_Intl High'!AX7</f>
        <v>0</v>
      </c>
      <c r="AS7" s="62">
        <f>-'5C1D_NOMMA'!AX7</f>
        <v>0</v>
      </c>
      <c r="AT7" s="62">
        <f>-'5C1E_LFNO'!AX7</f>
        <v>0</v>
      </c>
      <c r="AU7" s="62">
        <f>-'5C1F_L.C. Charter'!AX7</f>
        <v>0</v>
      </c>
      <c r="AV7" s="62">
        <f>-'5C1G_JS Clark'!AX7</f>
        <v>-7</v>
      </c>
      <c r="AW7" s="62">
        <f>-'5C1H_Southwest'!AX7</f>
        <v>0</v>
      </c>
      <c r="AX7" s="62">
        <f>-'5C1I_LA Key'!AX7</f>
        <v>0</v>
      </c>
      <c r="AY7" s="62">
        <f>-'5C1J_JCFA-East'!AX7</f>
        <v>0</v>
      </c>
      <c r="AZ7" s="62">
        <f>-'5C1M_GEO Mid'!AX7</f>
        <v>0</v>
      </c>
      <c r="BA7" s="62">
        <f>-'5C1N_Delta'!AX7</f>
        <v>0</v>
      </c>
      <c r="BB7" s="62">
        <f>-'5C1O_Impact'!AX7</f>
        <v>0</v>
      </c>
      <c r="BC7" s="62">
        <f>-'5C1Q_Advantage'!AX7</f>
        <v>0</v>
      </c>
      <c r="BD7" s="62">
        <f>-'5C1R_Iberville'!AX7</f>
        <v>0</v>
      </c>
      <c r="BE7" s="62">
        <f>-'5C1S_LC Col Prep'!AX7</f>
        <v>0</v>
      </c>
      <c r="BF7" s="62">
        <f>-'5C1T_Northeast'!AX7</f>
        <v>0</v>
      </c>
      <c r="BG7" s="62">
        <f>-'5C1U_Acadiana Ren'!AX7</f>
        <v>-20</v>
      </c>
      <c r="BH7" s="62">
        <f>-'5C1V_Laf Ren'!AX7</f>
        <v>-14</v>
      </c>
      <c r="BI7" s="62">
        <f>-'5C1W_Willow'!AX7</f>
        <v>-18</v>
      </c>
      <c r="BJ7" s="62">
        <f>-'5C1Y_GEO'!AX7</f>
        <v>0</v>
      </c>
      <c r="BK7" s="62">
        <f>-'5C1Z_Lincoln Prep'!AX7</f>
        <v>0</v>
      </c>
      <c r="BL7" s="62">
        <f>-'5C1AE_Noble Minds'!AX7</f>
        <v>0</v>
      </c>
      <c r="BM7" s="62">
        <f>-'5C1AF_JCFA-Laf'!AX7</f>
        <v>0</v>
      </c>
      <c r="BN7" s="62">
        <f>-'5C1AG_Collegiate'!AX7</f>
        <v>0</v>
      </c>
      <c r="BO7" s="62">
        <f>-'5C1AH_BRUP'!AX7</f>
        <v>0</v>
      </c>
      <c r="BP7" s="62">
        <f>-'5C1AI_Harmony'!$AX7</f>
        <v>0</v>
      </c>
      <c r="BQ7" s="62">
        <f>-'5C1AJ_Athlos'!$AX7</f>
        <v>0</v>
      </c>
      <c r="BR7" s="62">
        <f>-'5C1AK_NxtGen'!$AX7</f>
        <v>0</v>
      </c>
      <c r="BS7" s="62">
        <f>-'5C1AL_Red River'!$AX7</f>
        <v>0</v>
      </c>
      <c r="BT7" s="62">
        <f>-'5C2_LAVCA'!AY7</f>
        <v>-23</v>
      </c>
      <c r="BU7" s="62">
        <f>-'5C3_UnvView'!AY7</f>
        <v>9</v>
      </c>
      <c r="BV7" s="62">
        <f t="shared" ref="BV7:BV38" si="5">SUM(AO7:BU7)</f>
        <v>-73</v>
      </c>
      <c r="BW7" s="327">
        <f>SUM(AM7:BU7)</f>
        <v>4563005</v>
      </c>
    </row>
    <row r="8" spans="1:75" s="8" customFormat="1" ht="15.75" customHeight="1" x14ac:dyDescent="0.2">
      <c r="A8" s="324">
        <v>2</v>
      </c>
      <c r="B8" s="325" t="s">
        <v>5</v>
      </c>
      <c r="C8" s="62">
        <f>'2_State Distrib and Adjs'!BB8</f>
        <v>2381997</v>
      </c>
      <c r="D8" s="62">
        <f>-'5A3_OJJ'!S8</f>
        <v>0</v>
      </c>
      <c r="E8" s="62"/>
      <c r="F8" s="62">
        <f>-'5C1A_Madison'!AS8</f>
        <v>0</v>
      </c>
      <c r="G8" s="62">
        <f>-'5C1B_DArbonne'!AS8</f>
        <v>0</v>
      </c>
      <c r="H8" s="62">
        <f>-'5C1C_Intl High'!AS8</f>
        <v>0</v>
      </c>
      <c r="I8" s="62">
        <f>-'5C1D_NOMMA'!AS8</f>
        <v>0</v>
      </c>
      <c r="J8" s="62">
        <f>-'5C1E_LFNO'!AS8</f>
        <v>0</v>
      </c>
      <c r="K8" s="62">
        <f>-'5C1F_L.C. Charter'!AS8</f>
        <v>-280</v>
      </c>
      <c r="L8" s="62">
        <f>-'5C1G_JS Clark'!AS8</f>
        <v>0</v>
      </c>
      <c r="M8" s="62">
        <f>-'5C1H_Southwest'!AS8</f>
        <v>0</v>
      </c>
      <c r="N8" s="62">
        <f>-'5C1I_LA Key'!AS8</f>
        <v>0</v>
      </c>
      <c r="O8" s="62">
        <f>-'5C1J_JCFA-East'!AS8</f>
        <v>0</v>
      </c>
      <c r="P8" s="62">
        <f>-'5C1M_GEO Mid'!AS8</f>
        <v>0</v>
      </c>
      <c r="Q8" s="62">
        <f>-'5C1N_Delta'!AS8</f>
        <v>0</v>
      </c>
      <c r="R8" s="62">
        <f>-'5C1O_Impact'!AS8</f>
        <v>0</v>
      </c>
      <c r="S8" s="62">
        <f>-'5C1Q_Advantage'!AS8</f>
        <v>0</v>
      </c>
      <c r="T8" s="62">
        <f>-'5C1R_Iberville'!AS8</f>
        <v>0</v>
      </c>
      <c r="U8" s="62">
        <f>-'5C1S_LC Col Prep'!AS8</f>
        <v>-280</v>
      </c>
      <c r="V8" s="62">
        <f>-'5C1T_Northeast'!AS8</f>
        <v>0</v>
      </c>
      <c r="W8" s="62">
        <f>-'5C1U_Acadiana Ren'!AS8</f>
        <v>0</v>
      </c>
      <c r="X8" s="62">
        <f>-'5C1V_Laf Ren'!AS8</f>
        <v>0</v>
      </c>
      <c r="Y8" s="62">
        <f>-'5C1W_Willow'!AS8</f>
        <v>0</v>
      </c>
      <c r="Z8" s="62">
        <f>-'5C1Y_GEO'!AS8</f>
        <v>0</v>
      </c>
      <c r="AA8" s="62">
        <f>-'5C1Z_Lincoln Prep'!AS8</f>
        <v>0</v>
      </c>
      <c r="AB8" s="62">
        <f>-'5C1AE_Noble Minds'!$AS8</f>
        <v>0</v>
      </c>
      <c r="AC8" s="62">
        <f>-'5C1AF_JCFA-Laf'!$AS8</f>
        <v>0</v>
      </c>
      <c r="AD8" s="62">
        <f>-'5C1AG_Collegiate'!$AS8</f>
        <v>0</v>
      </c>
      <c r="AE8" s="62">
        <f>-'5C1AH_BRUP'!$AS8</f>
        <v>0</v>
      </c>
      <c r="AF8" s="62">
        <f>-'5C1AI_Harmony'!$AS8</f>
        <v>0</v>
      </c>
      <c r="AG8" s="62">
        <f>-'5C1AJ_Athlos'!$AS8</f>
        <v>0</v>
      </c>
      <c r="AH8" s="62">
        <f>-'5C1AK_NxtGen'!$AS8</f>
        <v>0</v>
      </c>
      <c r="AI8" s="62">
        <f>-'5C1AL_Red River'!$AS8</f>
        <v>0</v>
      </c>
      <c r="AJ8" s="62">
        <f>-'5C2_LAVCA'!AT8</f>
        <v>-2130</v>
      </c>
      <c r="AK8" s="62">
        <f>-'5C3_UnvView'!AT8</f>
        <v>-11384</v>
      </c>
      <c r="AL8" s="326">
        <f t="shared" si="3"/>
        <v>-14074</v>
      </c>
      <c r="AM8" s="327">
        <f t="shared" si="4"/>
        <v>2367923</v>
      </c>
      <c r="AN8" s="62"/>
      <c r="AO8" s="62"/>
      <c r="AP8" s="62">
        <f>-'5C1A_Madison'!AX8</f>
        <v>0</v>
      </c>
      <c r="AQ8" s="62">
        <f>-'5C1B_DArbonne'!AX8</f>
        <v>0</v>
      </c>
      <c r="AR8" s="62">
        <f>-'5C1C_Intl High'!AX8</f>
        <v>0</v>
      </c>
      <c r="AS8" s="62">
        <f>-'5C1D_NOMMA'!AX8</f>
        <v>0</v>
      </c>
      <c r="AT8" s="62">
        <f>-'5C1E_LFNO'!AX8</f>
        <v>0</v>
      </c>
      <c r="AU8" s="62">
        <f>-'5C1F_L.C. Charter'!AX8</f>
        <v>1</v>
      </c>
      <c r="AV8" s="62">
        <f>-'5C1G_JS Clark'!AX8</f>
        <v>0</v>
      </c>
      <c r="AW8" s="62">
        <f>-'5C1H_Southwest'!AX8</f>
        <v>0</v>
      </c>
      <c r="AX8" s="62">
        <f>-'5C1I_LA Key'!AX8</f>
        <v>0</v>
      </c>
      <c r="AY8" s="62">
        <f>-'5C1J_JCFA-East'!AX8</f>
        <v>0</v>
      </c>
      <c r="AZ8" s="62">
        <f>-'5C1M_GEO Mid'!AX8</f>
        <v>0</v>
      </c>
      <c r="BA8" s="62">
        <f>-'5C1N_Delta'!AX8</f>
        <v>0</v>
      </c>
      <c r="BB8" s="62">
        <f>-'5C1O_Impact'!AX8</f>
        <v>0</v>
      </c>
      <c r="BC8" s="62">
        <f>-'5C1Q_Advantage'!AX8</f>
        <v>0</v>
      </c>
      <c r="BD8" s="62">
        <f>-'5C1R_Iberville'!AX8</f>
        <v>0</v>
      </c>
      <c r="BE8" s="62">
        <f>-'5C1S_LC Col Prep'!AX8</f>
        <v>1</v>
      </c>
      <c r="BF8" s="62">
        <f>-'5C1T_Northeast'!AX8</f>
        <v>0</v>
      </c>
      <c r="BG8" s="62">
        <f>-'5C1U_Acadiana Ren'!AX8</f>
        <v>0</v>
      </c>
      <c r="BH8" s="62">
        <f>-'5C1V_Laf Ren'!AX8</f>
        <v>0</v>
      </c>
      <c r="BI8" s="62">
        <f>-'5C1W_Willow'!AX8</f>
        <v>0</v>
      </c>
      <c r="BJ8" s="62">
        <f>-'5C1Y_GEO'!AX8</f>
        <v>0</v>
      </c>
      <c r="BK8" s="62">
        <f>-'5C1Z_Lincoln Prep'!AX8</f>
        <v>0</v>
      </c>
      <c r="BL8" s="62">
        <f>-'5C1AE_Noble Minds'!AX8</f>
        <v>0</v>
      </c>
      <c r="BM8" s="62">
        <f>-'5C1AF_JCFA-Laf'!AX8</f>
        <v>0</v>
      </c>
      <c r="BN8" s="62">
        <f>-'5C1AG_Collegiate'!AX8</f>
        <v>0</v>
      </c>
      <c r="BO8" s="62">
        <f>-'5C1AH_BRUP'!AX8</f>
        <v>0</v>
      </c>
      <c r="BP8" s="62">
        <f>-'5C1AI_Harmony'!$AX8</f>
        <v>0</v>
      </c>
      <c r="BQ8" s="62">
        <f>-'5C1AJ_Athlos'!$AX8</f>
        <v>0</v>
      </c>
      <c r="BR8" s="62">
        <f>-'5C1AK_NxtGen'!$AX8</f>
        <v>0</v>
      </c>
      <c r="BS8" s="62">
        <f>-'5C1AL_Red River'!$AX8</f>
        <v>0</v>
      </c>
      <c r="BT8" s="62">
        <f>-'5C2_LAVCA'!AY8</f>
        <v>5</v>
      </c>
      <c r="BU8" s="62">
        <f>-'5C3_UnvView'!AY8</f>
        <v>-114</v>
      </c>
      <c r="BV8" s="62">
        <f t="shared" si="5"/>
        <v>-107</v>
      </c>
      <c r="BW8" s="327">
        <f t="shared" ref="BW8:BW38" si="6">SUM(AM8:BU8)</f>
        <v>2367816</v>
      </c>
    </row>
    <row r="9" spans="1:75" s="8" customFormat="1" ht="15.75" customHeight="1" x14ac:dyDescent="0.2">
      <c r="A9" s="324">
        <v>3</v>
      </c>
      <c r="B9" s="325" t="s">
        <v>6</v>
      </c>
      <c r="C9" s="62">
        <f>'2_State Distrib and Adjs'!BB9</f>
        <v>9419044</v>
      </c>
      <c r="D9" s="62">
        <f>-'5A3_OJJ'!S9</f>
        <v>-15</v>
      </c>
      <c r="E9" s="62"/>
      <c r="F9" s="62">
        <f>-'5C1A_Madison'!AS9</f>
        <v>-2226</v>
      </c>
      <c r="G9" s="62">
        <f>-'5C1B_DArbonne'!AS9</f>
        <v>0</v>
      </c>
      <c r="H9" s="62">
        <f>-'5C1C_Intl High'!AS9</f>
        <v>0</v>
      </c>
      <c r="I9" s="62">
        <f>-'5C1D_NOMMA'!AS9</f>
        <v>0</v>
      </c>
      <c r="J9" s="62">
        <f>-'5C1E_LFNO'!AS9</f>
        <v>0</v>
      </c>
      <c r="K9" s="62">
        <f>-'5C1F_L.C. Charter'!AS9</f>
        <v>0</v>
      </c>
      <c r="L9" s="62">
        <f>-'5C1G_JS Clark'!AS9</f>
        <v>0</v>
      </c>
      <c r="M9" s="62">
        <f>-'5C1H_Southwest'!AS9</f>
        <v>0</v>
      </c>
      <c r="N9" s="62">
        <f>-'5C1I_LA Key'!AS9</f>
        <v>-12276</v>
      </c>
      <c r="O9" s="62">
        <f>-'5C1J_JCFA-East'!AS9</f>
        <v>0</v>
      </c>
      <c r="P9" s="62">
        <f>-'5C1M_GEO Mid'!AS9</f>
        <v>2734</v>
      </c>
      <c r="Q9" s="62">
        <f>-'5C1N_Delta'!AS9</f>
        <v>0</v>
      </c>
      <c r="R9" s="62">
        <f>-'5C1O_Impact'!AS9</f>
        <v>0</v>
      </c>
      <c r="S9" s="62">
        <f>-'5C1Q_Advantage'!AS9</f>
        <v>0</v>
      </c>
      <c r="T9" s="62">
        <f>-'5C1R_Iberville'!AS9</f>
        <v>-14200</v>
      </c>
      <c r="U9" s="62">
        <f>-'5C1S_LC Col Prep'!AS9</f>
        <v>0</v>
      </c>
      <c r="V9" s="62">
        <f>-'5C1T_Northeast'!AS9</f>
        <v>0</v>
      </c>
      <c r="W9" s="62">
        <f>-'5C1U_Acadiana Ren'!AS9</f>
        <v>-1106</v>
      </c>
      <c r="X9" s="62">
        <f>-'5C1V_Laf Ren'!AS9</f>
        <v>0</v>
      </c>
      <c r="Y9" s="62">
        <f>-'5C1W_Willow'!AS9</f>
        <v>0</v>
      </c>
      <c r="Z9" s="62">
        <f>-'5C1Y_GEO'!AS9</f>
        <v>-2213</v>
      </c>
      <c r="AA9" s="62">
        <f>-'5C1Z_Lincoln Prep'!AS9</f>
        <v>0</v>
      </c>
      <c r="AB9" s="62">
        <f>-'5C1AE_Noble Minds'!$AS9</f>
        <v>0</v>
      </c>
      <c r="AC9" s="62">
        <f>-'5C1AF_JCFA-Laf'!$AS9</f>
        <v>0</v>
      </c>
      <c r="AD9" s="62">
        <f>-'5C1AG_Collegiate'!$AS9</f>
        <v>0</v>
      </c>
      <c r="AE9" s="62">
        <f>-'5C1AH_BRUP'!$AS9</f>
        <v>0</v>
      </c>
      <c r="AF9" s="62">
        <f>-'5C1AI_Harmony'!$AS9</f>
        <v>0</v>
      </c>
      <c r="AG9" s="62">
        <f>-'5C1AJ_Athlos'!$AS9</f>
        <v>0</v>
      </c>
      <c r="AH9" s="62">
        <f>-'5C1AK_NxtGen'!$AS9</f>
        <v>0</v>
      </c>
      <c r="AI9" s="62">
        <f>-'5C1AL_Red River'!$AS9</f>
        <v>0</v>
      </c>
      <c r="AJ9" s="62">
        <f>-'5C2_LAVCA'!AT9</f>
        <v>-11900</v>
      </c>
      <c r="AK9" s="62">
        <f>-'5C3_UnvView'!AT9</f>
        <v>-67719</v>
      </c>
      <c r="AL9" s="326">
        <f t="shared" si="3"/>
        <v>-108921</v>
      </c>
      <c r="AM9" s="327">
        <f t="shared" si="4"/>
        <v>9310123</v>
      </c>
      <c r="AN9" s="62"/>
      <c r="AO9" s="62"/>
      <c r="AP9" s="62">
        <f>-'5C1A_Madison'!AX9</f>
        <v>-17</v>
      </c>
      <c r="AQ9" s="62">
        <f>-'5C1B_DArbonne'!AX9</f>
        <v>0</v>
      </c>
      <c r="AR9" s="62">
        <f>-'5C1C_Intl High'!AX9</f>
        <v>0</v>
      </c>
      <c r="AS9" s="62">
        <f>-'5C1D_NOMMA'!AX9</f>
        <v>0</v>
      </c>
      <c r="AT9" s="62">
        <f>-'5C1E_LFNO'!AX9</f>
        <v>0</v>
      </c>
      <c r="AU9" s="62">
        <f>-'5C1F_L.C. Charter'!AX9</f>
        <v>0</v>
      </c>
      <c r="AV9" s="62">
        <f>-'5C1G_JS Clark'!AX9</f>
        <v>0</v>
      </c>
      <c r="AW9" s="62">
        <f>-'5C1H_Southwest'!AX9</f>
        <v>0</v>
      </c>
      <c r="AX9" s="62">
        <f>-'5C1I_LA Key'!AX9</f>
        <v>-53</v>
      </c>
      <c r="AY9" s="62">
        <f>-'5C1J_JCFA-East'!AX9</f>
        <v>0</v>
      </c>
      <c r="AZ9" s="62">
        <f>-'5C1M_GEO Mid'!AX9</f>
        <v>82</v>
      </c>
      <c r="BA9" s="62">
        <f>-'5C1N_Delta'!AX9</f>
        <v>0</v>
      </c>
      <c r="BB9" s="62">
        <f>-'5C1O_Impact'!AX9</f>
        <v>0</v>
      </c>
      <c r="BC9" s="62">
        <f>-'5C1Q_Advantage'!AX9</f>
        <v>0</v>
      </c>
      <c r="BD9" s="62">
        <f>-'5C1R_Iberville'!AX9</f>
        <v>-94</v>
      </c>
      <c r="BE9" s="62">
        <f>-'5C1S_LC Col Prep'!AX9</f>
        <v>0</v>
      </c>
      <c r="BF9" s="62">
        <f>-'5C1T_Northeast'!AX9</f>
        <v>0</v>
      </c>
      <c r="BG9" s="62">
        <f>-'5C1U_Acadiana Ren'!AX9</f>
        <v>-17</v>
      </c>
      <c r="BH9" s="62">
        <f>-'5C1V_Laf Ren'!AX9</f>
        <v>0</v>
      </c>
      <c r="BI9" s="62">
        <f>-'5C1W_Willow'!AX9</f>
        <v>0</v>
      </c>
      <c r="BJ9" s="62">
        <f>-'5C1Y_GEO'!AX9</f>
        <v>-33</v>
      </c>
      <c r="BK9" s="62">
        <f>-'5C1Z_Lincoln Prep'!AX9</f>
        <v>0</v>
      </c>
      <c r="BL9" s="62">
        <f>-'5C1AE_Noble Minds'!AX9</f>
        <v>0</v>
      </c>
      <c r="BM9" s="62">
        <f>-'5C1AF_JCFA-Laf'!AX9</f>
        <v>0</v>
      </c>
      <c r="BN9" s="62">
        <f>-'5C1AG_Collegiate'!AX9</f>
        <v>0</v>
      </c>
      <c r="BO9" s="62">
        <f>-'5C1AH_BRUP'!AX9</f>
        <v>0</v>
      </c>
      <c r="BP9" s="62">
        <f>-'5C1AI_Harmony'!$AX9</f>
        <v>0</v>
      </c>
      <c r="BQ9" s="62">
        <f>-'5C1AJ_Athlos'!$AX9</f>
        <v>0</v>
      </c>
      <c r="BR9" s="62">
        <f>-'5C1AK_NxtGen'!$AX9</f>
        <v>0</v>
      </c>
      <c r="BS9" s="62">
        <f>-'5C1AL_Red River'!$AX9</f>
        <v>0</v>
      </c>
      <c r="BT9" s="62">
        <f>-'5C2_LAVCA'!AY9</f>
        <v>91</v>
      </c>
      <c r="BU9" s="62">
        <f>-'5C3_UnvView'!AY9</f>
        <v>-389</v>
      </c>
      <c r="BV9" s="62">
        <f t="shared" si="5"/>
        <v>-430</v>
      </c>
      <c r="BW9" s="327">
        <f t="shared" si="6"/>
        <v>9309693</v>
      </c>
    </row>
    <row r="10" spans="1:75" s="8" customFormat="1" ht="15.75" customHeight="1" x14ac:dyDescent="0.2">
      <c r="A10" s="324">
        <v>4</v>
      </c>
      <c r="B10" s="325" t="s">
        <v>7</v>
      </c>
      <c r="C10" s="62">
        <f>'2_State Distrib and Adjs'!BB10</f>
        <v>1593451</v>
      </c>
      <c r="D10" s="62">
        <f>-'5A3_OJJ'!S10</f>
        <v>0</v>
      </c>
      <c r="E10" s="62"/>
      <c r="F10" s="62">
        <f>-'5C1A_Madison'!AS10</f>
        <v>0</v>
      </c>
      <c r="G10" s="62">
        <f>-'5C1B_DArbonne'!AS10</f>
        <v>0</v>
      </c>
      <c r="H10" s="62">
        <f>-'5C1C_Intl High'!AS10</f>
        <v>0</v>
      </c>
      <c r="I10" s="62">
        <f>-'5C1D_NOMMA'!AS10</f>
        <v>0</v>
      </c>
      <c r="J10" s="62">
        <f>-'5C1E_LFNO'!AS10</f>
        <v>0</v>
      </c>
      <c r="K10" s="62">
        <f>-'5C1F_L.C. Charter'!AS10</f>
        <v>0</v>
      </c>
      <c r="L10" s="62">
        <f>-'5C1G_JS Clark'!AS10</f>
        <v>0</v>
      </c>
      <c r="M10" s="62">
        <f>-'5C1H_Southwest'!AS10</f>
        <v>0</v>
      </c>
      <c r="N10" s="62">
        <f>-'5C1I_LA Key'!AS10</f>
        <v>0</v>
      </c>
      <c r="O10" s="62">
        <f>-'5C1J_JCFA-East'!AS10</f>
        <v>0</v>
      </c>
      <c r="P10" s="62">
        <f>-'5C1M_GEO Mid'!AS10</f>
        <v>0</v>
      </c>
      <c r="Q10" s="62">
        <f>-'5C1N_Delta'!AS10</f>
        <v>0</v>
      </c>
      <c r="R10" s="62">
        <f>-'5C1O_Impact'!AS10</f>
        <v>0</v>
      </c>
      <c r="S10" s="62">
        <f>-'5C1Q_Advantage'!AS10</f>
        <v>0</v>
      </c>
      <c r="T10" s="62">
        <f>-'5C1R_Iberville'!AS10</f>
        <v>-4759</v>
      </c>
      <c r="U10" s="62">
        <f>-'5C1S_LC Col Prep'!AS10</f>
        <v>0</v>
      </c>
      <c r="V10" s="62">
        <f>-'5C1T_Northeast'!AS10</f>
        <v>0</v>
      </c>
      <c r="W10" s="62">
        <f>-'5C1U_Acadiana Ren'!AS10</f>
        <v>-2562</v>
      </c>
      <c r="X10" s="62">
        <f>-'5C1V_Laf Ren'!AS10</f>
        <v>0</v>
      </c>
      <c r="Y10" s="62">
        <f>-'5C1W_Willow'!AS10</f>
        <v>0</v>
      </c>
      <c r="Z10" s="62">
        <f>-'5C1Y_GEO'!AS10</f>
        <v>0</v>
      </c>
      <c r="AA10" s="62">
        <f>-'5C1Z_Lincoln Prep'!AS10</f>
        <v>0</v>
      </c>
      <c r="AB10" s="62">
        <f>-'5C1AE_Noble Minds'!$AS10</f>
        <v>0</v>
      </c>
      <c r="AC10" s="62">
        <f>-'5C1AF_JCFA-Laf'!$AS10</f>
        <v>0</v>
      </c>
      <c r="AD10" s="62">
        <f>-'5C1AG_Collegiate'!$AS10</f>
        <v>0</v>
      </c>
      <c r="AE10" s="62">
        <f>-'5C1AH_BRUP'!$AS10</f>
        <v>0</v>
      </c>
      <c r="AF10" s="62">
        <f>-'5C1AI_Harmony'!$AS10</f>
        <v>0</v>
      </c>
      <c r="AG10" s="62">
        <f>-'5C1AJ_Athlos'!$AS10</f>
        <v>0</v>
      </c>
      <c r="AH10" s="62">
        <f>-'5C1AK_NxtGen'!$AS10</f>
        <v>0</v>
      </c>
      <c r="AI10" s="62">
        <f>-'5C1AL_Red River'!$AS10</f>
        <v>0</v>
      </c>
      <c r="AJ10" s="62">
        <f>-'5C2_LAVCA'!AT10</f>
        <v>-3233</v>
      </c>
      <c r="AK10" s="62">
        <f>-'5C3_UnvView'!AT10</f>
        <v>-8546</v>
      </c>
      <c r="AL10" s="326">
        <f t="shared" si="3"/>
        <v>-19100</v>
      </c>
      <c r="AM10" s="327">
        <f t="shared" si="4"/>
        <v>1574351</v>
      </c>
      <c r="AN10" s="62"/>
      <c r="AO10" s="62"/>
      <c r="AP10" s="62">
        <f>-'5C1A_Madison'!AX10</f>
        <v>0</v>
      </c>
      <c r="AQ10" s="62">
        <f>-'5C1B_DArbonne'!AX10</f>
        <v>0</v>
      </c>
      <c r="AR10" s="62">
        <f>-'5C1C_Intl High'!AX10</f>
        <v>0</v>
      </c>
      <c r="AS10" s="62">
        <f>-'5C1D_NOMMA'!AX10</f>
        <v>0</v>
      </c>
      <c r="AT10" s="62">
        <f>-'5C1E_LFNO'!AX10</f>
        <v>0</v>
      </c>
      <c r="AU10" s="62">
        <f>-'5C1F_L.C. Charter'!AX10</f>
        <v>0</v>
      </c>
      <c r="AV10" s="62">
        <f>-'5C1G_JS Clark'!AX10</f>
        <v>0</v>
      </c>
      <c r="AW10" s="62">
        <f>-'5C1H_Southwest'!AX10</f>
        <v>0</v>
      </c>
      <c r="AX10" s="62">
        <f>-'5C1I_LA Key'!AX10</f>
        <v>0</v>
      </c>
      <c r="AY10" s="62">
        <f>-'5C1J_JCFA-East'!AX10</f>
        <v>0</v>
      </c>
      <c r="AZ10" s="62">
        <f>-'5C1M_GEO Mid'!AX10</f>
        <v>0</v>
      </c>
      <c r="BA10" s="62">
        <f>-'5C1N_Delta'!AX10</f>
        <v>0</v>
      </c>
      <c r="BB10" s="62">
        <f>-'5C1O_Impact'!AX10</f>
        <v>0</v>
      </c>
      <c r="BC10" s="62">
        <f>-'5C1Q_Advantage'!AX10</f>
        <v>0</v>
      </c>
      <c r="BD10" s="62">
        <f>-'5C1R_Iberville'!AX10</f>
        <v>-37</v>
      </c>
      <c r="BE10" s="62">
        <f>-'5C1S_LC Col Prep'!AX10</f>
        <v>0</v>
      </c>
      <c r="BF10" s="62">
        <f>-'5C1T_Northeast'!AX10</f>
        <v>0</v>
      </c>
      <c r="BG10" s="62">
        <f>-'5C1U_Acadiana Ren'!AX10</f>
        <v>-41</v>
      </c>
      <c r="BH10" s="62">
        <f>-'5C1V_Laf Ren'!AX10</f>
        <v>0</v>
      </c>
      <c r="BI10" s="62">
        <f>-'5C1W_Willow'!AX10</f>
        <v>0</v>
      </c>
      <c r="BJ10" s="62">
        <f>-'5C1Y_GEO'!AX10</f>
        <v>0</v>
      </c>
      <c r="BK10" s="62">
        <f>-'5C1Z_Lincoln Prep'!AX10</f>
        <v>0</v>
      </c>
      <c r="BL10" s="62">
        <f>-'5C1AE_Noble Minds'!AX10</f>
        <v>0</v>
      </c>
      <c r="BM10" s="62">
        <f>-'5C1AF_JCFA-Laf'!AX10</f>
        <v>0</v>
      </c>
      <c r="BN10" s="62">
        <f>-'5C1AG_Collegiate'!AX10</f>
        <v>0</v>
      </c>
      <c r="BO10" s="62">
        <f>-'5C1AH_BRUP'!AX10</f>
        <v>0</v>
      </c>
      <c r="BP10" s="62">
        <f>-'5C1AI_Harmony'!$AX10</f>
        <v>0</v>
      </c>
      <c r="BQ10" s="62">
        <f>-'5C1AJ_Athlos'!$AX10</f>
        <v>0</v>
      </c>
      <c r="BR10" s="62">
        <f>-'5C1AK_NxtGen'!$AX10</f>
        <v>0</v>
      </c>
      <c r="BS10" s="62">
        <f>-'5C1AL_Red River'!$AX10</f>
        <v>0</v>
      </c>
      <c r="BT10" s="62">
        <f>-'5C2_LAVCA'!AY10</f>
        <v>-1</v>
      </c>
      <c r="BU10" s="62">
        <f>-'5C3_UnvView'!AY10</f>
        <v>-86</v>
      </c>
      <c r="BV10" s="62">
        <f t="shared" si="5"/>
        <v>-165</v>
      </c>
      <c r="BW10" s="327">
        <f t="shared" si="6"/>
        <v>1574186</v>
      </c>
    </row>
    <row r="11" spans="1:75" s="8" customFormat="1" ht="15.75" customHeight="1" x14ac:dyDescent="0.2">
      <c r="A11" s="314">
        <v>5</v>
      </c>
      <c r="B11" s="315" t="s">
        <v>8</v>
      </c>
      <c r="C11" s="316">
        <f>'2_State Distrib and Adjs'!BB11</f>
        <v>2597812</v>
      </c>
      <c r="D11" s="316">
        <f>-'5A3_OJJ'!S11</f>
        <v>-886</v>
      </c>
      <c r="E11" s="316"/>
      <c r="F11" s="316">
        <f>-'5C1A_Madison'!AS11</f>
        <v>0</v>
      </c>
      <c r="G11" s="316">
        <f>-'5C1B_DArbonne'!AS11</f>
        <v>0</v>
      </c>
      <c r="H11" s="316">
        <f>-'5C1C_Intl High'!AS11</f>
        <v>0</v>
      </c>
      <c r="I11" s="316">
        <f>-'5C1D_NOMMA'!AS11</f>
        <v>0</v>
      </c>
      <c r="J11" s="316">
        <f>-'5C1E_LFNO'!AS11</f>
        <v>0</v>
      </c>
      <c r="K11" s="316">
        <f>-'5C1F_L.C. Charter'!AS11</f>
        <v>0</v>
      </c>
      <c r="L11" s="316">
        <f>-'5C1G_JS Clark'!AS11</f>
        <v>0</v>
      </c>
      <c r="M11" s="316">
        <f>-'5C1H_Southwest'!AS11</f>
        <v>0</v>
      </c>
      <c r="N11" s="316">
        <f>-'5C1I_LA Key'!AS11</f>
        <v>0</v>
      </c>
      <c r="O11" s="316">
        <f>-'5C1J_JCFA-East'!AS11</f>
        <v>0</v>
      </c>
      <c r="P11" s="316">
        <f>-'5C1M_GEO Mid'!AS11</f>
        <v>0</v>
      </c>
      <c r="Q11" s="316">
        <f>-'5C1N_Delta'!AS11</f>
        <v>0</v>
      </c>
      <c r="R11" s="316">
        <f>-'5C1O_Impact'!AS11</f>
        <v>0</v>
      </c>
      <c r="S11" s="316">
        <f>-'5C1Q_Advantage'!AS11</f>
        <v>0</v>
      </c>
      <c r="T11" s="316">
        <f>-'5C1R_Iberville'!AS11</f>
        <v>0</v>
      </c>
      <c r="U11" s="316">
        <f>-'5C1S_LC Col Prep'!AS11</f>
        <v>0</v>
      </c>
      <c r="V11" s="316">
        <f>-'5C1T_Northeast'!AS11</f>
        <v>0</v>
      </c>
      <c r="W11" s="316">
        <f>-'5C1U_Acadiana Ren'!AS11</f>
        <v>0</v>
      </c>
      <c r="X11" s="316">
        <f>-'5C1V_Laf Ren'!AS11</f>
        <v>0</v>
      </c>
      <c r="Y11" s="316">
        <f>-'5C1W_Willow'!AS11</f>
        <v>0</v>
      </c>
      <c r="Z11" s="316">
        <f>-'5C1Y_GEO'!AS11</f>
        <v>0</v>
      </c>
      <c r="AA11" s="316">
        <f>-'5C1Z_Lincoln Prep'!AS11</f>
        <v>0</v>
      </c>
      <c r="AB11" s="316">
        <f>-'5C1AE_Noble Minds'!$AS11</f>
        <v>0</v>
      </c>
      <c r="AC11" s="316">
        <f>-'5C1AF_JCFA-Laf'!$AS11</f>
        <v>0</v>
      </c>
      <c r="AD11" s="316">
        <f>-'5C1AG_Collegiate'!$AS11</f>
        <v>0</v>
      </c>
      <c r="AE11" s="316">
        <f>-'5C1AH_BRUP'!$AS11</f>
        <v>0</v>
      </c>
      <c r="AF11" s="586">
        <f>-'5C1AI_Harmony'!$AS11</f>
        <v>0</v>
      </c>
      <c r="AG11" s="586">
        <f>-'5C1AJ_Athlos'!$AS11</f>
        <v>0</v>
      </c>
      <c r="AH11" s="781">
        <f>-'5C1AK_NxtGen'!$AS11</f>
        <v>0</v>
      </c>
      <c r="AI11" s="781">
        <f>-'5C1AL_Red River'!$AS11</f>
        <v>-63182</v>
      </c>
      <c r="AJ11" s="316">
        <f>-'5C2_LAVCA'!AT11</f>
        <v>-4260</v>
      </c>
      <c r="AK11" s="316">
        <f>-'5C3_UnvView'!AT11</f>
        <v>-7124</v>
      </c>
      <c r="AL11" s="317">
        <f t="shared" si="3"/>
        <v>-75452</v>
      </c>
      <c r="AM11" s="318">
        <f t="shared" si="4"/>
        <v>2522360</v>
      </c>
      <c r="AN11" s="316"/>
      <c r="AO11" s="316"/>
      <c r="AP11" s="316">
        <f>-'5C1A_Madison'!AX11</f>
        <v>0</v>
      </c>
      <c r="AQ11" s="316">
        <f>-'5C1B_DArbonne'!AX11</f>
        <v>0</v>
      </c>
      <c r="AR11" s="316">
        <f>-'5C1C_Intl High'!AX11</f>
        <v>0</v>
      </c>
      <c r="AS11" s="316">
        <f>-'5C1D_NOMMA'!AX11</f>
        <v>0</v>
      </c>
      <c r="AT11" s="316">
        <f>-'5C1E_LFNO'!AX11</f>
        <v>0</v>
      </c>
      <c r="AU11" s="316">
        <f>-'5C1F_L.C. Charter'!AX11</f>
        <v>0</v>
      </c>
      <c r="AV11" s="316">
        <f>-'5C1G_JS Clark'!AX11</f>
        <v>0</v>
      </c>
      <c r="AW11" s="316">
        <f>-'5C1H_Southwest'!AX11</f>
        <v>0</v>
      </c>
      <c r="AX11" s="316">
        <f>-'5C1I_LA Key'!AX11</f>
        <v>0</v>
      </c>
      <c r="AY11" s="316">
        <f>-'5C1J_JCFA-East'!AX11</f>
        <v>0</v>
      </c>
      <c r="AZ11" s="316">
        <f>-'5C1M_GEO Mid'!AX11</f>
        <v>0</v>
      </c>
      <c r="BA11" s="316">
        <f>-'5C1N_Delta'!AX11</f>
        <v>0</v>
      </c>
      <c r="BB11" s="316">
        <f>-'5C1O_Impact'!AX11</f>
        <v>0</v>
      </c>
      <c r="BC11" s="316">
        <f>-'5C1Q_Advantage'!AX11</f>
        <v>0</v>
      </c>
      <c r="BD11" s="316">
        <f>-'5C1R_Iberville'!AX11</f>
        <v>0</v>
      </c>
      <c r="BE11" s="316">
        <f>-'5C1S_LC Col Prep'!AX11</f>
        <v>0</v>
      </c>
      <c r="BF11" s="316">
        <f>-'5C1T_Northeast'!AX11</f>
        <v>0</v>
      </c>
      <c r="BG11" s="316">
        <f>-'5C1U_Acadiana Ren'!AX11</f>
        <v>0</v>
      </c>
      <c r="BH11" s="316">
        <f>-'5C1V_Laf Ren'!AX11</f>
        <v>0</v>
      </c>
      <c r="BI11" s="316">
        <f>-'5C1W_Willow'!AX11</f>
        <v>0</v>
      </c>
      <c r="BJ11" s="316">
        <f>-'5C1Y_GEO'!AX11</f>
        <v>0</v>
      </c>
      <c r="BK11" s="316">
        <f>-'5C1Z_Lincoln Prep'!AX11</f>
        <v>0</v>
      </c>
      <c r="BL11" s="316">
        <f>-'5C1AE_Noble Minds'!AX11</f>
        <v>0</v>
      </c>
      <c r="BM11" s="316">
        <f>-'5C1AF_JCFA-Laf'!AX11</f>
        <v>0</v>
      </c>
      <c r="BN11" s="316">
        <f>-'5C1AG_Collegiate'!AX11</f>
        <v>0</v>
      </c>
      <c r="BO11" s="316">
        <f>-'5C1AH_BRUP'!AX11</f>
        <v>0</v>
      </c>
      <c r="BP11" s="586">
        <f>-'5C1AI_Harmony'!$AX11</f>
        <v>0</v>
      </c>
      <c r="BQ11" s="586">
        <f>-'5C1AJ_Athlos'!$AX11</f>
        <v>0</v>
      </c>
      <c r="BR11" s="781">
        <f>-'5C1AK_NxtGen'!$AX11</f>
        <v>0</v>
      </c>
      <c r="BS11" s="781">
        <f>-'5C1AL_Red River'!$AX11</f>
        <v>-598</v>
      </c>
      <c r="BT11" s="316">
        <f>-'5C2_LAVCA'!AY11</f>
        <v>-15</v>
      </c>
      <c r="BU11" s="316">
        <f>-'5C3_UnvView'!AY11</f>
        <v>-13</v>
      </c>
      <c r="BV11" s="316">
        <f t="shared" si="5"/>
        <v>-626</v>
      </c>
      <c r="BW11" s="318">
        <f t="shared" si="6"/>
        <v>2521734</v>
      </c>
    </row>
    <row r="12" spans="1:75" s="8" customFormat="1" ht="15.75" customHeight="1" x14ac:dyDescent="0.2">
      <c r="A12" s="324">
        <v>6</v>
      </c>
      <c r="B12" s="325" t="s">
        <v>9</v>
      </c>
      <c r="C12" s="62">
        <f>'2_State Distrib and Adjs'!BB12</f>
        <v>2956541</v>
      </c>
      <c r="D12" s="62">
        <f>-'5A3_OJJ'!S12</f>
        <v>-344</v>
      </c>
      <c r="E12" s="62"/>
      <c r="F12" s="62">
        <f>-'5C1A_Madison'!AS12</f>
        <v>0</v>
      </c>
      <c r="G12" s="62">
        <f>-'5C1B_DArbonne'!AS12</f>
        <v>0</v>
      </c>
      <c r="H12" s="62">
        <f>-'5C1C_Intl High'!AS12</f>
        <v>0</v>
      </c>
      <c r="I12" s="62">
        <f>-'5C1D_NOMMA'!AS12</f>
        <v>0</v>
      </c>
      <c r="J12" s="62">
        <f>-'5C1E_LFNO'!AS12</f>
        <v>0</v>
      </c>
      <c r="K12" s="62">
        <f>-'5C1F_L.C. Charter'!AS12</f>
        <v>-1656</v>
      </c>
      <c r="L12" s="62">
        <f>-'5C1G_JS Clark'!AS12</f>
        <v>0</v>
      </c>
      <c r="M12" s="62">
        <f>-'5C1H_Southwest'!AS12</f>
        <v>0</v>
      </c>
      <c r="N12" s="62">
        <f>-'5C1I_LA Key'!AS12</f>
        <v>0</v>
      </c>
      <c r="O12" s="62">
        <f>-'5C1J_JCFA-East'!AS12</f>
        <v>0</v>
      </c>
      <c r="P12" s="62">
        <f>-'5C1M_GEO Mid'!AS12</f>
        <v>0</v>
      </c>
      <c r="Q12" s="62">
        <f>-'5C1N_Delta'!AS12</f>
        <v>0</v>
      </c>
      <c r="R12" s="62">
        <f>-'5C1O_Impact'!AS12</f>
        <v>0</v>
      </c>
      <c r="S12" s="62">
        <f>-'5C1Q_Advantage'!AS12</f>
        <v>0</v>
      </c>
      <c r="T12" s="62">
        <f>-'5C1R_Iberville'!AS12</f>
        <v>0</v>
      </c>
      <c r="U12" s="62">
        <f>-'5C1S_LC Col Prep'!AS12</f>
        <v>0</v>
      </c>
      <c r="V12" s="62">
        <f>-'5C1T_Northeast'!AS12</f>
        <v>0</v>
      </c>
      <c r="W12" s="62">
        <f>-'5C1U_Acadiana Ren'!AS12</f>
        <v>0</v>
      </c>
      <c r="X12" s="62">
        <f>-'5C1V_Laf Ren'!AS12</f>
        <v>0</v>
      </c>
      <c r="Y12" s="62">
        <f>-'5C1W_Willow'!AS12</f>
        <v>0</v>
      </c>
      <c r="Z12" s="62">
        <f>-'5C1Y_GEO'!AS12</f>
        <v>0</v>
      </c>
      <c r="AA12" s="62">
        <f>-'5C1Z_Lincoln Prep'!AS12</f>
        <v>0</v>
      </c>
      <c r="AB12" s="62">
        <f>-'5C1AE_Noble Minds'!$AS12</f>
        <v>0</v>
      </c>
      <c r="AC12" s="62">
        <f>-'5C1AF_JCFA-Laf'!$AS12</f>
        <v>0</v>
      </c>
      <c r="AD12" s="62">
        <f>-'5C1AG_Collegiate'!$AS12</f>
        <v>0</v>
      </c>
      <c r="AE12" s="62">
        <f>-'5C1AH_BRUP'!$AS12</f>
        <v>0</v>
      </c>
      <c r="AF12" s="62">
        <f>-'5C1AI_Harmony'!$AS12</f>
        <v>0</v>
      </c>
      <c r="AG12" s="62">
        <f>-'5C1AJ_Athlos'!$AS12</f>
        <v>0</v>
      </c>
      <c r="AH12" s="62">
        <f>-'5C1AK_NxtGen'!$AS12</f>
        <v>0</v>
      </c>
      <c r="AI12" s="62">
        <f>-'5C1AL_Red River'!$AS12</f>
        <v>0</v>
      </c>
      <c r="AJ12" s="62">
        <f>-'5C2_LAVCA'!AT12</f>
        <v>-3618</v>
      </c>
      <c r="AK12" s="62">
        <f>-'5C3_UnvView'!AT12</f>
        <v>-5625</v>
      </c>
      <c r="AL12" s="326">
        <f t="shared" si="3"/>
        <v>-11243</v>
      </c>
      <c r="AM12" s="327">
        <f t="shared" si="4"/>
        <v>2945298</v>
      </c>
      <c r="AN12" s="62"/>
      <c r="AO12" s="62"/>
      <c r="AP12" s="62">
        <f>-'5C1A_Madison'!AX12</f>
        <v>0</v>
      </c>
      <c r="AQ12" s="62">
        <f>-'5C1B_DArbonne'!AX12</f>
        <v>0</v>
      </c>
      <c r="AR12" s="62">
        <f>-'5C1C_Intl High'!AX12</f>
        <v>0</v>
      </c>
      <c r="AS12" s="62">
        <f>-'5C1D_NOMMA'!AX12</f>
        <v>0</v>
      </c>
      <c r="AT12" s="62">
        <f>-'5C1E_LFNO'!AX12</f>
        <v>0</v>
      </c>
      <c r="AU12" s="62">
        <f>-'5C1F_L.C. Charter'!AX12</f>
        <v>-25</v>
      </c>
      <c r="AV12" s="62">
        <f>-'5C1G_JS Clark'!AX12</f>
        <v>0</v>
      </c>
      <c r="AW12" s="62">
        <f>-'5C1H_Southwest'!AX12</f>
        <v>0</v>
      </c>
      <c r="AX12" s="62">
        <f>-'5C1I_LA Key'!AX12</f>
        <v>0</v>
      </c>
      <c r="AY12" s="62">
        <f>-'5C1J_JCFA-East'!AX12</f>
        <v>0</v>
      </c>
      <c r="AZ12" s="62">
        <f>-'5C1M_GEO Mid'!AX12</f>
        <v>0</v>
      </c>
      <c r="BA12" s="62">
        <f>-'5C1N_Delta'!AX12</f>
        <v>0</v>
      </c>
      <c r="BB12" s="62">
        <f>-'5C1O_Impact'!AX12</f>
        <v>0</v>
      </c>
      <c r="BC12" s="62">
        <f>-'5C1Q_Advantage'!AX12</f>
        <v>0</v>
      </c>
      <c r="BD12" s="62">
        <f>-'5C1R_Iberville'!AX12</f>
        <v>0</v>
      </c>
      <c r="BE12" s="62">
        <f>-'5C1S_LC Col Prep'!AX12</f>
        <v>0</v>
      </c>
      <c r="BF12" s="62">
        <f>-'5C1T_Northeast'!AX12</f>
        <v>0</v>
      </c>
      <c r="BG12" s="62">
        <f>-'5C1U_Acadiana Ren'!AX12</f>
        <v>0</v>
      </c>
      <c r="BH12" s="62">
        <f>-'5C1V_Laf Ren'!AX12</f>
        <v>0</v>
      </c>
      <c r="BI12" s="62">
        <f>-'5C1W_Willow'!AX12</f>
        <v>0</v>
      </c>
      <c r="BJ12" s="62">
        <f>-'5C1Y_GEO'!AX12</f>
        <v>0</v>
      </c>
      <c r="BK12" s="62">
        <f>-'5C1Z_Lincoln Prep'!AX12</f>
        <v>0</v>
      </c>
      <c r="BL12" s="62">
        <f>-'5C1AE_Noble Minds'!AX12</f>
        <v>0</v>
      </c>
      <c r="BM12" s="62">
        <f>-'5C1AF_JCFA-Laf'!AX12</f>
        <v>0</v>
      </c>
      <c r="BN12" s="62">
        <f>-'5C1AG_Collegiate'!AX12</f>
        <v>0</v>
      </c>
      <c r="BO12" s="62">
        <f>-'5C1AH_BRUP'!AX12</f>
        <v>0</v>
      </c>
      <c r="BP12" s="62">
        <f>-'5C1AI_Harmony'!$AX12</f>
        <v>0</v>
      </c>
      <c r="BQ12" s="62">
        <f>-'5C1AJ_Athlos'!$AX12</f>
        <v>0</v>
      </c>
      <c r="BR12" s="62">
        <f>-'5C1AK_NxtGen'!$AX12</f>
        <v>0</v>
      </c>
      <c r="BS12" s="62">
        <f>-'5C1AL_Red River'!$AX12</f>
        <v>0</v>
      </c>
      <c r="BT12" s="62">
        <f>-'5C2_LAVCA'!AY12</f>
        <v>71</v>
      </c>
      <c r="BU12" s="62">
        <f>-'5C3_UnvView'!AY12</f>
        <v>-35</v>
      </c>
      <c r="BV12" s="62">
        <f t="shared" si="5"/>
        <v>11</v>
      </c>
      <c r="BW12" s="327">
        <f t="shared" si="6"/>
        <v>2945309</v>
      </c>
    </row>
    <row r="13" spans="1:75" s="8" customFormat="1" ht="15.75" customHeight="1" x14ac:dyDescent="0.2">
      <c r="A13" s="324">
        <v>7</v>
      </c>
      <c r="B13" s="325" t="s">
        <v>10</v>
      </c>
      <c r="C13" s="62">
        <f>'2_State Distrib and Adjs'!BB13</f>
        <v>672629</v>
      </c>
      <c r="D13" s="62">
        <f>-'5A3_OJJ'!S13</f>
        <v>-390</v>
      </c>
      <c r="E13" s="62"/>
      <c r="F13" s="62">
        <f>-'5C1A_Madison'!AS13</f>
        <v>0</v>
      </c>
      <c r="G13" s="62">
        <f>-'5C1B_DArbonne'!AS13</f>
        <v>1277</v>
      </c>
      <c r="H13" s="62">
        <f>-'5C1C_Intl High'!AS13</f>
        <v>0</v>
      </c>
      <c r="I13" s="62">
        <f>-'5C1D_NOMMA'!AS13</f>
        <v>0</v>
      </c>
      <c r="J13" s="62">
        <f>-'5C1E_LFNO'!AS13</f>
        <v>0</v>
      </c>
      <c r="K13" s="62">
        <f>-'5C1F_L.C. Charter'!AS13</f>
        <v>0</v>
      </c>
      <c r="L13" s="62">
        <f>-'5C1G_JS Clark'!AS13</f>
        <v>0</v>
      </c>
      <c r="M13" s="62">
        <f>-'5C1H_Southwest'!AS13</f>
        <v>0</v>
      </c>
      <c r="N13" s="62">
        <f>-'5C1I_LA Key'!AS13</f>
        <v>0</v>
      </c>
      <c r="O13" s="62">
        <f>-'5C1J_JCFA-East'!AS13</f>
        <v>0</v>
      </c>
      <c r="P13" s="62">
        <f>-'5C1M_GEO Mid'!AS13</f>
        <v>0</v>
      </c>
      <c r="Q13" s="62">
        <f>-'5C1N_Delta'!AS13</f>
        <v>0</v>
      </c>
      <c r="R13" s="62">
        <f>-'5C1O_Impact'!AS13</f>
        <v>0</v>
      </c>
      <c r="S13" s="62">
        <f>-'5C1Q_Advantage'!AS13</f>
        <v>0</v>
      </c>
      <c r="T13" s="62">
        <f>-'5C1R_Iberville'!AS13</f>
        <v>0</v>
      </c>
      <c r="U13" s="62">
        <f>-'5C1S_LC Col Prep'!AS13</f>
        <v>0</v>
      </c>
      <c r="V13" s="62">
        <f>-'5C1T_Northeast'!AS13</f>
        <v>0</v>
      </c>
      <c r="W13" s="62">
        <f>-'5C1U_Acadiana Ren'!AS13</f>
        <v>0</v>
      </c>
      <c r="X13" s="62">
        <f>-'5C1V_Laf Ren'!AS13</f>
        <v>0</v>
      </c>
      <c r="Y13" s="62">
        <f>-'5C1W_Willow'!AS13</f>
        <v>0</v>
      </c>
      <c r="Z13" s="62">
        <f>-'5C1Y_GEO'!AS13</f>
        <v>0</v>
      </c>
      <c r="AA13" s="62">
        <f>-'5C1Z_Lincoln Prep'!AS13</f>
        <v>-23160</v>
      </c>
      <c r="AB13" s="62">
        <f>-'5C1AE_Noble Minds'!$AS13</f>
        <v>0</v>
      </c>
      <c r="AC13" s="62">
        <f>-'5C1AF_JCFA-Laf'!$AS13</f>
        <v>0</v>
      </c>
      <c r="AD13" s="62">
        <f>-'5C1AG_Collegiate'!$AS13</f>
        <v>0</v>
      </c>
      <c r="AE13" s="62">
        <f>-'5C1AH_BRUP'!$AS13</f>
        <v>0</v>
      </c>
      <c r="AF13" s="62">
        <f>-'5C1AI_Harmony'!$AS13</f>
        <v>0</v>
      </c>
      <c r="AG13" s="62">
        <f>-'5C1AJ_Athlos'!$AS13</f>
        <v>0</v>
      </c>
      <c r="AH13" s="62">
        <f>-'5C1AK_NxtGen'!$AS13</f>
        <v>0</v>
      </c>
      <c r="AI13" s="62">
        <f>-'5C1AL_Red River'!$AS13</f>
        <v>0</v>
      </c>
      <c r="AJ13" s="62">
        <f>-'5C2_LAVCA'!AT13</f>
        <v>-2641</v>
      </c>
      <c r="AK13" s="62">
        <f>-'5C3_UnvView'!AT13</f>
        <v>-10878</v>
      </c>
      <c r="AL13" s="326">
        <f t="shared" si="3"/>
        <v>-35792</v>
      </c>
      <c r="AM13" s="327">
        <f t="shared" si="4"/>
        <v>636837</v>
      </c>
      <c r="AN13" s="62"/>
      <c r="AO13" s="62"/>
      <c r="AP13" s="62">
        <f>-'5C1A_Madison'!AX13</f>
        <v>0</v>
      </c>
      <c r="AQ13" s="62">
        <f>-'5C1B_DArbonne'!AX13</f>
        <v>39</v>
      </c>
      <c r="AR13" s="62">
        <f>-'5C1C_Intl High'!AX13</f>
        <v>0</v>
      </c>
      <c r="AS13" s="62">
        <f>-'5C1D_NOMMA'!AX13</f>
        <v>0</v>
      </c>
      <c r="AT13" s="62">
        <f>-'5C1E_LFNO'!AX13</f>
        <v>0</v>
      </c>
      <c r="AU13" s="62">
        <f>-'5C1F_L.C. Charter'!AX13</f>
        <v>0</v>
      </c>
      <c r="AV13" s="62">
        <f>-'5C1G_JS Clark'!AX13</f>
        <v>0</v>
      </c>
      <c r="AW13" s="62">
        <f>-'5C1H_Southwest'!AX13</f>
        <v>0</v>
      </c>
      <c r="AX13" s="62">
        <f>-'5C1I_LA Key'!AX13</f>
        <v>0</v>
      </c>
      <c r="AY13" s="62">
        <f>-'5C1J_JCFA-East'!AX13</f>
        <v>0</v>
      </c>
      <c r="AZ13" s="62">
        <f>-'5C1M_GEO Mid'!AX13</f>
        <v>0</v>
      </c>
      <c r="BA13" s="62">
        <f>-'5C1N_Delta'!AX13</f>
        <v>0</v>
      </c>
      <c r="BB13" s="62">
        <f>-'5C1O_Impact'!AX13</f>
        <v>0</v>
      </c>
      <c r="BC13" s="62">
        <f>-'5C1Q_Advantage'!AX13</f>
        <v>0</v>
      </c>
      <c r="BD13" s="62">
        <f>-'5C1R_Iberville'!AX13</f>
        <v>0</v>
      </c>
      <c r="BE13" s="62">
        <f>-'5C1S_LC Col Prep'!AX13</f>
        <v>0</v>
      </c>
      <c r="BF13" s="62">
        <f>-'5C1T_Northeast'!AX13</f>
        <v>0</v>
      </c>
      <c r="BG13" s="62">
        <f>-'5C1U_Acadiana Ren'!AX13</f>
        <v>0</v>
      </c>
      <c r="BH13" s="62">
        <f>-'5C1V_Laf Ren'!AX13</f>
        <v>0</v>
      </c>
      <c r="BI13" s="62">
        <f>-'5C1W_Willow'!AX13</f>
        <v>0</v>
      </c>
      <c r="BJ13" s="62">
        <f>-'5C1Y_GEO'!AX13</f>
        <v>0</v>
      </c>
      <c r="BK13" s="62">
        <f>-'5C1Z_Lincoln Prep'!AX13</f>
        <v>149</v>
      </c>
      <c r="BL13" s="62">
        <f>-'5C1AE_Noble Minds'!AX13</f>
        <v>0</v>
      </c>
      <c r="BM13" s="62">
        <f>-'5C1AF_JCFA-Laf'!AX13</f>
        <v>0</v>
      </c>
      <c r="BN13" s="62">
        <f>-'5C1AG_Collegiate'!AX13</f>
        <v>0</v>
      </c>
      <c r="BO13" s="62">
        <f>-'5C1AH_BRUP'!AX13</f>
        <v>0</v>
      </c>
      <c r="BP13" s="62">
        <f>-'5C1AI_Harmony'!$AX13</f>
        <v>0</v>
      </c>
      <c r="BQ13" s="62">
        <f>-'5C1AJ_Athlos'!$AX13</f>
        <v>0</v>
      </c>
      <c r="BR13" s="62">
        <f>-'5C1AK_NxtGen'!$AX13</f>
        <v>0</v>
      </c>
      <c r="BS13" s="62">
        <f>-'5C1AL_Red River'!$AX13</f>
        <v>0</v>
      </c>
      <c r="BT13" s="62">
        <f>-'5C2_LAVCA'!AY13</f>
        <v>65</v>
      </c>
      <c r="BU13" s="62">
        <f>-'5C3_UnvView'!AY13</f>
        <v>-66</v>
      </c>
      <c r="BV13" s="62">
        <f t="shared" si="5"/>
        <v>187</v>
      </c>
      <c r="BW13" s="327">
        <f t="shared" si="6"/>
        <v>637024</v>
      </c>
    </row>
    <row r="14" spans="1:75" s="8" customFormat="1" ht="15.75" customHeight="1" x14ac:dyDescent="0.2">
      <c r="A14" s="324">
        <v>8</v>
      </c>
      <c r="B14" s="325" t="s">
        <v>11</v>
      </c>
      <c r="C14" s="62">
        <f>'2_State Distrib and Adjs'!BB14</f>
        <v>11063384</v>
      </c>
      <c r="D14" s="62">
        <f>-'5A3_OJJ'!S14</f>
        <v>-553</v>
      </c>
      <c r="E14" s="62"/>
      <c r="F14" s="62">
        <f>-'5C1A_Madison'!AS14</f>
        <v>0</v>
      </c>
      <c r="G14" s="62">
        <f>-'5C1B_DArbonne'!AS14</f>
        <v>0</v>
      </c>
      <c r="H14" s="62">
        <f>-'5C1C_Intl High'!AS14</f>
        <v>0</v>
      </c>
      <c r="I14" s="62">
        <f>-'5C1D_NOMMA'!AS14</f>
        <v>0</v>
      </c>
      <c r="J14" s="62">
        <f>-'5C1E_LFNO'!AS14</f>
        <v>0</v>
      </c>
      <c r="K14" s="62">
        <f>-'5C1F_L.C. Charter'!AS14</f>
        <v>0</v>
      </c>
      <c r="L14" s="62">
        <f>-'5C1G_JS Clark'!AS14</f>
        <v>0</v>
      </c>
      <c r="M14" s="62">
        <f>-'5C1H_Southwest'!AS14</f>
        <v>0</v>
      </c>
      <c r="N14" s="62">
        <f>-'5C1I_LA Key'!AS14</f>
        <v>0</v>
      </c>
      <c r="O14" s="62">
        <f>-'5C1J_JCFA-East'!AS14</f>
        <v>0</v>
      </c>
      <c r="P14" s="62">
        <f>-'5C1M_GEO Mid'!AS14</f>
        <v>0</v>
      </c>
      <c r="Q14" s="62">
        <f>-'5C1N_Delta'!AS14</f>
        <v>0</v>
      </c>
      <c r="R14" s="62">
        <f>-'5C1O_Impact'!AS14</f>
        <v>0</v>
      </c>
      <c r="S14" s="62">
        <f>-'5C1Q_Advantage'!AS14</f>
        <v>0</v>
      </c>
      <c r="T14" s="62">
        <f>-'5C1R_Iberville'!AS14</f>
        <v>0</v>
      </c>
      <c r="U14" s="62">
        <f>-'5C1S_LC Col Prep'!AS14</f>
        <v>0</v>
      </c>
      <c r="V14" s="62">
        <f>-'5C1T_Northeast'!AS14</f>
        <v>0</v>
      </c>
      <c r="W14" s="62">
        <f>-'5C1U_Acadiana Ren'!AS14</f>
        <v>0</v>
      </c>
      <c r="X14" s="62">
        <f>-'5C1V_Laf Ren'!AS14</f>
        <v>0</v>
      </c>
      <c r="Y14" s="62">
        <f>-'5C1W_Willow'!AS14</f>
        <v>0</v>
      </c>
      <c r="Z14" s="62">
        <f>-'5C1Y_GEO'!AS14</f>
        <v>0</v>
      </c>
      <c r="AA14" s="62">
        <f>-'5C1Z_Lincoln Prep'!AS14</f>
        <v>0</v>
      </c>
      <c r="AB14" s="62">
        <f>-'5C1AE_Noble Minds'!$AS14</f>
        <v>0</v>
      </c>
      <c r="AC14" s="62">
        <f>-'5C1AF_JCFA-Laf'!$AS14</f>
        <v>0</v>
      </c>
      <c r="AD14" s="62">
        <f>-'5C1AG_Collegiate'!$AS14</f>
        <v>0</v>
      </c>
      <c r="AE14" s="62">
        <f>-'5C1AH_BRUP'!$AS14</f>
        <v>0</v>
      </c>
      <c r="AF14" s="62">
        <f>-'5C1AI_Harmony'!$AS14</f>
        <v>0</v>
      </c>
      <c r="AG14" s="62">
        <f>-'5C1AJ_Athlos'!$AS14</f>
        <v>0</v>
      </c>
      <c r="AH14" s="62">
        <f>-'5C1AK_NxtGen'!$AS14</f>
        <v>0</v>
      </c>
      <c r="AI14" s="62">
        <f>-'5C1AL_Red River'!$AS14</f>
        <v>0</v>
      </c>
      <c r="AJ14" s="62">
        <f>-'5C2_LAVCA'!AT14</f>
        <v>-33626</v>
      </c>
      <c r="AK14" s="62">
        <f>-'5C3_UnvView'!AT14</f>
        <v>-23095</v>
      </c>
      <c r="AL14" s="326">
        <f t="shared" si="3"/>
        <v>-57274</v>
      </c>
      <c r="AM14" s="327">
        <f t="shared" si="4"/>
        <v>11006110</v>
      </c>
      <c r="AN14" s="62"/>
      <c r="AO14" s="62"/>
      <c r="AP14" s="62">
        <f>-'5C1A_Madison'!AX14</f>
        <v>0</v>
      </c>
      <c r="AQ14" s="62">
        <f>-'5C1B_DArbonne'!AX14</f>
        <v>0</v>
      </c>
      <c r="AR14" s="62">
        <f>-'5C1C_Intl High'!AX14</f>
        <v>0</v>
      </c>
      <c r="AS14" s="62">
        <f>-'5C1D_NOMMA'!AX14</f>
        <v>0</v>
      </c>
      <c r="AT14" s="62">
        <f>-'5C1E_LFNO'!AX14</f>
        <v>0</v>
      </c>
      <c r="AU14" s="62">
        <f>-'5C1F_L.C. Charter'!AX14</f>
        <v>0</v>
      </c>
      <c r="AV14" s="62">
        <f>-'5C1G_JS Clark'!AX14</f>
        <v>0</v>
      </c>
      <c r="AW14" s="62">
        <f>-'5C1H_Southwest'!AX14</f>
        <v>0</v>
      </c>
      <c r="AX14" s="62">
        <f>-'5C1I_LA Key'!AX14</f>
        <v>0</v>
      </c>
      <c r="AY14" s="62">
        <f>-'5C1J_JCFA-East'!AX14</f>
        <v>0</v>
      </c>
      <c r="AZ14" s="62">
        <f>-'5C1M_GEO Mid'!AX14</f>
        <v>0</v>
      </c>
      <c r="BA14" s="62">
        <f>-'5C1N_Delta'!AX14</f>
        <v>0</v>
      </c>
      <c r="BB14" s="62">
        <f>-'5C1O_Impact'!AX14</f>
        <v>0</v>
      </c>
      <c r="BC14" s="62">
        <f>-'5C1Q_Advantage'!AX14</f>
        <v>0</v>
      </c>
      <c r="BD14" s="62">
        <f>-'5C1R_Iberville'!AX14</f>
        <v>0</v>
      </c>
      <c r="BE14" s="62">
        <f>-'5C1S_LC Col Prep'!AX14</f>
        <v>0</v>
      </c>
      <c r="BF14" s="62">
        <f>-'5C1T_Northeast'!AX14</f>
        <v>0</v>
      </c>
      <c r="BG14" s="62">
        <f>-'5C1U_Acadiana Ren'!AX14</f>
        <v>0</v>
      </c>
      <c r="BH14" s="62">
        <f>-'5C1V_Laf Ren'!AX14</f>
        <v>0</v>
      </c>
      <c r="BI14" s="62">
        <f>-'5C1W_Willow'!AX14</f>
        <v>0</v>
      </c>
      <c r="BJ14" s="62">
        <f>-'5C1Y_GEO'!AX14</f>
        <v>0</v>
      </c>
      <c r="BK14" s="62">
        <f>-'5C1Z_Lincoln Prep'!AX14</f>
        <v>0</v>
      </c>
      <c r="BL14" s="62">
        <f>-'5C1AE_Noble Minds'!AX14</f>
        <v>0</v>
      </c>
      <c r="BM14" s="62">
        <f>-'5C1AF_JCFA-Laf'!AX14</f>
        <v>0</v>
      </c>
      <c r="BN14" s="62">
        <f>-'5C1AG_Collegiate'!AX14</f>
        <v>0</v>
      </c>
      <c r="BO14" s="62">
        <f>-'5C1AH_BRUP'!AX14</f>
        <v>0</v>
      </c>
      <c r="BP14" s="62">
        <f>-'5C1AI_Harmony'!$AX14</f>
        <v>0</v>
      </c>
      <c r="BQ14" s="62">
        <f>-'5C1AJ_Athlos'!$AX14</f>
        <v>0</v>
      </c>
      <c r="BR14" s="62">
        <f>-'5C1AK_NxtGen'!$AX14</f>
        <v>0</v>
      </c>
      <c r="BS14" s="62">
        <f>-'5C1AL_Red River'!$AX14</f>
        <v>0</v>
      </c>
      <c r="BT14" s="62">
        <f>-'5C2_LAVCA'!AY14</f>
        <v>-168</v>
      </c>
      <c r="BU14" s="62">
        <f>-'5C3_UnvView'!AY14</f>
        <v>-167</v>
      </c>
      <c r="BV14" s="62">
        <f t="shared" si="5"/>
        <v>-335</v>
      </c>
      <c r="BW14" s="327">
        <f t="shared" si="6"/>
        <v>11005775</v>
      </c>
    </row>
    <row r="15" spans="1:75" s="8" customFormat="1" ht="15.75" customHeight="1" x14ac:dyDescent="0.2">
      <c r="A15" s="324">
        <v>9</v>
      </c>
      <c r="B15" s="325" t="s">
        <v>12</v>
      </c>
      <c r="C15" s="62">
        <f>'2_State Distrib and Adjs'!BB15</f>
        <v>16361650</v>
      </c>
      <c r="D15" s="62">
        <f>-'5A3_OJJ'!S15</f>
        <v>-8003</v>
      </c>
      <c r="E15" s="62">
        <f>-'5B2_RSD LA'!AU7</f>
        <v>-404339</v>
      </c>
      <c r="F15" s="62">
        <f>-'5C1A_Madison'!AS15</f>
        <v>0</v>
      </c>
      <c r="G15" s="62">
        <f>-'5C1B_DArbonne'!AS15</f>
        <v>0</v>
      </c>
      <c r="H15" s="62">
        <f>-'5C1C_Intl High'!AS15</f>
        <v>0</v>
      </c>
      <c r="I15" s="62">
        <f>-'5C1D_NOMMA'!AS15</f>
        <v>0</v>
      </c>
      <c r="J15" s="62">
        <f>-'5C1E_LFNO'!AS15</f>
        <v>0</v>
      </c>
      <c r="K15" s="62">
        <f>-'5C1F_L.C. Charter'!AS15</f>
        <v>0</v>
      </c>
      <c r="L15" s="62">
        <f>-'5C1G_JS Clark'!AS15</f>
        <v>0</v>
      </c>
      <c r="M15" s="62">
        <f>-'5C1H_Southwest'!AS15</f>
        <v>0</v>
      </c>
      <c r="N15" s="62">
        <f>-'5C1I_LA Key'!AS15</f>
        <v>0</v>
      </c>
      <c r="O15" s="62">
        <f>-'5C1J_JCFA-East'!AS15</f>
        <v>0</v>
      </c>
      <c r="P15" s="62">
        <f>-'5C1M_GEO Mid'!AS15</f>
        <v>0</v>
      </c>
      <c r="Q15" s="62">
        <f>-'5C1N_Delta'!AS15</f>
        <v>0</v>
      </c>
      <c r="R15" s="62">
        <f>-'5C1O_Impact'!AS15</f>
        <v>0</v>
      </c>
      <c r="S15" s="62">
        <f>-'5C1Q_Advantage'!AS15</f>
        <v>0</v>
      </c>
      <c r="T15" s="62">
        <f>-'5C1R_Iberville'!AS15</f>
        <v>0</v>
      </c>
      <c r="U15" s="62">
        <f>-'5C1S_LC Col Prep'!AS15</f>
        <v>0</v>
      </c>
      <c r="V15" s="62">
        <f>-'5C1T_Northeast'!AS15</f>
        <v>0</v>
      </c>
      <c r="W15" s="62">
        <f>-'5C1U_Acadiana Ren'!AS15</f>
        <v>0</v>
      </c>
      <c r="X15" s="62">
        <f>-'5C1V_Laf Ren'!AS15</f>
        <v>0</v>
      </c>
      <c r="Y15" s="62">
        <f>-'5C1W_Willow'!AS15</f>
        <v>0</v>
      </c>
      <c r="Z15" s="62">
        <f>-'5C1Y_GEO'!AS15</f>
        <v>0</v>
      </c>
      <c r="AA15" s="62">
        <f>-'5C1Z_Lincoln Prep'!AS15</f>
        <v>0</v>
      </c>
      <c r="AB15" s="62">
        <f>-'5C1AE_Noble Minds'!$AS15</f>
        <v>0</v>
      </c>
      <c r="AC15" s="62">
        <f>-'5C1AF_JCFA-Laf'!$AS15</f>
        <v>0</v>
      </c>
      <c r="AD15" s="62">
        <f>-'5C1AG_Collegiate'!$AS15</f>
        <v>0</v>
      </c>
      <c r="AE15" s="62">
        <f>-'5C1AH_BRUP'!$AS15</f>
        <v>0</v>
      </c>
      <c r="AF15" s="62">
        <f>-'5C1AI_Harmony'!$AS15</f>
        <v>0</v>
      </c>
      <c r="AG15" s="62">
        <f>-'5C1AJ_Athlos'!$AS15</f>
        <v>0</v>
      </c>
      <c r="AH15" s="62">
        <f>-'5C1AK_NxtGen'!$AS15</f>
        <v>0</v>
      </c>
      <c r="AI15" s="62">
        <f>-'5C1AL_Red River'!$AS15</f>
        <v>0</v>
      </c>
      <c r="AJ15" s="62">
        <f>-'5C2_LAVCA'!AT15</f>
        <v>-60020</v>
      </c>
      <c r="AK15" s="62">
        <f>-'5C3_UnvView'!AT15</f>
        <v>-44511</v>
      </c>
      <c r="AL15" s="326">
        <f t="shared" si="3"/>
        <v>-516873</v>
      </c>
      <c r="AM15" s="327">
        <f t="shared" si="4"/>
        <v>15844777</v>
      </c>
      <c r="AN15" s="62"/>
      <c r="AO15" s="62"/>
      <c r="AP15" s="62">
        <f>-'5C1A_Madison'!AX15</f>
        <v>0</v>
      </c>
      <c r="AQ15" s="62">
        <f>-'5C1B_DArbonne'!AX15</f>
        <v>0</v>
      </c>
      <c r="AR15" s="62">
        <f>-'5C1C_Intl High'!AX15</f>
        <v>0</v>
      </c>
      <c r="AS15" s="62">
        <f>-'5C1D_NOMMA'!AX15</f>
        <v>0</v>
      </c>
      <c r="AT15" s="62">
        <f>-'5C1E_LFNO'!AX15</f>
        <v>0</v>
      </c>
      <c r="AU15" s="62">
        <f>-'5C1F_L.C. Charter'!AX15</f>
        <v>0</v>
      </c>
      <c r="AV15" s="62">
        <f>-'5C1G_JS Clark'!AX15</f>
        <v>0</v>
      </c>
      <c r="AW15" s="62">
        <f>-'5C1H_Southwest'!AX15</f>
        <v>0</v>
      </c>
      <c r="AX15" s="62">
        <f>-'5C1I_LA Key'!AX15</f>
        <v>0</v>
      </c>
      <c r="AY15" s="62">
        <f>-'5C1J_JCFA-East'!AX15</f>
        <v>0</v>
      </c>
      <c r="AZ15" s="62">
        <f>-'5C1M_GEO Mid'!AX15</f>
        <v>0</v>
      </c>
      <c r="BA15" s="62">
        <f>-'5C1N_Delta'!AX15</f>
        <v>0</v>
      </c>
      <c r="BB15" s="62">
        <f>-'5C1O_Impact'!AX15</f>
        <v>0</v>
      </c>
      <c r="BC15" s="62">
        <f>-'5C1Q_Advantage'!AX15</f>
        <v>0</v>
      </c>
      <c r="BD15" s="62">
        <f>-'5C1R_Iberville'!AX15</f>
        <v>0</v>
      </c>
      <c r="BE15" s="62">
        <f>-'5C1S_LC Col Prep'!AX15</f>
        <v>0</v>
      </c>
      <c r="BF15" s="62">
        <f>-'5C1T_Northeast'!AX15</f>
        <v>0</v>
      </c>
      <c r="BG15" s="62">
        <f>-'5C1U_Acadiana Ren'!AX15</f>
        <v>0</v>
      </c>
      <c r="BH15" s="62">
        <f>-'5C1V_Laf Ren'!AX15</f>
        <v>0</v>
      </c>
      <c r="BI15" s="62">
        <f>-'5C1W_Willow'!AX15</f>
        <v>0</v>
      </c>
      <c r="BJ15" s="62">
        <f>-'5C1Y_GEO'!AX15</f>
        <v>0</v>
      </c>
      <c r="BK15" s="62">
        <f>-'5C1Z_Lincoln Prep'!AX15</f>
        <v>0</v>
      </c>
      <c r="BL15" s="62">
        <f>-'5C1AE_Noble Minds'!AX15</f>
        <v>0</v>
      </c>
      <c r="BM15" s="62">
        <f>-'5C1AF_JCFA-Laf'!AX15</f>
        <v>0</v>
      </c>
      <c r="BN15" s="62">
        <f>-'5C1AG_Collegiate'!AX15</f>
        <v>0</v>
      </c>
      <c r="BO15" s="62">
        <f>-'5C1AH_BRUP'!AX15</f>
        <v>0</v>
      </c>
      <c r="BP15" s="62">
        <f>-'5C1AI_Harmony'!$AX15</f>
        <v>0</v>
      </c>
      <c r="BQ15" s="62">
        <f>-'5C1AJ_Athlos'!$AX15</f>
        <v>0</v>
      </c>
      <c r="BR15" s="62">
        <f>-'5C1AK_NxtGen'!$AX15</f>
        <v>0</v>
      </c>
      <c r="BS15" s="62">
        <f>-'5C1AL_Red River'!$AX15</f>
        <v>0</v>
      </c>
      <c r="BT15" s="62">
        <f>-'5C2_LAVCA'!AY15</f>
        <v>-135</v>
      </c>
      <c r="BU15" s="62">
        <f>-'5C3_UnvView'!AY15</f>
        <v>-146</v>
      </c>
      <c r="BV15" s="62">
        <f t="shared" si="5"/>
        <v>-281</v>
      </c>
      <c r="BW15" s="327">
        <f t="shared" si="6"/>
        <v>15844496</v>
      </c>
    </row>
    <row r="16" spans="1:75" s="8" customFormat="1" ht="15.75" customHeight="1" x14ac:dyDescent="0.2">
      <c r="A16" s="314">
        <v>10</v>
      </c>
      <c r="B16" s="315" t="s">
        <v>13</v>
      </c>
      <c r="C16" s="316">
        <f>'2_State Distrib and Adjs'!BB16</f>
        <v>8962602</v>
      </c>
      <c r="D16" s="316">
        <f>-'5A3_OJJ'!S16</f>
        <v>-5432</v>
      </c>
      <c r="E16" s="316"/>
      <c r="F16" s="316">
        <f>-'5C1A_Madison'!AS16</f>
        <v>0</v>
      </c>
      <c r="G16" s="316">
        <f>-'5C1B_DArbonne'!AS16</f>
        <v>-945</v>
      </c>
      <c r="H16" s="316">
        <f>-'5C1C_Intl High'!AS16</f>
        <v>0</v>
      </c>
      <c r="I16" s="316">
        <f>-'5C1D_NOMMA'!AS16</f>
        <v>0</v>
      </c>
      <c r="J16" s="316">
        <f>-'5C1E_LFNO'!AS16</f>
        <v>0</v>
      </c>
      <c r="K16" s="316">
        <f>-'5C1F_L.C. Charter'!AS16</f>
        <v>-529879</v>
      </c>
      <c r="L16" s="316">
        <f>-'5C1G_JS Clark'!AS16</f>
        <v>0</v>
      </c>
      <c r="M16" s="316">
        <f>-'5C1H_Southwest'!AS16</f>
        <v>-337945</v>
      </c>
      <c r="N16" s="316">
        <f>-'5C1I_LA Key'!AS16</f>
        <v>0</v>
      </c>
      <c r="O16" s="316">
        <f>-'5C1J_JCFA-East'!AS16</f>
        <v>0</v>
      </c>
      <c r="P16" s="316">
        <f>-'5C1M_GEO Mid'!AS16</f>
        <v>0</v>
      </c>
      <c r="Q16" s="316">
        <f>-'5C1N_Delta'!AS16</f>
        <v>0</v>
      </c>
      <c r="R16" s="316">
        <f>-'5C1O_Impact'!AS16</f>
        <v>0</v>
      </c>
      <c r="S16" s="316">
        <f>-'5C1Q_Advantage'!AS16</f>
        <v>0</v>
      </c>
      <c r="T16" s="316">
        <f>-'5C1R_Iberville'!AS16</f>
        <v>-994</v>
      </c>
      <c r="U16" s="316">
        <f>-'5C1S_LC Col Prep'!AS16</f>
        <v>-361199</v>
      </c>
      <c r="V16" s="316">
        <f>-'5C1T_Northeast'!AS16</f>
        <v>0</v>
      </c>
      <c r="W16" s="316">
        <f>-'5C1U_Acadiana Ren'!AS16</f>
        <v>0</v>
      </c>
      <c r="X16" s="316">
        <f>-'5C1V_Laf Ren'!AS16</f>
        <v>-945</v>
      </c>
      <c r="Y16" s="316">
        <f>-'5C1W_Willow'!AS16</f>
        <v>0</v>
      </c>
      <c r="Z16" s="316">
        <f>-'5C1Y_GEO'!AS16</f>
        <v>0</v>
      </c>
      <c r="AA16" s="316">
        <f>-'5C1Z_Lincoln Prep'!AS16</f>
        <v>0</v>
      </c>
      <c r="AB16" s="316">
        <f>-'5C1AE_Noble Minds'!$AS16</f>
        <v>0</v>
      </c>
      <c r="AC16" s="316">
        <f>-'5C1AF_JCFA-Laf'!$AS16</f>
        <v>0</v>
      </c>
      <c r="AD16" s="316">
        <f>-'5C1AG_Collegiate'!$AS16</f>
        <v>0</v>
      </c>
      <c r="AE16" s="316">
        <f>-'5C1AH_BRUP'!$AS16</f>
        <v>0</v>
      </c>
      <c r="AF16" s="586">
        <f>-'5C1AI_Harmony'!$AS16</f>
        <v>0</v>
      </c>
      <c r="AG16" s="586">
        <f>-'5C1AJ_Athlos'!$AS16</f>
        <v>0</v>
      </c>
      <c r="AH16" s="781">
        <f>-'5C1AK_NxtGen'!$AS16</f>
        <v>0</v>
      </c>
      <c r="AI16" s="781">
        <f>-'5C1AL_Red River'!$AS16</f>
        <v>0</v>
      </c>
      <c r="AJ16" s="316">
        <f>-'5C2_LAVCA'!AT16</f>
        <v>-25842</v>
      </c>
      <c r="AK16" s="316">
        <f>-'5C3_UnvView'!AT16</f>
        <v>-50081</v>
      </c>
      <c r="AL16" s="317">
        <f t="shared" si="3"/>
        <v>-1313262</v>
      </c>
      <c r="AM16" s="318">
        <f t="shared" si="4"/>
        <v>7649340</v>
      </c>
      <c r="AN16" s="316"/>
      <c r="AO16" s="316"/>
      <c r="AP16" s="316">
        <f>-'5C1A_Madison'!AX16</f>
        <v>0</v>
      </c>
      <c r="AQ16" s="316">
        <f>-'5C1B_DArbonne'!AX16</f>
        <v>-9</v>
      </c>
      <c r="AR16" s="316">
        <f>-'5C1C_Intl High'!AX16</f>
        <v>0</v>
      </c>
      <c r="AS16" s="316">
        <f>-'5C1D_NOMMA'!AX16</f>
        <v>0</v>
      </c>
      <c r="AT16" s="316">
        <f>-'5C1E_LFNO'!AX16</f>
        <v>0</v>
      </c>
      <c r="AU16" s="316">
        <f>-'5C1F_L.C. Charter'!AX16</f>
        <v>-497</v>
      </c>
      <c r="AV16" s="316">
        <f>-'5C1G_JS Clark'!AX16</f>
        <v>0</v>
      </c>
      <c r="AW16" s="316">
        <f>-'5C1H_Southwest'!AX16</f>
        <v>609</v>
      </c>
      <c r="AX16" s="316">
        <f>-'5C1I_LA Key'!AX16</f>
        <v>0</v>
      </c>
      <c r="AY16" s="316">
        <f>-'5C1J_JCFA-East'!AX16</f>
        <v>0</v>
      </c>
      <c r="AZ16" s="316">
        <f>-'5C1M_GEO Mid'!AX16</f>
        <v>0</v>
      </c>
      <c r="BA16" s="316">
        <f>-'5C1N_Delta'!AX16</f>
        <v>0</v>
      </c>
      <c r="BB16" s="316">
        <f>-'5C1O_Impact'!AX16</f>
        <v>0</v>
      </c>
      <c r="BC16" s="316">
        <f>-'5C1Q_Advantage'!AX16</f>
        <v>0</v>
      </c>
      <c r="BD16" s="316">
        <f>-'5C1R_Iberville'!AX16</f>
        <v>-11</v>
      </c>
      <c r="BE16" s="316">
        <f>-'5C1S_LC Col Prep'!AX16</f>
        <v>-1350</v>
      </c>
      <c r="BF16" s="316">
        <f>-'5C1T_Northeast'!AX16</f>
        <v>0</v>
      </c>
      <c r="BG16" s="316">
        <f>-'5C1U_Acadiana Ren'!AX16</f>
        <v>0</v>
      </c>
      <c r="BH16" s="316">
        <f>-'5C1V_Laf Ren'!AX16</f>
        <v>-9</v>
      </c>
      <c r="BI16" s="316">
        <f>-'5C1W_Willow'!AX16</f>
        <v>0</v>
      </c>
      <c r="BJ16" s="316">
        <f>-'5C1Y_GEO'!AX16</f>
        <v>0</v>
      </c>
      <c r="BK16" s="316">
        <f>-'5C1Z_Lincoln Prep'!AX16</f>
        <v>0</v>
      </c>
      <c r="BL16" s="316">
        <f>-'5C1AE_Noble Minds'!AX16</f>
        <v>0</v>
      </c>
      <c r="BM16" s="316">
        <f>-'5C1AF_JCFA-Laf'!AX16</f>
        <v>0</v>
      </c>
      <c r="BN16" s="316">
        <f>-'5C1AG_Collegiate'!AX16</f>
        <v>0</v>
      </c>
      <c r="BO16" s="316">
        <f>-'5C1AH_BRUP'!AX16</f>
        <v>0</v>
      </c>
      <c r="BP16" s="586">
        <f>-'5C1AI_Harmony'!$AX16</f>
        <v>0</v>
      </c>
      <c r="BQ16" s="586">
        <f>-'5C1AJ_Athlos'!$AX16</f>
        <v>0</v>
      </c>
      <c r="BR16" s="781">
        <f>-'5C1AK_NxtGen'!$AX16</f>
        <v>0</v>
      </c>
      <c r="BS16" s="781">
        <f>-'5C1AL_Red River'!$AX16</f>
        <v>0</v>
      </c>
      <c r="BT16" s="316">
        <f>-'5C2_LAVCA'!AY16</f>
        <v>109</v>
      </c>
      <c r="BU16" s="316">
        <f>-'5C3_UnvView'!AY16</f>
        <v>-75</v>
      </c>
      <c r="BV16" s="316">
        <f t="shared" si="5"/>
        <v>-1233</v>
      </c>
      <c r="BW16" s="318">
        <f t="shared" si="6"/>
        <v>7648107</v>
      </c>
    </row>
    <row r="17" spans="1:75" s="8" customFormat="1" ht="15.75" customHeight="1" x14ac:dyDescent="0.2">
      <c r="A17" s="324">
        <v>11</v>
      </c>
      <c r="B17" s="325" t="s">
        <v>14</v>
      </c>
      <c r="C17" s="62">
        <f>'2_State Distrib and Adjs'!BB17</f>
        <v>959901</v>
      </c>
      <c r="D17" s="62">
        <f>-'5A3_OJJ'!S17</f>
        <v>0</v>
      </c>
      <c r="E17" s="62"/>
      <c r="F17" s="62">
        <f>-'5C1A_Madison'!AS17</f>
        <v>0</v>
      </c>
      <c r="G17" s="62">
        <f>-'5C1B_DArbonne'!AS17</f>
        <v>0</v>
      </c>
      <c r="H17" s="62">
        <f>-'5C1C_Intl High'!AS17</f>
        <v>0</v>
      </c>
      <c r="I17" s="62">
        <f>-'5C1D_NOMMA'!AS17</f>
        <v>0</v>
      </c>
      <c r="J17" s="62">
        <f>-'5C1E_LFNO'!AS17</f>
        <v>0</v>
      </c>
      <c r="K17" s="62">
        <f>-'5C1F_L.C. Charter'!AS17</f>
        <v>0</v>
      </c>
      <c r="L17" s="62">
        <f>-'5C1G_JS Clark'!AS17</f>
        <v>0</v>
      </c>
      <c r="M17" s="62">
        <f>-'5C1H_Southwest'!AS17</f>
        <v>0</v>
      </c>
      <c r="N17" s="62">
        <f>-'5C1I_LA Key'!AS17</f>
        <v>0</v>
      </c>
      <c r="O17" s="62">
        <f>-'5C1J_JCFA-East'!AS17</f>
        <v>0</v>
      </c>
      <c r="P17" s="62">
        <f>-'5C1M_GEO Mid'!AS17</f>
        <v>0</v>
      </c>
      <c r="Q17" s="62">
        <f>-'5C1N_Delta'!AS17</f>
        <v>0</v>
      </c>
      <c r="R17" s="62">
        <f>-'5C1O_Impact'!AS17</f>
        <v>0</v>
      </c>
      <c r="S17" s="62">
        <f>-'5C1Q_Advantage'!AS17</f>
        <v>0</v>
      </c>
      <c r="T17" s="62">
        <f>-'5C1R_Iberville'!AS17</f>
        <v>0</v>
      </c>
      <c r="U17" s="62">
        <f>-'5C1S_LC Col Prep'!AS17</f>
        <v>0</v>
      </c>
      <c r="V17" s="62">
        <f>-'5C1T_Northeast'!AS17</f>
        <v>0</v>
      </c>
      <c r="W17" s="62">
        <f>-'5C1U_Acadiana Ren'!AS17</f>
        <v>0</v>
      </c>
      <c r="X17" s="62">
        <f>-'5C1V_Laf Ren'!AS17</f>
        <v>0</v>
      </c>
      <c r="Y17" s="62">
        <f>-'5C1W_Willow'!AS17</f>
        <v>0</v>
      </c>
      <c r="Z17" s="62">
        <f>-'5C1Y_GEO'!AS17</f>
        <v>0</v>
      </c>
      <c r="AA17" s="62">
        <f>-'5C1Z_Lincoln Prep'!AS17</f>
        <v>0</v>
      </c>
      <c r="AB17" s="62">
        <f>-'5C1AE_Noble Minds'!$AS17</f>
        <v>0</v>
      </c>
      <c r="AC17" s="62">
        <f>-'5C1AF_JCFA-Laf'!$AS17</f>
        <v>0</v>
      </c>
      <c r="AD17" s="62">
        <f>-'5C1AG_Collegiate'!$AS17</f>
        <v>0</v>
      </c>
      <c r="AE17" s="62">
        <f>-'5C1AH_BRUP'!$AS17</f>
        <v>0</v>
      </c>
      <c r="AF17" s="62">
        <f>-'5C1AI_Harmony'!$AS17</f>
        <v>0</v>
      </c>
      <c r="AG17" s="62">
        <f>-'5C1AJ_Athlos'!$AS17</f>
        <v>0</v>
      </c>
      <c r="AH17" s="62">
        <f>-'5C1AK_NxtGen'!$AS17</f>
        <v>0</v>
      </c>
      <c r="AI17" s="62">
        <f>-'5C1AL_Red River'!$AS17</f>
        <v>0</v>
      </c>
      <c r="AJ17" s="62">
        <f>-'5C2_LAVCA'!AT17</f>
        <v>557</v>
      </c>
      <c r="AK17" s="62">
        <f>-'5C3_UnvView'!AT17</f>
        <v>-3939</v>
      </c>
      <c r="AL17" s="326">
        <f t="shared" si="3"/>
        <v>-3382</v>
      </c>
      <c r="AM17" s="327">
        <f t="shared" si="4"/>
        <v>956519</v>
      </c>
      <c r="AN17" s="62"/>
      <c r="AO17" s="62"/>
      <c r="AP17" s="62">
        <f>-'5C1A_Madison'!AX17</f>
        <v>0</v>
      </c>
      <c r="AQ17" s="62">
        <f>-'5C1B_DArbonne'!AX17</f>
        <v>0</v>
      </c>
      <c r="AR17" s="62">
        <f>-'5C1C_Intl High'!AX17</f>
        <v>0</v>
      </c>
      <c r="AS17" s="62">
        <f>-'5C1D_NOMMA'!AX17</f>
        <v>0</v>
      </c>
      <c r="AT17" s="62">
        <f>-'5C1E_LFNO'!AX17</f>
        <v>0</v>
      </c>
      <c r="AU17" s="62">
        <f>-'5C1F_L.C. Charter'!AX17</f>
        <v>0</v>
      </c>
      <c r="AV17" s="62">
        <f>-'5C1G_JS Clark'!AX17</f>
        <v>0</v>
      </c>
      <c r="AW17" s="62">
        <f>-'5C1H_Southwest'!AX17</f>
        <v>0</v>
      </c>
      <c r="AX17" s="62">
        <f>-'5C1I_LA Key'!AX17</f>
        <v>0</v>
      </c>
      <c r="AY17" s="62">
        <f>-'5C1J_JCFA-East'!AX17</f>
        <v>0</v>
      </c>
      <c r="AZ17" s="62">
        <f>-'5C1M_GEO Mid'!AX17</f>
        <v>0</v>
      </c>
      <c r="BA17" s="62">
        <f>-'5C1N_Delta'!AX17</f>
        <v>0</v>
      </c>
      <c r="BB17" s="62">
        <f>-'5C1O_Impact'!AX17</f>
        <v>0</v>
      </c>
      <c r="BC17" s="62">
        <f>-'5C1Q_Advantage'!AX17</f>
        <v>0</v>
      </c>
      <c r="BD17" s="62">
        <f>-'5C1R_Iberville'!AX17</f>
        <v>0</v>
      </c>
      <c r="BE17" s="62">
        <f>-'5C1S_LC Col Prep'!AX17</f>
        <v>0</v>
      </c>
      <c r="BF17" s="62">
        <f>-'5C1T_Northeast'!AX17</f>
        <v>0</v>
      </c>
      <c r="BG17" s="62">
        <f>-'5C1U_Acadiana Ren'!AX17</f>
        <v>0</v>
      </c>
      <c r="BH17" s="62">
        <f>-'5C1V_Laf Ren'!AX17</f>
        <v>0</v>
      </c>
      <c r="BI17" s="62">
        <f>-'5C1W_Willow'!AX17</f>
        <v>0</v>
      </c>
      <c r="BJ17" s="62">
        <f>-'5C1Y_GEO'!AX17</f>
        <v>0</v>
      </c>
      <c r="BK17" s="62">
        <f>-'5C1Z_Lincoln Prep'!AX17</f>
        <v>0</v>
      </c>
      <c r="BL17" s="62">
        <f>-'5C1AE_Noble Minds'!AX17</f>
        <v>0</v>
      </c>
      <c r="BM17" s="62">
        <f>-'5C1AF_JCFA-Laf'!AX17</f>
        <v>0</v>
      </c>
      <c r="BN17" s="62">
        <f>-'5C1AG_Collegiate'!AX17</f>
        <v>0</v>
      </c>
      <c r="BO17" s="62">
        <f>-'5C1AH_BRUP'!AX17</f>
        <v>0</v>
      </c>
      <c r="BP17" s="62">
        <f>-'5C1AI_Harmony'!$AX17</f>
        <v>0</v>
      </c>
      <c r="BQ17" s="62">
        <f>-'5C1AJ_Athlos'!$AX17</f>
        <v>0</v>
      </c>
      <c r="BR17" s="62">
        <f>-'5C1AK_NxtGen'!$AX17</f>
        <v>0</v>
      </c>
      <c r="BS17" s="62">
        <f>-'5C1AL_Red River'!$AX17</f>
        <v>0</v>
      </c>
      <c r="BT17" s="62">
        <f>-'5C2_LAVCA'!AY17</f>
        <v>17</v>
      </c>
      <c r="BU17" s="62">
        <f>-'5C3_UnvView'!AY17</f>
        <v>-32</v>
      </c>
      <c r="BV17" s="62">
        <f t="shared" si="5"/>
        <v>-15</v>
      </c>
      <c r="BW17" s="327">
        <f t="shared" si="6"/>
        <v>956504</v>
      </c>
    </row>
    <row r="18" spans="1:75" s="8" customFormat="1" ht="15.75" customHeight="1" x14ac:dyDescent="0.2">
      <c r="A18" s="324">
        <v>12</v>
      </c>
      <c r="B18" s="325" t="s">
        <v>15</v>
      </c>
      <c r="C18" s="62">
        <f>'2_State Distrib and Adjs'!BB18</f>
        <v>262735</v>
      </c>
      <c r="D18" s="62">
        <f>-'5A3_OJJ'!S18</f>
        <v>0</v>
      </c>
      <c r="E18" s="62"/>
      <c r="F18" s="62">
        <f>-'5C1A_Madison'!AS18</f>
        <v>0</v>
      </c>
      <c r="G18" s="62">
        <f>-'5C1B_DArbonne'!AS18</f>
        <v>0</v>
      </c>
      <c r="H18" s="62">
        <f>-'5C1C_Intl High'!AS18</f>
        <v>0</v>
      </c>
      <c r="I18" s="62">
        <f>-'5C1D_NOMMA'!AS18</f>
        <v>0</v>
      </c>
      <c r="J18" s="62">
        <f>-'5C1E_LFNO'!AS18</f>
        <v>0</v>
      </c>
      <c r="K18" s="62">
        <f>-'5C1F_L.C. Charter'!AS18</f>
        <v>0</v>
      </c>
      <c r="L18" s="62">
        <f>-'5C1G_JS Clark'!AS18</f>
        <v>0</v>
      </c>
      <c r="M18" s="62">
        <f>-'5C1H_Southwest'!AS18</f>
        <v>603</v>
      </c>
      <c r="N18" s="62">
        <f>-'5C1I_LA Key'!AS18</f>
        <v>0</v>
      </c>
      <c r="O18" s="62">
        <f>-'5C1J_JCFA-East'!AS18</f>
        <v>0</v>
      </c>
      <c r="P18" s="62">
        <f>-'5C1M_GEO Mid'!AS18</f>
        <v>0</v>
      </c>
      <c r="Q18" s="62">
        <f>-'5C1N_Delta'!AS18</f>
        <v>0</v>
      </c>
      <c r="R18" s="62">
        <f>-'5C1O_Impact'!AS18</f>
        <v>0</v>
      </c>
      <c r="S18" s="62">
        <f>-'5C1Q_Advantage'!AS18</f>
        <v>0</v>
      </c>
      <c r="T18" s="62">
        <f>-'5C1R_Iberville'!AS18</f>
        <v>0</v>
      </c>
      <c r="U18" s="62">
        <f>-'5C1S_LC Col Prep'!AS18</f>
        <v>0</v>
      </c>
      <c r="V18" s="62">
        <f>-'5C1T_Northeast'!AS18</f>
        <v>0</v>
      </c>
      <c r="W18" s="62">
        <f>-'5C1U_Acadiana Ren'!AS18</f>
        <v>0</v>
      </c>
      <c r="X18" s="62">
        <f>-'5C1V_Laf Ren'!AS18</f>
        <v>0</v>
      </c>
      <c r="Y18" s="62">
        <f>-'5C1W_Willow'!AS18</f>
        <v>0</v>
      </c>
      <c r="Z18" s="62">
        <f>-'5C1Y_GEO'!AS18</f>
        <v>0</v>
      </c>
      <c r="AA18" s="62">
        <f>-'5C1Z_Lincoln Prep'!AS18</f>
        <v>0</v>
      </c>
      <c r="AB18" s="62">
        <f>-'5C1AE_Noble Minds'!$AS18</f>
        <v>0</v>
      </c>
      <c r="AC18" s="62">
        <f>-'5C1AF_JCFA-Laf'!$AS18</f>
        <v>0</v>
      </c>
      <c r="AD18" s="62">
        <f>-'5C1AG_Collegiate'!$AS18</f>
        <v>0</v>
      </c>
      <c r="AE18" s="62">
        <f>-'5C1AH_BRUP'!$AS18</f>
        <v>0</v>
      </c>
      <c r="AF18" s="62">
        <f>-'5C1AI_Harmony'!$AS18</f>
        <v>0</v>
      </c>
      <c r="AG18" s="62">
        <f>-'5C1AJ_Athlos'!$AS18</f>
        <v>0</v>
      </c>
      <c r="AH18" s="62">
        <f>-'5C1AK_NxtGen'!$AS18</f>
        <v>0</v>
      </c>
      <c r="AI18" s="62">
        <f>-'5C1AL_Red River'!$AS18</f>
        <v>0</v>
      </c>
      <c r="AJ18" s="62">
        <f>-'5C2_LAVCA'!AT18</f>
        <v>0</v>
      </c>
      <c r="AK18" s="62">
        <f>-'5C3_UnvView'!AT18</f>
        <v>80</v>
      </c>
      <c r="AL18" s="326">
        <f t="shared" si="3"/>
        <v>683</v>
      </c>
      <c r="AM18" s="327">
        <f t="shared" si="4"/>
        <v>263418</v>
      </c>
      <c r="AN18" s="62"/>
      <c r="AO18" s="62"/>
      <c r="AP18" s="62">
        <f>-'5C1A_Madison'!AX18</f>
        <v>0</v>
      </c>
      <c r="AQ18" s="62">
        <f>-'5C1B_DArbonne'!AX18</f>
        <v>0</v>
      </c>
      <c r="AR18" s="62">
        <f>-'5C1C_Intl High'!AX18</f>
        <v>0</v>
      </c>
      <c r="AS18" s="62">
        <f>-'5C1D_NOMMA'!AX18</f>
        <v>0</v>
      </c>
      <c r="AT18" s="62">
        <f>-'5C1E_LFNO'!AX18</f>
        <v>0</v>
      </c>
      <c r="AU18" s="62">
        <f>-'5C1F_L.C. Charter'!AX18</f>
        <v>0</v>
      </c>
      <c r="AV18" s="62">
        <f>-'5C1G_JS Clark'!AX18</f>
        <v>0</v>
      </c>
      <c r="AW18" s="62">
        <f>-'5C1H_Southwest'!AX18</f>
        <v>16</v>
      </c>
      <c r="AX18" s="62">
        <f>-'5C1I_LA Key'!AX18</f>
        <v>0</v>
      </c>
      <c r="AY18" s="62">
        <f>-'5C1J_JCFA-East'!AX18</f>
        <v>0</v>
      </c>
      <c r="AZ18" s="62">
        <f>-'5C1M_GEO Mid'!AX18</f>
        <v>0</v>
      </c>
      <c r="BA18" s="62">
        <f>-'5C1N_Delta'!AX18</f>
        <v>0</v>
      </c>
      <c r="BB18" s="62">
        <f>-'5C1O_Impact'!AX18</f>
        <v>0</v>
      </c>
      <c r="BC18" s="62">
        <f>-'5C1Q_Advantage'!AX18</f>
        <v>0</v>
      </c>
      <c r="BD18" s="62">
        <f>-'5C1R_Iberville'!AX18</f>
        <v>0</v>
      </c>
      <c r="BE18" s="62">
        <f>-'5C1S_LC Col Prep'!AX18</f>
        <v>0</v>
      </c>
      <c r="BF18" s="62">
        <f>-'5C1T_Northeast'!AX18</f>
        <v>0</v>
      </c>
      <c r="BG18" s="62">
        <f>-'5C1U_Acadiana Ren'!AX18</f>
        <v>0</v>
      </c>
      <c r="BH18" s="62">
        <f>-'5C1V_Laf Ren'!AX18</f>
        <v>0</v>
      </c>
      <c r="BI18" s="62">
        <f>-'5C1W_Willow'!AX18</f>
        <v>0</v>
      </c>
      <c r="BJ18" s="62">
        <f>-'5C1Y_GEO'!AX18</f>
        <v>0</v>
      </c>
      <c r="BK18" s="62">
        <f>-'5C1Z_Lincoln Prep'!AX18</f>
        <v>0</v>
      </c>
      <c r="BL18" s="62">
        <f>-'5C1AE_Noble Minds'!AX18</f>
        <v>0</v>
      </c>
      <c r="BM18" s="62">
        <f>-'5C1AF_JCFA-Laf'!AX18</f>
        <v>0</v>
      </c>
      <c r="BN18" s="62">
        <f>-'5C1AG_Collegiate'!AX18</f>
        <v>0</v>
      </c>
      <c r="BO18" s="62">
        <f>-'5C1AH_BRUP'!AX18</f>
        <v>0</v>
      </c>
      <c r="BP18" s="62">
        <f>-'5C1AI_Harmony'!$AX18</f>
        <v>0</v>
      </c>
      <c r="BQ18" s="62">
        <f>-'5C1AJ_Athlos'!$AX18</f>
        <v>0</v>
      </c>
      <c r="BR18" s="62">
        <f>-'5C1AK_NxtGen'!$AX18</f>
        <v>0</v>
      </c>
      <c r="BS18" s="62">
        <f>-'5C1AL_Red River'!$AX18</f>
        <v>0</v>
      </c>
      <c r="BT18" s="62">
        <f>-'5C2_LAVCA'!AY18</f>
        <v>0</v>
      </c>
      <c r="BU18" s="62">
        <f>-'5C3_UnvView'!AY18</f>
        <v>26</v>
      </c>
      <c r="BV18" s="62">
        <f t="shared" si="5"/>
        <v>42</v>
      </c>
      <c r="BW18" s="327">
        <f t="shared" si="6"/>
        <v>263460</v>
      </c>
    </row>
    <row r="19" spans="1:75" s="8" customFormat="1" ht="15.75" customHeight="1" x14ac:dyDescent="0.2">
      <c r="A19" s="324">
        <v>13</v>
      </c>
      <c r="B19" s="325" t="s">
        <v>16</v>
      </c>
      <c r="C19" s="62">
        <f>'2_State Distrib and Adjs'!BB19</f>
        <v>673032</v>
      </c>
      <c r="D19" s="62">
        <f>-'5A3_OJJ'!S19</f>
        <v>0</v>
      </c>
      <c r="E19" s="62"/>
      <c r="F19" s="62">
        <f>-'5C1A_Madison'!AS19</f>
        <v>0</v>
      </c>
      <c r="G19" s="62">
        <f>-'5C1B_DArbonne'!AS19</f>
        <v>0</v>
      </c>
      <c r="H19" s="62">
        <f>-'5C1C_Intl High'!AS19</f>
        <v>0</v>
      </c>
      <c r="I19" s="62">
        <f>-'5C1D_NOMMA'!AS19</f>
        <v>0</v>
      </c>
      <c r="J19" s="62">
        <f>-'5C1E_LFNO'!AS19</f>
        <v>0</v>
      </c>
      <c r="K19" s="62">
        <f>-'5C1F_L.C. Charter'!AS19</f>
        <v>0</v>
      </c>
      <c r="L19" s="62">
        <f>-'5C1G_JS Clark'!AS19</f>
        <v>0</v>
      </c>
      <c r="M19" s="62">
        <f>-'5C1H_Southwest'!AS19</f>
        <v>0</v>
      </c>
      <c r="N19" s="62">
        <f>-'5C1I_LA Key'!AS19</f>
        <v>0</v>
      </c>
      <c r="O19" s="62">
        <f>-'5C1J_JCFA-East'!AS19</f>
        <v>0</v>
      </c>
      <c r="P19" s="62">
        <f>-'5C1M_GEO Mid'!AS19</f>
        <v>0</v>
      </c>
      <c r="Q19" s="62">
        <f>-'5C1N_Delta'!AS19</f>
        <v>-27674</v>
      </c>
      <c r="R19" s="62">
        <f>-'5C1O_Impact'!AS19</f>
        <v>0</v>
      </c>
      <c r="S19" s="62">
        <f>-'5C1Q_Advantage'!AS19</f>
        <v>0</v>
      </c>
      <c r="T19" s="62">
        <f>-'5C1R_Iberville'!AS19</f>
        <v>0</v>
      </c>
      <c r="U19" s="62">
        <f>-'5C1S_LC Col Prep'!AS19</f>
        <v>0</v>
      </c>
      <c r="V19" s="62">
        <f>-'5C1T_Northeast'!AS19</f>
        <v>0</v>
      </c>
      <c r="W19" s="62">
        <f>-'5C1U_Acadiana Ren'!AS19</f>
        <v>0</v>
      </c>
      <c r="X19" s="62">
        <f>-'5C1V_Laf Ren'!AS19</f>
        <v>0</v>
      </c>
      <c r="Y19" s="62">
        <f>-'5C1W_Willow'!AS19</f>
        <v>0</v>
      </c>
      <c r="Z19" s="62">
        <f>-'5C1Y_GEO'!AS19</f>
        <v>0</v>
      </c>
      <c r="AA19" s="62">
        <f>-'5C1Z_Lincoln Prep'!AS19</f>
        <v>0</v>
      </c>
      <c r="AB19" s="62">
        <f>-'5C1AE_Noble Minds'!$AS19</f>
        <v>0</v>
      </c>
      <c r="AC19" s="62">
        <f>-'5C1AF_JCFA-Laf'!$AS19</f>
        <v>0</v>
      </c>
      <c r="AD19" s="62">
        <f>-'5C1AG_Collegiate'!$AS19</f>
        <v>0</v>
      </c>
      <c r="AE19" s="62">
        <f>-'5C1AH_BRUP'!$AS19</f>
        <v>0</v>
      </c>
      <c r="AF19" s="62">
        <f>-'5C1AI_Harmony'!$AS19</f>
        <v>0</v>
      </c>
      <c r="AG19" s="62">
        <f>-'5C1AJ_Athlos'!$AS19</f>
        <v>0</v>
      </c>
      <c r="AH19" s="62">
        <f>-'5C1AK_NxtGen'!$AS19</f>
        <v>0</v>
      </c>
      <c r="AI19" s="62">
        <f>-'5C1AL_Red River'!$AS19</f>
        <v>0</v>
      </c>
      <c r="AJ19" s="62">
        <f>-'5C2_LAVCA'!AT19</f>
        <v>-1634</v>
      </c>
      <c r="AK19" s="62">
        <f>-'5C3_UnvView'!AT19</f>
        <v>-2618</v>
      </c>
      <c r="AL19" s="326">
        <f t="shared" si="3"/>
        <v>-31926</v>
      </c>
      <c r="AM19" s="327">
        <f t="shared" si="4"/>
        <v>641106</v>
      </c>
      <c r="AN19" s="62"/>
      <c r="AO19" s="62"/>
      <c r="AP19" s="62">
        <f>-'5C1A_Madison'!AX19</f>
        <v>0</v>
      </c>
      <c r="AQ19" s="62">
        <f>-'5C1B_DArbonne'!AX19</f>
        <v>0</v>
      </c>
      <c r="AR19" s="62">
        <f>-'5C1C_Intl High'!AX19</f>
        <v>0</v>
      </c>
      <c r="AS19" s="62">
        <f>-'5C1D_NOMMA'!AX19</f>
        <v>0</v>
      </c>
      <c r="AT19" s="62">
        <f>-'5C1E_LFNO'!AX19</f>
        <v>0</v>
      </c>
      <c r="AU19" s="62">
        <f>-'5C1F_L.C. Charter'!AX19</f>
        <v>0</v>
      </c>
      <c r="AV19" s="62">
        <f>-'5C1G_JS Clark'!AX19</f>
        <v>0</v>
      </c>
      <c r="AW19" s="62">
        <f>-'5C1H_Southwest'!AX19</f>
        <v>0</v>
      </c>
      <c r="AX19" s="62">
        <f>-'5C1I_LA Key'!AX19</f>
        <v>0</v>
      </c>
      <c r="AY19" s="62">
        <f>-'5C1J_JCFA-East'!AX19</f>
        <v>0</v>
      </c>
      <c r="AZ19" s="62">
        <f>-'5C1M_GEO Mid'!AX19</f>
        <v>0</v>
      </c>
      <c r="BA19" s="62">
        <f>-'5C1N_Delta'!AX19</f>
        <v>-127</v>
      </c>
      <c r="BB19" s="62">
        <f>-'5C1O_Impact'!AX19</f>
        <v>0</v>
      </c>
      <c r="BC19" s="62">
        <f>-'5C1Q_Advantage'!AX19</f>
        <v>0</v>
      </c>
      <c r="BD19" s="62">
        <f>-'5C1R_Iberville'!AX19</f>
        <v>0</v>
      </c>
      <c r="BE19" s="62">
        <f>-'5C1S_LC Col Prep'!AX19</f>
        <v>0</v>
      </c>
      <c r="BF19" s="62">
        <f>-'5C1T_Northeast'!AX19</f>
        <v>0</v>
      </c>
      <c r="BG19" s="62">
        <f>-'5C1U_Acadiana Ren'!AX19</f>
        <v>0</v>
      </c>
      <c r="BH19" s="62">
        <f>-'5C1V_Laf Ren'!AX19</f>
        <v>0</v>
      </c>
      <c r="BI19" s="62">
        <f>-'5C1W_Willow'!AX19</f>
        <v>0</v>
      </c>
      <c r="BJ19" s="62">
        <f>-'5C1Y_GEO'!AX19</f>
        <v>0</v>
      </c>
      <c r="BK19" s="62">
        <f>-'5C1Z_Lincoln Prep'!AX19</f>
        <v>0</v>
      </c>
      <c r="BL19" s="62">
        <f>-'5C1AE_Noble Minds'!AX19</f>
        <v>0</v>
      </c>
      <c r="BM19" s="62">
        <f>-'5C1AF_JCFA-Laf'!AX19</f>
        <v>0</v>
      </c>
      <c r="BN19" s="62">
        <f>-'5C1AG_Collegiate'!AX19</f>
        <v>0</v>
      </c>
      <c r="BO19" s="62">
        <f>-'5C1AH_BRUP'!AX19</f>
        <v>0</v>
      </c>
      <c r="BP19" s="62">
        <f>-'5C1AI_Harmony'!$AX19</f>
        <v>0</v>
      </c>
      <c r="BQ19" s="62">
        <f>-'5C1AJ_Athlos'!$AX19</f>
        <v>0</v>
      </c>
      <c r="BR19" s="62">
        <f>-'5C1AK_NxtGen'!$AX19</f>
        <v>0</v>
      </c>
      <c r="BS19" s="62">
        <f>-'5C1AL_Red River'!$AX19</f>
        <v>0</v>
      </c>
      <c r="BT19" s="62">
        <f>-'5C2_LAVCA'!AY19</f>
        <v>-6</v>
      </c>
      <c r="BU19" s="62">
        <f>-'5C3_UnvView'!AY19</f>
        <v>-14</v>
      </c>
      <c r="BV19" s="62">
        <f t="shared" si="5"/>
        <v>-147</v>
      </c>
      <c r="BW19" s="327">
        <f t="shared" si="6"/>
        <v>640959</v>
      </c>
    </row>
    <row r="20" spans="1:75" s="8" customFormat="1" ht="15.75" customHeight="1" x14ac:dyDescent="0.2">
      <c r="A20" s="324">
        <v>14</v>
      </c>
      <c r="B20" s="325" t="s">
        <v>17</v>
      </c>
      <c r="C20" s="62">
        <f>'2_State Distrib and Adjs'!BB20</f>
        <v>1068491</v>
      </c>
      <c r="D20" s="62">
        <f>-'5A3_OJJ'!S20</f>
        <v>0</v>
      </c>
      <c r="E20" s="62"/>
      <c r="F20" s="62">
        <f>-'5C1A_Madison'!AS20</f>
        <v>0</v>
      </c>
      <c r="G20" s="62">
        <f>-'5C1B_DArbonne'!AS20</f>
        <v>-1073</v>
      </c>
      <c r="H20" s="62">
        <f>-'5C1C_Intl High'!AS20</f>
        <v>0</v>
      </c>
      <c r="I20" s="62">
        <f>-'5C1D_NOMMA'!AS20</f>
        <v>0</v>
      </c>
      <c r="J20" s="62">
        <f>-'5C1E_LFNO'!AS20</f>
        <v>0</v>
      </c>
      <c r="K20" s="62">
        <f>-'5C1F_L.C. Charter'!AS20</f>
        <v>0</v>
      </c>
      <c r="L20" s="62">
        <f>-'5C1G_JS Clark'!AS20</f>
        <v>0</v>
      </c>
      <c r="M20" s="62">
        <f>-'5C1H_Southwest'!AS20</f>
        <v>0</v>
      </c>
      <c r="N20" s="62">
        <f>-'5C1I_LA Key'!AS20</f>
        <v>0</v>
      </c>
      <c r="O20" s="62">
        <f>-'5C1J_JCFA-East'!AS20</f>
        <v>0</v>
      </c>
      <c r="P20" s="62">
        <f>-'5C1M_GEO Mid'!AS20</f>
        <v>0</v>
      </c>
      <c r="Q20" s="62">
        <f>-'5C1N_Delta'!AS20</f>
        <v>0</v>
      </c>
      <c r="R20" s="62">
        <f>-'5C1O_Impact'!AS20</f>
        <v>0</v>
      </c>
      <c r="S20" s="62">
        <f>-'5C1Q_Advantage'!AS20</f>
        <v>0</v>
      </c>
      <c r="T20" s="62">
        <f>-'5C1R_Iberville'!AS20</f>
        <v>0</v>
      </c>
      <c r="U20" s="62">
        <f>-'5C1S_LC Col Prep'!AS20</f>
        <v>0</v>
      </c>
      <c r="V20" s="62">
        <f>-'5C1T_Northeast'!AS20</f>
        <v>-15297</v>
      </c>
      <c r="W20" s="62">
        <f>-'5C1U_Acadiana Ren'!AS20</f>
        <v>0</v>
      </c>
      <c r="X20" s="62">
        <f>-'5C1V_Laf Ren'!AS20</f>
        <v>0</v>
      </c>
      <c r="Y20" s="62">
        <f>-'5C1W_Willow'!AS20</f>
        <v>0</v>
      </c>
      <c r="Z20" s="62">
        <f>-'5C1Y_GEO'!AS20</f>
        <v>0</v>
      </c>
      <c r="AA20" s="62">
        <f>-'5C1Z_Lincoln Prep'!AS20</f>
        <v>-17128</v>
      </c>
      <c r="AB20" s="62">
        <f>-'5C1AE_Noble Minds'!$AS20</f>
        <v>0</v>
      </c>
      <c r="AC20" s="62">
        <f>-'5C1AF_JCFA-Laf'!$AS20</f>
        <v>0</v>
      </c>
      <c r="AD20" s="62">
        <f>-'5C1AG_Collegiate'!$AS20</f>
        <v>0</v>
      </c>
      <c r="AE20" s="62">
        <f>-'5C1AH_BRUP'!$AS20</f>
        <v>0</v>
      </c>
      <c r="AF20" s="62">
        <f>-'5C1AI_Harmony'!$AS20</f>
        <v>0</v>
      </c>
      <c r="AG20" s="62">
        <f>-'5C1AJ_Athlos'!$AS20</f>
        <v>0</v>
      </c>
      <c r="AH20" s="62">
        <f>-'5C1AK_NxtGen'!$AS20</f>
        <v>0</v>
      </c>
      <c r="AI20" s="62">
        <f>-'5C1AL_Red River'!$AS20</f>
        <v>0</v>
      </c>
      <c r="AJ20" s="62">
        <f>-'5C2_LAVCA'!AT20</f>
        <v>-111</v>
      </c>
      <c r="AK20" s="62">
        <f>-'5C3_UnvView'!AT20</f>
        <v>-737</v>
      </c>
      <c r="AL20" s="326">
        <f t="shared" si="3"/>
        <v>-34346</v>
      </c>
      <c r="AM20" s="327">
        <f t="shared" si="4"/>
        <v>1034145</v>
      </c>
      <c r="AN20" s="62"/>
      <c r="AO20" s="62"/>
      <c r="AP20" s="62">
        <f>-'5C1A_Madison'!AX20</f>
        <v>0</v>
      </c>
      <c r="AQ20" s="62">
        <f>-'5C1B_DArbonne'!AX20</f>
        <v>-11</v>
      </c>
      <c r="AR20" s="62">
        <f>-'5C1C_Intl High'!AX20</f>
        <v>0</v>
      </c>
      <c r="AS20" s="62">
        <f>-'5C1D_NOMMA'!AX20</f>
        <v>0</v>
      </c>
      <c r="AT20" s="62">
        <f>-'5C1E_LFNO'!AX20</f>
        <v>0</v>
      </c>
      <c r="AU20" s="62">
        <f>-'5C1F_L.C. Charter'!AX20</f>
        <v>0</v>
      </c>
      <c r="AV20" s="62">
        <f>-'5C1G_JS Clark'!AX20</f>
        <v>0</v>
      </c>
      <c r="AW20" s="62">
        <f>-'5C1H_Southwest'!AX20</f>
        <v>0</v>
      </c>
      <c r="AX20" s="62">
        <f>-'5C1I_LA Key'!AX20</f>
        <v>0</v>
      </c>
      <c r="AY20" s="62">
        <f>-'5C1J_JCFA-East'!AX20</f>
        <v>0</v>
      </c>
      <c r="AZ20" s="62">
        <f>-'5C1M_GEO Mid'!AX20</f>
        <v>0</v>
      </c>
      <c r="BA20" s="62">
        <f>-'5C1N_Delta'!AX20</f>
        <v>0</v>
      </c>
      <c r="BB20" s="62">
        <f>-'5C1O_Impact'!AX20</f>
        <v>0</v>
      </c>
      <c r="BC20" s="62">
        <f>-'5C1Q_Advantage'!AX20</f>
        <v>0</v>
      </c>
      <c r="BD20" s="62">
        <f>-'5C1R_Iberville'!AX20</f>
        <v>0</v>
      </c>
      <c r="BE20" s="62">
        <f>-'5C1S_LC Col Prep'!AX20</f>
        <v>0</v>
      </c>
      <c r="BF20" s="62">
        <f>-'5C1T_Northeast'!AX20</f>
        <v>-11</v>
      </c>
      <c r="BG20" s="62">
        <f>-'5C1U_Acadiana Ren'!AX20</f>
        <v>0</v>
      </c>
      <c r="BH20" s="62">
        <f>-'5C1V_Laf Ren'!AX20</f>
        <v>0</v>
      </c>
      <c r="BI20" s="62">
        <f>-'5C1W_Willow'!AX20</f>
        <v>0</v>
      </c>
      <c r="BJ20" s="62">
        <f>-'5C1Y_GEO'!AX20</f>
        <v>0</v>
      </c>
      <c r="BK20" s="62">
        <f>-'5C1Z_Lincoln Prep'!AX20</f>
        <v>-52</v>
      </c>
      <c r="BL20" s="62">
        <f>-'5C1AE_Noble Minds'!AX20</f>
        <v>0</v>
      </c>
      <c r="BM20" s="62">
        <f>-'5C1AF_JCFA-Laf'!AX20</f>
        <v>0</v>
      </c>
      <c r="BN20" s="62">
        <f>-'5C1AG_Collegiate'!AX20</f>
        <v>0</v>
      </c>
      <c r="BO20" s="62">
        <f>-'5C1AH_BRUP'!AX20</f>
        <v>0</v>
      </c>
      <c r="BP20" s="62">
        <f>-'5C1AI_Harmony'!$AX20</f>
        <v>0</v>
      </c>
      <c r="BQ20" s="62">
        <f>-'5C1AJ_Athlos'!$AX20</f>
        <v>0</v>
      </c>
      <c r="BR20" s="62">
        <f>-'5C1AK_NxtGen'!$AX20</f>
        <v>0</v>
      </c>
      <c r="BS20" s="62">
        <f>-'5C1AL_Red River'!$AX20</f>
        <v>0</v>
      </c>
      <c r="BT20" s="62">
        <f>-'5C2_LAVCA'!AY20</f>
        <v>15</v>
      </c>
      <c r="BU20" s="62">
        <f>-'5C3_UnvView'!AY20</f>
        <v>6</v>
      </c>
      <c r="BV20" s="62">
        <f t="shared" si="5"/>
        <v>-53</v>
      </c>
      <c r="BW20" s="327">
        <f t="shared" si="6"/>
        <v>1034092</v>
      </c>
    </row>
    <row r="21" spans="1:75" s="8" customFormat="1" ht="15.75" customHeight="1" x14ac:dyDescent="0.2">
      <c r="A21" s="314">
        <v>15</v>
      </c>
      <c r="B21" s="315" t="s">
        <v>18</v>
      </c>
      <c r="C21" s="316">
        <f>'2_State Distrib and Adjs'!BB21</f>
        <v>1836791</v>
      </c>
      <c r="D21" s="316">
        <f>-'5A3_OJJ'!S21</f>
        <v>-81</v>
      </c>
      <c r="E21" s="316"/>
      <c r="F21" s="316">
        <f>-'5C1A_Madison'!AS21</f>
        <v>0</v>
      </c>
      <c r="G21" s="316">
        <f>-'5C1B_DArbonne'!AS21</f>
        <v>0</v>
      </c>
      <c r="H21" s="316">
        <f>-'5C1C_Intl High'!AS21</f>
        <v>0</v>
      </c>
      <c r="I21" s="316">
        <f>-'5C1D_NOMMA'!AS21</f>
        <v>0</v>
      </c>
      <c r="J21" s="316">
        <f>-'5C1E_LFNO'!AS21</f>
        <v>0</v>
      </c>
      <c r="K21" s="316">
        <f>-'5C1F_L.C. Charter'!AS21</f>
        <v>0</v>
      </c>
      <c r="L21" s="316">
        <f>-'5C1G_JS Clark'!AS21</f>
        <v>0</v>
      </c>
      <c r="M21" s="316">
        <f>-'5C1H_Southwest'!AS21</f>
        <v>0</v>
      </c>
      <c r="N21" s="316">
        <f>-'5C1I_LA Key'!AS21</f>
        <v>0</v>
      </c>
      <c r="O21" s="316">
        <f>-'5C1J_JCFA-East'!AS21</f>
        <v>0</v>
      </c>
      <c r="P21" s="316">
        <f>-'5C1M_GEO Mid'!AS21</f>
        <v>0</v>
      </c>
      <c r="Q21" s="316">
        <f>-'5C1N_Delta'!AS21</f>
        <v>-84410</v>
      </c>
      <c r="R21" s="316">
        <f>-'5C1O_Impact'!AS21</f>
        <v>0</v>
      </c>
      <c r="S21" s="316">
        <f>-'5C1Q_Advantage'!AS21</f>
        <v>0</v>
      </c>
      <c r="T21" s="316">
        <f>-'5C1R_Iberville'!AS21</f>
        <v>0</v>
      </c>
      <c r="U21" s="316">
        <f>-'5C1S_LC Col Prep'!AS21</f>
        <v>0</v>
      </c>
      <c r="V21" s="316">
        <f>-'5C1T_Northeast'!AS21</f>
        <v>0</v>
      </c>
      <c r="W21" s="316">
        <f>-'5C1U_Acadiana Ren'!AS21</f>
        <v>0</v>
      </c>
      <c r="X21" s="316">
        <f>-'5C1V_Laf Ren'!AS21</f>
        <v>0</v>
      </c>
      <c r="Y21" s="316">
        <f>-'5C1W_Willow'!AS21</f>
        <v>0</v>
      </c>
      <c r="Z21" s="316">
        <f>-'5C1Y_GEO'!AS21</f>
        <v>0</v>
      </c>
      <c r="AA21" s="316">
        <f>-'5C1Z_Lincoln Prep'!AS21</f>
        <v>0</v>
      </c>
      <c r="AB21" s="316">
        <f>-'5C1AE_Noble Minds'!$AS21</f>
        <v>0</v>
      </c>
      <c r="AC21" s="316">
        <f>-'5C1AF_JCFA-Laf'!$AS21</f>
        <v>0</v>
      </c>
      <c r="AD21" s="316">
        <f>-'5C1AG_Collegiate'!$AS21</f>
        <v>0</v>
      </c>
      <c r="AE21" s="316">
        <f>-'5C1AH_BRUP'!$AS21</f>
        <v>0</v>
      </c>
      <c r="AF21" s="586">
        <f>-'5C1AI_Harmony'!$AS21</f>
        <v>0</v>
      </c>
      <c r="AG21" s="586">
        <f>-'5C1AJ_Athlos'!$AS21</f>
        <v>0</v>
      </c>
      <c r="AH21" s="781">
        <f>-'5C1AK_NxtGen'!$AS21</f>
        <v>0</v>
      </c>
      <c r="AI21" s="781">
        <f>-'5C1AL_Red River'!$AS21</f>
        <v>0</v>
      </c>
      <c r="AJ21" s="316">
        <f>-'5C2_LAVCA'!AT21</f>
        <v>-3495</v>
      </c>
      <c r="AK21" s="316">
        <f>-'5C3_UnvView'!AT21</f>
        <v>1072</v>
      </c>
      <c r="AL21" s="317">
        <f t="shared" si="3"/>
        <v>-86914</v>
      </c>
      <c r="AM21" s="318">
        <f t="shared" si="4"/>
        <v>1749877</v>
      </c>
      <c r="AN21" s="316"/>
      <c r="AO21" s="316"/>
      <c r="AP21" s="316">
        <f>-'5C1A_Madison'!AX21</f>
        <v>0</v>
      </c>
      <c r="AQ21" s="316">
        <f>-'5C1B_DArbonne'!AX21</f>
        <v>0</v>
      </c>
      <c r="AR21" s="316">
        <f>-'5C1C_Intl High'!AX21</f>
        <v>0</v>
      </c>
      <c r="AS21" s="316">
        <f>-'5C1D_NOMMA'!AX21</f>
        <v>0</v>
      </c>
      <c r="AT21" s="316">
        <f>-'5C1E_LFNO'!AX21</f>
        <v>0</v>
      </c>
      <c r="AU21" s="316">
        <f>-'5C1F_L.C. Charter'!AX21</f>
        <v>0</v>
      </c>
      <c r="AV21" s="316">
        <f>-'5C1G_JS Clark'!AX21</f>
        <v>0</v>
      </c>
      <c r="AW21" s="316">
        <f>-'5C1H_Southwest'!AX21</f>
        <v>0</v>
      </c>
      <c r="AX21" s="316">
        <f>-'5C1I_LA Key'!AX21</f>
        <v>0</v>
      </c>
      <c r="AY21" s="316">
        <f>-'5C1J_JCFA-East'!AX21</f>
        <v>0</v>
      </c>
      <c r="AZ21" s="316">
        <f>-'5C1M_GEO Mid'!AX21</f>
        <v>0</v>
      </c>
      <c r="BA21" s="316">
        <f>-'5C1N_Delta'!AX21</f>
        <v>-48</v>
      </c>
      <c r="BB21" s="316">
        <f>-'5C1O_Impact'!AX21</f>
        <v>0</v>
      </c>
      <c r="BC21" s="316">
        <f>-'5C1Q_Advantage'!AX21</f>
        <v>0</v>
      </c>
      <c r="BD21" s="316">
        <f>-'5C1R_Iberville'!AX21</f>
        <v>0</v>
      </c>
      <c r="BE21" s="316">
        <f>-'5C1S_LC Col Prep'!AX21</f>
        <v>0</v>
      </c>
      <c r="BF21" s="316">
        <f>-'5C1T_Northeast'!AX21</f>
        <v>0</v>
      </c>
      <c r="BG21" s="316">
        <f>-'5C1U_Acadiana Ren'!AX21</f>
        <v>0</v>
      </c>
      <c r="BH21" s="316">
        <f>-'5C1V_Laf Ren'!AX21</f>
        <v>0</v>
      </c>
      <c r="BI21" s="316">
        <f>-'5C1W_Willow'!AX21</f>
        <v>0</v>
      </c>
      <c r="BJ21" s="316">
        <f>-'5C1Y_GEO'!AX21</f>
        <v>0</v>
      </c>
      <c r="BK21" s="316">
        <f>-'5C1Z_Lincoln Prep'!AX21</f>
        <v>0</v>
      </c>
      <c r="BL21" s="316">
        <f>-'5C1AE_Noble Minds'!AX21</f>
        <v>0</v>
      </c>
      <c r="BM21" s="316">
        <f>-'5C1AF_JCFA-Laf'!AX21</f>
        <v>0</v>
      </c>
      <c r="BN21" s="316">
        <f>-'5C1AG_Collegiate'!AX21</f>
        <v>0</v>
      </c>
      <c r="BO21" s="316">
        <f>-'5C1AH_BRUP'!AX21</f>
        <v>0</v>
      </c>
      <c r="BP21" s="586">
        <f>-'5C1AI_Harmony'!$AX21</f>
        <v>0</v>
      </c>
      <c r="BQ21" s="586">
        <f>-'5C1AJ_Athlos'!$AX21</f>
        <v>0</v>
      </c>
      <c r="BR21" s="781">
        <f>-'5C1AK_NxtGen'!$AX21</f>
        <v>0</v>
      </c>
      <c r="BS21" s="781">
        <f>-'5C1AL_Red River'!$AX21</f>
        <v>0</v>
      </c>
      <c r="BT21" s="316">
        <f>-'5C2_LAVCA'!AY21</f>
        <v>-33</v>
      </c>
      <c r="BU21" s="316">
        <f>-'5C3_UnvView'!AY21</f>
        <v>40</v>
      </c>
      <c r="BV21" s="316">
        <f t="shared" si="5"/>
        <v>-41</v>
      </c>
      <c r="BW21" s="318">
        <f t="shared" si="6"/>
        <v>1749836</v>
      </c>
    </row>
    <row r="22" spans="1:75" s="8" customFormat="1" ht="15.75" customHeight="1" x14ac:dyDescent="0.2">
      <c r="A22" s="324">
        <v>16</v>
      </c>
      <c r="B22" s="325" t="s">
        <v>19</v>
      </c>
      <c r="C22" s="62">
        <f>'2_State Distrib and Adjs'!BB22</f>
        <v>1055379</v>
      </c>
      <c r="D22" s="62">
        <f>-'5A3_OJJ'!S22</f>
        <v>-473</v>
      </c>
      <c r="E22" s="62"/>
      <c r="F22" s="62">
        <f>-'5C1A_Madison'!AS22</f>
        <v>0</v>
      </c>
      <c r="G22" s="62">
        <f>-'5C1B_DArbonne'!AS22</f>
        <v>0</v>
      </c>
      <c r="H22" s="62">
        <f>-'5C1C_Intl High'!AS22</f>
        <v>0</v>
      </c>
      <c r="I22" s="62">
        <f>-'5C1D_NOMMA'!AS22</f>
        <v>0</v>
      </c>
      <c r="J22" s="62">
        <f>-'5C1E_LFNO'!AS22</f>
        <v>0</v>
      </c>
      <c r="K22" s="62">
        <f>-'5C1F_L.C. Charter'!AS22</f>
        <v>0</v>
      </c>
      <c r="L22" s="62">
        <f>-'5C1G_JS Clark'!AS22</f>
        <v>0</v>
      </c>
      <c r="M22" s="62">
        <f>-'5C1H_Southwest'!AS22</f>
        <v>0</v>
      </c>
      <c r="N22" s="62">
        <f>-'5C1I_LA Key'!AS22</f>
        <v>0</v>
      </c>
      <c r="O22" s="62">
        <f>-'5C1J_JCFA-East'!AS22</f>
        <v>0</v>
      </c>
      <c r="P22" s="62">
        <f>-'5C1M_GEO Mid'!AS22</f>
        <v>0</v>
      </c>
      <c r="Q22" s="62">
        <f>-'5C1N_Delta'!AS22</f>
        <v>0</v>
      </c>
      <c r="R22" s="62">
        <f>-'5C1O_Impact'!AS22</f>
        <v>0</v>
      </c>
      <c r="S22" s="62">
        <f>-'5C1Q_Advantage'!AS22</f>
        <v>0</v>
      </c>
      <c r="T22" s="62">
        <f>-'5C1R_Iberville'!AS22</f>
        <v>0</v>
      </c>
      <c r="U22" s="62">
        <f>-'5C1S_LC Col Prep'!AS22</f>
        <v>0</v>
      </c>
      <c r="V22" s="62">
        <f>-'5C1T_Northeast'!AS22</f>
        <v>0</v>
      </c>
      <c r="W22" s="62">
        <f>-'5C1U_Acadiana Ren'!AS22</f>
        <v>0</v>
      </c>
      <c r="X22" s="62">
        <f>-'5C1V_Laf Ren'!AS22</f>
        <v>0</v>
      </c>
      <c r="Y22" s="62">
        <f>-'5C1W_Willow'!AS22</f>
        <v>0</v>
      </c>
      <c r="Z22" s="62">
        <f>-'5C1Y_GEO'!AS22</f>
        <v>0</v>
      </c>
      <c r="AA22" s="62">
        <f>-'5C1Z_Lincoln Prep'!AS22</f>
        <v>0</v>
      </c>
      <c r="AB22" s="62">
        <f>-'5C1AE_Noble Minds'!$AS22</f>
        <v>0</v>
      </c>
      <c r="AC22" s="62">
        <f>-'5C1AF_JCFA-Laf'!$AS22</f>
        <v>0</v>
      </c>
      <c r="AD22" s="62">
        <f>-'5C1AG_Collegiate'!$AS22</f>
        <v>0</v>
      </c>
      <c r="AE22" s="62">
        <f>-'5C1AH_BRUP'!$AS22</f>
        <v>0</v>
      </c>
      <c r="AF22" s="62">
        <f>-'5C1AI_Harmony'!$AS22</f>
        <v>0</v>
      </c>
      <c r="AG22" s="62">
        <f>-'5C1AJ_Athlos'!$AS22</f>
        <v>0</v>
      </c>
      <c r="AH22" s="62">
        <f>-'5C1AK_NxtGen'!$AS22</f>
        <v>0</v>
      </c>
      <c r="AI22" s="62">
        <f>-'5C1AL_Red River'!$AS22</f>
        <v>0</v>
      </c>
      <c r="AJ22" s="62">
        <f>-'5C2_LAVCA'!AT22</f>
        <v>-1533</v>
      </c>
      <c r="AK22" s="62">
        <f>-'5C3_UnvView'!AT22</f>
        <v>-9222</v>
      </c>
      <c r="AL22" s="326">
        <f t="shared" si="3"/>
        <v>-11228</v>
      </c>
      <c r="AM22" s="327">
        <f t="shared" si="4"/>
        <v>1044151</v>
      </c>
      <c r="AN22" s="62"/>
      <c r="AO22" s="62"/>
      <c r="AP22" s="62">
        <f>-'5C1A_Madison'!AX22</f>
        <v>0</v>
      </c>
      <c r="AQ22" s="62">
        <f>-'5C1B_DArbonne'!AX22</f>
        <v>0</v>
      </c>
      <c r="AR22" s="62">
        <f>-'5C1C_Intl High'!AX22</f>
        <v>0</v>
      </c>
      <c r="AS22" s="62">
        <f>-'5C1D_NOMMA'!AX22</f>
        <v>0</v>
      </c>
      <c r="AT22" s="62">
        <f>-'5C1E_LFNO'!AX22</f>
        <v>0</v>
      </c>
      <c r="AU22" s="62">
        <f>-'5C1F_L.C. Charter'!AX22</f>
        <v>0</v>
      </c>
      <c r="AV22" s="62">
        <f>-'5C1G_JS Clark'!AX22</f>
        <v>0</v>
      </c>
      <c r="AW22" s="62">
        <f>-'5C1H_Southwest'!AX22</f>
        <v>0</v>
      </c>
      <c r="AX22" s="62">
        <f>-'5C1I_LA Key'!AX22</f>
        <v>0</v>
      </c>
      <c r="AY22" s="62">
        <f>-'5C1J_JCFA-East'!AX22</f>
        <v>0</v>
      </c>
      <c r="AZ22" s="62">
        <f>-'5C1M_GEO Mid'!AX22</f>
        <v>0</v>
      </c>
      <c r="BA22" s="62">
        <f>-'5C1N_Delta'!AX22</f>
        <v>0</v>
      </c>
      <c r="BB22" s="62">
        <f>-'5C1O_Impact'!AX22</f>
        <v>0</v>
      </c>
      <c r="BC22" s="62">
        <f>-'5C1Q_Advantage'!AX22</f>
        <v>0</v>
      </c>
      <c r="BD22" s="62">
        <f>-'5C1R_Iberville'!AX22</f>
        <v>0</v>
      </c>
      <c r="BE22" s="62">
        <f>-'5C1S_LC Col Prep'!AX22</f>
        <v>0</v>
      </c>
      <c r="BF22" s="62">
        <f>-'5C1T_Northeast'!AX22</f>
        <v>0</v>
      </c>
      <c r="BG22" s="62">
        <f>-'5C1U_Acadiana Ren'!AX22</f>
        <v>0</v>
      </c>
      <c r="BH22" s="62">
        <f>-'5C1V_Laf Ren'!AX22</f>
        <v>0</v>
      </c>
      <c r="BI22" s="62">
        <f>-'5C1W_Willow'!AX22</f>
        <v>0</v>
      </c>
      <c r="BJ22" s="62">
        <f>-'5C1Y_GEO'!AX22</f>
        <v>0</v>
      </c>
      <c r="BK22" s="62">
        <f>-'5C1Z_Lincoln Prep'!AX22</f>
        <v>0</v>
      </c>
      <c r="BL22" s="62">
        <f>-'5C1AE_Noble Minds'!AX22</f>
        <v>0</v>
      </c>
      <c r="BM22" s="62">
        <f>-'5C1AF_JCFA-Laf'!AX22</f>
        <v>0</v>
      </c>
      <c r="BN22" s="62">
        <f>-'5C1AG_Collegiate'!AX22</f>
        <v>0</v>
      </c>
      <c r="BO22" s="62">
        <f>-'5C1AH_BRUP'!AX22</f>
        <v>0</v>
      </c>
      <c r="BP22" s="62">
        <f>-'5C1AI_Harmony'!$AX22</f>
        <v>0</v>
      </c>
      <c r="BQ22" s="62">
        <f>-'5C1AJ_Athlos'!$AX22</f>
        <v>0</v>
      </c>
      <c r="BR22" s="62">
        <f>-'5C1AK_NxtGen'!$AX22</f>
        <v>0</v>
      </c>
      <c r="BS22" s="62">
        <f>-'5C1AL_Red River'!$AX22</f>
        <v>0</v>
      </c>
      <c r="BT22" s="62">
        <f>-'5C2_LAVCA'!AY22</f>
        <v>216</v>
      </c>
      <c r="BU22" s="62">
        <f>-'5C3_UnvView'!AY22</f>
        <v>18</v>
      </c>
      <c r="BV22" s="62">
        <f t="shared" si="5"/>
        <v>234</v>
      </c>
      <c r="BW22" s="327">
        <f t="shared" si="6"/>
        <v>1044385</v>
      </c>
    </row>
    <row r="23" spans="1:75" s="8" customFormat="1" ht="15.75" customHeight="1" x14ac:dyDescent="0.2">
      <c r="A23" s="324">
        <v>17</v>
      </c>
      <c r="B23" s="325" t="s">
        <v>20</v>
      </c>
      <c r="C23" s="62">
        <f>'2_State Distrib and Adjs'!BB23</f>
        <v>14507999</v>
      </c>
      <c r="D23" s="62">
        <f>-'5A3_OJJ'!S23</f>
        <v>-8974</v>
      </c>
      <c r="E23" s="62">
        <f>-'5B2_RSD LA'!AU18</f>
        <v>-1105327</v>
      </c>
      <c r="F23" s="62">
        <f>-'5C1A_Madison'!AS23</f>
        <v>-397812</v>
      </c>
      <c r="G23" s="62">
        <f>-'5C1B_DArbonne'!AS23</f>
        <v>0</v>
      </c>
      <c r="H23" s="62">
        <f>-'5C1C_Intl High'!AS23</f>
        <v>0</v>
      </c>
      <c r="I23" s="62">
        <f>-'5C1D_NOMMA'!AS23</f>
        <v>0</v>
      </c>
      <c r="J23" s="62">
        <f>-'5C1E_LFNO'!AS23</f>
        <v>0</v>
      </c>
      <c r="K23" s="62">
        <f>-'5C1F_L.C. Charter'!AS23</f>
        <v>-643</v>
      </c>
      <c r="L23" s="62">
        <f>-'5C1G_JS Clark'!AS23</f>
        <v>0</v>
      </c>
      <c r="M23" s="62">
        <f>-'5C1H_Southwest'!AS23</f>
        <v>-665</v>
      </c>
      <c r="N23" s="62">
        <f>-'5C1I_LA Key'!AS23</f>
        <v>-207908</v>
      </c>
      <c r="O23" s="62">
        <f>-'5C1J_JCFA-East'!AS23</f>
        <v>0</v>
      </c>
      <c r="P23" s="62">
        <f>-'5C1M_GEO Mid'!AS23</f>
        <v>-423301</v>
      </c>
      <c r="Q23" s="62">
        <f>-'5C1N_Delta'!AS23</f>
        <v>0</v>
      </c>
      <c r="R23" s="62">
        <f>-'5C1O_Impact'!AS23</f>
        <v>-146850</v>
      </c>
      <c r="S23" s="62">
        <f>-'5C1Q_Advantage'!AS23</f>
        <v>-183464</v>
      </c>
      <c r="T23" s="62">
        <f>-'5C1R_Iberville'!AS23</f>
        <v>-44451</v>
      </c>
      <c r="U23" s="62">
        <f>-'5C1S_LC Col Prep'!AS23</f>
        <v>0</v>
      </c>
      <c r="V23" s="62">
        <f>-'5C1T_Northeast'!AS23</f>
        <v>0</v>
      </c>
      <c r="W23" s="62">
        <f>-'5C1U_Acadiana Ren'!AS23</f>
        <v>-1288</v>
      </c>
      <c r="X23" s="62">
        <f>-'5C1V_Laf Ren'!AS23</f>
        <v>0</v>
      </c>
      <c r="Y23" s="62">
        <f>-'5C1W_Willow'!AS23</f>
        <v>-2899</v>
      </c>
      <c r="Z23" s="62">
        <f>-'5C1Y_GEO'!AS23</f>
        <v>-488500</v>
      </c>
      <c r="AA23" s="62">
        <f>-'5C1Z_Lincoln Prep'!AS23</f>
        <v>0</v>
      </c>
      <c r="AB23" s="62">
        <f>-'5C1AE_Noble Minds'!$AS23</f>
        <v>0</v>
      </c>
      <c r="AC23" s="62">
        <f>-'5C1AF_JCFA-Laf'!$AS23</f>
        <v>0</v>
      </c>
      <c r="AD23" s="62">
        <f>-'5C1AG_Collegiate'!$AS23</f>
        <v>-351476</v>
      </c>
      <c r="AE23" s="62">
        <f>-'5C1AH_BRUP'!$AS23</f>
        <v>-207566</v>
      </c>
      <c r="AF23" s="62">
        <f>-'5C1AI_Harmony'!$AS23</f>
        <v>0</v>
      </c>
      <c r="AG23" s="62">
        <f>-'5C1AJ_Athlos'!$AS23</f>
        <v>0</v>
      </c>
      <c r="AH23" s="62">
        <f>-'5C1AK_NxtGen'!$AS23</f>
        <v>-135073</v>
      </c>
      <c r="AI23" s="62">
        <f>-'5C1AL_Red River'!$AS23</f>
        <v>0</v>
      </c>
      <c r="AJ23" s="62">
        <f>-'5C2_LAVCA'!AT23</f>
        <v>-83826</v>
      </c>
      <c r="AK23" s="62">
        <f>-'5C3_UnvView'!AT23</f>
        <v>-186727</v>
      </c>
      <c r="AL23" s="326">
        <f>SUM(D23:AK23)</f>
        <v>-3976750</v>
      </c>
      <c r="AM23" s="327">
        <f t="shared" si="4"/>
        <v>10531249</v>
      </c>
      <c r="AN23" s="62">
        <f>-'5B2_RSD LA'!AM23</f>
        <v>705</v>
      </c>
      <c r="AO23" s="62">
        <f>-'5B2_RSD LA'!AN23</f>
        <v>99</v>
      </c>
      <c r="AP23" s="62">
        <f>-'5C1A_Madison'!AX23</f>
        <v>-1137</v>
      </c>
      <c r="AQ23" s="62">
        <f>-'5C1B_DArbonne'!AX23</f>
        <v>0</v>
      </c>
      <c r="AR23" s="62">
        <f>-'5C1C_Intl High'!AX23</f>
        <v>0</v>
      </c>
      <c r="AS23" s="62">
        <f>-'5C1D_NOMMA'!AX23</f>
        <v>0</v>
      </c>
      <c r="AT23" s="62">
        <f>-'5C1E_LFNO'!AX23</f>
        <v>0</v>
      </c>
      <c r="AU23" s="62">
        <f>-'5C1F_L.C. Charter'!AX23</f>
        <v>-19</v>
      </c>
      <c r="AV23" s="62">
        <f>-'5C1G_JS Clark'!AX23</f>
        <v>0</v>
      </c>
      <c r="AW23" s="62">
        <f>-'5C1H_Southwest'!AX23</f>
        <v>0</v>
      </c>
      <c r="AX23" s="62">
        <f>-'5C1I_LA Key'!AX23</f>
        <v>-582</v>
      </c>
      <c r="AY23" s="62">
        <f>-'5C1J_JCFA-East'!AX23</f>
        <v>0</v>
      </c>
      <c r="AZ23" s="62">
        <f>-'5C1M_GEO Mid'!AX23</f>
        <v>100</v>
      </c>
      <c r="BA23" s="62">
        <f>-'5C1N_Delta'!AX23</f>
        <v>0</v>
      </c>
      <c r="BB23" s="62">
        <f>-'5C1O_Impact'!AX23</f>
        <v>-61</v>
      </c>
      <c r="BC23" s="62">
        <f>-'5C1Q_Advantage'!AX23</f>
        <v>-1144</v>
      </c>
      <c r="BD23" s="62">
        <f>-'5C1R_Iberville'!AX23</f>
        <v>-582</v>
      </c>
      <c r="BE23" s="62">
        <f>-'5C1S_LC Col Prep'!AX23</f>
        <v>0</v>
      </c>
      <c r="BF23" s="62">
        <f>-'5C1T_Northeast'!AX23</f>
        <v>0</v>
      </c>
      <c r="BG23" s="62">
        <f>-'5C1U_Acadiana Ren'!AX23</f>
        <v>-19</v>
      </c>
      <c r="BH23" s="62">
        <f>-'5C1V_Laf Ren'!AX23</f>
        <v>0</v>
      </c>
      <c r="BI23" s="62">
        <f>-'5C1W_Willow'!AX23</f>
        <v>-29</v>
      </c>
      <c r="BJ23" s="62">
        <f>-'5C1Y_GEO'!AX23</f>
        <v>-1338</v>
      </c>
      <c r="BK23" s="62">
        <f>-'5C1Z_Lincoln Prep'!AX23</f>
        <v>0</v>
      </c>
      <c r="BL23" s="62">
        <f>-'5C1AE_Noble Minds'!AX23</f>
        <v>0</v>
      </c>
      <c r="BM23" s="62">
        <f>-'5C1AF_JCFA-Laf'!AX23</f>
        <v>0</v>
      </c>
      <c r="BN23" s="62">
        <f>-'5C1AG_Collegiate'!AX23</f>
        <v>-1688</v>
      </c>
      <c r="BO23" s="62">
        <f>-'5C1AH_BRUP'!AX23</f>
        <v>105</v>
      </c>
      <c r="BP23" s="62">
        <f>-'5C1AI_Harmony'!$AX23</f>
        <v>0</v>
      </c>
      <c r="BQ23" s="62">
        <f>-'5C1AJ_Athlos'!$AX23</f>
        <v>0</v>
      </c>
      <c r="BR23" s="62">
        <f>-'5C1AK_NxtGen'!$AX23</f>
        <v>-2003</v>
      </c>
      <c r="BS23" s="62">
        <f>-'5C1AL_Red River'!$AX23</f>
        <v>0</v>
      </c>
      <c r="BT23" s="62">
        <f>-'5C2_LAVCA'!AY23</f>
        <v>-387</v>
      </c>
      <c r="BU23" s="62">
        <f>-'5C3_UnvView'!AY23</f>
        <v>-356</v>
      </c>
      <c r="BV23" s="62">
        <f t="shared" si="5"/>
        <v>-9041</v>
      </c>
      <c r="BW23" s="327">
        <f t="shared" si="6"/>
        <v>10522913</v>
      </c>
    </row>
    <row r="24" spans="1:75" s="8" customFormat="1" ht="15.75" customHeight="1" x14ac:dyDescent="0.2">
      <c r="A24" s="324">
        <v>18</v>
      </c>
      <c r="B24" s="325" t="s">
        <v>21</v>
      </c>
      <c r="C24" s="62">
        <f>'2_State Distrib and Adjs'!BB24</f>
        <v>440653</v>
      </c>
      <c r="D24" s="62">
        <f>-'5A3_OJJ'!S24</f>
        <v>-252</v>
      </c>
      <c r="E24" s="62"/>
      <c r="F24" s="62">
        <f>-'5C1A_Madison'!AS24</f>
        <v>0</v>
      </c>
      <c r="G24" s="62">
        <f>-'5C1B_DArbonne'!AS24</f>
        <v>0</v>
      </c>
      <c r="H24" s="62">
        <f>-'5C1C_Intl High'!AS24</f>
        <v>0</v>
      </c>
      <c r="I24" s="62">
        <f>-'5C1D_NOMMA'!AS24</f>
        <v>0</v>
      </c>
      <c r="J24" s="62">
        <f>-'5C1E_LFNO'!AS24</f>
        <v>0</v>
      </c>
      <c r="K24" s="62">
        <f>-'5C1F_L.C. Charter'!AS24</f>
        <v>0</v>
      </c>
      <c r="L24" s="62">
        <f>-'5C1G_JS Clark'!AS24</f>
        <v>0</v>
      </c>
      <c r="M24" s="62">
        <f>-'5C1H_Southwest'!AS24</f>
        <v>0</v>
      </c>
      <c r="N24" s="62">
        <f>-'5C1I_LA Key'!AS24</f>
        <v>0</v>
      </c>
      <c r="O24" s="62">
        <f>-'5C1J_JCFA-East'!AS24</f>
        <v>0</v>
      </c>
      <c r="P24" s="62">
        <f>-'5C1M_GEO Mid'!AS24</f>
        <v>0</v>
      </c>
      <c r="Q24" s="62">
        <f>-'5C1N_Delta'!AS24</f>
        <v>0</v>
      </c>
      <c r="R24" s="62">
        <f>-'5C1O_Impact'!AS24</f>
        <v>0</v>
      </c>
      <c r="S24" s="62">
        <f>-'5C1Q_Advantage'!AS24</f>
        <v>0</v>
      </c>
      <c r="T24" s="62">
        <f>-'5C1R_Iberville'!AS24</f>
        <v>0</v>
      </c>
      <c r="U24" s="62">
        <f>-'5C1S_LC Col Prep'!AS24</f>
        <v>0</v>
      </c>
      <c r="V24" s="62">
        <f>-'5C1T_Northeast'!AS24</f>
        <v>0</v>
      </c>
      <c r="W24" s="62">
        <f>-'5C1U_Acadiana Ren'!AS24</f>
        <v>0</v>
      </c>
      <c r="X24" s="62">
        <f>-'5C1V_Laf Ren'!AS24</f>
        <v>0</v>
      </c>
      <c r="Y24" s="62">
        <f>-'5C1W_Willow'!AS24</f>
        <v>0</v>
      </c>
      <c r="Z24" s="62">
        <f>-'5C1Y_GEO'!AS24</f>
        <v>0</v>
      </c>
      <c r="AA24" s="62">
        <f>-'5C1Z_Lincoln Prep'!AS24</f>
        <v>0</v>
      </c>
      <c r="AB24" s="62">
        <f>-'5C1AE_Noble Minds'!$AS24</f>
        <v>0</v>
      </c>
      <c r="AC24" s="62">
        <f>-'5C1AF_JCFA-Laf'!$AS24</f>
        <v>0</v>
      </c>
      <c r="AD24" s="62">
        <f>-'5C1AG_Collegiate'!$AS24</f>
        <v>0</v>
      </c>
      <c r="AE24" s="62">
        <f>-'5C1AH_BRUP'!$AS24</f>
        <v>0</v>
      </c>
      <c r="AF24" s="62">
        <f>-'5C1AI_Harmony'!$AS24</f>
        <v>0</v>
      </c>
      <c r="AG24" s="62">
        <f>-'5C1AJ_Athlos'!$AS24</f>
        <v>0</v>
      </c>
      <c r="AH24" s="62">
        <f>-'5C1AK_NxtGen'!$AS24</f>
        <v>0</v>
      </c>
      <c r="AI24" s="62">
        <f>-'5C1AL_Red River'!$AS24</f>
        <v>0</v>
      </c>
      <c r="AJ24" s="62">
        <f>-'5C2_LAVCA'!AT24</f>
        <v>250</v>
      </c>
      <c r="AK24" s="62">
        <f>-'5C3_UnvView'!AT24</f>
        <v>-1389</v>
      </c>
      <c r="AL24" s="326">
        <f t="shared" si="3"/>
        <v>-1391</v>
      </c>
      <c r="AM24" s="327">
        <f t="shared" si="4"/>
        <v>439262</v>
      </c>
      <c r="AN24" s="62"/>
      <c r="AO24" s="62"/>
      <c r="AP24" s="62">
        <f>-'5C1A_Madison'!AX24</f>
        <v>0</v>
      </c>
      <c r="AQ24" s="62">
        <f>-'5C1B_DArbonne'!AX24</f>
        <v>0</v>
      </c>
      <c r="AR24" s="62">
        <f>-'5C1C_Intl High'!AX24</f>
        <v>0</v>
      </c>
      <c r="AS24" s="62">
        <f>-'5C1D_NOMMA'!AX24</f>
        <v>0</v>
      </c>
      <c r="AT24" s="62">
        <f>-'5C1E_LFNO'!AX24</f>
        <v>0</v>
      </c>
      <c r="AU24" s="62">
        <f>-'5C1F_L.C. Charter'!AX24</f>
        <v>0</v>
      </c>
      <c r="AV24" s="62">
        <f>-'5C1G_JS Clark'!AX24</f>
        <v>0</v>
      </c>
      <c r="AW24" s="62">
        <f>-'5C1H_Southwest'!AX24</f>
        <v>0</v>
      </c>
      <c r="AX24" s="62">
        <f>-'5C1I_LA Key'!AX24</f>
        <v>0</v>
      </c>
      <c r="AY24" s="62">
        <f>-'5C1J_JCFA-East'!AX24</f>
        <v>0</v>
      </c>
      <c r="AZ24" s="62">
        <f>-'5C1M_GEO Mid'!AX24</f>
        <v>0</v>
      </c>
      <c r="BA24" s="62">
        <f>-'5C1N_Delta'!AX24</f>
        <v>0</v>
      </c>
      <c r="BB24" s="62">
        <f>-'5C1O_Impact'!AX24</f>
        <v>0</v>
      </c>
      <c r="BC24" s="62">
        <f>-'5C1Q_Advantage'!AX24</f>
        <v>0</v>
      </c>
      <c r="BD24" s="62">
        <f>-'5C1R_Iberville'!AX24</f>
        <v>0</v>
      </c>
      <c r="BE24" s="62">
        <f>-'5C1S_LC Col Prep'!AX24</f>
        <v>0</v>
      </c>
      <c r="BF24" s="62">
        <f>-'5C1T_Northeast'!AX24</f>
        <v>0</v>
      </c>
      <c r="BG24" s="62">
        <f>-'5C1U_Acadiana Ren'!AX24</f>
        <v>0</v>
      </c>
      <c r="BH24" s="62">
        <f>-'5C1V_Laf Ren'!AX24</f>
        <v>0</v>
      </c>
      <c r="BI24" s="62">
        <f>-'5C1W_Willow'!AX24</f>
        <v>0</v>
      </c>
      <c r="BJ24" s="62">
        <f>-'5C1Y_GEO'!AX24</f>
        <v>0</v>
      </c>
      <c r="BK24" s="62">
        <f>-'5C1Z_Lincoln Prep'!AX24</f>
        <v>0</v>
      </c>
      <c r="BL24" s="62">
        <f>-'5C1AE_Noble Minds'!AX24</f>
        <v>0</v>
      </c>
      <c r="BM24" s="62">
        <f>-'5C1AF_JCFA-Laf'!AX24</f>
        <v>0</v>
      </c>
      <c r="BN24" s="62">
        <f>-'5C1AG_Collegiate'!AX24</f>
        <v>0</v>
      </c>
      <c r="BO24" s="62">
        <f>-'5C1AH_BRUP'!AX24</f>
        <v>0</v>
      </c>
      <c r="BP24" s="62">
        <f>-'5C1AI_Harmony'!$AX24</f>
        <v>0</v>
      </c>
      <c r="BQ24" s="62">
        <f>-'5C1AJ_Athlos'!$AX24</f>
        <v>0</v>
      </c>
      <c r="BR24" s="62">
        <f>-'5C1AK_NxtGen'!$AX24</f>
        <v>0</v>
      </c>
      <c r="BS24" s="62">
        <f>-'5C1AL_Red River'!$AX24</f>
        <v>0</v>
      </c>
      <c r="BT24" s="62">
        <f>-'5C2_LAVCA'!AY24</f>
        <v>22</v>
      </c>
      <c r="BU24" s="62">
        <f>-'5C3_UnvView'!AY24</f>
        <v>-13</v>
      </c>
      <c r="BV24" s="62">
        <f t="shared" si="5"/>
        <v>9</v>
      </c>
      <c r="BW24" s="327">
        <f t="shared" si="6"/>
        <v>439271</v>
      </c>
    </row>
    <row r="25" spans="1:75" s="8" customFormat="1" ht="15.75" customHeight="1" x14ac:dyDescent="0.2">
      <c r="A25" s="324">
        <v>19</v>
      </c>
      <c r="B25" s="325" t="s">
        <v>22</v>
      </c>
      <c r="C25" s="62">
        <f>'2_State Distrib and Adjs'!BB25</f>
        <v>799485</v>
      </c>
      <c r="D25" s="62">
        <f>-'5A3_OJJ'!S25</f>
        <v>0</v>
      </c>
      <c r="E25" s="62"/>
      <c r="F25" s="62">
        <f>-'5C1A_Madison'!AS25</f>
        <v>-730</v>
      </c>
      <c r="G25" s="62">
        <f>-'5C1B_DArbonne'!AS25</f>
        <v>0</v>
      </c>
      <c r="H25" s="62">
        <f>-'5C1C_Intl High'!AS25</f>
        <v>0</v>
      </c>
      <c r="I25" s="62">
        <f>-'5C1D_NOMMA'!AS25</f>
        <v>0</v>
      </c>
      <c r="J25" s="62">
        <f>-'5C1E_LFNO'!AS25</f>
        <v>0</v>
      </c>
      <c r="K25" s="62">
        <f>-'5C1F_L.C. Charter'!AS25</f>
        <v>0</v>
      </c>
      <c r="L25" s="62">
        <f>-'5C1G_JS Clark'!AS25</f>
        <v>0</v>
      </c>
      <c r="M25" s="62">
        <f>-'5C1H_Southwest'!AS25</f>
        <v>0</v>
      </c>
      <c r="N25" s="62">
        <f>-'5C1I_LA Key'!AS25</f>
        <v>-4479</v>
      </c>
      <c r="O25" s="62">
        <f>-'5C1J_JCFA-East'!AS25</f>
        <v>0</v>
      </c>
      <c r="P25" s="62">
        <f>-'5C1M_GEO Mid'!AS25</f>
        <v>0</v>
      </c>
      <c r="Q25" s="62">
        <f>-'5C1N_Delta'!AS25</f>
        <v>0</v>
      </c>
      <c r="R25" s="62">
        <f>-'5C1O_Impact'!AS25</f>
        <v>0</v>
      </c>
      <c r="S25" s="62">
        <f>-'5C1Q_Advantage'!AS25</f>
        <v>-396</v>
      </c>
      <c r="T25" s="62">
        <f>-'5C1R_Iberville'!AS25</f>
        <v>0</v>
      </c>
      <c r="U25" s="62">
        <f>-'5C1S_LC Col Prep'!AS25</f>
        <v>0</v>
      </c>
      <c r="V25" s="62">
        <f>-'5C1T_Northeast'!AS25</f>
        <v>0</v>
      </c>
      <c r="W25" s="62">
        <f>-'5C1U_Acadiana Ren'!AS25</f>
        <v>0</v>
      </c>
      <c r="X25" s="62">
        <f>-'5C1V_Laf Ren'!AS25</f>
        <v>0</v>
      </c>
      <c r="Y25" s="62">
        <f>-'5C1W_Willow'!AS25</f>
        <v>0</v>
      </c>
      <c r="Z25" s="62">
        <f>-'5C1Y_GEO'!AS25</f>
        <v>345</v>
      </c>
      <c r="AA25" s="62">
        <f>-'5C1Z_Lincoln Prep'!AS25</f>
        <v>0</v>
      </c>
      <c r="AB25" s="62">
        <f>-'5C1AE_Noble Minds'!$AS25</f>
        <v>0</v>
      </c>
      <c r="AC25" s="62">
        <f>-'5C1AF_JCFA-Laf'!$AS25</f>
        <v>0</v>
      </c>
      <c r="AD25" s="62">
        <f>-'5C1AG_Collegiate'!$AS25</f>
        <v>0</v>
      </c>
      <c r="AE25" s="62">
        <f>-'5C1AH_BRUP'!$AS25</f>
        <v>0</v>
      </c>
      <c r="AF25" s="62">
        <f>-'5C1AI_Harmony'!$AS25</f>
        <v>0</v>
      </c>
      <c r="AG25" s="62">
        <f>-'5C1AJ_Athlos'!$AS25</f>
        <v>0</v>
      </c>
      <c r="AH25" s="62">
        <f>-'5C1AK_NxtGen'!$AS25</f>
        <v>-182</v>
      </c>
      <c r="AI25" s="62">
        <f>-'5C1AL_Red River'!$AS25</f>
        <v>0</v>
      </c>
      <c r="AJ25" s="62">
        <f>-'5C2_LAVCA'!AT25</f>
        <v>-1493</v>
      </c>
      <c r="AK25" s="62">
        <f>-'5C3_UnvView'!AT25</f>
        <v>-11559</v>
      </c>
      <c r="AL25" s="326">
        <f t="shared" si="3"/>
        <v>-18494</v>
      </c>
      <c r="AM25" s="327">
        <f t="shared" si="4"/>
        <v>780991</v>
      </c>
      <c r="AN25" s="62"/>
      <c r="AO25" s="62"/>
      <c r="AP25" s="62">
        <f>-'5C1A_Madison'!AX25</f>
        <v>-11</v>
      </c>
      <c r="AQ25" s="62">
        <f>-'5C1B_DArbonne'!AX25</f>
        <v>0</v>
      </c>
      <c r="AR25" s="62">
        <f>-'5C1C_Intl High'!AX25</f>
        <v>0</v>
      </c>
      <c r="AS25" s="62">
        <f>-'5C1D_NOMMA'!AX25</f>
        <v>0</v>
      </c>
      <c r="AT25" s="62">
        <f>-'5C1E_LFNO'!AX25</f>
        <v>0</v>
      </c>
      <c r="AU25" s="62">
        <f>-'5C1F_L.C. Charter'!AX25</f>
        <v>0</v>
      </c>
      <c r="AV25" s="62">
        <f>-'5C1G_JS Clark'!AX25</f>
        <v>0</v>
      </c>
      <c r="AW25" s="62">
        <f>-'5C1H_Southwest'!AX25</f>
        <v>0</v>
      </c>
      <c r="AX25" s="62">
        <f>-'5C1I_LA Key'!AX25</f>
        <v>-36</v>
      </c>
      <c r="AY25" s="62">
        <f>-'5C1J_JCFA-East'!AX25</f>
        <v>0</v>
      </c>
      <c r="AZ25" s="62">
        <f>-'5C1M_GEO Mid'!AX25</f>
        <v>0</v>
      </c>
      <c r="BA25" s="62">
        <f>-'5C1N_Delta'!AX25</f>
        <v>0</v>
      </c>
      <c r="BB25" s="62">
        <f>-'5C1O_Impact'!AX25</f>
        <v>0</v>
      </c>
      <c r="BC25" s="62">
        <f>-'5C1Q_Advantage'!AX25</f>
        <v>87</v>
      </c>
      <c r="BD25" s="62">
        <f>-'5C1R_Iberville'!AX25</f>
        <v>0</v>
      </c>
      <c r="BE25" s="62">
        <f>-'5C1S_LC Col Prep'!AX25</f>
        <v>0</v>
      </c>
      <c r="BF25" s="62">
        <f>-'5C1T_Northeast'!AX25</f>
        <v>0</v>
      </c>
      <c r="BG25" s="62">
        <f>-'5C1U_Acadiana Ren'!AX25</f>
        <v>0</v>
      </c>
      <c r="BH25" s="62">
        <f>-'5C1V_Laf Ren'!AX25</f>
        <v>0</v>
      </c>
      <c r="BI25" s="62">
        <f>-'5C1W_Willow'!AX25</f>
        <v>0</v>
      </c>
      <c r="BJ25" s="62">
        <f>-'5C1Y_GEO'!AX25</f>
        <v>10</v>
      </c>
      <c r="BK25" s="62">
        <f>-'5C1Z_Lincoln Prep'!AX25</f>
        <v>0</v>
      </c>
      <c r="BL25" s="62">
        <f>-'5C1AE_Noble Minds'!AX25</f>
        <v>0</v>
      </c>
      <c r="BM25" s="62">
        <f>-'5C1AF_JCFA-Laf'!AX25</f>
        <v>0</v>
      </c>
      <c r="BN25" s="62">
        <f>-'5C1AG_Collegiate'!AX25</f>
        <v>0</v>
      </c>
      <c r="BO25" s="62">
        <f>-'5C1AH_BRUP'!AX25</f>
        <v>0</v>
      </c>
      <c r="BP25" s="62">
        <f>-'5C1AI_Harmony'!$AX25</f>
        <v>0</v>
      </c>
      <c r="BQ25" s="62">
        <f>-'5C1AJ_Athlos'!$AX25</f>
        <v>0</v>
      </c>
      <c r="BR25" s="62">
        <f>-'5C1AK_NxtGen'!$AX25</f>
        <v>-5</v>
      </c>
      <c r="BS25" s="62">
        <f>-'5C1AL_Red River'!$AX25</f>
        <v>0</v>
      </c>
      <c r="BT25" s="62">
        <f>-'5C2_LAVCA'!AY25</f>
        <v>24</v>
      </c>
      <c r="BU25" s="62">
        <f>-'5C3_UnvView'!AY25</f>
        <v>-41</v>
      </c>
      <c r="BV25" s="62">
        <f t="shared" si="5"/>
        <v>28</v>
      </c>
      <c r="BW25" s="327">
        <f t="shared" si="6"/>
        <v>781019</v>
      </c>
    </row>
    <row r="26" spans="1:75" s="8" customFormat="1" ht="15.75" customHeight="1" x14ac:dyDescent="0.2">
      <c r="A26" s="314">
        <v>20</v>
      </c>
      <c r="B26" s="315" t="s">
        <v>23</v>
      </c>
      <c r="C26" s="316">
        <f>'2_State Distrib and Adjs'!BB26</f>
        <v>3017853</v>
      </c>
      <c r="D26" s="316">
        <f>-'5A3_OJJ'!S26</f>
        <v>-339</v>
      </c>
      <c r="E26" s="316"/>
      <c r="F26" s="316">
        <f>-'5C1A_Madison'!AS26</f>
        <v>0</v>
      </c>
      <c r="G26" s="316">
        <f>-'5C1B_DArbonne'!AS26</f>
        <v>0</v>
      </c>
      <c r="H26" s="316">
        <f>-'5C1C_Intl High'!AS26</f>
        <v>0</v>
      </c>
      <c r="I26" s="316">
        <f>-'5C1D_NOMMA'!AS26</f>
        <v>0</v>
      </c>
      <c r="J26" s="316">
        <f>-'5C1E_LFNO'!AS26</f>
        <v>0</v>
      </c>
      <c r="K26" s="316">
        <f>-'5C1F_L.C. Charter'!AS26</f>
        <v>0</v>
      </c>
      <c r="L26" s="316">
        <f>-'5C1G_JS Clark'!AS26</f>
        <v>424</v>
      </c>
      <c r="M26" s="316">
        <f>-'5C1H_Southwest'!AS26</f>
        <v>0</v>
      </c>
      <c r="N26" s="316">
        <f>-'5C1I_LA Key'!AS26</f>
        <v>0</v>
      </c>
      <c r="O26" s="316">
        <f>-'5C1J_JCFA-East'!AS26</f>
        <v>0</v>
      </c>
      <c r="P26" s="316">
        <f>-'5C1M_GEO Mid'!AS26</f>
        <v>0</v>
      </c>
      <c r="Q26" s="316">
        <f>-'5C1N_Delta'!AS26</f>
        <v>0</v>
      </c>
      <c r="R26" s="316">
        <f>-'5C1O_Impact'!AS26</f>
        <v>0</v>
      </c>
      <c r="S26" s="316">
        <f>-'5C1Q_Advantage'!AS26</f>
        <v>0</v>
      </c>
      <c r="T26" s="316">
        <f>-'5C1R_Iberville'!AS26</f>
        <v>0</v>
      </c>
      <c r="U26" s="316">
        <f>-'5C1S_LC Col Prep'!AS26</f>
        <v>0</v>
      </c>
      <c r="V26" s="316">
        <f>-'5C1T_Northeast'!AS26</f>
        <v>0</v>
      </c>
      <c r="W26" s="316">
        <f>-'5C1U_Acadiana Ren'!AS26</f>
        <v>0</v>
      </c>
      <c r="X26" s="316">
        <f>-'5C1V_Laf Ren'!AS26</f>
        <v>-448</v>
      </c>
      <c r="Y26" s="316">
        <f>-'5C1W_Willow'!AS26</f>
        <v>0</v>
      </c>
      <c r="Z26" s="316">
        <f>-'5C1Y_GEO'!AS26</f>
        <v>0</v>
      </c>
      <c r="AA26" s="316">
        <f>-'5C1Z_Lincoln Prep'!AS26</f>
        <v>0</v>
      </c>
      <c r="AB26" s="316">
        <f>-'5C1AE_Noble Minds'!$AS26</f>
        <v>0</v>
      </c>
      <c r="AC26" s="316">
        <f>-'5C1AF_JCFA-Laf'!$AS26</f>
        <v>0</v>
      </c>
      <c r="AD26" s="316">
        <f>-'5C1AG_Collegiate'!$AS26</f>
        <v>0</v>
      </c>
      <c r="AE26" s="316">
        <f>-'5C1AH_BRUP'!$AS26</f>
        <v>0</v>
      </c>
      <c r="AF26" s="586">
        <f>-'5C1AI_Harmony'!$AS26</f>
        <v>0</v>
      </c>
      <c r="AG26" s="586">
        <f>-'5C1AJ_Athlos'!$AS26</f>
        <v>0</v>
      </c>
      <c r="AH26" s="781">
        <f>-'5C1AK_NxtGen'!$AS26</f>
        <v>0</v>
      </c>
      <c r="AI26" s="781">
        <f>-'5C1AL_Red River'!$AS26</f>
        <v>0</v>
      </c>
      <c r="AJ26" s="316">
        <f>-'5C2_LAVCA'!AT26</f>
        <v>-3836</v>
      </c>
      <c r="AK26" s="316">
        <f>-'5C3_UnvView'!AT26</f>
        <v>-3152</v>
      </c>
      <c r="AL26" s="317">
        <f t="shared" si="3"/>
        <v>-7351</v>
      </c>
      <c r="AM26" s="318">
        <f t="shared" si="4"/>
        <v>3010502</v>
      </c>
      <c r="AN26" s="316"/>
      <c r="AO26" s="316"/>
      <c r="AP26" s="316">
        <f>-'5C1A_Madison'!AX26</f>
        <v>0</v>
      </c>
      <c r="AQ26" s="316">
        <f>-'5C1B_DArbonne'!AX26</f>
        <v>0</v>
      </c>
      <c r="AR26" s="316">
        <f>-'5C1C_Intl High'!AX26</f>
        <v>0</v>
      </c>
      <c r="AS26" s="316">
        <f>-'5C1D_NOMMA'!AX26</f>
        <v>0</v>
      </c>
      <c r="AT26" s="316">
        <f>-'5C1E_LFNO'!AX26</f>
        <v>0</v>
      </c>
      <c r="AU26" s="316">
        <f>-'5C1F_L.C. Charter'!AX26</f>
        <v>0</v>
      </c>
      <c r="AV26" s="316">
        <f>-'5C1G_JS Clark'!AX26</f>
        <v>13</v>
      </c>
      <c r="AW26" s="316">
        <f>-'5C1H_Southwest'!AX26</f>
        <v>0</v>
      </c>
      <c r="AX26" s="316">
        <f>-'5C1I_LA Key'!AX26</f>
        <v>0</v>
      </c>
      <c r="AY26" s="316">
        <f>-'5C1J_JCFA-East'!AX26</f>
        <v>0</v>
      </c>
      <c r="AZ26" s="316">
        <f>-'5C1M_GEO Mid'!AX26</f>
        <v>0</v>
      </c>
      <c r="BA26" s="316">
        <f>-'5C1N_Delta'!AX26</f>
        <v>0</v>
      </c>
      <c r="BB26" s="316">
        <f>-'5C1O_Impact'!AX26</f>
        <v>0</v>
      </c>
      <c r="BC26" s="316">
        <f>-'5C1Q_Advantage'!AX26</f>
        <v>0</v>
      </c>
      <c r="BD26" s="316">
        <f>-'5C1R_Iberville'!AX26</f>
        <v>0</v>
      </c>
      <c r="BE26" s="316">
        <f>-'5C1S_LC Col Prep'!AX26</f>
        <v>0</v>
      </c>
      <c r="BF26" s="316">
        <f>-'5C1T_Northeast'!AX26</f>
        <v>0</v>
      </c>
      <c r="BG26" s="316">
        <f>-'5C1U_Acadiana Ren'!AX26</f>
        <v>0</v>
      </c>
      <c r="BH26" s="316">
        <f>-'5C1V_Laf Ren'!AX26</f>
        <v>-7</v>
      </c>
      <c r="BI26" s="316">
        <f>-'5C1W_Willow'!AX26</f>
        <v>0</v>
      </c>
      <c r="BJ26" s="316">
        <f>-'5C1Y_GEO'!AX26</f>
        <v>0</v>
      </c>
      <c r="BK26" s="316">
        <f>-'5C1Z_Lincoln Prep'!AX26</f>
        <v>0</v>
      </c>
      <c r="BL26" s="316">
        <f>-'5C1AE_Noble Minds'!AX26</f>
        <v>0</v>
      </c>
      <c r="BM26" s="316">
        <f>-'5C1AF_JCFA-Laf'!AX26</f>
        <v>0</v>
      </c>
      <c r="BN26" s="316">
        <f>-'5C1AG_Collegiate'!AX26</f>
        <v>0</v>
      </c>
      <c r="BO26" s="316">
        <f>-'5C1AH_BRUP'!AX26</f>
        <v>0</v>
      </c>
      <c r="BP26" s="586">
        <f>-'5C1AI_Harmony'!$AX26</f>
        <v>0</v>
      </c>
      <c r="BQ26" s="586">
        <f>-'5C1AJ_Athlos'!$AX26</f>
        <v>0</v>
      </c>
      <c r="BR26" s="781">
        <f>-'5C1AK_NxtGen'!$AX26</f>
        <v>0</v>
      </c>
      <c r="BS26" s="781">
        <f>-'5C1AL_Red River'!$AX26</f>
        <v>0</v>
      </c>
      <c r="BT26" s="316">
        <f>-'5C2_LAVCA'!AY26</f>
        <v>0</v>
      </c>
      <c r="BU26" s="316">
        <f>-'5C3_UnvView'!AY26</f>
        <v>20</v>
      </c>
      <c r="BV26" s="316">
        <f t="shared" si="5"/>
        <v>26</v>
      </c>
      <c r="BW26" s="318">
        <f t="shared" si="6"/>
        <v>3010528</v>
      </c>
    </row>
    <row r="27" spans="1:75" s="8" customFormat="1" ht="15.75" customHeight="1" x14ac:dyDescent="0.2">
      <c r="A27" s="324">
        <v>21</v>
      </c>
      <c r="B27" s="325" t="s">
        <v>24</v>
      </c>
      <c r="C27" s="62">
        <f>'2_State Distrib and Adjs'!BB27</f>
        <v>1623152</v>
      </c>
      <c r="D27" s="62">
        <f>-'5A3_OJJ'!S27</f>
        <v>-497</v>
      </c>
      <c r="E27" s="62"/>
      <c r="F27" s="62">
        <f>-'5C1A_Madison'!AS27</f>
        <v>0</v>
      </c>
      <c r="G27" s="62">
        <f>-'5C1B_DArbonne'!AS27</f>
        <v>0</v>
      </c>
      <c r="H27" s="62">
        <f>-'5C1C_Intl High'!AS27</f>
        <v>0</v>
      </c>
      <c r="I27" s="62">
        <f>-'5C1D_NOMMA'!AS27</f>
        <v>0</v>
      </c>
      <c r="J27" s="62">
        <f>-'5C1E_LFNO'!AS27</f>
        <v>0</v>
      </c>
      <c r="K27" s="62">
        <f>-'5C1F_L.C. Charter'!AS27</f>
        <v>0</v>
      </c>
      <c r="L27" s="62">
        <f>-'5C1G_JS Clark'!AS27</f>
        <v>0</v>
      </c>
      <c r="M27" s="62">
        <f>-'5C1H_Southwest'!AS27</f>
        <v>0</v>
      </c>
      <c r="N27" s="62">
        <f>-'5C1I_LA Key'!AS27</f>
        <v>0</v>
      </c>
      <c r="O27" s="62">
        <f>-'5C1J_JCFA-East'!AS27</f>
        <v>0</v>
      </c>
      <c r="P27" s="62">
        <f>-'5C1M_GEO Mid'!AS27</f>
        <v>0</v>
      </c>
      <c r="Q27" s="62">
        <f>-'5C1N_Delta'!AS27</f>
        <v>-67</v>
      </c>
      <c r="R27" s="62">
        <f>-'5C1O_Impact'!AS27</f>
        <v>0</v>
      </c>
      <c r="S27" s="62">
        <f>-'5C1Q_Advantage'!AS27</f>
        <v>0</v>
      </c>
      <c r="T27" s="62">
        <f>-'5C1R_Iberville'!AS27</f>
        <v>0</v>
      </c>
      <c r="U27" s="62">
        <f>-'5C1S_LC Col Prep'!AS27</f>
        <v>0</v>
      </c>
      <c r="V27" s="62">
        <f>-'5C1T_Northeast'!AS27</f>
        <v>0</v>
      </c>
      <c r="W27" s="62">
        <f>-'5C1U_Acadiana Ren'!AS27</f>
        <v>0</v>
      </c>
      <c r="X27" s="62">
        <f>-'5C1V_Laf Ren'!AS27</f>
        <v>0</v>
      </c>
      <c r="Y27" s="62">
        <f>-'5C1W_Willow'!AS27</f>
        <v>0</v>
      </c>
      <c r="Z27" s="62">
        <f>-'5C1Y_GEO'!AS27</f>
        <v>0</v>
      </c>
      <c r="AA27" s="62">
        <f>-'5C1Z_Lincoln Prep'!AS27</f>
        <v>0</v>
      </c>
      <c r="AB27" s="62">
        <f>-'5C1AE_Noble Minds'!$AS27</f>
        <v>0</v>
      </c>
      <c r="AC27" s="62">
        <f>-'5C1AF_JCFA-Laf'!$AS27</f>
        <v>0</v>
      </c>
      <c r="AD27" s="62">
        <f>-'5C1AG_Collegiate'!$AS27</f>
        <v>0</v>
      </c>
      <c r="AE27" s="62">
        <f>-'5C1AH_BRUP'!$AS27</f>
        <v>0</v>
      </c>
      <c r="AF27" s="62">
        <f>-'5C1AI_Harmony'!$AS27</f>
        <v>0</v>
      </c>
      <c r="AG27" s="62">
        <f>-'5C1AJ_Athlos'!$AS27</f>
        <v>0</v>
      </c>
      <c r="AH27" s="62">
        <f>-'5C1AK_NxtGen'!$AS27</f>
        <v>0</v>
      </c>
      <c r="AI27" s="62">
        <f>-'5C1AL_Red River'!$AS27</f>
        <v>0</v>
      </c>
      <c r="AJ27" s="62">
        <f>-'5C2_LAVCA'!AT27</f>
        <v>-427</v>
      </c>
      <c r="AK27" s="62">
        <f>-'5C3_UnvView'!AT27</f>
        <v>-4526</v>
      </c>
      <c r="AL27" s="326">
        <f t="shared" si="3"/>
        <v>-5517</v>
      </c>
      <c r="AM27" s="327">
        <f t="shared" si="4"/>
        <v>1617635</v>
      </c>
      <c r="AN27" s="62"/>
      <c r="AO27" s="62"/>
      <c r="AP27" s="62">
        <f>-'5C1A_Madison'!AX27</f>
        <v>0</v>
      </c>
      <c r="AQ27" s="62">
        <f>-'5C1B_DArbonne'!AX27</f>
        <v>0</v>
      </c>
      <c r="AR27" s="62">
        <f>-'5C1C_Intl High'!AX27</f>
        <v>0</v>
      </c>
      <c r="AS27" s="62">
        <f>-'5C1D_NOMMA'!AX27</f>
        <v>0</v>
      </c>
      <c r="AT27" s="62">
        <f>-'5C1E_LFNO'!AX27</f>
        <v>0</v>
      </c>
      <c r="AU27" s="62">
        <f>-'5C1F_L.C. Charter'!AX27</f>
        <v>0</v>
      </c>
      <c r="AV27" s="62">
        <f>-'5C1G_JS Clark'!AX27</f>
        <v>0</v>
      </c>
      <c r="AW27" s="62">
        <f>-'5C1H_Southwest'!AX27</f>
        <v>0</v>
      </c>
      <c r="AX27" s="62">
        <f>-'5C1I_LA Key'!AX27</f>
        <v>0</v>
      </c>
      <c r="AY27" s="62">
        <f>-'5C1J_JCFA-East'!AX27</f>
        <v>0</v>
      </c>
      <c r="AZ27" s="62">
        <f>-'5C1M_GEO Mid'!AX27</f>
        <v>0</v>
      </c>
      <c r="BA27" s="62">
        <f>-'5C1N_Delta'!AX27</f>
        <v>5</v>
      </c>
      <c r="BB27" s="62">
        <f>-'5C1O_Impact'!AX27</f>
        <v>0</v>
      </c>
      <c r="BC27" s="62">
        <f>-'5C1Q_Advantage'!AX27</f>
        <v>0</v>
      </c>
      <c r="BD27" s="62">
        <f>-'5C1R_Iberville'!AX27</f>
        <v>0</v>
      </c>
      <c r="BE27" s="62">
        <f>-'5C1S_LC Col Prep'!AX27</f>
        <v>0</v>
      </c>
      <c r="BF27" s="62">
        <f>-'5C1T_Northeast'!AX27</f>
        <v>0</v>
      </c>
      <c r="BG27" s="62">
        <f>-'5C1U_Acadiana Ren'!AX27</f>
        <v>0</v>
      </c>
      <c r="BH27" s="62">
        <f>-'5C1V_Laf Ren'!AX27</f>
        <v>0</v>
      </c>
      <c r="BI27" s="62">
        <f>-'5C1W_Willow'!AX27</f>
        <v>0</v>
      </c>
      <c r="BJ27" s="62">
        <f>-'5C1Y_GEO'!AX27</f>
        <v>0</v>
      </c>
      <c r="BK27" s="62">
        <f>-'5C1Z_Lincoln Prep'!AX27</f>
        <v>0</v>
      </c>
      <c r="BL27" s="62">
        <f>-'5C1AE_Noble Minds'!AX27</f>
        <v>0</v>
      </c>
      <c r="BM27" s="62">
        <f>-'5C1AF_JCFA-Laf'!AX27</f>
        <v>0</v>
      </c>
      <c r="BN27" s="62">
        <f>-'5C1AG_Collegiate'!AX27</f>
        <v>0</v>
      </c>
      <c r="BO27" s="62">
        <f>-'5C1AH_BRUP'!AX27</f>
        <v>0</v>
      </c>
      <c r="BP27" s="62">
        <f>-'5C1AI_Harmony'!$AX27</f>
        <v>0</v>
      </c>
      <c r="BQ27" s="62">
        <f>-'5C1AJ_Athlos'!$AX27</f>
        <v>0</v>
      </c>
      <c r="BR27" s="62">
        <f>-'5C1AK_NxtGen'!$AX27</f>
        <v>0</v>
      </c>
      <c r="BS27" s="62">
        <f>-'5C1AL_Red River'!$AX27</f>
        <v>0</v>
      </c>
      <c r="BT27" s="62">
        <f>-'5C2_LAVCA'!AY27</f>
        <v>13</v>
      </c>
      <c r="BU27" s="62">
        <f>-'5C3_UnvView'!AY27</f>
        <v>-39</v>
      </c>
      <c r="BV27" s="62">
        <f t="shared" si="5"/>
        <v>-21</v>
      </c>
      <c r="BW27" s="327">
        <f t="shared" si="6"/>
        <v>1617614</v>
      </c>
    </row>
    <row r="28" spans="1:75" s="8" customFormat="1" ht="15.75" customHeight="1" x14ac:dyDescent="0.2">
      <c r="A28" s="324">
        <v>22</v>
      </c>
      <c r="B28" s="325" t="s">
        <v>25</v>
      </c>
      <c r="C28" s="62">
        <f>'2_State Distrib and Adjs'!BB28</f>
        <v>1818781</v>
      </c>
      <c r="D28" s="62">
        <f>-'5A3_OJJ'!S28</f>
        <v>-59</v>
      </c>
      <c r="E28" s="62"/>
      <c r="F28" s="62">
        <f>-'5C1A_Madison'!AS28</f>
        <v>0</v>
      </c>
      <c r="G28" s="62">
        <f>-'5C1B_DArbonne'!AS28</f>
        <v>0</v>
      </c>
      <c r="H28" s="62">
        <f>-'5C1C_Intl High'!AS28</f>
        <v>0</v>
      </c>
      <c r="I28" s="62">
        <f>-'5C1D_NOMMA'!AS28</f>
        <v>0</v>
      </c>
      <c r="J28" s="62">
        <f>-'5C1E_LFNO'!AS28</f>
        <v>0</v>
      </c>
      <c r="K28" s="62">
        <f>-'5C1F_L.C. Charter'!AS28</f>
        <v>0</v>
      </c>
      <c r="L28" s="62">
        <f>-'5C1G_JS Clark'!AS28</f>
        <v>0</v>
      </c>
      <c r="M28" s="62">
        <f>-'5C1H_Southwest'!AS28</f>
        <v>0</v>
      </c>
      <c r="N28" s="62">
        <f>-'5C1I_LA Key'!AS28</f>
        <v>0</v>
      </c>
      <c r="O28" s="62">
        <f>-'5C1J_JCFA-East'!AS28</f>
        <v>0</v>
      </c>
      <c r="P28" s="62">
        <f>-'5C1M_GEO Mid'!AS28</f>
        <v>0</v>
      </c>
      <c r="Q28" s="62">
        <f>-'5C1N_Delta'!AS28</f>
        <v>0</v>
      </c>
      <c r="R28" s="62">
        <f>-'5C1O_Impact'!AS28</f>
        <v>0</v>
      </c>
      <c r="S28" s="62">
        <f>-'5C1Q_Advantage'!AS28</f>
        <v>0</v>
      </c>
      <c r="T28" s="62">
        <f>-'5C1R_Iberville'!AS28</f>
        <v>0</v>
      </c>
      <c r="U28" s="62">
        <f>-'5C1S_LC Col Prep'!AS28</f>
        <v>0</v>
      </c>
      <c r="V28" s="62">
        <f>-'5C1T_Northeast'!AS28</f>
        <v>0</v>
      </c>
      <c r="W28" s="62">
        <f>-'5C1U_Acadiana Ren'!AS28</f>
        <v>0</v>
      </c>
      <c r="X28" s="62">
        <f>-'5C1V_Laf Ren'!AS28</f>
        <v>0</v>
      </c>
      <c r="Y28" s="62">
        <f>-'5C1W_Willow'!AS28</f>
        <v>0</v>
      </c>
      <c r="Z28" s="62">
        <f>-'5C1Y_GEO'!AS28</f>
        <v>0</v>
      </c>
      <c r="AA28" s="62">
        <f>-'5C1Z_Lincoln Prep'!AS28</f>
        <v>0</v>
      </c>
      <c r="AB28" s="62">
        <f>-'5C1AE_Noble Minds'!$AS28</f>
        <v>0</v>
      </c>
      <c r="AC28" s="62">
        <f>-'5C1AF_JCFA-Laf'!$AS28</f>
        <v>0</v>
      </c>
      <c r="AD28" s="62">
        <f>-'5C1AG_Collegiate'!$AS28</f>
        <v>0</v>
      </c>
      <c r="AE28" s="62">
        <f>-'5C1AH_BRUP'!$AS28</f>
        <v>0</v>
      </c>
      <c r="AF28" s="62">
        <f>-'5C1AI_Harmony'!$AS28</f>
        <v>0</v>
      </c>
      <c r="AG28" s="62">
        <f>-'5C1AJ_Athlos'!$AS28</f>
        <v>0</v>
      </c>
      <c r="AH28" s="62">
        <f>-'5C1AK_NxtGen'!$AS28</f>
        <v>0</v>
      </c>
      <c r="AI28" s="62">
        <f>-'5C1AL_Red River'!$AS28</f>
        <v>0</v>
      </c>
      <c r="AJ28" s="62">
        <f>-'5C2_LAVCA'!AT28</f>
        <v>-1101</v>
      </c>
      <c r="AK28" s="62">
        <f>-'5C3_UnvView'!AT28</f>
        <v>-2498</v>
      </c>
      <c r="AL28" s="326">
        <f t="shared" si="3"/>
        <v>-3658</v>
      </c>
      <c r="AM28" s="327">
        <f t="shared" si="4"/>
        <v>1815123</v>
      </c>
      <c r="AN28" s="62"/>
      <c r="AO28" s="62"/>
      <c r="AP28" s="62">
        <f>-'5C1A_Madison'!AX28</f>
        <v>0</v>
      </c>
      <c r="AQ28" s="62">
        <f>-'5C1B_DArbonne'!AX28</f>
        <v>0</v>
      </c>
      <c r="AR28" s="62">
        <f>-'5C1C_Intl High'!AX28</f>
        <v>0</v>
      </c>
      <c r="AS28" s="62">
        <f>-'5C1D_NOMMA'!AX28</f>
        <v>0</v>
      </c>
      <c r="AT28" s="62">
        <f>-'5C1E_LFNO'!AX28</f>
        <v>0</v>
      </c>
      <c r="AU28" s="62">
        <f>-'5C1F_L.C. Charter'!AX28</f>
        <v>0</v>
      </c>
      <c r="AV28" s="62">
        <f>-'5C1G_JS Clark'!AX28</f>
        <v>0</v>
      </c>
      <c r="AW28" s="62">
        <f>-'5C1H_Southwest'!AX28</f>
        <v>0</v>
      </c>
      <c r="AX28" s="62">
        <f>-'5C1I_LA Key'!AX28</f>
        <v>0</v>
      </c>
      <c r="AY28" s="62">
        <f>-'5C1J_JCFA-East'!AX28</f>
        <v>0</v>
      </c>
      <c r="AZ28" s="62">
        <f>-'5C1M_GEO Mid'!AX28</f>
        <v>0</v>
      </c>
      <c r="BA28" s="62">
        <f>-'5C1N_Delta'!AX28</f>
        <v>0</v>
      </c>
      <c r="BB28" s="62">
        <f>-'5C1O_Impact'!AX28</f>
        <v>0</v>
      </c>
      <c r="BC28" s="62">
        <f>-'5C1Q_Advantage'!AX28</f>
        <v>0</v>
      </c>
      <c r="BD28" s="62">
        <f>-'5C1R_Iberville'!AX28</f>
        <v>0</v>
      </c>
      <c r="BE28" s="62">
        <f>-'5C1S_LC Col Prep'!AX28</f>
        <v>0</v>
      </c>
      <c r="BF28" s="62">
        <f>-'5C1T_Northeast'!AX28</f>
        <v>0</v>
      </c>
      <c r="BG28" s="62">
        <f>-'5C1U_Acadiana Ren'!AX28</f>
        <v>0</v>
      </c>
      <c r="BH28" s="62">
        <f>-'5C1V_Laf Ren'!AX28</f>
        <v>0</v>
      </c>
      <c r="BI28" s="62">
        <f>-'5C1W_Willow'!AX28</f>
        <v>0</v>
      </c>
      <c r="BJ28" s="62">
        <f>-'5C1Y_GEO'!AX28</f>
        <v>0</v>
      </c>
      <c r="BK28" s="62">
        <f>-'5C1Z_Lincoln Prep'!AX28</f>
        <v>0</v>
      </c>
      <c r="BL28" s="62">
        <f>-'5C1AE_Noble Minds'!AX28</f>
        <v>0</v>
      </c>
      <c r="BM28" s="62">
        <f>-'5C1AF_JCFA-Laf'!AX28</f>
        <v>0</v>
      </c>
      <c r="BN28" s="62">
        <f>-'5C1AG_Collegiate'!AX28</f>
        <v>0</v>
      </c>
      <c r="BO28" s="62">
        <f>-'5C1AH_BRUP'!AX28</f>
        <v>0</v>
      </c>
      <c r="BP28" s="62">
        <f>-'5C1AI_Harmony'!$AX28</f>
        <v>0</v>
      </c>
      <c r="BQ28" s="62">
        <f>-'5C1AJ_Athlos'!$AX28</f>
        <v>0</v>
      </c>
      <c r="BR28" s="62">
        <f>-'5C1AK_NxtGen'!$AX28</f>
        <v>0</v>
      </c>
      <c r="BS28" s="62">
        <f>-'5C1AL_Red River'!$AX28</f>
        <v>0</v>
      </c>
      <c r="BT28" s="62">
        <f>-'5C2_LAVCA'!AY28</f>
        <v>10</v>
      </c>
      <c r="BU28" s="62">
        <f>-'5C3_UnvView'!AY28</f>
        <v>6</v>
      </c>
      <c r="BV28" s="62">
        <f t="shared" si="5"/>
        <v>16</v>
      </c>
      <c r="BW28" s="327">
        <f t="shared" si="6"/>
        <v>1815139</v>
      </c>
    </row>
    <row r="29" spans="1:75" s="8" customFormat="1" ht="15.75" customHeight="1" x14ac:dyDescent="0.2">
      <c r="A29" s="324">
        <v>23</v>
      </c>
      <c r="B29" s="325" t="s">
        <v>26</v>
      </c>
      <c r="C29" s="62">
        <f>'2_State Distrib and Adjs'!BB29</f>
        <v>5821569</v>
      </c>
      <c r="D29" s="62">
        <f>-'5A3_OJJ'!S29</f>
        <v>-1281</v>
      </c>
      <c r="E29" s="62"/>
      <c r="F29" s="62">
        <f>-'5C1A_Madison'!AS29</f>
        <v>0</v>
      </c>
      <c r="G29" s="62">
        <f>-'5C1B_DArbonne'!AS29</f>
        <v>0</v>
      </c>
      <c r="H29" s="62">
        <f>-'5C1C_Intl High'!AS29</f>
        <v>0</v>
      </c>
      <c r="I29" s="62">
        <f>-'5C1D_NOMMA'!AS29</f>
        <v>0</v>
      </c>
      <c r="J29" s="62">
        <f>-'5C1E_LFNO'!AS29</f>
        <v>0</v>
      </c>
      <c r="K29" s="62">
        <f>-'5C1F_L.C. Charter'!AS29</f>
        <v>0</v>
      </c>
      <c r="L29" s="62">
        <f>-'5C1G_JS Clark'!AS29</f>
        <v>0</v>
      </c>
      <c r="M29" s="62">
        <f>-'5C1H_Southwest'!AS29</f>
        <v>0</v>
      </c>
      <c r="N29" s="62">
        <f>-'5C1I_LA Key'!AS29</f>
        <v>0</v>
      </c>
      <c r="O29" s="62">
        <f>-'5C1J_JCFA-East'!AS29</f>
        <v>0</v>
      </c>
      <c r="P29" s="62">
        <f>-'5C1M_GEO Mid'!AS29</f>
        <v>0</v>
      </c>
      <c r="Q29" s="62">
        <f>-'5C1N_Delta'!AS29</f>
        <v>0</v>
      </c>
      <c r="R29" s="62">
        <f>-'5C1O_Impact'!AS29</f>
        <v>0</v>
      </c>
      <c r="S29" s="62">
        <f>-'5C1Q_Advantage'!AS29</f>
        <v>0</v>
      </c>
      <c r="T29" s="62">
        <f>-'5C1R_Iberville'!AS29</f>
        <v>0</v>
      </c>
      <c r="U29" s="62">
        <f>-'5C1S_LC Col Prep'!AS29</f>
        <v>0</v>
      </c>
      <c r="V29" s="62">
        <f>-'5C1T_Northeast'!AS29</f>
        <v>0</v>
      </c>
      <c r="W29" s="62">
        <f>-'5C1U_Acadiana Ren'!AS29</f>
        <v>-48246</v>
      </c>
      <c r="X29" s="62">
        <f>-'5C1V_Laf Ren'!AS29</f>
        <v>-2950</v>
      </c>
      <c r="Y29" s="62">
        <f>-'5C1W_Willow'!AS29</f>
        <v>-961</v>
      </c>
      <c r="Z29" s="62">
        <f>-'5C1Y_GEO'!AS29</f>
        <v>0</v>
      </c>
      <c r="AA29" s="62">
        <f>-'5C1Z_Lincoln Prep'!AS29</f>
        <v>0</v>
      </c>
      <c r="AB29" s="62">
        <f>-'5C1AE_Noble Minds'!$AS29</f>
        <v>0</v>
      </c>
      <c r="AC29" s="62">
        <f>-'5C1AF_JCFA-Laf'!$AS29</f>
        <v>-1624</v>
      </c>
      <c r="AD29" s="62">
        <f>-'5C1AG_Collegiate'!$AS29</f>
        <v>0</v>
      </c>
      <c r="AE29" s="62">
        <f>-'5C1AH_BRUP'!$AS29</f>
        <v>0</v>
      </c>
      <c r="AF29" s="62">
        <f>-'5C1AI_Harmony'!$AS29</f>
        <v>0</v>
      </c>
      <c r="AG29" s="62">
        <f>-'5C1AJ_Athlos'!$AS29</f>
        <v>0</v>
      </c>
      <c r="AH29" s="62">
        <f>-'5C1AK_NxtGen'!$AS29</f>
        <v>0</v>
      </c>
      <c r="AI29" s="62">
        <f>-'5C1AL_Red River'!$AS29</f>
        <v>0</v>
      </c>
      <c r="AJ29" s="62">
        <f>-'5C2_LAVCA'!AT29</f>
        <v>-12465</v>
      </c>
      <c r="AK29" s="62">
        <f>-'5C3_UnvView'!AT29</f>
        <v>-18885</v>
      </c>
      <c r="AL29" s="326">
        <f t="shared" si="3"/>
        <v>-86412</v>
      </c>
      <c r="AM29" s="327">
        <f t="shared" si="4"/>
        <v>5735157</v>
      </c>
      <c r="AN29" s="62"/>
      <c r="AO29" s="62"/>
      <c r="AP29" s="62">
        <f>-'5C1A_Madison'!AX29</f>
        <v>0</v>
      </c>
      <c r="AQ29" s="62">
        <f>-'5C1B_DArbonne'!AX29</f>
        <v>0</v>
      </c>
      <c r="AR29" s="62">
        <f>-'5C1C_Intl High'!AX29</f>
        <v>0</v>
      </c>
      <c r="AS29" s="62">
        <f>-'5C1D_NOMMA'!AX29</f>
        <v>0</v>
      </c>
      <c r="AT29" s="62">
        <f>-'5C1E_LFNO'!AX29</f>
        <v>0</v>
      </c>
      <c r="AU29" s="62">
        <f>-'5C1F_L.C. Charter'!AX29</f>
        <v>0</v>
      </c>
      <c r="AV29" s="62">
        <f>-'5C1G_JS Clark'!AX29</f>
        <v>0</v>
      </c>
      <c r="AW29" s="62">
        <f>-'5C1H_Southwest'!AX29</f>
        <v>0</v>
      </c>
      <c r="AX29" s="62">
        <f>-'5C1I_LA Key'!AX29</f>
        <v>0</v>
      </c>
      <c r="AY29" s="62">
        <f>-'5C1J_JCFA-East'!AX29</f>
        <v>0</v>
      </c>
      <c r="AZ29" s="62">
        <f>-'5C1M_GEO Mid'!AX29</f>
        <v>0</v>
      </c>
      <c r="BA29" s="62">
        <f>-'5C1N_Delta'!AX29</f>
        <v>0</v>
      </c>
      <c r="BB29" s="62">
        <f>-'5C1O_Impact'!AX29</f>
        <v>0</v>
      </c>
      <c r="BC29" s="62">
        <f>-'5C1Q_Advantage'!AX29</f>
        <v>0</v>
      </c>
      <c r="BD29" s="62">
        <f>-'5C1R_Iberville'!AX29</f>
        <v>0</v>
      </c>
      <c r="BE29" s="62">
        <f>-'5C1S_LC Col Prep'!AX29</f>
        <v>0</v>
      </c>
      <c r="BF29" s="62">
        <f>-'5C1T_Northeast'!AX29</f>
        <v>0</v>
      </c>
      <c r="BG29" s="62">
        <f>-'5C1U_Acadiana Ren'!AX29</f>
        <v>-421</v>
      </c>
      <c r="BH29" s="62">
        <f>-'5C1V_Laf Ren'!AX29</f>
        <v>-31</v>
      </c>
      <c r="BI29" s="62">
        <f>-'5C1W_Willow'!AX29</f>
        <v>-19</v>
      </c>
      <c r="BJ29" s="62">
        <f>-'5C1Y_GEO'!AX29</f>
        <v>0</v>
      </c>
      <c r="BK29" s="62">
        <f>-'5C1Z_Lincoln Prep'!AX29</f>
        <v>0</v>
      </c>
      <c r="BL29" s="62">
        <f>-'5C1AE_Noble Minds'!AX29</f>
        <v>0</v>
      </c>
      <c r="BM29" s="62">
        <f>-'5C1AF_JCFA-Laf'!AX29</f>
        <v>-20</v>
      </c>
      <c r="BN29" s="62">
        <f>-'5C1AG_Collegiate'!AX29</f>
        <v>0</v>
      </c>
      <c r="BO29" s="62">
        <f>-'5C1AH_BRUP'!AX29</f>
        <v>0</v>
      </c>
      <c r="BP29" s="62">
        <f>-'5C1AI_Harmony'!$AX29</f>
        <v>0</v>
      </c>
      <c r="BQ29" s="62">
        <f>-'5C1AJ_Athlos'!$AX29</f>
        <v>0</v>
      </c>
      <c r="BR29" s="62">
        <f>-'5C1AK_NxtGen'!$AX29</f>
        <v>0</v>
      </c>
      <c r="BS29" s="62">
        <f>-'5C1AL_Red River'!$AX29</f>
        <v>0</v>
      </c>
      <c r="BT29" s="62">
        <f>-'5C2_LAVCA'!AY29</f>
        <v>-72</v>
      </c>
      <c r="BU29" s="62">
        <f>-'5C3_UnvView'!AY29</f>
        <v>-91</v>
      </c>
      <c r="BV29" s="62">
        <f t="shared" si="5"/>
        <v>-654</v>
      </c>
      <c r="BW29" s="327">
        <f t="shared" si="6"/>
        <v>5734503</v>
      </c>
    </row>
    <row r="30" spans="1:75" s="8" customFormat="1" ht="15.75" customHeight="1" x14ac:dyDescent="0.2">
      <c r="A30" s="324">
        <v>24</v>
      </c>
      <c r="B30" s="325" t="s">
        <v>27</v>
      </c>
      <c r="C30" s="62">
        <f>'2_State Distrib and Adjs'!BB30</f>
        <v>1052421</v>
      </c>
      <c r="D30" s="62">
        <f>-'5A3_OJJ'!S30</f>
        <v>-120</v>
      </c>
      <c r="E30" s="62"/>
      <c r="F30" s="62">
        <f>-'5C1A_Madison'!AS30</f>
        <v>-2985</v>
      </c>
      <c r="G30" s="62">
        <f>-'5C1B_DArbonne'!AS30</f>
        <v>0</v>
      </c>
      <c r="H30" s="62">
        <f>-'5C1C_Intl High'!AS30</f>
        <v>0</v>
      </c>
      <c r="I30" s="62">
        <f>-'5C1D_NOMMA'!AS30</f>
        <v>0</v>
      </c>
      <c r="J30" s="62">
        <f>-'5C1E_LFNO'!AS30</f>
        <v>0</v>
      </c>
      <c r="K30" s="62">
        <f>-'5C1F_L.C. Charter'!AS30</f>
        <v>0</v>
      </c>
      <c r="L30" s="62">
        <f>-'5C1G_JS Clark'!AS30</f>
        <v>0</v>
      </c>
      <c r="M30" s="62">
        <f>-'5C1H_Southwest'!AS30</f>
        <v>0</v>
      </c>
      <c r="N30" s="62">
        <f>-'5C1I_LA Key'!AS30</f>
        <v>-18757</v>
      </c>
      <c r="O30" s="62">
        <f>-'5C1J_JCFA-East'!AS30</f>
        <v>0</v>
      </c>
      <c r="P30" s="62">
        <f>-'5C1M_GEO Mid'!AS30</f>
        <v>0</v>
      </c>
      <c r="Q30" s="62">
        <f>-'5C1N_Delta'!AS30</f>
        <v>0</v>
      </c>
      <c r="R30" s="62">
        <f>-'5C1O_Impact'!AS30</f>
        <v>-1492</v>
      </c>
      <c r="S30" s="62">
        <f>-'5C1Q_Advantage'!AS30</f>
        <v>2424</v>
      </c>
      <c r="T30" s="62">
        <f>-'5C1R_Iberville'!AS30</f>
        <v>-209696</v>
      </c>
      <c r="U30" s="62">
        <f>-'5C1S_LC Col Prep'!AS30</f>
        <v>0</v>
      </c>
      <c r="V30" s="62">
        <f>-'5C1T_Northeast'!AS30</f>
        <v>0</v>
      </c>
      <c r="W30" s="62">
        <f>-'5C1U_Acadiana Ren'!AS30</f>
        <v>0</v>
      </c>
      <c r="X30" s="62">
        <f>-'5C1V_Laf Ren'!AS30</f>
        <v>0</v>
      </c>
      <c r="Y30" s="62">
        <f>-'5C1W_Willow'!AS30</f>
        <v>0</v>
      </c>
      <c r="Z30" s="62">
        <f>-'5C1Y_GEO'!AS30</f>
        <v>0</v>
      </c>
      <c r="AA30" s="62">
        <f>-'5C1Z_Lincoln Prep'!AS30</f>
        <v>0</v>
      </c>
      <c r="AB30" s="62">
        <f>-'5C1AE_Noble Minds'!$AS30</f>
        <v>0</v>
      </c>
      <c r="AC30" s="62">
        <f>-'5C1AF_JCFA-Laf'!$AS30</f>
        <v>0</v>
      </c>
      <c r="AD30" s="62">
        <f>-'5C1AG_Collegiate'!$AS30</f>
        <v>-676</v>
      </c>
      <c r="AE30" s="62">
        <f>-'5C1AH_BRUP'!$AS30</f>
        <v>0</v>
      </c>
      <c r="AF30" s="62">
        <f>-'5C1AI_Harmony'!$AS30</f>
        <v>0</v>
      </c>
      <c r="AG30" s="62">
        <f>-'5C1AJ_Athlos'!$AS30</f>
        <v>0</v>
      </c>
      <c r="AH30" s="62">
        <f>-'5C1AK_NxtGen'!$AS30</f>
        <v>0</v>
      </c>
      <c r="AI30" s="62">
        <f>-'5C1AL_Red River'!$AS30</f>
        <v>0</v>
      </c>
      <c r="AJ30" s="62">
        <f>-'5C2_LAVCA'!AT30</f>
        <v>1297</v>
      </c>
      <c r="AK30" s="62">
        <f>-'5C3_UnvView'!AT30</f>
        <v>-18683</v>
      </c>
      <c r="AL30" s="326">
        <f t="shared" si="3"/>
        <v>-248688</v>
      </c>
      <c r="AM30" s="327">
        <f t="shared" si="4"/>
        <v>803733</v>
      </c>
      <c r="AN30" s="62"/>
      <c r="AO30" s="62"/>
      <c r="AP30" s="62">
        <f>-'5C1A_Madison'!AX30</f>
        <v>-8</v>
      </c>
      <c r="AQ30" s="62">
        <f>-'5C1B_DArbonne'!AX30</f>
        <v>0</v>
      </c>
      <c r="AR30" s="62">
        <f>-'5C1C_Intl High'!AX30</f>
        <v>0</v>
      </c>
      <c r="AS30" s="62">
        <f>-'5C1D_NOMMA'!AX30</f>
        <v>0</v>
      </c>
      <c r="AT30" s="62">
        <f>-'5C1E_LFNO'!AX30</f>
        <v>0</v>
      </c>
      <c r="AU30" s="62">
        <f>-'5C1F_L.C. Charter'!AX30</f>
        <v>0</v>
      </c>
      <c r="AV30" s="62">
        <f>-'5C1G_JS Clark'!AX30</f>
        <v>0</v>
      </c>
      <c r="AW30" s="62">
        <f>-'5C1H_Southwest'!AX30</f>
        <v>0</v>
      </c>
      <c r="AX30" s="62">
        <f>-'5C1I_LA Key'!AX30</f>
        <v>46</v>
      </c>
      <c r="AY30" s="62">
        <f>-'5C1J_JCFA-East'!AX30</f>
        <v>0</v>
      </c>
      <c r="AZ30" s="62">
        <f>-'5C1M_GEO Mid'!AX30</f>
        <v>0</v>
      </c>
      <c r="BA30" s="62">
        <f>-'5C1N_Delta'!AX30</f>
        <v>0</v>
      </c>
      <c r="BB30" s="62">
        <f>-'5C1O_Impact'!AX30</f>
        <v>-5</v>
      </c>
      <c r="BC30" s="62">
        <f>-'5C1Q_Advantage'!AX30</f>
        <v>73</v>
      </c>
      <c r="BD30" s="62">
        <f>-'5C1R_Iberville'!AX30</f>
        <v>444</v>
      </c>
      <c r="BE30" s="62">
        <f>-'5C1S_LC Col Prep'!AX30</f>
        <v>0</v>
      </c>
      <c r="BF30" s="62">
        <f>-'5C1T_Northeast'!AX30</f>
        <v>0</v>
      </c>
      <c r="BG30" s="62">
        <f>-'5C1U_Acadiana Ren'!AX30</f>
        <v>0</v>
      </c>
      <c r="BH30" s="62">
        <f>-'5C1V_Laf Ren'!AX30</f>
        <v>0</v>
      </c>
      <c r="BI30" s="62">
        <f>-'5C1W_Willow'!AX30</f>
        <v>0</v>
      </c>
      <c r="BJ30" s="62">
        <f>-'5C1Y_GEO'!AX30</f>
        <v>0</v>
      </c>
      <c r="BK30" s="62">
        <f>-'5C1Z_Lincoln Prep'!AX30</f>
        <v>0</v>
      </c>
      <c r="BL30" s="62">
        <f>-'5C1AE_Noble Minds'!AX30</f>
        <v>0</v>
      </c>
      <c r="BM30" s="62">
        <f>-'5C1AF_JCFA-Laf'!AX30</f>
        <v>0</v>
      </c>
      <c r="BN30" s="62">
        <f>-'5C1AG_Collegiate'!AX30</f>
        <v>-20</v>
      </c>
      <c r="BO30" s="62">
        <f>-'5C1AH_BRUP'!AX30</f>
        <v>0</v>
      </c>
      <c r="BP30" s="62">
        <f>-'5C1AI_Harmony'!$AX30</f>
        <v>0</v>
      </c>
      <c r="BQ30" s="62">
        <f>-'5C1AJ_Athlos'!$AX30</f>
        <v>0</v>
      </c>
      <c r="BR30" s="62">
        <f>-'5C1AK_NxtGen'!$AX30</f>
        <v>0</v>
      </c>
      <c r="BS30" s="62">
        <f>-'5C1AL_Red River'!$AX30</f>
        <v>0</v>
      </c>
      <c r="BT30" s="62">
        <f>-'5C2_LAVCA'!AY30</f>
        <v>149</v>
      </c>
      <c r="BU30" s="62">
        <f>-'5C3_UnvView'!AY30</f>
        <v>-50</v>
      </c>
      <c r="BV30" s="62">
        <f t="shared" si="5"/>
        <v>629</v>
      </c>
      <c r="BW30" s="327">
        <f t="shared" si="6"/>
        <v>804362</v>
      </c>
    </row>
    <row r="31" spans="1:75" s="8" customFormat="1" ht="15.75" customHeight="1" x14ac:dyDescent="0.2">
      <c r="A31" s="314">
        <v>25</v>
      </c>
      <c r="B31" s="315" t="s">
        <v>28</v>
      </c>
      <c r="C31" s="316">
        <f>'2_State Distrib and Adjs'!BB31</f>
        <v>1000915</v>
      </c>
      <c r="D31" s="316">
        <f>-'5A3_OJJ'!S31</f>
        <v>-342</v>
      </c>
      <c r="E31" s="316"/>
      <c r="F31" s="316">
        <f>-'5C1A_Madison'!AS31</f>
        <v>0</v>
      </c>
      <c r="G31" s="316">
        <f>-'5C1B_DArbonne'!AS31</f>
        <v>0</v>
      </c>
      <c r="H31" s="316">
        <f>-'5C1C_Intl High'!AS31</f>
        <v>0</v>
      </c>
      <c r="I31" s="316">
        <f>-'5C1D_NOMMA'!AS31</f>
        <v>0</v>
      </c>
      <c r="J31" s="316">
        <f>-'5C1E_LFNO'!AS31</f>
        <v>0</v>
      </c>
      <c r="K31" s="316">
        <f>-'5C1F_L.C. Charter'!AS31</f>
        <v>0</v>
      </c>
      <c r="L31" s="316">
        <f>-'5C1G_JS Clark'!AS31</f>
        <v>0</v>
      </c>
      <c r="M31" s="316">
        <f>-'5C1H_Southwest'!AS31</f>
        <v>0</v>
      </c>
      <c r="N31" s="316">
        <f>-'5C1I_LA Key'!AS31</f>
        <v>0</v>
      </c>
      <c r="O31" s="316">
        <f>-'5C1J_JCFA-East'!AS31</f>
        <v>0</v>
      </c>
      <c r="P31" s="316">
        <f>-'5C1M_GEO Mid'!AS31</f>
        <v>0</v>
      </c>
      <c r="Q31" s="316">
        <f>-'5C1N_Delta'!AS31</f>
        <v>0</v>
      </c>
      <c r="R31" s="316">
        <f>-'5C1O_Impact'!AS31</f>
        <v>0</v>
      </c>
      <c r="S31" s="316">
        <f>-'5C1Q_Advantage'!AS31</f>
        <v>0</v>
      </c>
      <c r="T31" s="316">
        <f>-'5C1R_Iberville'!AS31</f>
        <v>0</v>
      </c>
      <c r="U31" s="316">
        <f>-'5C1S_LC Col Prep'!AS31</f>
        <v>0</v>
      </c>
      <c r="V31" s="316">
        <f>-'5C1T_Northeast'!AS31</f>
        <v>0</v>
      </c>
      <c r="W31" s="316">
        <f>-'5C1U_Acadiana Ren'!AS31</f>
        <v>0</v>
      </c>
      <c r="X31" s="316">
        <f>-'5C1V_Laf Ren'!AS31</f>
        <v>0</v>
      </c>
      <c r="Y31" s="316">
        <f>-'5C1W_Willow'!AS31</f>
        <v>0</v>
      </c>
      <c r="Z31" s="316">
        <f>-'5C1Y_GEO'!AS31</f>
        <v>0</v>
      </c>
      <c r="AA31" s="316">
        <f>-'5C1Z_Lincoln Prep'!AS31</f>
        <v>-11243</v>
      </c>
      <c r="AB31" s="316">
        <f>-'5C1AE_Noble Minds'!$AS31</f>
        <v>0</v>
      </c>
      <c r="AC31" s="316">
        <f>-'5C1AF_JCFA-Laf'!$AS31</f>
        <v>0</v>
      </c>
      <c r="AD31" s="316">
        <f>-'5C1AG_Collegiate'!$AS31</f>
        <v>0</v>
      </c>
      <c r="AE31" s="316">
        <f>-'5C1AH_BRUP'!$AS31</f>
        <v>0</v>
      </c>
      <c r="AF31" s="586">
        <f>-'5C1AI_Harmony'!$AS31</f>
        <v>0</v>
      </c>
      <c r="AG31" s="586">
        <f>-'5C1AJ_Athlos'!$AS31</f>
        <v>0</v>
      </c>
      <c r="AH31" s="781">
        <f>-'5C1AK_NxtGen'!$AS31</f>
        <v>0</v>
      </c>
      <c r="AI31" s="781">
        <f>-'5C1AL_Red River'!$AS31</f>
        <v>0</v>
      </c>
      <c r="AJ31" s="316">
        <f>-'5C2_LAVCA'!AT31</f>
        <v>-4665</v>
      </c>
      <c r="AK31" s="316">
        <f>-'5C3_UnvView'!AT31</f>
        <v>-2012</v>
      </c>
      <c r="AL31" s="317">
        <f t="shared" si="3"/>
        <v>-18262</v>
      </c>
      <c r="AM31" s="318">
        <f t="shared" si="4"/>
        <v>982653</v>
      </c>
      <c r="AN31" s="316"/>
      <c r="AO31" s="316"/>
      <c r="AP31" s="316">
        <f>-'5C1A_Madison'!AX31</f>
        <v>0</v>
      </c>
      <c r="AQ31" s="316">
        <f>-'5C1B_DArbonne'!AX31</f>
        <v>0</v>
      </c>
      <c r="AR31" s="316">
        <f>-'5C1C_Intl High'!AX31</f>
        <v>0</v>
      </c>
      <c r="AS31" s="316">
        <f>-'5C1D_NOMMA'!AX31</f>
        <v>0</v>
      </c>
      <c r="AT31" s="316">
        <f>-'5C1E_LFNO'!AX31</f>
        <v>0</v>
      </c>
      <c r="AU31" s="316">
        <f>-'5C1F_L.C. Charter'!AX31</f>
        <v>0</v>
      </c>
      <c r="AV31" s="316">
        <f>-'5C1G_JS Clark'!AX31</f>
        <v>0</v>
      </c>
      <c r="AW31" s="316">
        <f>-'5C1H_Southwest'!AX31</f>
        <v>0</v>
      </c>
      <c r="AX31" s="316">
        <f>-'5C1I_LA Key'!AX31</f>
        <v>0</v>
      </c>
      <c r="AY31" s="316">
        <f>-'5C1J_JCFA-East'!AX31</f>
        <v>0</v>
      </c>
      <c r="AZ31" s="316">
        <f>-'5C1M_GEO Mid'!AX31</f>
        <v>0</v>
      </c>
      <c r="BA31" s="316">
        <f>-'5C1N_Delta'!AX31</f>
        <v>0</v>
      </c>
      <c r="BB31" s="316">
        <f>-'5C1O_Impact'!AX31</f>
        <v>0</v>
      </c>
      <c r="BC31" s="316">
        <f>-'5C1Q_Advantage'!AX31</f>
        <v>0</v>
      </c>
      <c r="BD31" s="316">
        <f>-'5C1R_Iberville'!AX31</f>
        <v>0</v>
      </c>
      <c r="BE31" s="316">
        <f>-'5C1S_LC Col Prep'!AX31</f>
        <v>0</v>
      </c>
      <c r="BF31" s="316">
        <f>-'5C1T_Northeast'!AX31</f>
        <v>0</v>
      </c>
      <c r="BG31" s="316">
        <f>-'5C1U_Acadiana Ren'!AX31</f>
        <v>0</v>
      </c>
      <c r="BH31" s="316">
        <f>-'5C1V_Laf Ren'!AX31</f>
        <v>0</v>
      </c>
      <c r="BI31" s="316">
        <f>-'5C1W_Willow'!AX31</f>
        <v>0</v>
      </c>
      <c r="BJ31" s="316">
        <f>-'5C1Y_GEO'!AX31</f>
        <v>0</v>
      </c>
      <c r="BK31" s="316">
        <f>-'5C1Z_Lincoln Prep'!AX31</f>
        <v>-41</v>
      </c>
      <c r="BL31" s="316">
        <f>-'5C1AE_Noble Minds'!AX31</f>
        <v>0</v>
      </c>
      <c r="BM31" s="316">
        <f>-'5C1AF_JCFA-Laf'!AX31</f>
        <v>0</v>
      </c>
      <c r="BN31" s="316">
        <f>-'5C1AG_Collegiate'!AX31</f>
        <v>0</v>
      </c>
      <c r="BO31" s="316">
        <f>-'5C1AH_BRUP'!AX31</f>
        <v>0</v>
      </c>
      <c r="BP31" s="586">
        <f>-'5C1AI_Harmony'!$AX31</f>
        <v>0</v>
      </c>
      <c r="BQ31" s="586">
        <f>-'5C1AJ_Athlos'!$AX31</f>
        <v>0</v>
      </c>
      <c r="BR31" s="781">
        <f>-'5C1AK_NxtGen'!$AX31</f>
        <v>0</v>
      </c>
      <c r="BS31" s="781">
        <f>-'5C1AL_Red River'!$AX31</f>
        <v>0</v>
      </c>
      <c r="BT31" s="316">
        <f>-'5C2_LAVCA'!AY31</f>
        <v>2</v>
      </c>
      <c r="BU31" s="316">
        <f>-'5C3_UnvView'!AY31</f>
        <v>5</v>
      </c>
      <c r="BV31" s="316">
        <f t="shared" si="5"/>
        <v>-34</v>
      </c>
      <c r="BW31" s="318">
        <f t="shared" si="6"/>
        <v>982619</v>
      </c>
    </row>
    <row r="32" spans="1:75" s="8" customFormat="1" ht="15.75" customHeight="1" x14ac:dyDescent="0.2">
      <c r="A32" s="324">
        <v>26</v>
      </c>
      <c r="B32" s="325" t="s">
        <v>29</v>
      </c>
      <c r="C32" s="62">
        <f>'2_State Distrib and Adjs'!BB32</f>
        <v>19362750</v>
      </c>
      <c r="D32" s="62">
        <f>-'5A3_OJJ'!S32</f>
        <v>-1754</v>
      </c>
      <c r="E32" s="62"/>
      <c r="F32" s="62">
        <f>-'5C1A_Madison'!AS32</f>
        <v>0</v>
      </c>
      <c r="G32" s="62">
        <f>-'5C1B_DArbonne'!AS32</f>
        <v>0</v>
      </c>
      <c r="H32" s="62">
        <f>-'5C1C_Intl High'!AS32</f>
        <v>-23484</v>
      </c>
      <c r="I32" s="62">
        <f>-'5C1D_NOMMA'!AS32</f>
        <v>-434122</v>
      </c>
      <c r="J32" s="62">
        <f>-'5C1E_LFNO'!AS32</f>
        <v>-140283</v>
      </c>
      <c r="K32" s="62">
        <f>-'5C1F_L.C. Charter'!AS32</f>
        <v>0</v>
      </c>
      <c r="L32" s="62">
        <f>-'5C1G_JS Clark'!AS32</f>
        <v>0</v>
      </c>
      <c r="M32" s="62">
        <f>-'5C1H_Southwest'!AS32</f>
        <v>0</v>
      </c>
      <c r="N32" s="62">
        <f>-'5C1I_LA Key'!AS32</f>
        <v>-576</v>
      </c>
      <c r="O32" s="62">
        <f>-'5C1J_JCFA-East'!AS32</f>
        <v>-76048</v>
      </c>
      <c r="P32" s="62">
        <f>-'5C1M_GEO Mid'!AS32</f>
        <v>0</v>
      </c>
      <c r="Q32" s="62">
        <f>-'5C1N_Delta'!AS32</f>
        <v>0</v>
      </c>
      <c r="R32" s="62">
        <f>-'5C1O_Impact'!AS32</f>
        <v>0</v>
      </c>
      <c r="S32" s="62">
        <f>-'5C1Q_Advantage'!AS32</f>
        <v>0</v>
      </c>
      <c r="T32" s="62">
        <f>-'5C1R_Iberville'!AS32</f>
        <v>-4855</v>
      </c>
      <c r="U32" s="62">
        <f>-'5C1S_LC Col Prep'!AS32</f>
        <v>0</v>
      </c>
      <c r="V32" s="62">
        <f>-'5C1T_Northeast'!AS32</f>
        <v>0</v>
      </c>
      <c r="W32" s="62">
        <f>-'5C1U_Acadiana Ren'!AS32</f>
        <v>0</v>
      </c>
      <c r="X32" s="62">
        <f>-'5C1V_Laf Ren'!AS32</f>
        <v>0</v>
      </c>
      <c r="Y32" s="62">
        <f>-'5C1W_Willow'!AS32</f>
        <v>0</v>
      </c>
      <c r="Z32" s="62">
        <f>-'5C1Y_GEO'!AS32</f>
        <v>0</v>
      </c>
      <c r="AA32" s="62">
        <f>-'5C1Z_Lincoln Prep'!AS32</f>
        <v>0</v>
      </c>
      <c r="AB32" s="62">
        <f>-'5C1AE_Noble Minds'!$AS32</f>
        <v>-3563</v>
      </c>
      <c r="AC32" s="62">
        <f>-'5C1AF_JCFA-Laf'!$AS32</f>
        <v>0</v>
      </c>
      <c r="AD32" s="62">
        <f>-'5C1AG_Collegiate'!$AS32</f>
        <v>0</v>
      </c>
      <c r="AE32" s="62">
        <f>-'5C1AH_BRUP'!$AS32</f>
        <v>0</v>
      </c>
      <c r="AF32" s="62">
        <f>-'5C1AI_Harmony'!$AS32</f>
        <v>-10062</v>
      </c>
      <c r="AG32" s="62">
        <f>-'5C1AJ_Athlos'!$AS32</f>
        <v>-659747</v>
      </c>
      <c r="AH32" s="62">
        <f>-'5C1AK_NxtGen'!$AS32</f>
        <v>0</v>
      </c>
      <c r="AI32" s="62">
        <f>-'5C1AL_Red River'!$AS32</f>
        <v>0</v>
      </c>
      <c r="AJ32" s="62">
        <f>-'5C2_LAVCA'!AT32</f>
        <v>-79171</v>
      </c>
      <c r="AK32" s="62">
        <f>-'5C3_UnvView'!AT32</f>
        <v>-137610</v>
      </c>
      <c r="AL32" s="326">
        <f t="shared" si="3"/>
        <v>-1571275</v>
      </c>
      <c r="AM32" s="327">
        <f t="shared" si="4"/>
        <v>17791475</v>
      </c>
      <c r="AN32" s="62"/>
      <c r="AO32" s="62"/>
      <c r="AP32" s="62">
        <f>-'5C1A_Madison'!AX32</f>
        <v>0</v>
      </c>
      <c r="AQ32" s="62">
        <f>-'5C1B_DArbonne'!AX32</f>
        <v>0</v>
      </c>
      <c r="AR32" s="62">
        <f>-'5C1C_Intl High'!AX32</f>
        <v>-86</v>
      </c>
      <c r="AS32" s="62">
        <f>-'5C1D_NOMMA'!AX32</f>
        <v>-2145</v>
      </c>
      <c r="AT32" s="62">
        <f>-'5C1E_LFNO'!AX32</f>
        <v>-742</v>
      </c>
      <c r="AU32" s="62">
        <f>-'5C1F_L.C. Charter'!AX32</f>
        <v>0</v>
      </c>
      <c r="AV32" s="62">
        <f>-'5C1G_JS Clark'!AX32</f>
        <v>0</v>
      </c>
      <c r="AW32" s="62">
        <f>-'5C1H_Southwest'!AX32</f>
        <v>0</v>
      </c>
      <c r="AX32" s="62">
        <f>-'5C1I_LA Key'!AX32</f>
        <v>-2</v>
      </c>
      <c r="AY32" s="62">
        <f>-'5C1J_JCFA-East'!AX32</f>
        <v>65</v>
      </c>
      <c r="AZ32" s="62">
        <f>-'5C1M_GEO Mid'!AX32</f>
        <v>0</v>
      </c>
      <c r="BA32" s="62">
        <f>-'5C1N_Delta'!AX32</f>
        <v>0</v>
      </c>
      <c r="BB32" s="62">
        <f>-'5C1O_Impact'!AX32</f>
        <v>0</v>
      </c>
      <c r="BC32" s="62">
        <f>-'5C1Q_Advantage'!AX32</f>
        <v>0</v>
      </c>
      <c r="BD32" s="62">
        <f>-'5C1R_Iberville'!AX32</f>
        <v>-9</v>
      </c>
      <c r="BE32" s="62">
        <f>-'5C1S_LC Col Prep'!AX32</f>
        <v>0</v>
      </c>
      <c r="BF32" s="62">
        <f>-'5C1T_Northeast'!AX32</f>
        <v>0</v>
      </c>
      <c r="BG32" s="62">
        <f>-'5C1U_Acadiana Ren'!AX32</f>
        <v>0</v>
      </c>
      <c r="BH32" s="62">
        <f>-'5C1V_Laf Ren'!AX32</f>
        <v>0</v>
      </c>
      <c r="BI32" s="62">
        <f>-'5C1W_Willow'!AX32</f>
        <v>0</v>
      </c>
      <c r="BJ32" s="62">
        <f>-'5C1Y_GEO'!AX32</f>
        <v>0</v>
      </c>
      <c r="BK32" s="62">
        <f>-'5C1Z_Lincoln Prep'!AX32</f>
        <v>0</v>
      </c>
      <c r="BL32" s="62">
        <f>-'5C1AE_Noble Minds'!AX32</f>
        <v>13</v>
      </c>
      <c r="BM32" s="62">
        <f>-'5C1AF_JCFA-Laf'!AX32</f>
        <v>0</v>
      </c>
      <c r="BN32" s="62">
        <f>-'5C1AG_Collegiate'!AX32</f>
        <v>0</v>
      </c>
      <c r="BO32" s="62">
        <f>-'5C1AH_BRUP'!AX32</f>
        <v>0</v>
      </c>
      <c r="BP32" s="62">
        <f>-'5C1AI_Harmony'!$AX32</f>
        <v>-121</v>
      </c>
      <c r="BQ32" s="62">
        <f>-'5C1AJ_Athlos'!$AX32</f>
        <v>-3238</v>
      </c>
      <c r="BR32" s="62">
        <f>-'5C1AK_NxtGen'!$AX32</f>
        <v>0</v>
      </c>
      <c r="BS32" s="62">
        <f>-'5C1AL_Red River'!$AX32</f>
        <v>0</v>
      </c>
      <c r="BT32" s="62">
        <f>-'5C2_LAVCA'!AY32</f>
        <v>-188</v>
      </c>
      <c r="BU32" s="62">
        <f>-'5C3_UnvView'!AY32</f>
        <v>-913</v>
      </c>
      <c r="BV32" s="62">
        <f t="shared" si="5"/>
        <v>-7366</v>
      </c>
      <c r="BW32" s="327">
        <f t="shared" si="6"/>
        <v>17784109</v>
      </c>
    </row>
    <row r="33" spans="1:75" s="8" customFormat="1" ht="15.75" customHeight="1" x14ac:dyDescent="0.2">
      <c r="A33" s="324">
        <v>27</v>
      </c>
      <c r="B33" s="325" t="s">
        <v>30</v>
      </c>
      <c r="C33" s="62">
        <f>'2_State Distrib and Adjs'!BB33</f>
        <v>3038103</v>
      </c>
      <c r="D33" s="62">
        <f>-'5A3_OJJ'!S33</f>
        <v>-470</v>
      </c>
      <c r="E33" s="62"/>
      <c r="F33" s="62">
        <f>-'5C1A_Madison'!AS33</f>
        <v>0</v>
      </c>
      <c r="G33" s="62">
        <f>-'5C1B_DArbonne'!AS33</f>
        <v>0</v>
      </c>
      <c r="H33" s="62">
        <f>-'5C1C_Intl High'!AS33</f>
        <v>0</v>
      </c>
      <c r="I33" s="62">
        <f>-'5C1D_NOMMA'!AS33</f>
        <v>0</v>
      </c>
      <c r="J33" s="62">
        <f>-'5C1E_LFNO'!AS33</f>
        <v>0</v>
      </c>
      <c r="K33" s="62">
        <f>-'5C1F_L.C. Charter'!AS33</f>
        <v>575</v>
      </c>
      <c r="L33" s="62">
        <f>-'5C1G_JS Clark'!AS33</f>
        <v>0</v>
      </c>
      <c r="M33" s="62">
        <f>-'5C1H_Southwest'!AS33</f>
        <v>597</v>
      </c>
      <c r="N33" s="62">
        <f>-'5C1I_LA Key'!AS33</f>
        <v>0</v>
      </c>
      <c r="O33" s="62">
        <f>-'5C1J_JCFA-East'!AS33</f>
        <v>0</v>
      </c>
      <c r="P33" s="62">
        <f>-'5C1M_GEO Mid'!AS33</f>
        <v>0</v>
      </c>
      <c r="Q33" s="62">
        <f>-'5C1N_Delta'!AS33</f>
        <v>0</v>
      </c>
      <c r="R33" s="62">
        <f>-'5C1O_Impact'!AS33</f>
        <v>0</v>
      </c>
      <c r="S33" s="62">
        <f>-'5C1Q_Advantage'!AS33</f>
        <v>0</v>
      </c>
      <c r="T33" s="62">
        <f>-'5C1R_Iberville'!AS33</f>
        <v>0</v>
      </c>
      <c r="U33" s="62">
        <f>-'5C1S_LC Col Prep'!AS33</f>
        <v>0</v>
      </c>
      <c r="V33" s="62">
        <f>-'5C1T_Northeast'!AS33</f>
        <v>0</v>
      </c>
      <c r="W33" s="62">
        <f>-'5C1U_Acadiana Ren'!AS33</f>
        <v>0</v>
      </c>
      <c r="X33" s="62">
        <f>-'5C1V_Laf Ren'!AS33</f>
        <v>0</v>
      </c>
      <c r="Y33" s="62">
        <f>-'5C1W_Willow'!AS33</f>
        <v>0</v>
      </c>
      <c r="Z33" s="62">
        <f>-'5C1Y_GEO'!AS33</f>
        <v>0</v>
      </c>
      <c r="AA33" s="62">
        <f>-'5C1Z_Lincoln Prep'!AS33</f>
        <v>0</v>
      </c>
      <c r="AB33" s="62">
        <f>-'5C1AE_Noble Minds'!$AS33</f>
        <v>0</v>
      </c>
      <c r="AC33" s="62">
        <f>-'5C1AF_JCFA-Laf'!$AS33</f>
        <v>298</v>
      </c>
      <c r="AD33" s="62">
        <f>-'5C1AG_Collegiate'!$AS33</f>
        <v>0</v>
      </c>
      <c r="AE33" s="62">
        <f>-'5C1AH_BRUP'!$AS33</f>
        <v>0</v>
      </c>
      <c r="AF33" s="62">
        <f>-'5C1AI_Harmony'!$AS33</f>
        <v>0</v>
      </c>
      <c r="AG33" s="62">
        <f>-'5C1AJ_Athlos'!$AS33</f>
        <v>0</v>
      </c>
      <c r="AH33" s="62">
        <f>-'5C1AK_NxtGen'!$AS33</f>
        <v>0</v>
      </c>
      <c r="AI33" s="62">
        <f>-'5C1AL_Red River'!$AS33</f>
        <v>0</v>
      </c>
      <c r="AJ33" s="62">
        <f>-'5C2_LAVCA'!AT33</f>
        <v>-4728</v>
      </c>
      <c r="AK33" s="62">
        <f>-'5C3_UnvView'!AT33</f>
        <v>-4201</v>
      </c>
      <c r="AL33" s="326">
        <f t="shared" si="3"/>
        <v>-7929</v>
      </c>
      <c r="AM33" s="327">
        <f t="shared" si="4"/>
        <v>3030174</v>
      </c>
      <c r="AN33" s="62"/>
      <c r="AO33" s="62"/>
      <c r="AP33" s="62">
        <f>-'5C1A_Madison'!AX33</f>
        <v>0</v>
      </c>
      <c r="AQ33" s="62">
        <f>-'5C1B_DArbonne'!AX33</f>
        <v>0</v>
      </c>
      <c r="AR33" s="62">
        <f>-'5C1C_Intl High'!AX33</f>
        <v>0</v>
      </c>
      <c r="AS33" s="62">
        <f>-'5C1D_NOMMA'!AX33</f>
        <v>0</v>
      </c>
      <c r="AT33" s="62">
        <f>-'5C1E_LFNO'!AX33</f>
        <v>0</v>
      </c>
      <c r="AU33" s="62">
        <f>-'5C1F_L.C. Charter'!AX33</f>
        <v>27</v>
      </c>
      <c r="AV33" s="62">
        <f>-'5C1G_JS Clark'!AX33</f>
        <v>0</v>
      </c>
      <c r="AW33" s="62">
        <f>-'5C1H_Southwest'!AX33</f>
        <v>18</v>
      </c>
      <c r="AX33" s="62">
        <f>-'5C1I_LA Key'!AX33</f>
        <v>0</v>
      </c>
      <c r="AY33" s="62">
        <f>-'5C1J_JCFA-East'!AX33</f>
        <v>0</v>
      </c>
      <c r="AZ33" s="62">
        <f>-'5C1M_GEO Mid'!AX33</f>
        <v>0</v>
      </c>
      <c r="BA33" s="62">
        <f>-'5C1N_Delta'!AX33</f>
        <v>0</v>
      </c>
      <c r="BB33" s="62">
        <f>-'5C1O_Impact'!AX33</f>
        <v>0</v>
      </c>
      <c r="BC33" s="62">
        <f>-'5C1Q_Advantage'!AX33</f>
        <v>0</v>
      </c>
      <c r="BD33" s="62">
        <f>-'5C1R_Iberville'!AX33</f>
        <v>0</v>
      </c>
      <c r="BE33" s="62">
        <f>-'5C1S_LC Col Prep'!AX33</f>
        <v>0</v>
      </c>
      <c r="BF33" s="62">
        <f>-'5C1T_Northeast'!AX33</f>
        <v>0</v>
      </c>
      <c r="BG33" s="62">
        <f>-'5C1U_Acadiana Ren'!AX33</f>
        <v>0</v>
      </c>
      <c r="BH33" s="62">
        <f>-'5C1V_Laf Ren'!AX33</f>
        <v>0</v>
      </c>
      <c r="BI33" s="62">
        <f>-'5C1W_Willow'!AX33</f>
        <v>0</v>
      </c>
      <c r="BJ33" s="62">
        <f>-'5C1Y_GEO'!AX33</f>
        <v>0</v>
      </c>
      <c r="BK33" s="62">
        <f>-'5C1Z_Lincoln Prep'!AX33</f>
        <v>0</v>
      </c>
      <c r="BL33" s="62">
        <f>-'5C1AE_Noble Minds'!AX33</f>
        <v>0</v>
      </c>
      <c r="BM33" s="62">
        <f>-'5C1AF_JCFA-Laf'!AX33</f>
        <v>9</v>
      </c>
      <c r="BN33" s="62">
        <f>-'5C1AG_Collegiate'!AX33</f>
        <v>0</v>
      </c>
      <c r="BO33" s="62">
        <f>-'5C1AH_BRUP'!AX33</f>
        <v>0</v>
      </c>
      <c r="BP33" s="62">
        <f>-'5C1AI_Harmony'!$AX33</f>
        <v>0</v>
      </c>
      <c r="BQ33" s="62">
        <f>-'5C1AJ_Athlos'!$AX33</f>
        <v>0</v>
      </c>
      <c r="BR33" s="62">
        <f>-'5C1AK_NxtGen'!$AX33</f>
        <v>0</v>
      </c>
      <c r="BS33" s="62">
        <f>-'5C1AL_Red River'!$AX33</f>
        <v>0</v>
      </c>
      <c r="BT33" s="62">
        <f>-'5C2_LAVCA'!AY33</f>
        <v>-17</v>
      </c>
      <c r="BU33" s="62">
        <f>-'5C3_UnvView'!AY33</f>
        <v>-68</v>
      </c>
      <c r="BV33" s="62">
        <f t="shared" si="5"/>
        <v>-31</v>
      </c>
      <c r="BW33" s="327">
        <f t="shared" si="6"/>
        <v>3030143</v>
      </c>
    </row>
    <row r="34" spans="1:75" s="8" customFormat="1" ht="15.75" customHeight="1" x14ac:dyDescent="0.2">
      <c r="A34" s="324">
        <v>28</v>
      </c>
      <c r="B34" s="325" t="s">
        <v>31</v>
      </c>
      <c r="C34" s="62">
        <f>'2_State Distrib and Adjs'!BB34</f>
        <v>11658797</v>
      </c>
      <c r="D34" s="62">
        <f>-'5A3_OJJ'!S34</f>
        <v>-3520</v>
      </c>
      <c r="E34" s="62"/>
      <c r="F34" s="62">
        <f>-'5C1A_Madison'!AS34</f>
        <v>0</v>
      </c>
      <c r="G34" s="62">
        <f>-'5C1B_DArbonne'!AS34</f>
        <v>0</v>
      </c>
      <c r="H34" s="62">
        <f>-'5C1C_Intl High'!AS34</f>
        <v>0</v>
      </c>
      <c r="I34" s="62">
        <f>-'5C1D_NOMMA'!AS34</f>
        <v>-711</v>
      </c>
      <c r="J34" s="62">
        <f>-'5C1E_LFNO'!AS34</f>
        <v>0</v>
      </c>
      <c r="K34" s="62">
        <f>-'5C1F_L.C. Charter'!AS34</f>
        <v>-2134</v>
      </c>
      <c r="L34" s="62">
        <f>-'5C1G_JS Clark'!AS34</f>
        <v>-237</v>
      </c>
      <c r="M34" s="62">
        <f>-'5C1H_Southwest'!AS34</f>
        <v>0</v>
      </c>
      <c r="N34" s="62">
        <f>-'5C1I_LA Key'!AS34</f>
        <v>-948</v>
      </c>
      <c r="O34" s="62">
        <f>-'5C1J_JCFA-East'!AS34</f>
        <v>0</v>
      </c>
      <c r="P34" s="62">
        <f>-'5C1M_GEO Mid'!AS34</f>
        <v>0</v>
      </c>
      <c r="Q34" s="62">
        <f>-'5C1N_Delta'!AS34</f>
        <v>0</v>
      </c>
      <c r="R34" s="62">
        <f>-'5C1O_Impact'!AS34</f>
        <v>0</v>
      </c>
      <c r="S34" s="62">
        <f>-'5C1Q_Advantage'!AS34</f>
        <v>0</v>
      </c>
      <c r="T34" s="62">
        <f>-'5C1R_Iberville'!AS34</f>
        <v>-8534</v>
      </c>
      <c r="U34" s="62">
        <f>-'5C1S_LC Col Prep'!AS34</f>
        <v>0</v>
      </c>
      <c r="V34" s="62">
        <f>-'5C1T_Northeast'!AS34</f>
        <v>0</v>
      </c>
      <c r="W34" s="62">
        <f>-'5C1U_Acadiana Ren'!AS34</f>
        <v>-742327</v>
      </c>
      <c r="X34" s="62">
        <f>-'5C1V_Laf Ren'!AS34</f>
        <v>-401462</v>
      </c>
      <c r="Y34" s="62">
        <f>-'5C1W_Willow'!AS34</f>
        <v>-288894</v>
      </c>
      <c r="Z34" s="62">
        <f>-'5C1Y_GEO'!AS34</f>
        <v>0</v>
      </c>
      <c r="AA34" s="62">
        <f>-'5C1Z_Lincoln Prep'!AS34</f>
        <v>0</v>
      </c>
      <c r="AB34" s="62">
        <f>-'5C1AE_Noble Minds'!$AS34</f>
        <v>0</v>
      </c>
      <c r="AC34" s="62">
        <f>-'5C1AF_JCFA-Laf'!$AS34</f>
        <v>-27482</v>
      </c>
      <c r="AD34" s="62">
        <f>-'5C1AG_Collegiate'!$AS34</f>
        <v>0</v>
      </c>
      <c r="AE34" s="62">
        <f>-'5C1AH_BRUP'!$AS34</f>
        <v>0</v>
      </c>
      <c r="AF34" s="62">
        <f>-'5C1AI_Harmony'!$AS34</f>
        <v>0</v>
      </c>
      <c r="AG34" s="62">
        <f>-'5C1AJ_Athlos'!$AS34</f>
        <v>0</v>
      </c>
      <c r="AH34" s="62">
        <f>-'5C1AK_NxtGen'!$AS34</f>
        <v>0</v>
      </c>
      <c r="AI34" s="62">
        <f>-'5C1AL_Red River'!$AS34</f>
        <v>0</v>
      </c>
      <c r="AJ34" s="62">
        <f>-'5C2_LAVCA'!AT34</f>
        <v>-34169</v>
      </c>
      <c r="AK34" s="62">
        <f>-'5C3_UnvView'!AT34</f>
        <v>-59234</v>
      </c>
      <c r="AL34" s="326">
        <f t="shared" si="3"/>
        <v>-1569652</v>
      </c>
      <c r="AM34" s="327">
        <f t="shared" si="4"/>
        <v>10089145</v>
      </c>
      <c r="AN34" s="62"/>
      <c r="AO34" s="62"/>
      <c r="AP34" s="62">
        <f>-'5C1A_Madison'!AX34</f>
        <v>0</v>
      </c>
      <c r="AQ34" s="62">
        <f>-'5C1B_DArbonne'!AX34</f>
        <v>0</v>
      </c>
      <c r="AR34" s="62">
        <f>-'5C1C_Intl High'!AX34</f>
        <v>0</v>
      </c>
      <c r="AS34" s="62">
        <f>-'5C1D_NOMMA'!AX34</f>
        <v>-7</v>
      </c>
      <c r="AT34" s="62">
        <f>-'5C1E_LFNO'!AX34</f>
        <v>0</v>
      </c>
      <c r="AU34" s="62">
        <f>-'5C1F_L.C. Charter'!AX34</f>
        <v>-21</v>
      </c>
      <c r="AV34" s="62">
        <f>-'5C1G_JS Clark'!AX34</f>
        <v>-7</v>
      </c>
      <c r="AW34" s="62">
        <f>-'5C1H_Southwest'!AX34</f>
        <v>0</v>
      </c>
      <c r="AX34" s="62">
        <f>-'5C1I_LA Key'!AX34</f>
        <v>-14</v>
      </c>
      <c r="AY34" s="62">
        <f>-'5C1J_JCFA-East'!AX34</f>
        <v>0</v>
      </c>
      <c r="AZ34" s="62">
        <f>-'5C1M_GEO Mid'!AX34</f>
        <v>0</v>
      </c>
      <c r="BA34" s="62">
        <f>-'5C1N_Delta'!AX34</f>
        <v>0</v>
      </c>
      <c r="BB34" s="62">
        <f>-'5C1O_Impact'!AX34</f>
        <v>0</v>
      </c>
      <c r="BC34" s="62">
        <f>-'5C1Q_Advantage'!AX34</f>
        <v>0</v>
      </c>
      <c r="BD34" s="62">
        <f>-'5C1R_Iberville'!AX34</f>
        <v>-128</v>
      </c>
      <c r="BE34" s="62">
        <f>-'5C1S_LC Col Prep'!AX34</f>
        <v>0</v>
      </c>
      <c r="BF34" s="62">
        <f>-'5C1T_Northeast'!AX34</f>
        <v>0</v>
      </c>
      <c r="BG34" s="62">
        <f>-'5C1U_Acadiana Ren'!AX34</f>
        <v>-5901</v>
      </c>
      <c r="BH34" s="62">
        <f>-'5C1V_Laf Ren'!AX34</f>
        <v>-326</v>
      </c>
      <c r="BI34" s="62">
        <f>-'5C1W_Willow'!AX34</f>
        <v>-647</v>
      </c>
      <c r="BJ34" s="62">
        <f>-'5C1Y_GEO'!AX34</f>
        <v>0</v>
      </c>
      <c r="BK34" s="62">
        <f>-'5C1Z_Lincoln Prep'!AX34</f>
        <v>0</v>
      </c>
      <c r="BL34" s="62">
        <f>-'5C1AE_Noble Minds'!AX34</f>
        <v>0</v>
      </c>
      <c r="BM34" s="62">
        <f>-'5C1AF_JCFA-Laf'!AX34</f>
        <v>0</v>
      </c>
      <c r="BN34" s="62">
        <f>-'5C1AG_Collegiate'!AX34</f>
        <v>0</v>
      </c>
      <c r="BO34" s="62">
        <f>-'5C1AH_BRUP'!AX34</f>
        <v>0</v>
      </c>
      <c r="BP34" s="62">
        <f>-'5C1AI_Harmony'!$AX34</f>
        <v>0</v>
      </c>
      <c r="BQ34" s="62">
        <f>-'5C1AJ_Athlos'!$AX34</f>
        <v>0</v>
      </c>
      <c r="BR34" s="62">
        <f>-'5C1AK_NxtGen'!$AX34</f>
        <v>0</v>
      </c>
      <c r="BS34" s="62">
        <f>-'5C1AL_Red River'!$AX34</f>
        <v>0</v>
      </c>
      <c r="BT34" s="62">
        <f>-'5C2_LAVCA'!AY34</f>
        <v>-97</v>
      </c>
      <c r="BU34" s="62">
        <f>-'5C3_UnvView'!AY34</f>
        <v>-152</v>
      </c>
      <c r="BV34" s="62">
        <f t="shared" si="5"/>
        <v>-7300</v>
      </c>
      <c r="BW34" s="327">
        <f t="shared" si="6"/>
        <v>10081845</v>
      </c>
    </row>
    <row r="35" spans="1:75" s="8" customFormat="1" ht="15.75" customHeight="1" x14ac:dyDescent="0.2">
      <c r="A35" s="324">
        <v>29</v>
      </c>
      <c r="B35" s="325" t="s">
        <v>32</v>
      </c>
      <c r="C35" s="62">
        <f>'2_State Distrib and Adjs'!BB35</f>
        <v>6223151</v>
      </c>
      <c r="D35" s="62">
        <f>-'5A3_OJJ'!S35</f>
        <v>-679</v>
      </c>
      <c r="E35" s="62"/>
      <c r="F35" s="62">
        <f>-'5C1A_Madison'!AS35</f>
        <v>0</v>
      </c>
      <c r="G35" s="62">
        <f>-'5C1B_DArbonne'!AS35</f>
        <v>0</v>
      </c>
      <c r="H35" s="62">
        <f>-'5C1C_Intl High'!AS35</f>
        <v>400</v>
      </c>
      <c r="I35" s="62">
        <f>-'5C1D_NOMMA'!AS35</f>
        <v>0</v>
      </c>
      <c r="J35" s="62">
        <f>-'5C1E_LFNO'!AS35</f>
        <v>0</v>
      </c>
      <c r="K35" s="62">
        <f>-'5C1F_L.C. Charter'!AS35</f>
        <v>0</v>
      </c>
      <c r="L35" s="62">
        <f>-'5C1G_JS Clark'!AS35</f>
        <v>0</v>
      </c>
      <c r="M35" s="62">
        <f>-'5C1H_Southwest'!AS35</f>
        <v>0</v>
      </c>
      <c r="N35" s="62">
        <f>-'5C1I_LA Key'!AS35</f>
        <v>0</v>
      </c>
      <c r="O35" s="62">
        <f>-'5C1J_JCFA-East'!AS35</f>
        <v>0</v>
      </c>
      <c r="P35" s="62">
        <f>-'5C1M_GEO Mid'!AS35</f>
        <v>0</v>
      </c>
      <c r="Q35" s="62">
        <f>-'5C1N_Delta'!AS35</f>
        <v>0</v>
      </c>
      <c r="R35" s="62">
        <f>-'5C1O_Impact'!AS35</f>
        <v>0</v>
      </c>
      <c r="S35" s="62">
        <f>-'5C1Q_Advantage'!AS35</f>
        <v>0</v>
      </c>
      <c r="T35" s="62">
        <f>-'5C1R_Iberville'!AS35</f>
        <v>-36056</v>
      </c>
      <c r="U35" s="62">
        <f>-'5C1S_LC Col Prep'!AS35</f>
        <v>0</v>
      </c>
      <c r="V35" s="62">
        <f>-'5C1T_Northeast'!AS35</f>
        <v>0</v>
      </c>
      <c r="W35" s="62">
        <f>-'5C1U_Acadiana Ren'!AS35</f>
        <v>-8384</v>
      </c>
      <c r="X35" s="62">
        <f>-'5C1V_Laf Ren'!AS35</f>
        <v>-1709</v>
      </c>
      <c r="Y35" s="62">
        <f>-'5C1W_Willow'!AS35</f>
        <v>0</v>
      </c>
      <c r="Z35" s="62">
        <f>-'5C1Y_GEO'!AS35</f>
        <v>0</v>
      </c>
      <c r="AA35" s="62">
        <f>-'5C1Z_Lincoln Prep'!AS35</f>
        <v>0</v>
      </c>
      <c r="AB35" s="62">
        <f>-'5C1AE_Noble Minds'!$AS35</f>
        <v>0</v>
      </c>
      <c r="AC35" s="62">
        <f>-'5C1AF_JCFA-Laf'!$AS35</f>
        <v>0</v>
      </c>
      <c r="AD35" s="62">
        <f>-'5C1AG_Collegiate'!$AS35</f>
        <v>0</v>
      </c>
      <c r="AE35" s="62">
        <f>-'5C1AH_BRUP'!$AS35</f>
        <v>0</v>
      </c>
      <c r="AF35" s="62">
        <f>-'5C1AI_Harmony'!$AS35</f>
        <v>0</v>
      </c>
      <c r="AG35" s="62">
        <f>-'5C1AJ_Athlos'!$AS35</f>
        <v>0</v>
      </c>
      <c r="AH35" s="62">
        <f>-'5C1AK_NxtGen'!$AS35</f>
        <v>0</v>
      </c>
      <c r="AI35" s="62">
        <f>-'5C1AL_Red River'!$AS35</f>
        <v>0</v>
      </c>
      <c r="AJ35" s="62">
        <f>-'5C2_LAVCA'!AT35</f>
        <v>-12632</v>
      </c>
      <c r="AK35" s="62">
        <f>-'5C3_UnvView'!AT35</f>
        <v>-21449</v>
      </c>
      <c r="AL35" s="326">
        <f t="shared" si="3"/>
        <v>-80509</v>
      </c>
      <c r="AM35" s="327">
        <f t="shared" si="4"/>
        <v>6142642</v>
      </c>
      <c r="AN35" s="62"/>
      <c r="AO35" s="62"/>
      <c r="AP35" s="62">
        <f>-'5C1A_Madison'!AX35</f>
        <v>0</v>
      </c>
      <c r="AQ35" s="62">
        <f>-'5C1B_DArbonne'!AX35</f>
        <v>0</v>
      </c>
      <c r="AR35" s="62">
        <f>-'5C1C_Intl High'!AX35</f>
        <v>12</v>
      </c>
      <c r="AS35" s="62">
        <f>-'5C1D_NOMMA'!AX35</f>
        <v>0</v>
      </c>
      <c r="AT35" s="62">
        <f>-'5C1E_LFNO'!AX35</f>
        <v>0</v>
      </c>
      <c r="AU35" s="62">
        <f>-'5C1F_L.C. Charter'!AX35</f>
        <v>0</v>
      </c>
      <c r="AV35" s="62">
        <f>-'5C1G_JS Clark'!AX35</f>
        <v>0</v>
      </c>
      <c r="AW35" s="62">
        <f>-'5C1H_Southwest'!AX35</f>
        <v>0</v>
      </c>
      <c r="AX35" s="62">
        <f>-'5C1I_LA Key'!AX35</f>
        <v>0</v>
      </c>
      <c r="AY35" s="62">
        <f>-'5C1J_JCFA-East'!AX35</f>
        <v>0</v>
      </c>
      <c r="AZ35" s="62">
        <f>-'5C1M_GEO Mid'!AX35</f>
        <v>0</v>
      </c>
      <c r="BA35" s="62">
        <f>-'5C1N_Delta'!AX35</f>
        <v>0</v>
      </c>
      <c r="BB35" s="62">
        <f>-'5C1O_Impact'!AX35</f>
        <v>0</v>
      </c>
      <c r="BC35" s="62">
        <f>-'5C1Q_Advantage'!AX35</f>
        <v>0</v>
      </c>
      <c r="BD35" s="62">
        <f>-'5C1R_Iberville'!AX35</f>
        <v>-185</v>
      </c>
      <c r="BE35" s="62">
        <f>-'5C1S_LC Col Prep'!AX35</f>
        <v>0</v>
      </c>
      <c r="BF35" s="62">
        <f>-'5C1T_Northeast'!AX35</f>
        <v>0</v>
      </c>
      <c r="BG35" s="62">
        <f>-'5C1U_Acadiana Ren'!AX35</f>
        <v>-124</v>
      </c>
      <c r="BH35" s="62">
        <f>-'5C1V_Laf Ren'!AX35</f>
        <v>-26</v>
      </c>
      <c r="BI35" s="62">
        <f>-'5C1W_Willow'!AX35</f>
        <v>0</v>
      </c>
      <c r="BJ35" s="62">
        <f>-'5C1Y_GEO'!AX35</f>
        <v>0</v>
      </c>
      <c r="BK35" s="62">
        <f>-'5C1Z_Lincoln Prep'!AX35</f>
        <v>0</v>
      </c>
      <c r="BL35" s="62">
        <f>-'5C1AE_Noble Minds'!AX35</f>
        <v>0</v>
      </c>
      <c r="BM35" s="62">
        <f>-'5C1AF_JCFA-Laf'!AX35</f>
        <v>0</v>
      </c>
      <c r="BN35" s="62">
        <f>-'5C1AG_Collegiate'!AX35</f>
        <v>0</v>
      </c>
      <c r="BO35" s="62">
        <f>-'5C1AH_BRUP'!AX35</f>
        <v>0</v>
      </c>
      <c r="BP35" s="62">
        <f>-'5C1AI_Harmony'!$AX35</f>
        <v>0</v>
      </c>
      <c r="BQ35" s="62">
        <f>-'5C1AJ_Athlos'!$AX35</f>
        <v>0</v>
      </c>
      <c r="BR35" s="62">
        <f>-'5C1AK_NxtGen'!$AX35</f>
        <v>0</v>
      </c>
      <c r="BS35" s="62">
        <f>-'5C1AL_Red River'!$AX35</f>
        <v>0</v>
      </c>
      <c r="BT35" s="62">
        <f>-'5C2_LAVCA'!AY35</f>
        <v>-33</v>
      </c>
      <c r="BU35" s="62">
        <f>-'5C3_UnvView'!AY35</f>
        <v>49</v>
      </c>
      <c r="BV35" s="62">
        <f t="shared" si="5"/>
        <v>-307</v>
      </c>
      <c r="BW35" s="327">
        <f t="shared" si="6"/>
        <v>6142335</v>
      </c>
    </row>
    <row r="36" spans="1:75" s="8" customFormat="1" ht="15.75" customHeight="1" x14ac:dyDescent="0.2">
      <c r="A36" s="314">
        <v>30</v>
      </c>
      <c r="B36" s="315" t="s">
        <v>33</v>
      </c>
      <c r="C36" s="316">
        <f>'2_State Distrib and Adjs'!BB36</f>
        <v>1363247</v>
      </c>
      <c r="D36" s="316">
        <f>-'5A3_OJJ'!S36</f>
        <v>0</v>
      </c>
      <c r="E36" s="316"/>
      <c r="F36" s="316">
        <f>-'5C1A_Madison'!AS36</f>
        <v>0</v>
      </c>
      <c r="G36" s="316">
        <f>-'5C1B_DArbonne'!AS36</f>
        <v>0</v>
      </c>
      <c r="H36" s="316">
        <f>-'5C1C_Intl High'!AS36</f>
        <v>0</v>
      </c>
      <c r="I36" s="316">
        <f>-'5C1D_NOMMA'!AS36</f>
        <v>0</v>
      </c>
      <c r="J36" s="316">
        <f>-'5C1E_LFNO'!AS36</f>
        <v>0</v>
      </c>
      <c r="K36" s="316">
        <f>-'5C1F_L.C. Charter'!AS36</f>
        <v>0</v>
      </c>
      <c r="L36" s="316">
        <f>-'5C1G_JS Clark'!AS36</f>
        <v>0</v>
      </c>
      <c r="M36" s="316">
        <f>-'5C1H_Southwest'!AS36</f>
        <v>0</v>
      </c>
      <c r="N36" s="316">
        <f>-'5C1I_LA Key'!AS36</f>
        <v>0</v>
      </c>
      <c r="O36" s="316">
        <f>-'5C1J_JCFA-East'!AS36</f>
        <v>0</v>
      </c>
      <c r="P36" s="316">
        <f>-'5C1M_GEO Mid'!AS36</f>
        <v>0</v>
      </c>
      <c r="Q36" s="316">
        <f>-'5C1N_Delta'!AS36</f>
        <v>0</v>
      </c>
      <c r="R36" s="316">
        <f>-'5C1O_Impact'!AS36</f>
        <v>0</v>
      </c>
      <c r="S36" s="316">
        <f>-'5C1Q_Advantage'!AS36</f>
        <v>0</v>
      </c>
      <c r="T36" s="316">
        <f>-'5C1R_Iberville'!AS36</f>
        <v>0</v>
      </c>
      <c r="U36" s="316">
        <f>-'5C1S_LC Col Prep'!AS36</f>
        <v>0</v>
      </c>
      <c r="V36" s="316">
        <f>-'5C1T_Northeast'!AS36</f>
        <v>0</v>
      </c>
      <c r="W36" s="316">
        <f>-'5C1U_Acadiana Ren'!AS36</f>
        <v>430</v>
      </c>
      <c r="X36" s="316">
        <f>-'5C1V_Laf Ren'!AS36</f>
        <v>0</v>
      </c>
      <c r="Y36" s="316">
        <f>-'5C1W_Willow'!AS36</f>
        <v>0</v>
      </c>
      <c r="Z36" s="316">
        <f>-'5C1Y_GEO'!AS36</f>
        <v>0</v>
      </c>
      <c r="AA36" s="316">
        <f>-'5C1Z_Lincoln Prep'!AS36</f>
        <v>0</v>
      </c>
      <c r="AB36" s="316">
        <f>-'5C1AE_Noble Minds'!$AS36</f>
        <v>0</v>
      </c>
      <c r="AC36" s="316">
        <f>-'5C1AF_JCFA-Laf'!$AS36</f>
        <v>0</v>
      </c>
      <c r="AD36" s="316">
        <f>-'5C1AG_Collegiate'!$AS36</f>
        <v>0</v>
      </c>
      <c r="AE36" s="316">
        <f>-'5C1AH_BRUP'!$AS36</f>
        <v>0</v>
      </c>
      <c r="AF36" s="586">
        <f>-'5C1AI_Harmony'!$AS36</f>
        <v>0</v>
      </c>
      <c r="AG36" s="586">
        <f>-'5C1AJ_Athlos'!$AS36</f>
        <v>0</v>
      </c>
      <c r="AH36" s="781">
        <f>-'5C1AK_NxtGen'!$AS36</f>
        <v>0</v>
      </c>
      <c r="AI36" s="781">
        <f>-'5C1AL_Red River'!$AS36</f>
        <v>0</v>
      </c>
      <c r="AJ36" s="316">
        <f>-'5C2_LAVCA'!AT36</f>
        <v>-53</v>
      </c>
      <c r="AK36" s="316">
        <f>-'5C3_UnvView'!AT36</f>
        <v>-5532</v>
      </c>
      <c r="AL36" s="317">
        <f t="shared" si="3"/>
        <v>-5155</v>
      </c>
      <c r="AM36" s="318">
        <f t="shared" si="4"/>
        <v>1358092</v>
      </c>
      <c r="AN36" s="316"/>
      <c r="AO36" s="316"/>
      <c r="AP36" s="316">
        <f>-'5C1A_Madison'!AX36</f>
        <v>0</v>
      </c>
      <c r="AQ36" s="316">
        <f>-'5C1B_DArbonne'!AX36</f>
        <v>0</v>
      </c>
      <c r="AR36" s="316">
        <f>-'5C1C_Intl High'!AX36</f>
        <v>0</v>
      </c>
      <c r="AS36" s="316">
        <f>-'5C1D_NOMMA'!AX36</f>
        <v>0</v>
      </c>
      <c r="AT36" s="316">
        <f>-'5C1E_LFNO'!AX36</f>
        <v>0</v>
      </c>
      <c r="AU36" s="316">
        <f>-'5C1F_L.C. Charter'!AX36</f>
        <v>0</v>
      </c>
      <c r="AV36" s="316">
        <f>-'5C1G_JS Clark'!AX36</f>
        <v>0</v>
      </c>
      <c r="AW36" s="316">
        <f>-'5C1H_Southwest'!AX36</f>
        <v>0</v>
      </c>
      <c r="AX36" s="316">
        <f>-'5C1I_LA Key'!AX36</f>
        <v>0</v>
      </c>
      <c r="AY36" s="316">
        <f>-'5C1J_JCFA-East'!AX36</f>
        <v>0</v>
      </c>
      <c r="AZ36" s="316">
        <f>-'5C1M_GEO Mid'!AX36</f>
        <v>0</v>
      </c>
      <c r="BA36" s="316">
        <f>-'5C1N_Delta'!AX36</f>
        <v>0</v>
      </c>
      <c r="BB36" s="316">
        <f>-'5C1O_Impact'!AX36</f>
        <v>0</v>
      </c>
      <c r="BC36" s="316">
        <f>-'5C1Q_Advantage'!AX36</f>
        <v>0</v>
      </c>
      <c r="BD36" s="316">
        <f>-'5C1R_Iberville'!AX36</f>
        <v>0</v>
      </c>
      <c r="BE36" s="316">
        <f>-'5C1S_LC Col Prep'!AX36</f>
        <v>0</v>
      </c>
      <c r="BF36" s="316">
        <f>-'5C1T_Northeast'!AX36</f>
        <v>0</v>
      </c>
      <c r="BG36" s="316">
        <f>-'5C1U_Acadiana Ren'!AX36</f>
        <v>13</v>
      </c>
      <c r="BH36" s="316">
        <f>-'5C1V_Laf Ren'!AX36</f>
        <v>0</v>
      </c>
      <c r="BI36" s="316">
        <f>-'5C1W_Willow'!AX36</f>
        <v>0</v>
      </c>
      <c r="BJ36" s="316">
        <f>-'5C1Y_GEO'!AX36</f>
        <v>0</v>
      </c>
      <c r="BK36" s="316">
        <f>-'5C1Z_Lincoln Prep'!AX36</f>
        <v>0</v>
      </c>
      <c r="BL36" s="316">
        <f>-'5C1AE_Noble Minds'!AX36</f>
        <v>0</v>
      </c>
      <c r="BM36" s="316">
        <f>-'5C1AF_JCFA-Laf'!AX36</f>
        <v>0</v>
      </c>
      <c r="BN36" s="316">
        <f>-'5C1AG_Collegiate'!AX36</f>
        <v>0</v>
      </c>
      <c r="BO36" s="316">
        <f>-'5C1AH_BRUP'!AX36</f>
        <v>0</v>
      </c>
      <c r="BP36" s="586">
        <f>-'5C1AI_Harmony'!$AX36</f>
        <v>0</v>
      </c>
      <c r="BQ36" s="586">
        <f>-'5C1AJ_Athlos'!$AX36</f>
        <v>0</v>
      </c>
      <c r="BR36" s="781">
        <f>-'5C1AK_NxtGen'!$AX36</f>
        <v>0</v>
      </c>
      <c r="BS36" s="781">
        <f>-'5C1AL_Red River'!$AX36</f>
        <v>0</v>
      </c>
      <c r="BT36" s="316">
        <f>-'5C2_LAVCA'!AY36</f>
        <v>19</v>
      </c>
      <c r="BU36" s="316">
        <f>-'5C3_UnvView'!AY36</f>
        <v>-31</v>
      </c>
      <c r="BV36" s="316">
        <f t="shared" si="5"/>
        <v>1</v>
      </c>
      <c r="BW36" s="318">
        <f t="shared" si="6"/>
        <v>1358093</v>
      </c>
    </row>
    <row r="37" spans="1:75" s="8" customFormat="1" ht="15.75" customHeight="1" x14ac:dyDescent="0.2">
      <c r="A37" s="324">
        <v>31</v>
      </c>
      <c r="B37" s="325" t="s">
        <v>34</v>
      </c>
      <c r="C37" s="62">
        <f>'2_State Distrib and Adjs'!BB37</f>
        <v>2521858</v>
      </c>
      <c r="D37" s="62">
        <f>-'5A3_OJJ'!S37</f>
        <v>-185</v>
      </c>
      <c r="E37" s="62"/>
      <c r="F37" s="62">
        <f>-'5C1A_Madison'!AS37</f>
        <v>0</v>
      </c>
      <c r="G37" s="62">
        <f>-'5C1B_DArbonne'!AS37</f>
        <v>-19507</v>
      </c>
      <c r="H37" s="62">
        <f>-'5C1C_Intl High'!AS37</f>
        <v>0</v>
      </c>
      <c r="I37" s="62">
        <f>-'5C1D_NOMMA'!AS37</f>
        <v>0</v>
      </c>
      <c r="J37" s="62">
        <f>-'5C1E_LFNO'!AS37</f>
        <v>0</v>
      </c>
      <c r="K37" s="62">
        <f>-'5C1F_L.C. Charter'!AS37</f>
        <v>0</v>
      </c>
      <c r="L37" s="62">
        <f>-'5C1G_JS Clark'!AS37</f>
        <v>0</v>
      </c>
      <c r="M37" s="62">
        <f>-'5C1H_Southwest'!AS37</f>
        <v>0</v>
      </c>
      <c r="N37" s="62">
        <f>-'5C1I_LA Key'!AS37</f>
        <v>0</v>
      </c>
      <c r="O37" s="62">
        <f>-'5C1J_JCFA-East'!AS37</f>
        <v>0</v>
      </c>
      <c r="P37" s="62">
        <f>-'5C1M_GEO Mid'!AS37</f>
        <v>0</v>
      </c>
      <c r="Q37" s="62">
        <f>-'5C1N_Delta'!AS37</f>
        <v>0</v>
      </c>
      <c r="R37" s="62">
        <f>-'5C1O_Impact'!AS37</f>
        <v>0</v>
      </c>
      <c r="S37" s="62">
        <f>-'5C1Q_Advantage'!AS37</f>
        <v>0</v>
      </c>
      <c r="T37" s="62">
        <f>-'5C1R_Iberville'!AS37</f>
        <v>0</v>
      </c>
      <c r="U37" s="62">
        <f>-'5C1S_LC Col Prep'!AS37</f>
        <v>0</v>
      </c>
      <c r="V37" s="62">
        <f>-'5C1T_Northeast'!AS37</f>
        <v>-3592</v>
      </c>
      <c r="W37" s="62">
        <f>-'5C1U_Acadiana Ren'!AS37</f>
        <v>0</v>
      </c>
      <c r="X37" s="62">
        <f>-'5C1V_Laf Ren'!AS37</f>
        <v>0</v>
      </c>
      <c r="Y37" s="62">
        <f>-'5C1W_Willow'!AS37</f>
        <v>0</v>
      </c>
      <c r="Z37" s="62">
        <f>-'5C1Y_GEO'!AS37</f>
        <v>0</v>
      </c>
      <c r="AA37" s="62">
        <f>-'5C1Z_Lincoln Prep'!AS37</f>
        <v>-221326</v>
      </c>
      <c r="AB37" s="62">
        <f>-'5C1AE_Noble Minds'!$AS37</f>
        <v>0</v>
      </c>
      <c r="AC37" s="62">
        <f>-'5C1AF_JCFA-Laf'!$AS37</f>
        <v>0</v>
      </c>
      <c r="AD37" s="62">
        <f>-'5C1AG_Collegiate'!$AS37</f>
        <v>0</v>
      </c>
      <c r="AE37" s="62">
        <f>-'5C1AH_BRUP'!$AS37</f>
        <v>0</v>
      </c>
      <c r="AF37" s="62">
        <f>-'5C1AI_Harmony'!$AS37</f>
        <v>0</v>
      </c>
      <c r="AG37" s="62">
        <f>-'5C1AJ_Athlos'!$AS37</f>
        <v>0</v>
      </c>
      <c r="AH37" s="62">
        <f>-'5C1AK_NxtGen'!$AS37</f>
        <v>0</v>
      </c>
      <c r="AI37" s="62">
        <f>-'5C1AL_Red River'!$AS37</f>
        <v>0</v>
      </c>
      <c r="AJ37" s="62">
        <f>-'5C2_LAVCA'!AT37</f>
        <v>-12241</v>
      </c>
      <c r="AK37" s="62">
        <f>-'5C3_UnvView'!AT37</f>
        <v>-10400</v>
      </c>
      <c r="AL37" s="326">
        <f t="shared" si="3"/>
        <v>-267251</v>
      </c>
      <c r="AM37" s="327">
        <f t="shared" si="4"/>
        <v>2254607</v>
      </c>
      <c r="AN37" s="62"/>
      <c r="AO37" s="62"/>
      <c r="AP37" s="62">
        <f>-'5C1A_Madison'!AX37</f>
        <v>0</v>
      </c>
      <c r="AQ37" s="62">
        <f>-'5C1B_DArbonne'!AX37</f>
        <v>138</v>
      </c>
      <c r="AR37" s="62">
        <f>-'5C1C_Intl High'!AX37</f>
        <v>0</v>
      </c>
      <c r="AS37" s="62">
        <f>-'5C1D_NOMMA'!AX37</f>
        <v>0</v>
      </c>
      <c r="AT37" s="62">
        <f>-'5C1E_LFNO'!AX37</f>
        <v>0</v>
      </c>
      <c r="AU37" s="62">
        <f>-'5C1F_L.C. Charter'!AX37</f>
        <v>0</v>
      </c>
      <c r="AV37" s="62">
        <f>-'5C1G_JS Clark'!AX37</f>
        <v>0</v>
      </c>
      <c r="AW37" s="62">
        <f>-'5C1H_Southwest'!AX37</f>
        <v>0</v>
      </c>
      <c r="AX37" s="62">
        <f>-'5C1I_LA Key'!AX37</f>
        <v>0</v>
      </c>
      <c r="AY37" s="62">
        <f>-'5C1J_JCFA-East'!AX37</f>
        <v>0</v>
      </c>
      <c r="AZ37" s="62">
        <f>-'5C1M_GEO Mid'!AX37</f>
        <v>0</v>
      </c>
      <c r="BA37" s="62">
        <f>-'5C1N_Delta'!AX37</f>
        <v>0</v>
      </c>
      <c r="BB37" s="62">
        <f>-'5C1O_Impact'!AX37</f>
        <v>0</v>
      </c>
      <c r="BC37" s="62">
        <f>-'5C1Q_Advantage'!AX37</f>
        <v>0</v>
      </c>
      <c r="BD37" s="62">
        <f>-'5C1R_Iberville'!AX37</f>
        <v>0</v>
      </c>
      <c r="BE37" s="62">
        <f>-'5C1S_LC Col Prep'!AX37</f>
        <v>0</v>
      </c>
      <c r="BF37" s="62">
        <f>-'5C1T_Northeast'!AX37</f>
        <v>-16</v>
      </c>
      <c r="BG37" s="62">
        <f>-'5C1U_Acadiana Ren'!AX37</f>
        <v>0</v>
      </c>
      <c r="BH37" s="62">
        <f>-'5C1V_Laf Ren'!AX37</f>
        <v>0</v>
      </c>
      <c r="BI37" s="62">
        <f>-'5C1W_Willow'!AX37</f>
        <v>0</v>
      </c>
      <c r="BJ37" s="62">
        <f>-'5C1Y_GEO'!AX37</f>
        <v>0</v>
      </c>
      <c r="BK37" s="62">
        <f>-'5C1Z_Lincoln Prep'!AX37</f>
        <v>-1307</v>
      </c>
      <c r="BL37" s="62">
        <f>-'5C1AE_Noble Minds'!AX37</f>
        <v>0</v>
      </c>
      <c r="BM37" s="62">
        <f>-'5C1AF_JCFA-Laf'!AX37</f>
        <v>0</v>
      </c>
      <c r="BN37" s="62">
        <f>-'5C1AG_Collegiate'!AX37</f>
        <v>0</v>
      </c>
      <c r="BO37" s="62">
        <f>-'5C1AH_BRUP'!AX37</f>
        <v>0</v>
      </c>
      <c r="BP37" s="62">
        <f>-'5C1AI_Harmony'!$AX37</f>
        <v>0</v>
      </c>
      <c r="BQ37" s="62">
        <f>-'5C1AJ_Athlos'!$AX37</f>
        <v>0</v>
      </c>
      <c r="BR37" s="62">
        <f>-'5C1AK_NxtGen'!$AX37</f>
        <v>0</v>
      </c>
      <c r="BS37" s="62">
        <f>-'5C1AL_Red River'!$AX37</f>
        <v>0</v>
      </c>
      <c r="BT37" s="62">
        <f>-'5C2_LAVCA'!AY37</f>
        <v>-90</v>
      </c>
      <c r="BU37" s="62">
        <f>-'5C3_UnvView'!AY37</f>
        <v>-112</v>
      </c>
      <c r="BV37" s="62">
        <f t="shared" si="5"/>
        <v>-1387</v>
      </c>
      <c r="BW37" s="327">
        <f t="shared" si="6"/>
        <v>2253220</v>
      </c>
    </row>
    <row r="38" spans="1:75" s="8" customFormat="1" ht="15.75" customHeight="1" x14ac:dyDescent="0.2">
      <c r="A38" s="324">
        <v>32</v>
      </c>
      <c r="B38" s="325" t="s">
        <v>35</v>
      </c>
      <c r="C38" s="62">
        <f>'2_State Distrib and Adjs'!BB38</f>
        <v>14194823</v>
      </c>
      <c r="D38" s="62">
        <f>-'5A3_OJJ'!S38</f>
        <v>0</v>
      </c>
      <c r="E38" s="62"/>
      <c r="F38" s="62">
        <f>-'5C1A_Madison'!AS38</f>
        <v>-336</v>
      </c>
      <c r="G38" s="62">
        <f>-'5C1B_DArbonne'!AS38</f>
        <v>0</v>
      </c>
      <c r="H38" s="62">
        <f>-'5C1C_Intl High'!AS38</f>
        <v>0</v>
      </c>
      <c r="I38" s="62">
        <f>-'5C1D_NOMMA'!AS38</f>
        <v>0</v>
      </c>
      <c r="J38" s="62">
        <f>-'5C1E_LFNO'!AS38</f>
        <v>0</v>
      </c>
      <c r="K38" s="62">
        <f>-'5C1F_L.C. Charter'!AS38</f>
        <v>0</v>
      </c>
      <c r="L38" s="62">
        <f>-'5C1G_JS Clark'!AS38</f>
        <v>0</v>
      </c>
      <c r="M38" s="62">
        <f>-'5C1H_Southwest'!AS38</f>
        <v>0</v>
      </c>
      <c r="N38" s="62">
        <f>-'5C1I_LA Key'!AS38</f>
        <v>-4769</v>
      </c>
      <c r="O38" s="62">
        <f>-'5C1J_JCFA-East'!AS38</f>
        <v>0</v>
      </c>
      <c r="P38" s="62">
        <f>-'5C1M_GEO Mid'!AS38</f>
        <v>-57</v>
      </c>
      <c r="Q38" s="62">
        <f>-'5C1N_Delta'!AS38</f>
        <v>0</v>
      </c>
      <c r="R38" s="62">
        <f>-'5C1O_Impact'!AS38</f>
        <v>0</v>
      </c>
      <c r="S38" s="62">
        <f>-'5C1Q_Advantage'!AS38</f>
        <v>-1421</v>
      </c>
      <c r="T38" s="62">
        <f>-'5C1R_Iberville'!AS38</f>
        <v>-1672</v>
      </c>
      <c r="U38" s="62">
        <f>-'5C1S_LC Col Prep'!AS38</f>
        <v>0</v>
      </c>
      <c r="V38" s="62">
        <f>-'5C1T_Northeast'!AS38</f>
        <v>0</v>
      </c>
      <c r="W38" s="62">
        <f>-'5C1U_Acadiana Ren'!AS38</f>
        <v>0</v>
      </c>
      <c r="X38" s="62">
        <f>-'5C1V_Laf Ren'!AS38</f>
        <v>0</v>
      </c>
      <c r="Y38" s="62">
        <f>-'5C1W_Willow'!AS38</f>
        <v>0</v>
      </c>
      <c r="Z38" s="62">
        <f>-'5C1Y_GEO'!AS38</f>
        <v>-1965</v>
      </c>
      <c r="AA38" s="62">
        <f>-'5C1Z_Lincoln Prep'!AS38</f>
        <v>0</v>
      </c>
      <c r="AB38" s="62">
        <f>-'5C1AE_Noble Minds'!$AS38</f>
        <v>0</v>
      </c>
      <c r="AC38" s="62">
        <f>-'5C1AF_JCFA-Laf'!$AS38</f>
        <v>0</v>
      </c>
      <c r="AD38" s="62">
        <f>-'5C1AG_Collegiate'!$AS38</f>
        <v>0</v>
      </c>
      <c r="AE38" s="62">
        <f>-'5C1AH_BRUP'!$AS38</f>
        <v>0</v>
      </c>
      <c r="AF38" s="62">
        <f>-'5C1AI_Harmony'!$AS38</f>
        <v>0</v>
      </c>
      <c r="AG38" s="62">
        <f>-'5C1AJ_Athlos'!$AS38</f>
        <v>0</v>
      </c>
      <c r="AH38" s="62">
        <f>-'5C1AK_NxtGen'!$AS38</f>
        <v>144</v>
      </c>
      <c r="AI38" s="62">
        <f>-'5C1AL_Red River'!$AS38</f>
        <v>0</v>
      </c>
      <c r="AJ38" s="62">
        <f>-'5C2_LAVCA'!AT38</f>
        <v>-17493</v>
      </c>
      <c r="AK38" s="62">
        <f>-'5C3_UnvView'!AT38</f>
        <v>-74319</v>
      </c>
      <c r="AL38" s="326">
        <f t="shared" si="3"/>
        <v>-101888</v>
      </c>
      <c r="AM38" s="327">
        <f t="shared" si="4"/>
        <v>14092935</v>
      </c>
      <c r="AN38" s="62"/>
      <c r="AO38" s="62"/>
      <c r="AP38" s="62">
        <f>-'5C1A_Madison'!AX38</f>
        <v>19</v>
      </c>
      <c r="AQ38" s="62">
        <f>-'5C1B_DArbonne'!AX38</f>
        <v>0</v>
      </c>
      <c r="AR38" s="62">
        <f>-'5C1C_Intl High'!AX38</f>
        <v>0</v>
      </c>
      <c r="AS38" s="62">
        <f>-'5C1D_NOMMA'!AX38</f>
        <v>0</v>
      </c>
      <c r="AT38" s="62">
        <f>-'5C1E_LFNO'!AX38</f>
        <v>0</v>
      </c>
      <c r="AU38" s="62">
        <f>-'5C1F_L.C. Charter'!AX38</f>
        <v>0</v>
      </c>
      <c r="AV38" s="62">
        <f>-'5C1G_JS Clark'!AX38</f>
        <v>0</v>
      </c>
      <c r="AW38" s="62">
        <f>-'5C1H_Southwest'!AX38</f>
        <v>0</v>
      </c>
      <c r="AX38" s="62">
        <f>-'5C1I_LA Key'!AX38</f>
        <v>-8</v>
      </c>
      <c r="AY38" s="62">
        <f>-'5C1J_JCFA-East'!AX38</f>
        <v>0</v>
      </c>
      <c r="AZ38" s="62">
        <f>-'5C1M_GEO Mid'!AX38</f>
        <v>6</v>
      </c>
      <c r="BA38" s="62">
        <f>-'5C1N_Delta'!AX38</f>
        <v>0</v>
      </c>
      <c r="BB38" s="62">
        <f>-'5C1O_Impact'!AX38</f>
        <v>0</v>
      </c>
      <c r="BC38" s="62">
        <f>-'5C1Q_Advantage'!AX38</f>
        <v>-28</v>
      </c>
      <c r="BD38" s="62">
        <f>-'5C1R_Iberville'!AX38</f>
        <v>-21</v>
      </c>
      <c r="BE38" s="62">
        <f>-'5C1S_LC Col Prep'!AX38</f>
        <v>0</v>
      </c>
      <c r="BF38" s="62">
        <f>-'5C1T_Northeast'!AX38</f>
        <v>0</v>
      </c>
      <c r="BG38" s="62">
        <f>-'5C1U_Acadiana Ren'!AX38</f>
        <v>0</v>
      </c>
      <c r="BH38" s="62">
        <f>-'5C1V_Laf Ren'!AX38</f>
        <v>0</v>
      </c>
      <c r="BI38" s="62">
        <f>-'5C1W_Willow'!AX38</f>
        <v>0</v>
      </c>
      <c r="BJ38" s="62">
        <f>-'5C1Y_GEO'!AX38</f>
        <v>-17</v>
      </c>
      <c r="BK38" s="62">
        <f>-'5C1Z_Lincoln Prep'!AX38</f>
        <v>0</v>
      </c>
      <c r="BL38" s="62">
        <f>-'5C1AE_Noble Minds'!AX38</f>
        <v>0</v>
      </c>
      <c r="BM38" s="62">
        <f>-'5C1AF_JCFA-Laf'!AX38</f>
        <v>0</v>
      </c>
      <c r="BN38" s="62">
        <f>-'5C1AG_Collegiate'!AX38</f>
        <v>0</v>
      </c>
      <c r="BO38" s="62">
        <f>-'5C1AH_BRUP'!AX38</f>
        <v>0</v>
      </c>
      <c r="BP38" s="62">
        <f>-'5C1AI_Harmony'!$AX38</f>
        <v>0</v>
      </c>
      <c r="BQ38" s="62">
        <f>-'5C1AJ_Athlos'!$AX38</f>
        <v>0</v>
      </c>
      <c r="BR38" s="62">
        <f>-'5C1AK_NxtGen'!$AX38</f>
        <v>-7</v>
      </c>
      <c r="BS38" s="62">
        <f>-'5C1AL_Red River'!$AX38</f>
        <v>0</v>
      </c>
      <c r="BT38" s="62">
        <f>-'5C2_LAVCA'!AY38</f>
        <v>-1</v>
      </c>
      <c r="BU38" s="62">
        <f>-'5C3_UnvView'!AY38</f>
        <v>-322</v>
      </c>
      <c r="BV38" s="62">
        <f t="shared" si="5"/>
        <v>-379</v>
      </c>
      <c r="BW38" s="327">
        <f t="shared" si="6"/>
        <v>14092556</v>
      </c>
    </row>
    <row r="39" spans="1:75" s="8" customFormat="1" ht="15.75" customHeight="1" x14ac:dyDescent="0.2">
      <c r="A39" s="324">
        <v>33</v>
      </c>
      <c r="B39" s="325" t="s">
        <v>36</v>
      </c>
      <c r="C39" s="62">
        <f>'2_State Distrib and Adjs'!BB39</f>
        <v>625251</v>
      </c>
      <c r="D39" s="62">
        <f>-'5A3_OJJ'!S39</f>
        <v>-865</v>
      </c>
      <c r="E39" s="62"/>
      <c r="F39" s="62">
        <f>-'5C1A_Madison'!AS39</f>
        <v>0</v>
      </c>
      <c r="G39" s="62">
        <f>-'5C1B_DArbonne'!AS39</f>
        <v>0</v>
      </c>
      <c r="H39" s="62">
        <f>-'5C1C_Intl High'!AS39</f>
        <v>0</v>
      </c>
      <c r="I39" s="62">
        <f>-'5C1D_NOMMA'!AS39</f>
        <v>0</v>
      </c>
      <c r="J39" s="62">
        <f>-'5C1E_LFNO'!AS39</f>
        <v>0</v>
      </c>
      <c r="K39" s="62">
        <f>-'5C1F_L.C. Charter'!AS39</f>
        <v>0</v>
      </c>
      <c r="L39" s="62">
        <f>-'5C1G_JS Clark'!AS39</f>
        <v>0</v>
      </c>
      <c r="M39" s="62">
        <f>-'5C1H_Southwest'!AS39</f>
        <v>0</v>
      </c>
      <c r="N39" s="62">
        <f>-'5C1I_LA Key'!AS39</f>
        <v>0</v>
      </c>
      <c r="O39" s="62">
        <f>-'5C1J_JCFA-East'!AS39</f>
        <v>0</v>
      </c>
      <c r="P39" s="62">
        <f>-'5C1M_GEO Mid'!AS39</f>
        <v>0</v>
      </c>
      <c r="Q39" s="62">
        <f>-'5C1N_Delta'!AS39</f>
        <v>0</v>
      </c>
      <c r="R39" s="62">
        <f>-'5C1O_Impact'!AS39</f>
        <v>0</v>
      </c>
      <c r="S39" s="62">
        <f>-'5C1Q_Advantage'!AS39</f>
        <v>0</v>
      </c>
      <c r="T39" s="62">
        <f>-'5C1R_Iberville'!AS39</f>
        <v>0</v>
      </c>
      <c r="U39" s="62">
        <f>-'5C1S_LC Col Prep'!AS39</f>
        <v>0</v>
      </c>
      <c r="V39" s="62">
        <f>-'5C1T_Northeast'!AS39</f>
        <v>0</v>
      </c>
      <c r="W39" s="62">
        <f>-'5C1U_Acadiana Ren'!AS39</f>
        <v>0</v>
      </c>
      <c r="X39" s="62">
        <f>-'5C1V_Laf Ren'!AS39</f>
        <v>0</v>
      </c>
      <c r="Y39" s="62">
        <f>-'5C1W_Willow'!AS39</f>
        <v>0</v>
      </c>
      <c r="Z39" s="62">
        <f>-'5C1Y_GEO'!AS39</f>
        <v>0</v>
      </c>
      <c r="AA39" s="62">
        <f>-'5C1Z_Lincoln Prep'!AS39</f>
        <v>0</v>
      </c>
      <c r="AB39" s="62">
        <f>-'5C1AE_Noble Minds'!$AS39</f>
        <v>0</v>
      </c>
      <c r="AC39" s="62">
        <f>-'5C1AF_JCFA-Laf'!$AS39</f>
        <v>0</v>
      </c>
      <c r="AD39" s="62">
        <f>-'5C1AG_Collegiate'!$AS39</f>
        <v>0</v>
      </c>
      <c r="AE39" s="62">
        <f>-'5C1AH_BRUP'!$AS39</f>
        <v>0</v>
      </c>
      <c r="AF39" s="62">
        <f>-'5C1AI_Harmony'!$AS39</f>
        <v>0</v>
      </c>
      <c r="AG39" s="62">
        <f>-'5C1AJ_Athlos'!$AS39</f>
        <v>0</v>
      </c>
      <c r="AH39" s="62">
        <f>-'5C1AK_NxtGen'!$AS39</f>
        <v>0</v>
      </c>
      <c r="AI39" s="62">
        <f>-'5C1AL_Red River'!$AS39</f>
        <v>0</v>
      </c>
      <c r="AJ39" s="62">
        <f>-'5C2_LAVCA'!AT39</f>
        <v>13</v>
      </c>
      <c r="AK39" s="62">
        <f>-'5C3_UnvView'!AT39</f>
        <v>-64659</v>
      </c>
      <c r="AL39" s="326">
        <f t="shared" ref="AL39:AL70" si="7">SUM(D39:AK39)</f>
        <v>-65511</v>
      </c>
      <c r="AM39" s="327">
        <f t="shared" ref="AM39:AM70" si="8">C39+AL39</f>
        <v>559740</v>
      </c>
      <c r="AN39" s="62"/>
      <c r="AO39" s="62"/>
      <c r="AP39" s="62">
        <f>-'5C1A_Madison'!AX39</f>
        <v>0</v>
      </c>
      <c r="AQ39" s="62">
        <f>-'5C1B_DArbonne'!AX39</f>
        <v>0</v>
      </c>
      <c r="AR39" s="62">
        <f>-'5C1C_Intl High'!AX39</f>
        <v>0</v>
      </c>
      <c r="AS39" s="62">
        <f>-'5C1D_NOMMA'!AX39</f>
        <v>0</v>
      </c>
      <c r="AT39" s="62">
        <f>-'5C1E_LFNO'!AX39</f>
        <v>0</v>
      </c>
      <c r="AU39" s="62">
        <f>-'5C1F_L.C. Charter'!AX39</f>
        <v>0</v>
      </c>
      <c r="AV39" s="62">
        <f>-'5C1G_JS Clark'!AX39</f>
        <v>0</v>
      </c>
      <c r="AW39" s="62">
        <f>-'5C1H_Southwest'!AX39</f>
        <v>0</v>
      </c>
      <c r="AX39" s="62">
        <f>-'5C1I_LA Key'!AX39</f>
        <v>0</v>
      </c>
      <c r="AY39" s="62">
        <f>-'5C1J_JCFA-East'!AX39</f>
        <v>0</v>
      </c>
      <c r="AZ39" s="62">
        <f>-'5C1M_GEO Mid'!AX39</f>
        <v>0</v>
      </c>
      <c r="BA39" s="62">
        <f>-'5C1N_Delta'!AX39</f>
        <v>0</v>
      </c>
      <c r="BB39" s="62">
        <f>-'5C1O_Impact'!AX39</f>
        <v>0</v>
      </c>
      <c r="BC39" s="62">
        <f>-'5C1Q_Advantage'!AX39</f>
        <v>0</v>
      </c>
      <c r="BD39" s="62">
        <f>-'5C1R_Iberville'!AX39</f>
        <v>0</v>
      </c>
      <c r="BE39" s="62">
        <f>-'5C1S_LC Col Prep'!AX39</f>
        <v>0</v>
      </c>
      <c r="BF39" s="62">
        <f>-'5C1T_Northeast'!AX39</f>
        <v>0</v>
      </c>
      <c r="BG39" s="62">
        <f>-'5C1U_Acadiana Ren'!AX39</f>
        <v>0</v>
      </c>
      <c r="BH39" s="62">
        <f>-'5C1V_Laf Ren'!AX39</f>
        <v>0</v>
      </c>
      <c r="BI39" s="62">
        <f>-'5C1W_Willow'!AX39</f>
        <v>0</v>
      </c>
      <c r="BJ39" s="62">
        <f>-'5C1Y_GEO'!AX39</f>
        <v>0</v>
      </c>
      <c r="BK39" s="62">
        <f>-'5C1Z_Lincoln Prep'!AX39</f>
        <v>0</v>
      </c>
      <c r="BL39" s="62">
        <f>-'5C1AE_Noble Minds'!AX39</f>
        <v>0</v>
      </c>
      <c r="BM39" s="62">
        <f>-'5C1AF_JCFA-Laf'!AX39</f>
        <v>0</v>
      </c>
      <c r="BN39" s="62">
        <f>-'5C1AG_Collegiate'!AX39</f>
        <v>0</v>
      </c>
      <c r="BO39" s="62">
        <f>-'5C1AH_BRUP'!AX39</f>
        <v>0</v>
      </c>
      <c r="BP39" s="62">
        <f>-'5C1AI_Harmony'!$AX39</f>
        <v>0</v>
      </c>
      <c r="BQ39" s="62">
        <f>-'5C1AJ_Athlos'!$AX39</f>
        <v>0</v>
      </c>
      <c r="BR39" s="62">
        <f>-'5C1AK_NxtGen'!$AX39</f>
        <v>0</v>
      </c>
      <c r="BS39" s="62">
        <f>-'5C1AL_Red River'!$AX39</f>
        <v>0</v>
      </c>
      <c r="BT39" s="62">
        <f>-'5C2_LAVCA'!AY39</f>
        <v>11</v>
      </c>
      <c r="BU39" s="62">
        <f>-'5C3_UnvView'!AY39</f>
        <v>377</v>
      </c>
      <c r="BV39" s="62">
        <f t="shared" ref="BV39:BV70" si="9">SUM(AO39:BU39)</f>
        <v>388</v>
      </c>
      <c r="BW39" s="327">
        <f t="shared" ref="BW39:BW75" si="10">SUM(AM39:BU39)</f>
        <v>560128</v>
      </c>
    </row>
    <row r="40" spans="1:75" s="8" customFormat="1" ht="15.75" customHeight="1" x14ac:dyDescent="0.2">
      <c r="A40" s="324">
        <v>34</v>
      </c>
      <c r="B40" s="325" t="s">
        <v>37</v>
      </c>
      <c r="C40" s="62">
        <f>'2_State Distrib and Adjs'!BB40</f>
        <v>1875819</v>
      </c>
      <c r="D40" s="62">
        <f>-'5A3_OJJ'!S40</f>
        <v>-558</v>
      </c>
      <c r="E40" s="62"/>
      <c r="F40" s="62">
        <f>-'5C1A_Madison'!AS40</f>
        <v>0</v>
      </c>
      <c r="G40" s="62">
        <f>-'5C1B_DArbonne'!AS40</f>
        <v>-1581</v>
      </c>
      <c r="H40" s="62">
        <f>-'5C1C_Intl High'!AS40</f>
        <v>0</v>
      </c>
      <c r="I40" s="62">
        <f>-'5C1D_NOMMA'!AS40</f>
        <v>0</v>
      </c>
      <c r="J40" s="62">
        <f>-'5C1E_LFNO'!AS40</f>
        <v>0</v>
      </c>
      <c r="K40" s="62">
        <f>-'5C1F_L.C. Charter'!AS40</f>
        <v>0</v>
      </c>
      <c r="L40" s="62">
        <f>-'5C1G_JS Clark'!AS40</f>
        <v>0</v>
      </c>
      <c r="M40" s="62">
        <f>-'5C1H_Southwest'!AS40</f>
        <v>0</v>
      </c>
      <c r="N40" s="62">
        <f>-'5C1I_LA Key'!AS40</f>
        <v>0</v>
      </c>
      <c r="O40" s="62">
        <f>-'5C1J_JCFA-East'!AS40</f>
        <v>0</v>
      </c>
      <c r="P40" s="62">
        <f>-'5C1M_GEO Mid'!AS40</f>
        <v>0</v>
      </c>
      <c r="Q40" s="62">
        <f>-'5C1N_Delta'!AS40</f>
        <v>0</v>
      </c>
      <c r="R40" s="62">
        <f>-'5C1O_Impact'!AS40</f>
        <v>0</v>
      </c>
      <c r="S40" s="62">
        <f>-'5C1Q_Advantage'!AS40</f>
        <v>0</v>
      </c>
      <c r="T40" s="62">
        <f>-'5C1R_Iberville'!AS40</f>
        <v>0</v>
      </c>
      <c r="U40" s="62">
        <f>-'5C1S_LC Col Prep'!AS40</f>
        <v>0</v>
      </c>
      <c r="V40" s="62">
        <f>-'5C1T_Northeast'!AS40</f>
        <v>0</v>
      </c>
      <c r="W40" s="62">
        <f>-'5C1U_Acadiana Ren'!AS40</f>
        <v>0</v>
      </c>
      <c r="X40" s="62">
        <f>-'5C1V_Laf Ren'!AS40</f>
        <v>0</v>
      </c>
      <c r="Y40" s="62">
        <f>-'5C1W_Willow'!AS40</f>
        <v>0</v>
      </c>
      <c r="Z40" s="62">
        <f>-'5C1Y_GEO'!AS40</f>
        <v>0</v>
      </c>
      <c r="AA40" s="62">
        <f>-'5C1Z_Lincoln Prep'!AS40</f>
        <v>0</v>
      </c>
      <c r="AB40" s="62">
        <f>-'5C1AE_Noble Minds'!$AS40</f>
        <v>0</v>
      </c>
      <c r="AC40" s="62">
        <f>-'5C1AF_JCFA-Laf'!$AS40</f>
        <v>0</v>
      </c>
      <c r="AD40" s="62">
        <f>-'5C1AG_Collegiate'!$AS40</f>
        <v>0</v>
      </c>
      <c r="AE40" s="62">
        <f>-'5C1AH_BRUP'!$AS40</f>
        <v>0</v>
      </c>
      <c r="AF40" s="62">
        <f>-'5C1AI_Harmony'!$AS40</f>
        <v>0</v>
      </c>
      <c r="AG40" s="62">
        <f>-'5C1AJ_Athlos'!$AS40</f>
        <v>0</v>
      </c>
      <c r="AH40" s="62">
        <f>-'5C1AK_NxtGen'!$AS40</f>
        <v>0</v>
      </c>
      <c r="AI40" s="62">
        <f>-'5C1AL_Red River'!$AS40</f>
        <v>0</v>
      </c>
      <c r="AJ40" s="62">
        <f>-'5C2_LAVCA'!AT40</f>
        <v>-10695</v>
      </c>
      <c r="AK40" s="62">
        <f>-'5C3_UnvView'!AT40</f>
        <v>-9244</v>
      </c>
      <c r="AL40" s="326">
        <f t="shared" si="7"/>
        <v>-22078</v>
      </c>
      <c r="AM40" s="327">
        <f t="shared" si="8"/>
        <v>1853741</v>
      </c>
      <c r="AN40" s="62"/>
      <c r="AO40" s="62"/>
      <c r="AP40" s="62">
        <f>-'5C1A_Madison'!AX40</f>
        <v>0</v>
      </c>
      <c r="AQ40" s="62">
        <f>-'5C1B_DArbonne'!AX40</f>
        <v>-20</v>
      </c>
      <c r="AR40" s="62">
        <f>-'5C1C_Intl High'!AX40</f>
        <v>0</v>
      </c>
      <c r="AS40" s="62">
        <f>-'5C1D_NOMMA'!AX40</f>
        <v>0</v>
      </c>
      <c r="AT40" s="62">
        <f>-'5C1E_LFNO'!AX40</f>
        <v>0</v>
      </c>
      <c r="AU40" s="62">
        <f>-'5C1F_L.C. Charter'!AX40</f>
        <v>0</v>
      </c>
      <c r="AV40" s="62">
        <f>-'5C1G_JS Clark'!AX40</f>
        <v>0</v>
      </c>
      <c r="AW40" s="62">
        <f>-'5C1H_Southwest'!AX40</f>
        <v>0</v>
      </c>
      <c r="AX40" s="62">
        <f>-'5C1I_LA Key'!AX40</f>
        <v>0</v>
      </c>
      <c r="AY40" s="62">
        <f>-'5C1J_JCFA-East'!AX40</f>
        <v>0</v>
      </c>
      <c r="AZ40" s="62">
        <f>-'5C1M_GEO Mid'!AX40</f>
        <v>0</v>
      </c>
      <c r="BA40" s="62">
        <f>-'5C1N_Delta'!AX40</f>
        <v>0</v>
      </c>
      <c r="BB40" s="62">
        <f>-'5C1O_Impact'!AX40</f>
        <v>0</v>
      </c>
      <c r="BC40" s="62">
        <f>-'5C1Q_Advantage'!AX40</f>
        <v>0</v>
      </c>
      <c r="BD40" s="62">
        <f>-'5C1R_Iberville'!AX40</f>
        <v>0</v>
      </c>
      <c r="BE40" s="62">
        <f>-'5C1S_LC Col Prep'!AX40</f>
        <v>0</v>
      </c>
      <c r="BF40" s="62">
        <f>-'5C1T_Northeast'!AX40</f>
        <v>0</v>
      </c>
      <c r="BG40" s="62">
        <f>-'5C1U_Acadiana Ren'!AX40</f>
        <v>0</v>
      </c>
      <c r="BH40" s="62">
        <f>-'5C1V_Laf Ren'!AX40</f>
        <v>0</v>
      </c>
      <c r="BI40" s="62">
        <f>-'5C1W_Willow'!AX40</f>
        <v>0</v>
      </c>
      <c r="BJ40" s="62">
        <f>-'5C1Y_GEO'!AX40</f>
        <v>0</v>
      </c>
      <c r="BK40" s="62">
        <f>-'5C1Z_Lincoln Prep'!AX40</f>
        <v>0</v>
      </c>
      <c r="BL40" s="62">
        <f>-'5C1AE_Noble Minds'!AX40</f>
        <v>0</v>
      </c>
      <c r="BM40" s="62">
        <f>-'5C1AF_JCFA-Laf'!AX40</f>
        <v>0</v>
      </c>
      <c r="BN40" s="62">
        <f>-'5C1AG_Collegiate'!AX40</f>
        <v>0</v>
      </c>
      <c r="BO40" s="62">
        <f>-'5C1AH_BRUP'!AX40</f>
        <v>0</v>
      </c>
      <c r="BP40" s="62">
        <f>-'5C1AI_Harmony'!$AX40</f>
        <v>0</v>
      </c>
      <c r="BQ40" s="62">
        <f>-'5C1AJ_Athlos'!$AX40</f>
        <v>0</v>
      </c>
      <c r="BR40" s="62">
        <f>-'5C1AK_NxtGen'!$AX40</f>
        <v>0</v>
      </c>
      <c r="BS40" s="62">
        <f>-'5C1AL_Red River'!$AX40</f>
        <v>0</v>
      </c>
      <c r="BT40" s="62">
        <f>-'5C2_LAVCA'!AY40</f>
        <v>-31</v>
      </c>
      <c r="BU40" s="62">
        <f>-'5C3_UnvView'!AY40</f>
        <v>-57</v>
      </c>
      <c r="BV40" s="62">
        <f t="shared" si="9"/>
        <v>-108</v>
      </c>
      <c r="BW40" s="327">
        <f t="shared" si="10"/>
        <v>1853633</v>
      </c>
    </row>
    <row r="41" spans="1:75" s="8" customFormat="1" ht="15.75" customHeight="1" x14ac:dyDescent="0.2">
      <c r="A41" s="314">
        <v>35</v>
      </c>
      <c r="B41" s="315" t="s">
        <v>38</v>
      </c>
      <c r="C41" s="316">
        <f>'2_State Distrib and Adjs'!BB41</f>
        <v>2470661</v>
      </c>
      <c r="D41" s="316">
        <f>-'5A3_OJJ'!S41</f>
        <v>0</v>
      </c>
      <c r="E41" s="316"/>
      <c r="F41" s="316">
        <f>-'5C1A_Madison'!AS41</f>
        <v>0</v>
      </c>
      <c r="G41" s="316">
        <f>-'5C1B_DArbonne'!AS41</f>
        <v>0</v>
      </c>
      <c r="H41" s="316">
        <f>-'5C1C_Intl High'!AS41</f>
        <v>0</v>
      </c>
      <c r="I41" s="316">
        <f>-'5C1D_NOMMA'!AS41</f>
        <v>0</v>
      </c>
      <c r="J41" s="316">
        <f>-'5C1E_LFNO'!AS41</f>
        <v>0</v>
      </c>
      <c r="K41" s="316">
        <f>-'5C1F_L.C. Charter'!AS41</f>
        <v>0</v>
      </c>
      <c r="L41" s="316">
        <f>-'5C1G_JS Clark'!AS41</f>
        <v>0</v>
      </c>
      <c r="M41" s="316">
        <f>-'5C1H_Southwest'!AS41</f>
        <v>0</v>
      </c>
      <c r="N41" s="316">
        <f>-'5C1I_LA Key'!AS41</f>
        <v>0</v>
      </c>
      <c r="O41" s="316">
        <f>-'5C1J_JCFA-East'!AS41</f>
        <v>0</v>
      </c>
      <c r="P41" s="316">
        <f>-'5C1M_GEO Mid'!AS41</f>
        <v>0</v>
      </c>
      <c r="Q41" s="316">
        <f>-'5C1N_Delta'!AS41</f>
        <v>0</v>
      </c>
      <c r="R41" s="316">
        <f>-'5C1O_Impact'!AS41</f>
        <v>0</v>
      </c>
      <c r="S41" s="316">
        <f>-'5C1Q_Advantage'!AS41</f>
        <v>0</v>
      </c>
      <c r="T41" s="316">
        <f>-'5C1R_Iberville'!AS41</f>
        <v>0</v>
      </c>
      <c r="U41" s="316">
        <f>-'5C1S_LC Col Prep'!AS41</f>
        <v>0</v>
      </c>
      <c r="V41" s="316">
        <f>-'5C1T_Northeast'!AS41</f>
        <v>0</v>
      </c>
      <c r="W41" s="316">
        <f>-'5C1U_Acadiana Ren'!AS41</f>
        <v>0</v>
      </c>
      <c r="X41" s="316">
        <f>-'5C1V_Laf Ren'!AS41</f>
        <v>0</v>
      </c>
      <c r="Y41" s="316">
        <f>-'5C1W_Willow'!AS41</f>
        <v>0</v>
      </c>
      <c r="Z41" s="316">
        <f>-'5C1Y_GEO'!AS41</f>
        <v>0</v>
      </c>
      <c r="AA41" s="316">
        <f>-'5C1Z_Lincoln Prep'!AS41</f>
        <v>0</v>
      </c>
      <c r="AB41" s="316">
        <f>-'5C1AE_Noble Minds'!$AS41</f>
        <v>0</v>
      </c>
      <c r="AC41" s="316">
        <f>-'5C1AF_JCFA-Laf'!$AS41</f>
        <v>0</v>
      </c>
      <c r="AD41" s="316">
        <f>-'5C1AG_Collegiate'!$AS41</f>
        <v>0</v>
      </c>
      <c r="AE41" s="316">
        <f>-'5C1AH_BRUP'!$AS41</f>
        <v>0</v>
      </c>
      <c r="AF41" s="586">
        <f>-'5C1AI_Harmony'!$AS41</f>
        <v>0</v>
      </c>
      <c r="AG41" s="586">
        <f>-'5C1AJ_Athlos'!$AS41</f>
        <v>0</v>
      </c>
      <c r="AH41" s="781">
        <f>-'5C1AK_NxtGen'!$AS41</f>
        <v>0</v>
      </c>
      <c r="AI41" s="781">
        <f>-'5C1AL_Red River'!$AS41</f>
        <v>0</v>
      </c>
      <c r="AJ41" s="316">
        <f>-'5C2_LAVCA'!AT41</f>
        <v>-8446</v>
      </c>
      <c r="AK41" s="316">
        <f>-'5C3_UnvView'!AT41</f>
        <v>-3735</v>
      </c>
      <c r="AL41" s="317">
        <f t="shared" si="7"/>
        <v>-12181</v>
      </c>
      <c r="AM41" s="318">
        <f t="shared" si="8"/>
        <v>2458480</v>
      </c>
      <c r="AN41" s="316"/>
      <c r="AO41" s="316"/>
      <c r="AP41" s="316">
        <f>-'5C1A_Madison'!AX41</f>
        <v>0</v>
      </c>
      <c r="AQ41" s="316">
        <f>-'5C1B_DArbonne'!AX41</f>
        <v>0</v>
      </c>
      <c r="AR41" s="316">
        <f>-'5C1C_Intl High'!AX41</f>
        <v>0</v>
      </c>
      <c r="AS41" s="316">
        <f>-'5C1D_NOMMA'!AX41</f>
        <v>0</v>
      </c>
      <c r="AT41" s="316">
        <f>-'5C1E_LFNO'!AX41</f>
        <v>0</v>
      </c>
      <c r="AU41" s="316">
        <f>-'5C1F_L.C. Charter'!AX41</f>
        <v>0</v>
      </c>
      <c r="AV41" s="316">
        <f>-'5C1G_JS Clark'!AX41</f>
        <v>0</v>
      </c>
      <c r="AW41" s="316">
        <f>-'5C1H_Southwest'!AX41</f>
        <v>0</v>
      </c>
      <c r="AX41" s="316">
        <f>-'5C1I_LA Key'!AX41</f>
        <v>0</v>
      </c>
      <c r="AY41" s="316">
        <f>-'5C1J_JCFA-East'!AX41</f>
        <v>0</v>
      </c>
      <c r="AZ41" s="316">
        <f>-'5C1M_GEO Mid'!AX41</f>
        <v>0</v>
      </c>
      <c r="BA41" s="316">
        <f>-'5C1N_Delta'!AX41</f>
        <v>0</v>
      </c>
      <c r="BB41" s="316">
        <f>-'5C1O_Impact'!AX41</f>
        <v>0</v>
      </c>
      <c r="BC41" s="316">
        <f>-'5C1Q_Advantage'!AX41</f>
        <v>0</v>
      </c>
      <c r="BD41" s="316">
        <f>-'5C1R_Iberville'!AX41</f>
        <v>0</v>
      </c>
      <c r="BE41" s="316">
        <f>-'5C1S_LC Col Prep'!AX41</f>
        <v>0</v>
      </c>
      <c r="BF41" s="316">
        <f>-'5C1T_Northeast'!AX41</f>
        <v>0</v>
      </c>
      <c r="BG41" s="316">
        <f>-'5C1U_Acadiana Ren'!AX41</f>
        <v>0</v>
      </c>
      <c r="BH41" s="316">
        <f>-'5C1V_Laf Ren'!AX41</f>
        <v>0</v>
      </c>
      <c r="BI41" s="316">
        <f>-'5C1W_Willow'!AX41</f>
        <v>0</v>
      </c>
      <c r="BJ41" s="316">
        <f>-'5C1Y_GEO'!AX41</f>
        <v>0</v>
      </c>
      <c r="BK41" s="316">
        <f>-'5C1Z_Lincoln Prep'!AX41</f>
        <v>0</v>
      </c>
      <c r="BL41" s="316">
        <f>-'5C1AE_Noble Minds'!AX41</f>
        <v>0</v>
      </c>
      <c r="BM41" s="316">
        <f>-'5C1AF_JCFA-Laf'!AX41</f>
        <v>0</v>
      </c>
      <c r="BN41" s="316">
        <f>-'5C1AG_Collegiate'!AX41</f>
        <v>0</v>
      </c>
      <c r="BO41" s="316">
        <f>-'5C1AH_BRUP'!AX41</f>
        <v>0</v>
      </c>
      <c r="BP41" s="586">
        <f>-'5C1AI_Harmony'!$AX41</f>
        <v>0</v>
      </c>
      <c r="BQ41" s="586">
        <f>-'5C1AJ_Athlos'!$AX41</f>
        <v>0</v>
      </c>
      <c r="BR41" s="781">
        <f>-'5C1AK_NxtGen'!$AX41</f>
        <v>0</v>
      </c>
      <c r="BS41" s="781">
        <f>-'5C1AL_Red River'!$AX41</f>
        <v>0</v>
      </c>
      <c r="BT41" s="316">
        <f>-'5C2_LAVCA'!AY41</f>
        <v>-66</v>
      </c>
      <c r="BU41" s="316">
        <f>-'5C3_UnvView'!AY41</f>
        <v>-13</v>
      </c>
      <c r="BV41" s="316">
        <f t="shared" si="9"/>
        <v>-79</v>
      </c>
      <c r="BW41" s="318">
        <f t="shared" si="10"/>
        <v>2458401</v>
      </c>
    </row>
    <row r="42" spans="1:75" s="8" customFormat="1" ht="15.75" customHeight="1" x14ac:dyDescent="0.2">
      <c r="A42" s="324">
        <v>36</v>
      </c>
      <c r="B42" s="282" t="s">
        <v>39</v>
      </c>
      <c r="C42" s="62">
        <f>'2_State Distrib and Adjs'!BB42</f>
        <v>15958463</v>
      </c>
      <c r="D42" s="62">
        <f>-'5A3_OJJ'!S42</f>
        <v>-11630</v>
      </c>
      <c r="E42" s="62"/>
      <c r="F42" s="62">
        <f>-'5C1A_Madison'!AS42</f>
        <v>0</v>
      </c>
      <c r="G42" s="62">
        <f>-'5C1B_DArbonne'!AS42</f>
        <v>0</v>
      </c>
      <c r="H42" s="62">
        <f>-'5C1C_Intl High'!AS42</f>
        <v>-144855</v>
      </c>
      <c r="I42" s="62">
        <f>-'5C1D_NOMMA'!AS42</f>
        <v>-144508</v>
      </c>
      <c r="J42" s="62">
        <f>-'5C1E_LFNO'!AS42</f>
        <v>-377159</v>
      </c>
      <c r="K42" s="62">
        <f>-'5C1F_L.C. Charter'!AS42</f>
        <v>0</v>
      </c>
      <c r="L42" s="62">
        <f>-'5C1G_JS Clark'!AS42</f>
        <v>0</v>
      </c>
      <c r="M42" s="62">
        <f>-'5C1H_Southwest'!AS42</f>
        <v>1087</v>
      </c>
      <c r="N42" s="62">
        <f>-'5C1I_LA Key'!AS42</f>
        <v>-823</v>
      </c>
      <c r="O42" s="62">
        <f>-'5C1J_JCFA-East'!AS42</f>
        <v>924</v>
      </c>
      <c r="P42" s="62">
        <f>-'5C1M_GEO Mid'!AS42</f>
        <v>0</v>
      </c>
      <c r="Q42" s="62">
        <f>-'5C1N_Delta'!AS42</f>
        <v>0</v>
      </c>
      <c r="R42" s="62">
        <f>-'5C1O_Impact'!AS42</f>
        <v>0</v>
      </c>
      <c r="S42" s="62">
        <f>-'5C1Q_Advantage'!AS42</f>
        <v>0</v>
      </c>
      <c r="T42" s="62">
        <f>-'5C1R_Iberville'!AS42</f>
        <v>-2208</v>
      </c>
      <c r="U42" s="62">
        <f>-'5C1S_LC Col Prep'!AS42</f>
        <v>0</v>
      </c>
      <c r="V42" s="62">
        <f>-'5C1T_Northeast'!AS42</f>
        <v>0</v>
      </c>
      <c r="W42" s="62">
        <f>-'5C1U_Acadiana Ren'!AS42</f>
        <v>0</v>
      </c>
      <c r="X42" s="62">
        <f>-'5C1V_Laf Ren'!AS42</f>
        <v>0</v>
      </c>
      <c r="Y42" s="62">
        <f>-'5C1W_Willow'!AS42</f>
        <v>0</v>
      </c>
      <c r="Z42" s="62">
        <f>-'5C1Y_GEO'!AS42</f>
        <v>0</v>
      </c>
      <c r="AA42" s="62">
        <f>-'5C1Z_Lincoln Prep'!AS42</f>
        <v>0</v>
      </c>
      <c r="AB42" s="62">
        <f>-'5C1AE_Noble Minds'!$AS42</f>
        <v>-61155</v>
      </c>
      <c r="AC42" s="62">
        <f>-'5C1AF_JCFA-Laf'!$AS42</f>
        <v>0</v>
      </c>
      <c r="AD42" s="62">
        <f>-'5C1AG_Collegiate'!$AS42</f>
        <v>0</v>
      </c>
      <c r="AE42" s="62">
        <f>-'5C1AH_BRUP'!$AS42</f>
        <v>0</v>
      </c>
      <c r="AF42" s="62">
        <f>-'5C1AI_Harmony'!$AS42</f>
        <v>-121707</v>
      </c>
      <c r="AG42" s="62">
        <f>-'5C1AJ_Athlos'!$AS42</f>
        <v>-88811</v>
      </c>
      <c r="AH42" s="62">
        <f>-'5C1AK_NxtGen'!$AS42</f>
        <v>0</v>
      </c>
      <c r="AI42" s="62">
        <f>-'5C1AL_Red River'!$AS42</f>
        <v>0</v>
      </c>
      <c r="AJ42" s="62">
        <f>-'5C2_LAVCA'!AT42</f>
        <v>-42002</v>
      </c>
      <c r="AK42" s="62">
        <f>-'5C3_UnvView'!AT42</f>
        <v>-46344</v>
      </c>
      <c r="AL42" s="326">
        <f t="shared" si="7"/>
        <v>-1039191</v>
      </c>
      <c r="AM42" s="327">
        <f t="shared" si="8"/>
        <v>14919272</v>
      </c>
      <c r="AN42" s="62"/>
      <c r="AO42" s="62"/>
      <c r="AP42" s="62">
        <f>-'5C1A_Madison'!AX42</f>
        <v>0</v>
      </c>
      <c r="AQ42" s="62">
        <f>-'5C1B_DArbonne'!AX42</f>
        <v>0</v>
      </c>
      <c r="AR42" s="62">
        <f>-'5C1C_Intl High'!AX42</f>
        <v>547</v>
      </c>
      <c r="AS42" s="62">
        <f>-'5C1D_NOMMA'!AX42</f>
        <v>-233</v>
      </c>
      <c r="AT42" s="62">
        <f>-'5C1E_LFNO'!AX42</f>
        <v>-787</v>
      </c>
      <c r="AU42" s="62">
        <f>-'5C1F_L.C. Charter'!AX42</f>
        <v>0</v>
      </c>
      <c r="AV42" s="62">
        <f>-'5C1G_JS Clark'!AX42</f>
        <v>0</v>
      </c>
      <c r="AW42" s="62">
        <f>-'5C1H_Southwest'!AX42</f>
        <v>33</v>
      </c>
      <c r="AX42" s="62">
        <f>-'5C1I_LA Key'!AX42</f>
        <v>-8</v>
      </c>
      <c r="AY42" s="62">
        <f>-'5C1J_JCFA-East'!AX42</f>
        <v>341</v>
      </c>
      <c r="AZ42" s="62">
        <f>-'5C1M_GEO Mid'!AX42</f>
        <v>0</v>
      </c>
      <c r="BA42" s="62">
        <f>-'5C1N_Delta'!AX42</f>
        <v>0</v>
      </c>
      <c r="BB42" s="62">
        <f>-'5C1O_Impact'!AX42</f>
        <v>0</v>
      </c>
      <c r="BC42" s="62">
        <f>-'5C1Q_Advantage'!AX42</f>
        <v>0</v>
      </c>
      <c r="BD42" s="62">
        <f>-'5C1R_Iberville'!AX42</f>
        <v>-1</v>
      </c>
      <c r="BE42" s="62">
        <f>-'5C1S_LC Col Prep'!AX42</f>
        <v>0</v>
      </c>
      <c r="BF42" s="62">
        <f>-'5C1T_Northeast'!AX42</f>
        <v>0</v>
      </c>
      <c r="BG42" s="62">
        <f>-'5C1U_Acadiana Ren'!AX42</f>
        <v>0</v>
      </c>
      <c r="BH42" s="62">
        <f>-'5C1V_Laf Ren'!AX42</f>
        <v>0</v>
      </c>
      <c r="BI42" s="62">
        <f>-'5C1W_Willow'!AX42</f>
        <v>0</v>
      </c>
      <c r="BJ42" s="62">
        <f>-'5C1Y_GEO'!AX42</f>
        <v>0</v>
      </c>
      <c r="BK42" s="62">
        <f>-'5C1Z_Lincoln Prep'!AX42</f>
        <v>0</v>
      </c>
      <c r="BL42" s="62">
        <f>-'5C1AE_Noble Minds'!AX42</f>
        <v>-277</v>
      </c>
      <c r="BM42" s="62">
        <f>-'5C1AF_JCFA-Laf'!AX42</f>
        <v>0</v>
      </c>
      <c r="BN42" s="62">
        <f>-'5C1AG_Collegiate'!AX42</f>
        <v>0</v>
      </c>
      <c r="BO42" s="62">
        <f>-'5C1AH_BRUP'!AX42</f>
        <v>0</v>
      </c>
      <c r="BP42" s="62">
        <f>-'5C1AI_Harmony'!$AX42</f>
        <v>-1094</v>
      </c>
      <c r="BQ42" s="62">
        <f>-'5C1AJ_Athlos'!$AX42</f>
        <v>-631</v>
      </c>
      <c r="BR42" s="62">
        <f>-'5C1AK_NxtGen'!$AX42</f>
        <v>0</v>
      </c>
      <c r="BS42" s="62">
        <f>-'5C1AL_Red River'!$AX42</f>
        <v>0</v>
      </c>
      <c r="BT42" s="62">
        <f>-'5C2_LAVCA'!AY42</f>
        <v>70</v>
      </c>
      <c r="BU42" s="62">
        <f>-'5C3_UnvView'!AY42</f>
        <v>-209</v>
      </c>
      <c r="BV42" s="62">
        <f t="shared" si="9"/>
        <v>-2249</v>
      </c>
      <c r="BW42" s="327">
        <f t="shared" si="10"/>
        <v>14917023</v>
      </c>
    </row>
    <row r="43" spans="1:75" s="8" customFormat="1" ht="15.75" customHeight="1" x14ac:dyDescent="0.2">
      <c r="A43" s="324">
        <v>37</v>
      </c>
      <c r="B43" s="325" t="s">
        <v>40</v>
      </c>
      <c r="C43" s="62">
        <f>'2_State Distrib and Adjs'!BB43</f>
        <v>9707097</v>
      </c>
      <c r="D43" s="62">
        <f>-'5A3_OJJ'!S43</f>
        <v>-1574</v>
      </c>
      <c r="E43" s="62"/>
      <c r="F43" s="62">
        <f>-'5C1A_Madison'!AS43</f>
        <v>0</v>
      </c>
      <c r="G43" s="62">
        <f>-'5C1B_DArbonne'!AS43</f>
        <v>-828</v>
      </c>
      <c r="H43" s="62">
        <f>-'5C1C_Intl High'!AS43</f>
        <v>0</v>
      </c>
      <c r="I43" s="62">
        <f>-'5C1D_NOMMA'!AS43</f>
        <v>0</v>
      </c>
      <c r="J43" s="62">
        <f>-'5C1E_LFNO'!AS43</f>
        <v>0</v>
      </c>
      <c r="K43" s="62">
        <f>-'5C1F_L.C. Charter'!AS43</f>
        <v>0</v>
      </c>
      <c r="L43" s="62">
        <f>-'5C1G_JS Clark'!AS43</f>
        <v>0</v>
      </c>
      <c r="M43" s="62">
        <f>-'5C1H_Southwest'!AS43</f>
        <v>0</v>
      </c>
      <c r="N43" s="62">
        <f>-'5C1I_LA Key'!AS43</f>
        <v>0</v>
      </c>
      <c r="O43" s="62">
        <f>-'5C1J_JCFA-East'!AS43</f>
        <v>-718</v>
      </c>
      <c r="P43" s="62">
        <f>-'5C1M_GEO Mid'!AS43</f>
        <v>0</v>
      </c>
      <c r="Q43" s="62">
        <f>-'5C1N_Delta'!AS43</f>
        <v>-588</v>
      </c>
      <c r="R43" s="62">
        <f>-'5C1O_Impact'!AS43</f>
        <v>-100</v>
      </c>
      <c r="S43" s="62">
        <f>-'5C1Q_Advantage'!AS43</f>
        <v>0</v>
      </c>
      <c r="T43" s="62">
        <f>-'5C1R_Iberville'!AS43</f>
        <v>0</v>
      </c>
      <c r="U43" s="62">
        <f>-'5C1S_LC Col Prep'!AS43</f>
        <v>0</v>
      </c>
      <c r="V43" s="62">
        <f>-'5C1T_Northeast'!AS43</f>
        <v>0</v>
      </c>
      <c r="W43" s="62">
        <f>-'5C1U_Acadiana Ren'!AS43</f>
        <v>0</v>
      </c>
      <c r="X43" s="62">
        <f>-'5C1V_Laf Ren'!AS43</f>
        <v>0</v>
      </c>
      <c r="Y43" s="62">
        <f>-'5C1W_Willow'!AS43</f>
        <v>0</v>
      </c>
      <c r="Z43" s="62">
        <f>-'5C1Y_GEO'!AS43</f>
        <v>0</v>
      </c>
      <c r="AA43" s="62">
        <f>-'5C1Z_Lincoln Prep'!AS43</f>
        <v>-3804</v>
      </c>
      <c r="AB43" s="62">
        <f>-'5C1AE_Noble Minds'!$AS43</f>
        <v>0</v>
      </c>
      <c r="AC43" s="62">
        <f>-'5C1AF_JCFA-Laf'!$AS43</f>
        <v>0</v>
      </c>
      <c r="AD43" s="62">
        <f>-'5C1AG_Collegiate'!$AS43</f>
        <v>0</v>
      </c>
      <c r="AE43" s="62">
        <f>-'5C1AH_BRUP'!$AS43</f>
        <v>0</v>
      </c>
      <c r="AF43" s="62">
        <f>-'5C1AI_Harmony'!$AS43</f>
        <v>0</v>
      </c>
      <c r="AG43" s="62">
        <f>-'5C1AJ_Athlos'!$AS43</f>
        <v>0</v>
      </c>
      <c r="AH43" s="62">
        <f>-'5C1AK_NxtGen'!$AS43</f>
        <v>0</v>
      </c>
      <c r="AI43" s="62">
        <f>-'5C1AL_Red River'!$AS43</f>
        <v>0</v>
      </c>
      <c r="AJ43" s="62">
        <f>-'5C2_LAVCA'!AT43</f>
        <v>-25282</v>
      </c>
      <c r="AK43" s="62">
        <f>-'5C3_UnvView'!AT43</f>
        <v>-38084</v>
      </c>
      <c r="AL43" s="326">
        <f t="shared" si="7"/>
        <v>-70978</v>
      </c>
      <c r="AM43" s="327">
        <f t="shared" si="8"/>
        <v>9636119</v>
      </c>
      <c r="AN43" s="62"/>
      <c r="AO43" s="62"/>
      <c r="AP43" s="62">
        <f>-'5C1A_Madison'!AX43</f>
        <v>0</v>
      </c>
      <c r="AQ43" s="62">
        <f>-'5C1B_DArbonne'!AX43</f>
        <v>51</v>
      </c>
      <c r="AR43" s="62">
        <f>-'5C1C_Intl High'!AX43</f>
        <v>0</v>
      </c>
      <c r="AS43" s="62">
        <f>-'5C1D_NOMMA'!AX43</f>
        <v>0</v>
      </c>
      <c r="AT43" s="62">
        <f>-'5C1E_LFNO'!AX43</f>
        <v>0</v>
      </c>
      <c r="AU43" s="62">
        <f>-'5C1F_L.C. Charter'!AX43</f>
        <v>0</v>
      </c>
      <c r="AV43" s="62">
        <f>-'5C1G_JS Clark'!AX43</f>
        <v>0</v>
      </c>
      <c r="AW43" s="62">
        <f>-'5C1H_Southwest'!AX43</f>
        <v>0</v>
      </c>
      <c r="AX43" s="62">
        <f>-'5C1I_LA Key'!AX43</f>
        <v>0</v>
      </c>
      <c r="AY43" s="62">
        <f>-'5C1J_JCFA-East'!AX43</f>
        <v>-11</v>
      </c>
      <c r="AZ43" s="62">
        <f>-'5C1M_GEO Mid'!AX43</f>
        <v>0</v>
      </c>
      <c r="BA43" s="62">
        <f>-'5C1N_Delta'!AX43</f>
        <v>-7</v>
      </c>
      <c r="BB43" s="62">
        <f>-'5C1O_Impact'!AX43</f>
        <v>8</v>
      </c>
      <c r="BC43" s="62">
        <f>-'5C1Q_Advantage'!AX43</f>
        <v>0</v>
      </c>
      <c r="BD43" s="62">
        <f>-'5C1R_Iberville'!AX43</f>
        <v>0</v>
      </c>
      <c r="BE43" s="62">
        <f>-'5C1S_LC Col Prep'!AX43</f>
        <v>0</v>
      </c>
      <c r="BF43" s="62">
        <f>-'5C1T_Northeast'!AX43</f>
        <v>0</v>
      </c>
      <c r="BG43" s="62">
        <f>-'5C1U_Acadiana Ren'!AX43</f>
        <v>0</v>
      </c>
      <c r="BH43" s="62">
        <f>-'5C1V_Laf Ren'!AX43</f>
        <v>0</v>
      </c>
      <c r="BI43" s="62">
        <f>-'5C1W_Willow'!AX43</f>
        <v>0</v>
      </c>
      <c r="BJ43" s="62">
        <f>-'5C1Y_GEO'!AX43</f>
        <v>0</v>
      </c>
      <c r="BK43" s="62">
        <f>-'5C1Z_Lincoln Prep'!AX43</f>
        <v>-37</v>
      </c>
      <c r="BL43" s="62">
        <f>-'5C1AE_Noble Minds'!AX43</f>
        <v>0</v>
      </c>
      <c r="BM43" s="62">
        <f>-'5C1AF_JCFA-Laf'!AX43</f>
        <v>0</v>
      </c>
      <c r="BN43" s="62">
        <f>-'5C1AG_Collegiate'!AX43</f>
        <v>0</v>
      </c>
      <c r="BO43" s="62">
        <f>-'5C1AH_BRUP'!AX43</f>
        <v>0</v>
      </c>
      <c r="BP43" s="62">
        <f>-'5C1AI_Harmony'!$AX43</f>
        <v>0</v>
      </c>
      <c r="BQ43" s="62">
        <f>-'5C1AJ_Athlos'!$AX43</f>
        <v>0</v>
      </c>
      <c r="BR43" s="62">
        <f>-'5C1AK_NxtGen'!$AX43</f>
        <v>0</v>
      </c>
      <c r="BS43" s="62">
        <f>-'5C1AL_Red River'!$AX43</f>
        <v>0</v>
      </c>
      <c r="BT43" s="62">
        <f>-'5C2_LAVCA'!AY43</f>
        <v>-143</v>
      </c>
      <c r="BU43" s="62">
        <f>-'5C3_UnvView'!AY43</f>
        <v>-281</v>
      </c>
      <c r="BV43" s="62">
        <f t="shared" si="9"/>
        <v>-420</v>
      </c>
      <c r="BW43" s="327">
        <f t="shared" si="10"/>
        <v>9635699</v>
      </c>
    </row>
    <row r="44" spans="1:75" s="8" customFormat="1" ht="15.75" customHeight="1" x14ac:dyDescent="0.2">
      <c r="A44" s="324">
        <v>38</v>
      </c>
      <c r="B44" s="325" t="s">
        <v>41</v>
      </c>
      <c r="C44" s="62">
        <f>'2_State Distrib and Adjs'!BB44</f>
        <v>937608</v>
      </c>
      <c r="D44" s="62">
        <f>-'5A3_OJJ'!S44</f>
        <v>0</v>
      </c>
      <c r="E44" s="62"/>
      <c r="F44" s="62">
        <f>-'5C1A_Madison'!AS44</f>
        <v>0</v>
      </c>
      <c r="G44" s="62">
        <f>-'5C1B_DArbonne'!AS44</f>
        <v>0</v>
      </c>
      <c r="H44" s="62">
        <f>-'5C1C_Intl High'!AS44</f>
        <v>0</v>
      </c>
      <c r="I44" s="62">
        <f>-'5C1D_NOMMA'!AS44</f>
        <v>-13350</v>
      </c>
      <c r="J44" s="62">
        <f>-'5C1E_LFNO'!AS44</f>
        <v>-2854</v>
      </c>
      <c r="K44" s="62">
        <f>-'5C1F_L.C. Charter'!AS44</f>
        <v>0</v>
      </c>
      <c r="L44" s="62">
        <f>-'5C1G_JS Clark'!AS44</f>
        <v>0</v>
      </c>
      <c r="M44" s="62">
        <f>-'5C1H_Southwest'!AS44</f>
        <v>0</v>
      </c>
      <c r="N44" s="62">
        <f>-'5C1I_LA Key'!AS44</f>
        <v>0</v>
      </c>
      <c r="O44" s="62">
        <f>-'5C1J_JCFA-East'!AS44</f>
        <v>-1838</v>
      </c>
      <c r="P44" s="62">
        <f>-'5C1M_GEO Mid'!AS44</f>
        <v>0</v>
      </c>
      <c r="Q44" s="62">
        <f>-'5C1N_Delta'!AS44</f>
        <v>0</v>
      </c>
      <c r="R44" s="62">
        <f>-'5C1O_Impact'!AS44</f>
        <v>0</v>
      </c>
      <c r="S44" s="62">
        <f>-'5C1Q_Advantage'!AS44</f>
        <v>0</v>
      </c>
      <c r="T44" s="62">
        <f>-'5C1R_Iberville'!AS44</f>
        <v>0</v>
      </c>
      <c r="U44" s="62">
        <f>-'5C1S_LC Col Prep'!AS44</f>
        <v>0</v>
      </c>
      <c r="V44" s="62">
        <f>-'5C1T_Northeast'!AS44</f>
        <v>0</v>
      </c>
      <c r="W44" s="62">
        <f>-'5C1U_Acadiana Ren'!AS44</f>
        <v>0</v>
      </c>
      <c r="X44" s="62">
        <f>-'5C1V_Laf Ren'!AS44</f>
        <v>0</v>
      </c>
      <c r="Y44" s="62">
        <f>-'5C1W_Willow'!AS44</f>
        <v>0</v>
      </c>
      <c r="Z44" s="62">
        <f>-'5C1Y_GEO'!AS44</f>
        <v>0</v>
      </c>
      <c r="AA44" s="62">
        <f>-'5C1Z_Lincoln Prep'!AS44</f>
        <v>0</v>
      </c>
      <c r="AB44" s="62">
        <f>-'5C1AE_Noble Minds'!$AS44</f>
        <v>0</v>
      </c>
      <c r="AC44" s="62">
        <f>-'5C1AF_JCFA-Laf'!$AS44</f>
        <v>0</v>
      </c>
      <c r="AD44" s="62">
        <f>-'5C1AG_Collegiate'!$AS44</f>
        <v>0</v>
      </c>
      <c r="AE44" s="62">
        <f>-'5C1AH_BRUP'!$AS44</f>
        <v>0</v>
      </c>
      <c r="AF44" s="62">
        <f>-'5C1AI_Harmony'!$AS44</f>
        <v>-1515</v>
      </c>
      <c r="AG44" s="62">
        <f>-'5C1AJ_Athlos'!$AS44</f>
        <v>-10008</v>
      </c>
      <c r="AH44" s="62">
        <f>-'5C1AK_NxtGen'!$AS44</f>
        <v>0</v>
      </c>
      <c r="AI44" s="62">
        <f>-'5C1AL_Red River'!$AS44</f>
        <v>0</v>
      </c>
      <c r="AJ44" s="62">
        <f>-'5C2_LAVCA'!AT44</f>
        <v>-8672</v>
      </c>
      <c r="AK44" s="62">
        <f>-'5C3_UnvView'!AT44</f>
        <v>-14417</v>
      </c>
      <c r="AL44" s="326">
        <f t="shared" si="7"/>
        <v>-52654</v>
      </c>
      <c r="AM44" s="327">
        <f t="shared" si="8"/>
        <v>884954</v>
      </c>
      <c r="AN44" s="62"/>
      <c r="AO44" s="62"/>
      <c r="AP44" s="62">
        <f>-'5C1A_Madison'!AX44</f>
        <v>0</v>
      </c>
      <c r="AQ44" s="62">
        <f>-'5C1B_DArbonne'!AX44</f>
        <v>0</v>
      </c>
      <c r="AR44" s="62">
        <f>-'5C1C_Intl High'!AX44</f>
        <v>0</v>
      </c>
      <c r="AS44" s="62">
        <f>-'5C1D_NOMMA'!AX44</f>
        <v>13</v>
      </c>
      <c r="AT44" s="62">
        <f>-'5C1E_LFNO'!AX44</f>
        <v>35</v>
      </c>
      <c r="AU44" s="62">
        <f>-'5C1F_L.C. Charter'!AX44</f>
        <v>0</v>
      </c>
      <c r="AV44" s="62">
        <f>-'5C1G_JS Clark'!AX44</f>
        <v>0</v>
      </c>
      <c r="AW44" s="62">
        <f>-'5C1H_Southwest'!AX44</f>
        <v>0</v>
      </c>
      <c r="AX44" s="62">
        <f>-'5C1I_LA Key'!AX44</f>
        <v>0</v>
      </c>
      <c r="AY44" s="62">
        <f>-'5C1J_JCFA-East'!AX44</f>
        <v>-28</v>
      </c>
      <c r="AZ44" s="62">
        <f>-'5C1M_GEO Mid'!AX44</f>
        <v>0</v>
      </c>
      <c r="BA44" s="62">
        <f>-'5C1N_Delta'!AX44</f>
        <v>0</v>
      </c>
      <c r="BB44" s="62">
        <f>-'5C1O_Impact'!AX44</f>
        <v>0</v>
      </c>
      <c r="BC44" s="62">
        <f>-'5C1Q_Advantage'!AX44</f>
        <v>0</v>
      </c>
      <c r="BD44" s="62">
        <f>-'5C1R_Iberville'!AX44</f>
        <v>0</v>
      </c>
      <c r="BE44" s="62">
        <f>-'5C1S_LC Col Prep'!AX44</f>
        <v>0</v>
      </c>
      <c r="BF44" s="62">
        <f>-'5C1T_Northeast'!AX44</f>
        <v>0</v>
      </c>
      <c r="BG44" s="62">
        <f>-'5C1U_Acadiana Ren'!AX44</f>
        <v>0</v>
      </c>
      <c r="BH44" s="62">
        <f>-'5C1V_Laf Ren'!AX44</f>
        <v>0</v>
      </c>
      <c r="BI44" s="62">
        <f>-'5C1W_Willow'!AX44</f>
        <v>0</v>
      </c>
      <c r="BJ44" s="62">
        <f>-'5C1Y_GEO'!AX44</f>
        <v>0</v>
      </c>
      <c r="BK44" s="62">
        <f>-'5C1Z_Lincoln Prep'!AX44</f>
        <v>0</v>
      </c>
      <c r="BL44" s="62">
        <f>-'5C1AE_Noble Minds'!AX44</f>
        <v>0</v>
      </c>
      <c r="BM44" s="62">
        <f>-'5C1AF_JCFA-Laf'!AX44</f>
        <v>0</v>
      </c>
      <c r="BN44" s="62">
        <f>-'5C1AG_Collegiate'!AX44</f>
        <v>0</v>
      </c>
      <c r="BO44" s="62">
        <f>-'5C1AH_BRUP'!AX44</f>
        <v>0</v>
      </c>
      <c r="BP44" s="62">
        <f>-'5C1AI_Harmony'!$AX44</f>
        <v>-17</v>
      </c>
      <c r="BQ44" s="62">
        <f>-'5C1AJ_Athlos'!$AX44</f>
        <v>-80</v>
      </c>
      <c r="BR44" s="62">
        <f>-'5C1AK_NxtGen'!$AX44</f>
        <v>0</v>
      </c>
      <c r="BS44" s="62">
        <f>-'5C1AL_Red River'!$AX44</f>
        <v>0</v>
      </c>
      <c r="BT44" s="62">
        <f>-'5C2_LAVCA'!AY44</f>
        <v>-37</v>
      </c>
      <c r="BU44" s="62">
        <f>-'5C3_UnvView'!AY44</f>
        <v>-86</v>
      </c>
      <c r="BV44" s="62">
        <f t="shared" si="9"/>
        <v>-200</v>
      </c>
      <c r="BW44" s="327">
        <f t="shared" si="10"/>
        <v>884754</v>
      </c>
    </row>
    <row r="45" spans="1:75" s="8" customFormat="1" ht="15.75" customHeight="1" x14ac:dyDescent="0.2">
      <c r="A45" s="324">
        <v>39</v>
      </c>
      <c r="B45" s="325" t="s">
        <v>42</v>
      </c>
      <c r="C45" s="62">
        <f>'2_State Distrib and Adjs'!BB45</f>
        <v>793532</v>
      </c>
      <c r="D45" s="62">
        <f>-'5A3_OJJ'!S45</f>
        <v>-912</v>
      </c>
      <c r="E45" s="62"/>
      <c r="F45" s="62">
        <f>-'5C1A_Madison'!AS45</f>
        <v>0</v>
      </c>
      <c r="G45" s="62">
        <f>-'5C1B_DArbonne'!AS45</f>
        <v>0</v>
      </c>
      <c r="H45" s="62">
        <f>-'5C1C_Intl High'!AS45</f>
        <v>0</v>
      </c>
      <c r="I45" s="62">
        <f>-'5C1D_NOMMA'!AS45</f>
        <v>0</v>
      </c>
      <c r="J45" s="62">
        <f>-'5C1E_LFNO'!AS45</f>
        <v>0</v>
      </c>
      <c r="K45" s="62">
        <f>-'5C1F_L.C. Charter'!AS45</f>
        <v>0</v>
      </c>
      <c r="L45" s="62">
        <f>-'5C1G_JS Clark'!AS45</f>
        <v>0</v>
      </c>
      <c r="M45" s="62">
        <f>-'5C1H_Southwest'!AS45</f>
        <v>0</v>
      </c>
      <c r="N45" s="62">
        <f>-'5C1I_LA Key'!AS45</f>
        <v>-3933</v>
      </c>
      <c r="O45" s="62">
        <f>-'5C1J_JCFA-East'!AS45</f>
        <v>0</v>
      </c>
      <c r="P45" s="62">
        <f>-'5C1M_GEO Mid'!AS45</f>
        <v>0</v>
      </c>
      <c r="Q45" s="62">
        <f>-'5C1N_Delta'!AS45</f>
        <v>0</v>
      </c>
      <c r="R45" s="62">
        <f>-'5C1O_Impact'!AS45</f>
        <v>0</v>
      </c>
      <c r="S45" s="62">
        <f>-'5C1Q_Advantage'!AS45</f>
        <v>-1987</v>
      </c>
      <c r="T45" s="62">
        <f>-'5C1R_Iberville'!AS45</f>
        <v>0</v>
      </c>
      <c r="U45" s="62">
        <f>-'5C1S_LC Col Prep'!AS45</f>
        <v>0</v>
      </c>
      <c r="V45" s="62">
        <f>-'5C1T_Northeast'!AS45</f>
        <v>0</v>
      </c>
      <c r="W45" s="62">
        <f>-'5C1U_Acadiana Ren'!AS45</f>
        <v>0</v>
      </c>
      <c r="X45" s="62">
        <f>-'5C1V_Laf Ren'!AS45</f>
        <v>0</v>
      </c>
      <c r="Y45" s="62">
        <f>-'5C1W_Willow'!AS45</f>
        <v>0</v>
      </c>
      <c r="Z45" s="62">
        <f>-'5C1Y_GEO'!AS45</f>
        <v>0</v>
      </c>
      <c r="AA45" s="62">
        <f>-'5C1Z_Lincoln Prep'!AS45</f>
        <v>0</v>
      </c>
      <c r="AB45" s="62">
        <f>-'5C1AE_Noble Minds'!$AS45</f>
        <v>0</v>
      </c>
      <c r="AC45" s="62">
        <f>-'5C1AF_JCFA-Laf'!$AS45</f>
        <v>0</v>
      </c>
      <c r="AD45" s="62">
        <f>-'5C1AG_Collegiate'!$AS45</f>
        <v>0</v>
      </c>
      <c r="AE45" s="62">
        <f>-'5C1AH_BRUP'!$AS45</f>
        <v>0</v>
      </c>
      <c r="AF45" s="62">
        <f>-'5C1AI_Harmony'!$AS45</f>
        <v>0</v>
      </c>
      <c r="AG45" s="62">
        <f>-'5C1AJ_Athlos'!$AS45</f>
        <v>0</v>
      </c>
      <c r="AH45" s="62">
        <f>-'5C1AK_NxtGen'!$AS45</f>
        <v>0</v>
      </c>
      <c r="AI45" s="62">
        <f>-'5C1AL_Red River'!$AS45</f>
        <v>0</v>
      </c>
      <c r="AJ45" s="62">
        <f>-'5C2_LAVCA'!AT45</f>
        <v>-4935</v>
      </c>
      <c r="AK45" s="62">
        <f>-'5C3_UnvView'!AT45</f>
        <v>-11835</v>
      </c>
      <c r="AL45" s="326">
        <f t="shared" si="7"/>
        <v>-23602</v>
      </c>
      <c r="AM45" s="327">
        <f t="shared" si="8"/>
        <v>769930</v>
      </c>
      <c r="AN45" s="62"/>
      <c r="AO45" s="62"/>
      <c r="AP45" s="62">
        <f>-'5C1A_Madison'!AX45</f>
        <v>0</v>
      </c>
      <c r="AQ45" s="62">
        <f>-'5C1B_DArbonne'!AX45</f>
        <v>0</v>
      </c>
      <c r="AR45" s="62">
        <f>-'5C1C_Intl High'!AX45</f>
        <v>0</v>
      </c>
      <c r="AS45" s="62">
        <f>-'5C1D_NOMMA'!AX45</f>
        <v>0</v>
      </c>
      <c r="AT45" s="62">
        <f>-'5C1E_LFNO'!AX45</f>
        <v>0</v>
      </c>
      <c r="AU45" s="62">
        <f>-'5C1F_L.C. Charter'!AX45</f>
        <v>0</v>
      </c>
      <c r="AV45" s="62">
        <f>-'5C1G_JS Clark'!AX45</f>
        <v>0</v>
      </c>
      <c r="AW45" s="62">
        <f>-'5C1H_Southwest'!AX45</f>
        <v>0</v>
      </c>
      <c r="AX45" s="62">
        <f>-'5C1I_LA Key'!AX45</f>
        <v>-18</v>
      </c>
      <c r="AY45" s="62">
        <f>-'5C1J_JCFA-East'!AX45</f>
        <v>0</v>
      </c>
      <c r="AZ45" s="62">
        <f>-'5C1M_GEO Mid'!AX45</f>
        <v>0</v>
      </c>
      <c r="BA45" s="62">
        <f>-'5C1N_Delta'!AX45</f>
        <v>0</v>
      </c>
      <c r="BB45" s="62">
        <f>-'5C1O_Impact'!AX45</f>
        <v>0</v>
      </c>
      <c r="BC45" s="62">
        <f>-'5C1Q_Advantage'!AX45</f>
        <v>-2</v>
      </c>
      <c r="BD45" s="62">
        <f>-'5C1R_Iberville'!AX45</f>
        <v>0</v>
      </c>
      <c r="BE45" s="62">
        <f>-'5C1S_LC Col Prep'!AX45</f>
        <v>0</v>
      </c>
      <c r="BF45" s="62">
        <f>-'5C1T_Northeast'!AX45</f>
        <v>0</v>
      </c>
      <c r="BG45" s="62">
        <f>-'5C1U_Acadiana Ren'!AX45</f>
        <v>0</v>
      </c>
      <c r="BH45" s="62">
        <f>-'5C1V_Laf Ren'!AX45</f>
        <v>0</v>
      </c>
      <c r="BI45" s="62">
        <f>-'5C1W_Willow'!AX45</f>
        <v>0</v>
      </c>
      <c r="BJ45" s="62">
        <f>-'5C1Y_GEO'!AX45</f>
        <v>0</v>
      </c>
      <c r="BK45" s="62">
        <f>-'5C1Z_Lincoln Prep'!AX45</f>
        <v>0</v>
      </c>
      <c r="BL45" s="62">
        <f>-'5C1AE_Noble Minds'!AX45</f>
        <v>0</v>
      </c>
      <c r="BM45" s="62">
        <f>-'5C1AF_JCFA-Laf'!AX45</f>
        <v>0</v>
      </c>
      <c r="BN45" s="62">
        <f>-'5C1AG_Collegiate'!AX45</f>
        <v>0</v>
      </c>
      <c r="BO45" s="62">
        <f>-'5C1AH_BRUP'!AX45</f>
        <v>0</v>
      </c>
      <c r="BP45" s="62">
        <f>-'5C1AI_Harmony'!$AX45</f>
        <v>0</v>
      </c>
      <c r="BQ45" s="62">
        <f>-'5C1AJ_Athlos'!$AX45</f>
        <v>0</v>
      </c>
      <c r="BR45" s="62">
        <f>-'5C1AK_NxtGen'!$AX45</f>
        <v>0</v>
      </c>
      <c r="BS45" s="62">
        <f>-'5C1AL_Red River'!$AX45</f>
        <v>0</v>
      </c>
      <c r="BT45" s="62">
        <f>-'5C2_LAVCA'!AY45</f>
        <v>6</v>
      </c>
      <c r="BU45" s="62">
        <f>-'5C3_UnvView'!AY45</f>
        <v>-98</v>
      </c>
      <c r="BV45" s="62">
        <f t="shared" si="9"/>
        <v>-112</v>
      </c>
      <c r="BW45" s="327">
        <f t="shared" si="10"/>
        <v>769818</v>
      </c>
    </row>
    <row r="46" spans="1:75" s="8" customFormat="1" ht="15.75" customHeight="1" x14ac:dyDescent="0.2">
      <c r="A46" s="314">
        <v>40</v>
      </c>
      <c r="B46" s="315" t="s">
        <v>43</v>
      </c>
      <c r="C46" s="316">
        <f>'2_State Distrib and Adjs'!BB46</f>
        <v>10908960</v>
      </c>
      <c r="D46" s="316">
        <f>-'5A3_OJJ'!S46</f>
        <v>-1069</v>
      </c>
      <c r="E46" s="316"/>
      <c r="F46" s="316">
        <f>-'5C1A_Madison'!AS46</f>
        <v>0</v>
      </c>
      <c r="G46" s="316">
        <f>-'5C1B_DArbonne'!AS46</f>
        <v>0</v>
      </c>
      <c r="H46" s="316">
        <f>-'5C1C_Intl High'!AS46</f>
        <v>0</v>
      </c>
      <c r="I46" s="316">
        <f>-'5C1D_NOMMA'!AS46</f>
        <v>0</v>
      </c>
      <c r="J46" s="316">
        <f>-'5C1E_LFNO'!AS46</f>
        <v>0</v>
      </c>
      <c r="K46" s="316">
        <f>-'5C1F_L.C. Charter'!AS46</f>
        <v>0</v>
      </c>
      <c r="L46" s="316">
        <f>-'5C1G_JS Clark'!AS46</f>
        <v>0</v>
      </c>
      <c r="M46" s="316">
        <f>-'5C1H_Southwest'!AS46</f>
        <v>0</v>
      </c>
      <c r="N46" s="316">
        <f>-'5C1I_LA Key'!AS46</f>
        <v>0</v>
      </c>
      <c r="O46" s="316">
        <f>-'5C1J_JCFA-East'!AS46</f>
        <v>0</v>
      </c>
      <c r="P46" s="316">
        <f>-'5C1M_GEO Mid'!AS46</f>
        <v>0</v>
      </c>
      <c r="Q46" s="316">
        <f>-'5C1N_Delta'!AS46</f>
        <v>0</v>
      </c>
      <c r="R46" s="316">
        <f>-'5C1O_Impact'!AS46</f>
        <v>0</v>
      </c>
      <c r="S46" s="316">
        <f>-'5C1Q_Advantage'!AS46</f>
        <v>0</v>
      </c>
      <c r="T46" s="316">
        <f>-'5C1R_Iberville'!AS46</f>
        <v>0</v>
      </c>
      <c r="U46" s="316">
        <f>-'5C1S_LC Col Prep'!AS46</f>
        <v>0</v>
      </c>
      <c r="V46" s="316">
        <f>-'5C1T_Northeast'!AS46</f>
        <v>0</v>
      </c>
      <c r="W46" s="316">
        <f>-'5C1U_Acadiana Ren'!AS46</f>
        <v>305</v>
      </c>
      <c r="X46" s="316">
        <f>-'5C1V_Laf Ren'!AS46</f>
        <v>0</v>
      </c>
      <c r="Y46" s="316">
        <f>-'5C1W_Willow'!AS46</f>
        <v>0</v>
      </c>
      <c r="Z46" s="316">
        <f>-'5C1Y_GEO'!AS46</f>
        <v>0</v>
      </c>
      <c r="AA46" s="316">
        <f>-'5C1Z_Lincoln Prep'!AS46</f>
        <v>0</v>
      </c>
      <c r="AB46" s="316">
        <f>-'5C1AE_Noble Minds'!$AS46</f>
        <v>0</v>
      </c>
      <c r="AC46" s="316">
        <f>-'5C1AF_JCFA-Laf'!$AS46</f>
        <v>0</v>
      </c>
      <c r="AD46" s="316">
        <f>-'5C1AG_Collegiate'!$AS46</f>
        <v>0</v>
      </c>
      <c r="AE46" s="316">
        <f>-'5C1AH_BRUP'!$AS46</f>
        <v>0</v>
      </c>
      <c r="AF46" s="586">
        <f>-'5C1AI_Harmony'!$AS46</f>
        <v>0</v>
      </c>
      <c r="AG46" s="586">
        <f>-'5C1AJ_Athlos'!$AS46</f>
        <v>0</v>
      </c>
      <c r="AH46" s="781">
        <f>-'5C1AK_NxtGen'!$AS46</f>
        <v>0</v>
      </c>
      <c r="AI46" s="781">
        <f>-'5C1AL_Red River'!$AS46</f>
        <v>-354</v>
      </c>
      <c r="AJ46" s="316">
        <f>-'5C2_LAVCA'!AT46</f>
        <v>-17005</v>
      </c>
      <c r="AK46" s="316">
        <f>-'5C3_UnvView'!AT46</f>
        <v>-24092</v>
      </c>
      <c r="AL46" s="317">
        <f t="shared" si="7"/>
        <v>-42215</v>
      </c>
      <c r="AM46" s="318">
        <f t="shared" si="8"/>
        <v>10866745</v>
      </c>
      <c r="AN46" s="316"/>
      <c r="AO46" s="316"/>
      <c r="AP46" s="316">
        <f>-'5C1A_Madison'!AX46</f>
        <v>0</v>
      </c>
      <c r="AQ46" s="316">
        <f>-'5C1B_DArbonne'!AX46</f>
        <v>0</v>
      </c>
      <c r="AR46" s="316">
        <f>-'5C1C_Intl High'!AX46</f>
        <v>0</v>
      </c>
      <c r="AS46" s="316">
        <f>-'5C1D_NOMMA'!AX46</f>
        <v>0</v>
      </c>
      <c r="AT46" s="316">
        <f>-'5C1E_LFNO'!AX46</f>
        <v>0</v>
      </c>
      <c r="AU46" s="316">
        <f>-'5C1F_L.C. Charter'!AX46</f>
        <v>0</v>
      </c>
      <c r="AV46" s="316">
        <f>-'5C1G_JS Clark'!AX46</f>
        <v>0</v>
      </c>
      <c r="AW46" s="316">
        <f>-'5C1H_Southwest'!AX46</f>
        <v>0</v>
      </c>
      <c r="AX46" s="316">
        <f>-'5C1I_LA Key'!AX46</f>
        <v>0</v>
      </c>
      <c r="AY46" s="316">
        <f>-'5C1J_JCFA-East'!AX46</f>
        <v>0</v>
      </c>
      <c r="AZ46" s="316">
        <f>-'5C1M_GEO Mid'!AX46</f>
        <v>0</v>
      </c>
      <c r="BA46" s="316">
        <f>-'5C1N_Delta'!AX46</f>
        <v>0</v>
      </c>
      <c r="BB46" s="316">
        <f>-'5C1O_Impact'!AX46</f>
        <v>0</v>
      </c>
      <c r="BC46" s="316">
        <f>-'5C1Q_Advantage'!AX46</f>
        <v>0</v>
      </c>
      <c r="BD46" s="316">
        <f>-'5C1R_Iberville'!AX46</f>
        <v>0</v>
      </c>
      <c r="BE46" s="316">
        <f>-'5C1S_LC Col Prep'!AX46</f>
        <v>0</v>
      </c>
      <c r="BF46" s="316">
        <f>-'5C1T_Northeast'!AX46</f>
        <v>0</v>
      </c>
      <c r="BG46" s="316">
        <f>-'5C1U_Acadiana Ren'!AX46</f>
        <v>9</v>
      </c>
      <c r="BH46" s="316">
        <f>-'5C1V_Laf Ren'!AX46</f>
        <v>0</v>
      </c>
      <c r="BI46" s="316">
        <f>-'5C1W_Willow'!AX46</f>
        <v>0</v>
      </c>
      <c r="BJ46" s="316">
        <f>-'5C1Y_GEO'!AX46</f>
        <v>0</v>
      </c>
      <c r="BK46" s="316">
        <f>-'5C1Z_Lincoln Prep'!AX46</f>
        <v>0</v>
      </c>
      <c r="BL46" s="316">
        <f>-'5C1AE_Noble Minds'!AX46</f>
        <v>0</v>
      </c>
      <c r="BM46" s="316">
        <f>-'5C1AF_JCFA-Laf'!AX46</f>
        <v>0</v>
      </c>
      <c r="BN46" s="316">
        <f>-'5C1AG_Collegiate'!AX46</f>
        <v>0</v>
      </c>
      <c r="BO46" s="316">
        <f>-'5C1AH_BRUP'!AX46</f>
        <v>0</v>
      </c>
      <c r="BP46" s="586">
        <f>-'5C1AI_Harmony'!$AX46</f>
        <v>0</v>
      </c>
      <c r="BQ46" s="586">
        <f>-'5C1AJ_Athlos'!$AX46</f>
        <v>0</v>
      </c>
      <c r="BR46" s="781">
        <f>-'5C1AK_NxtGen'!$AX46</f>
        <v>0</v>
      </c>
      <c r="BS46" s="781">
        <f>-'5C1AL_Red River'!$AX46</f>
        <v>-11</v>
      </c>
      <c r="BT46" s="316">
        <f>-'5C2_LAVCA'!AY46</f>
        <v>-41</v>
      </c>
      <c r="BU46" s="316">
        <f>-'5C3_UnvView'!AY46</f>
        <v>-34</v>
      </c>
      <c r="BV46" s="316">
        <f t="shared" si="9"/>
        <v>-77</v>
      </c>
      <c r="BW46" s="318">
        <f t="shared" si="10"/>
        <v>10866668</v>
      </c>
    </row>
    <row r="47" spans="1:75" s="8" customFormat="1" ht="15.75" customHeight="1" x14ac:dyDescent="0.2">
      <c r="A47" s="324">
        <v>41</v>
      </c>
      <c r="B47" s="325" t="s">
        <v>44</v>
      </c>
      <c r="C47" s="62">
        <f>'2_State Distrib and Adjs'!BB47</f>
        <v>374230</v>
      </c>
      <c r="D47" s="62">
        <f>-'5A3_OJJ'!S47</f>
        <v>0</v>
      </c>
      <c r="E47" s="62"/>
      <c r="F47" s="62">
        <f>-'5C1A_Madison'!AS47</f>
        <v>0</v>
      </c>
      <c r="G47" s="62">
        <f>-'5C1B_DArbonne'!AS47</f>
        <v>0</v>
      </c>
      <c r="H47" s="62">
        <f>-'5C1C_Intl High'!AS47</f>
        <v>0</v>
      </c>
      <c r="I47" s="62">
        <f>-'5C1D_NOMMA'!AS47</f>
        <v>0</v>
      </c>
      <c r="J47" s="62">
        <f>-'5C1E_LFNO'!AS47</f>
        <v>0</v>
      </c>
      <c r="K47" s="62">
        <f>-'5C1F_L.C. Charter'!AS47</f>
        <v>0</v>
      </c>
      <c r="L47" s="62">
        <f>-'5C1G_JS Clark'!AS47</f>
        <v>0</v>
      </c>
      <c r="M47" s="62">
        <f>-'5C1H_Southwest'!AS47</f>
        <v>0</v>
      </c>
      <c r="N47" s="62">
        <f>-'5C1I_LA Key'!AS47</f>
        <v>0</v>
      </c>
      <c r="O47" s="62">
        <f>-'5C1J_JCFA-East'!AS47</f>
        <v>0</v>
      </c>
      <c r="P47" s="62">
        <f>-'5C1M_GEO Mid'!AS47</f>
        <v>0</v>
      </c>
      <c r="Q47" s="62">
        <f>-'5C1N_Delta'!AS47</f>
        <v>0</v>
      </c>
      <c r="R47" s="62">
        <f>-'5C1O_Impact'!AS47</f>
        <v>0</v>
      </c>
      <c r="S47" s="62">
        <f>-'5C1Q_Advantage'!AS47</f>
        <v>0</v>
      </c>
      <c r="T47" s="62">
        <f>-'5C1R_Iberville'!AS47</f>
        <v>0</v>
      </c>
      <c r="U47" s="62">
        <f>-'5C1S_LC Col Prep'!AS47</f>
        <v>0</v>
      </c>
      <c r="V47" s="62">
        <f>-'5C1T_Northeast'!AS47</f>
        <v>0</v>
      </c>
      <c r="W47" s="62">
        <f>-'5C1U_Acadiana Ren'!AS47</f>
        <v>0</v>
      </c>
      <c r="X47" s="62">
        <f>-'5C1V_Laf Ren'!AS47</f>
        <v>0</v>
      </c>
      <c r="Y47" s="62">
        <f>-'5C1W_Willow'!AS47</f>
        <v>0</v>
      </c>
      <c r="Z47" s="62">
        <f>-'5C1Y_GEO'!AS47</f>
        <v>0</v>
      </c>
      <c r="AA47" s="62">
        <f>-'5C1Z_Lincoln Prep'!AS47</f>
        <v>0</v>
      </c>
      <c r="AB47" s="62">
        <f>-'5C1AE_Noble Minds'!$AS47</f>
        <v>0</v>
      </c>
      <c r="AC47" s="62">
        <f>-'5C1AF_JCFA-Laf'!$AS47</f>
        <v>0</v>
      </c>
      <c r="AD47" s="62">
        <f>-'5C1AG_Collegiate'!$AS47</f>
        <v>0</v>
      </c>
      <c r="AE47" s="62">
        <f>-'5C1AH_BRUP'!$AS47</f>
        <v>0</v>
      </c>
      <c r="AF47" s="62">
        <f>-'5C1AI_Harmony'!$AS47</f>
        <v>0</v>
      </c>
      <c r="AG47" s="62">
        <f>-'5C1AJ_Athlos'!$AS47</f>
        <v>0</v>
      </c>
      <c r="AH47" s="62">
        <f>-'5C1AK_NxtGen'!$AS47</f>
        <v>0</v>
      </c>
      <c r="AI47" s="62">
        <f>-'5C1AL_Red River'!$AS47</f>
        <v>0</v>
      </c>
      <c r="AJ47" s="62">
        <f>-'5C2_LAVCA'!AT47</f>
        <v>-4946</v>
      </c>
      <c r="AK47" s="62">
        <f>-'5C3_UnvView'!AT47</f>
        <v>-1630</v>
      </c>
      <c r="AL47" s="326">
        <f t="shared" si="7"/>
        <v>-6576</v>
      </c>
      <c r="AM47" s="327">
        <f t="shared" si="8"/>
        <v>367654</v>
      </c>
      <c r="AN47" s="62"/>
      <c r="AO47" s="62"/>
      <c r="AP47" s="62">
        <f>-'5C1A_Madison'!AX47</f>
        <v>0</v>
      </c>
      <c r="AQ47" s="62">
        <f>-'5C1B_DArbonne'!AX47</f>
        <v>0</v>
      </c>
      <c r="AR47" s="62">
        <f>-'5C1C_Intl High'!AX47</f>
        <v>0</v>
      </c>
      <c r="AS47" s="62">
        <f>-'5C1D_NOMMA'!AX47</f>
        <v>0</v>
      </c>
      <c r="AT47" s="62">
        <f>-'5C1E_LFNO'!AX47</f>
        <v>0</v>
      </c>
      <c r="AU47" s="62">
        <f>-'5C1F_L.C. Charter'!AX47</f>
        <v>0</v>
      </c>
      <c r="AV47" s="62">
        <f>-'5C1G_JS Clark'!AX47</f>
        <v>0</v>
      </c>
      <c r="AW47" s="62">
        <f>-'5C1H_Southwest'!AX47</f>
        <v>0</v>
      </c>
      <c r="AX47" s="62">
        <f>-'5C1I_LA Key'!AX47</f>
        <v>0</v>
      </c>
      <c r="AY47" s="62">
        <f>-'5C1J_JCFA-East'!AX47</f>
        <v>0</v>
      </c>
      <c r="AZ47" s="62">
        <f>-'5C1M_GEO Mid'!AX47</f>
        <v>0</v>
      </c>
      <c r="BA47" s="62">
        <f>-'5C1N_Delta'!AX47</f>
        <v>0</v>
      </c>
      <c r="BB47" s="62">
        <f>-'5C1O_Impact'!AX47</f>
        <v>0</v>
      </c>
      <c r="BC47" s="62">
        <f>-'5C1Q_Advantage'!AX47</f>
        <v>0</v>
      </c>
      <c r="BD47" s="62">
        <f>-'5C1R_Iberville'!AX47</f>
        <v>0</v>
      </c>
      <c r="BE47" s="62">
        <f>-'5C1S_LC Col Prep'!AX47</f>
        <v>0</v>
      </c>
      <c r="BF47" s="62">
        <f>-'5C1T_Northeast'!AX47</f>
        <v>0</v>
      </c>
      <c r="BG47" s="62">
        <f>-'5C1U_Acadiana Ren'!AX47</f>
        <v>0</v>
      </c>
      <c r="BH47" s="62">
        <f>-'5C1V_Laf Ren'!AX47</f>
        <v>0</v>
      </c>
      <c r="BI47" s="62">
        <f>-'5C1W_Willow'!AX47</f>
        <v>0</v>
      </c>
      <c r="BJ47" s="62">
        <f>-'5C1Y_GEO'!AX47</f>
        <v>0</v>
      </c>
      <c r="BK47" s="62">
        <f>-'5C1Z_Lincoln Prep'!AX47</f>
        <v>0</v>
      </c>
      <c r="BL47" s="62">
        <f>-'5C1AE_Noble Minds'!AX47</f>
        <v>0</v>
      </c>
      <c r="BM47" s="62">
        <f>-'5C1AF_JCFA-Laf'!AX47</f>
        <v>0</v>
      </c>
      <c r="BN47" s="62">
        <f>-'5C1AG_Collegiate'!AX47</f>
        <v>0</v>
      </c>
      <c r="BO47" s="62">
        <f>-'5C1AH_BRUP'!AX47</f>
        <v>0</v>
      </c>
      <c r="BP47" s="62">
        <f>-'5C1AI_Harmony'!$AX47</f>
        <v>0</v>
      </c>
      <c r="BQ47" s="62">
        <f>-'5C1AJ_Athlos'!$AX47</f>
        <v>0</v>
      </c>
      <c r="BR47" s="62">
        <f>-'5C1AK_NxtGen'!$AX47</f>
        <v>0</v>
      </c>
      <c r="BS47" s="62">
        <f>-'5C1AL_Red River'!$AX47</f>
        <v>0</v>
      </c>
      <c r="BT47" s="62">
        <f>-'5C2_LAVCA'!AY47</f>
        <v>-60</v>
      </c>
      <c r="BU47" s="62">
        <f>-'5C3_UnvView'!AY47</f>
        <v>9</v>
      </c>
      <c r="BV47" s="62">
        <f t="shared" si="9"/>
        <v>-51</v>
      </c>
      <c r="BW47" s="327">
        <f t="shared" si="10"/>
        <v>367603</v>
      </c>
    </row>
    <row r="48" spans="1:75" s="8" customFormat="1" ht="15.75" customHeight="1" x14ac:dyDescent="0.2">
      <c r="A48" s="324">
        <v>42</v>
      </c>
      <c r="B48" s="325" t="s">
        <v>45</v>
      </c>
      <c r="C48" s="62">
        <f>'2_State Distrib and Adjs'!BB48</f>
        <v>1297719</v>
      </c>
      <c r="D48" s="62">
        <f>-'5A3_OJJ'!S48</f>
        <v>-852</v>
      </c>
      <c r="E48" s="62"/>
      <c r="F48" s="62">
        <f>-'5C1A_Madison'!AS48</f>
        <v>0</v>
      </c>
      <c r="G48" s="62">
        <f>-'5C1B_DArbonne'!AS48</f>
        <v>0</v>
      </c>
      <c r="H48" s="62">
        <f>-'5C1C_Intl High'!AS48</f>
        <v>0</v>
      </c>
      <c r="I48" s="62">
        <f>-'5C1D_NOMMA'!AS48</f>
        <v>0</v>
      </c>
      <c r="J48" s="62">
        <f>-'5C1E_LFNO'!AS48</f>
        <v>0</v>
      </c>
      <c r="K48" s="62">
        <f>-'5C1F_L.C. Charter'!AS48</f>
        <v>0</v>
      </c>
      <c r="L48" s="62">
        <f>-'5C1G_JS Clark'!AS48</f>
        <v>0</v>
      </c>
      <c r="M48" s="62">
        <f>-'5C1H_Southwest'!AS48</f>
        <v>0</v>
      </c>
      <c r="N48" s="62">
        <f>-'5C1I_LA Key'!AS48</f>
        <v>0</v>
      </c>
      <c r="O48" s="62">
        <f>-'5C1J_JCFA-East'!AS48</f>
        <v>0</v>
      </c>
      <c r="P48" s="62">
        <f>-'5C1M_GEO Mid'!AS48</f>
        <v>0</v>
      </c>
      <c r="Q48" s="62">
        <f>-'5C1N_Delta'!AS48</f>
        <v>0</v>
      </c>
      <c r="R48" s="62">
        <f>-'5C1O_Impact'!AS48</f>
        <v>0</v>
      </c>
      <c r="S48" s="62">
        <f>-'5C1Q_Advantage'!AS48</f>
        <v>0</v>
      </c>
      <c r="T48" s="62">
        <f>-'5C1R_Iberville'!AS48</f>
        <v>0</v>
      </c>
      <c r="U48" s="62">
        <f>-'5C1S_LC Col Prep'!AS48</f>
        <v>0</v>
      </c>
      <c r="V48" s="62">
        <f>-'5C1T_Northeast'!AS48</f>
        <v>0</v>
      </c>
      <c r="W48" s="62">
        <f>-'5C1U_Acadiana Ren'!AS48</f>
        <v>0</v>
      </c>
      <c r="X48" s="62">
        <f>-'5C1V_Laf Ren'!AS48</f>
        <v>0</v>
      </c>
      <c r="Y48" s="62">
        <f>-'5C1W_Willow'!AS48</f>
        <v>0</v>
      </c>
      <c r="Z48" s="62">
        <f>-'5C1Y_GEO'!AS48</f>
        <v>0</v>
      </c>
      <c r="AA48" s="62">
        <f>-'5C1Z_Lincoln Prep'!AS48</f>
        <v>0</v>
      </c>
      <c r="AB48" s="62">
        <f>-'5C1AE_Noble Minds'!$AS48</f>
        <v>0</v>
      </c>
      <c r="AC48" s="62">
        <f>-'5C1AF_JCFA-Laf'!$AS48</f>
        <v>0</v>
      </c>
      <c r="AD48" s="62">
        <f>-'5C1AG_Collegiate'!$AS48</f>
        <v>0</v>
      </c>
      <c r="AE48" s="62">
        <f>-'5C1AH_BRUP'!$AS48</f>
        <v>0</v>
      </c>
      <c r="AF48" s="62">
        <f>-'5C1AI_Harmony'!$AS48</f>
        <v>0</v>
      </c>
      <c r="AG48" s="62">
        <f>-'5C1AJ_Athlos'!$AS48</f>
        <v>0</v>
      </c>
      <c r="AH48" s="62">
        <f>-'5C1AK_NxtGen'!$AS48</f>
        <v>0</v>
      </c>
      <c r="AI48" s="62">
        <f>-'5C1AL_Red River'!$AS48</f>
        <v>0</v>
      </c>
      <c r="AJ48" s="62">
        <f>-'5C2_LAVCA'!AT48</f>
        <v>-3325</v>
      </c>
      <c r="AK48" s="62">
        <f>-'5C3_UnvView'!AT48</f>
        <v>-6594</v>
      </c>
      <c r="AL48" s="326">
        <f t="shared" si="7"/>
        <v>-10771</v>
      </c>
      <c r="AM48" s="327">
        <f t="shared" si="8"/>
        <v>1286948</v>
      </c>
      <c r="AN48" s="62"/>
      <c r="AO48" s="62"/>
      <c r="AP48" s="62">
        <f>-'5C1A_Madison'!AX48</f>
        <v>0</v>
      </c>
      <c r="AQ48" s="62">
        <f>-'5C1B_DArbonne'!AX48</f>
        <v>0</v>
      </c>
      <c r="AR48" s="62">
        <f>-'5C1C_Intl High'!AX48</f>
        <v>0</v>
      </c>
      <c r="AS48" s="62">
        <f>-'5C1D_NOMMA'!AX48</f>
        <v>0</v>
      </c>
      <c r="AT48" s="62">
        <f>-'5C1E_LFNO'!AX48</f>
        <v>0</v>
      </c>
      <c r="AU48" s="62">
        <f>-'5C1F_L.C. Charter'!AX48</f>
        <v>0</v>
      </c>
      <c r="AV48" s="62">
        <f>-'5C1G_JS Clark'!AX48</f>
        <v>0</v>
      </c>
      <c r="AW48" s="62">
        <f>-'5C1H_Southwest'!AX48</f>
        <v>0</v>
      </c>
      <c r="AX48" s="62">
        <f>-'5C1I_LA Key'!AX48</f>
        <v>0</v>
      </c>
      <c r="AY48" s="62">
        <f>-'5C1J_JCFA-East'!AX48</f>
        <v>0</v>
      </c>
      <c r="AZ48" s="62">
        <f>-'5C1M_GEO Mid'!AX48</f>
        <v>0</v>
      </c>
      <c r="BA48" s="62">
        <f>-'5C1N_Delta'!AX48</f>
        <v>0</v>
      </c>
      <c r="BB48" s="62">
        <f>-'5C1O_Impact'!AX48</f>
        <v>0</v>
      </c>
      <c r="BC48" s="62">
        <f>-'5C1Q_Advantage'!AX48</f>
        <v>0</v>
      </c>
      <c r="BD48" s="62">
        <f>-'5C1R_Iberville'!AX48</f>
        <v>0</v>
      </c>
      <c r="BE48" s="62">
        <f>-'5C1S_LC Col Prep'!AX48</f>
        <v>0</v>
      </c>
      <c r="BF48" s="62">
        <f>-'5C1T_Northeast'!AX48</f>
        <v>0</v>
      </c>
      <c r="BG48" s="62">
        <f>-'5C1U_Acadiana Ren'!AX48</f>
        <v>0</v>
      </c>
      <c r="BH48" s="62">
        <f>-'5C1V_Laf Ren'!AX48</f>
        <v>0</v>
      </c>
      <c r="BI48" s="62">
        <f>-'5C1W_Willow'!AX48</f>
        <v>0</v>
      </c>
      <c r="BJ48" s="62">
        <f>-'5C1Y_GEO'!AX48</f>
        <v>0</v>
      </c>
      <c r="BK48" s="62">
        <f>-'5C1Z_Lincoln Prep'!AX48</f>
        <v>0</v>
      </c>
      <c r="BL48" s="62">
        <f>-'5C1AE_Noble Minds'!AX48</f>
        <v>0</v>
      </c>
      <c r="BM48" s="62">
        <f>-'5C1AF_JCFA-Laf'!AX48</f>
        <v>0</v>
      </c>
      <c r="BN48" s="62">
        <f>-'5C1AG_Collegiate'!AX48</f>
        <v>0</v>
      </c>
      <c r="BO48" s="62">
        <f>-'5C1AH_BRUP'!AX48</f>
        <v>0</v>
      </c>
      <c r="BP48" s="62">
        <f>-'5C1AI_Harmony'!$AX48</f>
        <v>0</v>
      </c>
      <c r="BQ48" s="62">
        <f>-'5C1AJ_Athlos'!$AX48</f>
        <v>0</v>
      </c>
      <c r="BR48" s="62">
        <f>-'5C1AK_NxtGen'!$AX48</f>
        <v>0</v>
      </c>
      <c r="BS48" s="62">
        <f>-'5C1AL_Red River'!$AX48</f>
        <v>0</v>
      </c>
      <c r="BT48" s="62">
        <f>-'5C2_LAVCA'!AY48</f>
        <v>-34</v>
      </c>
      <c r="BU48" s="62">
        <f>-'5C3_UnvView'!AY48</f>
        <v>-11</v>
      </c>
      <c r="BV48" s="62">
        <f t="shared" si="9"/>
        <v>-45</v>
      </c>
      <c r="BW48" s="327">
        <f t="shared" si="10"/>
        <v>1286903</v>
      </c>
    </row>
    <row r="49" spans="1:75" s="8" customFormat="1" ht="15.75" customHeight="1" x14ac:dyDescent="0.2">
      <c r="A49" s="324">
        <v>43</v>
      </c>
      <c r="B49" s="325" t="s">
        <v>46</v>
      </c>
      <c r="C49" s="62">
        <f>'2_State Distrib and Adjs'!BB49</f>
        <v>2151185</v>
      </c>
      <c r="D49" s="62">
        <f>-'5A3_OJJ'!S49</f>
        <v>-345</v>
      </c>
      <c r="E49" s="62"/>
      <c r="F49" s="62">
        <f>-'5C1A_Madison'!AS49</f>
        <v>0</v>
      </c>
      <c r="G49" s="62">
        <f>-'5C1B_DArbonne'!AS49</f>
        <v>0</v>
      </c>
      <c r="H49" s="62">
        <f>-'5C1C_Intl High'!AS49</f>
        <v>0</v>
      </c>
      <c r="I49" s="62">
        <f>-'5C1D_NOMMA'!AS49</f>
        <v>0</v>
      </c>
      <c r="J49" s="62">
        <f>-'5C1E_LFNO'!AS49</f>
        <v>0</v>
      </c>
      <c r="K49" s="62">
        <f>-'5C1F_L.C. Charter'!AS49</f>
        <v>0</v>
      </c>
      <c r="L49" s="62">
        <f>-'5C1G_JS Clark'!AS49</f>
        <v>0</v>
      </c>
      <c r="M49" s="62">
        <f>-'5C1H_Southwest'!AS49</f>
        <v>0</v>
      </c>
      <c r="N49" s="62">
        <f>-'5C1I_LA Key'!AS49</f>
        <v>0</v>
      </c>
      <c r="O49" s="62">
        <f>-'5C1J_JCFA-East'!AS49</f>
        <v>0</v>
      </c>
      <c r="P49" s="62">
        <f>-'5C1M_GEO Mid'!AS49</f>
        <v>0</v>
      </c>
      <c r="Q49" s="62">
        <f>-'5C1N_Delta'!AS49</f>
        <v>-821</v>
      </c>
      <c r="R49" s="62">
        <f>-'5C1O_Impact'!AS49</f>
        <v>0</v>
      </c>
      <c r="S49" s="62">
        <f>-'5C1Q_Advantage'!AS49</f>
        <v>0</v>
      </c>
      <c r="T49" s="62">
        <f>-'5C1R_Iberville'!AS49</f>
        <v>0</v>
      </c>
      <c r="U49" s="62">
        <f>-'5C1S_LC Col Prep'!AS49</f>
        <v>0</v>
      </c>
      <c r="V49" s="62">
        <f>-'5C1T_Northeast'!AS49</f>
        <v>0</v>
      </c>
      <c r="W49" s="62">
        <f>-'5C1U_Acadiana Ren'!AS49</f>
        <v>0</v>
      </c>
      <c r="X49" s="62">
        <f>-'5C1V_Laf Ren'!AS49</f>
        <v>0</v>
      </c>
      <c r="Y49" s="62">
        <f>-'5C1W_Willow'!AS49</f>
        <v>0</v>
      </c>
      <c r="Z49" s="62">
        <f>-'5C1Y_GEO'!AS49</f>
        <v>0</v>
      </c>
      <c r="AA49" s="62">
        <f>-'5C1Z_Lincoln Prep'!AS49</f>
        <v>0</v>
      </c>
      <c r="AB49" s="62">
        <f>-'5C1AE_Noble Minds'!$AS49</f>
        <v>0</v>
      </c>
      <c r="AC49" s="62">
        <f>-'5C1AF_JCFA-Laf'!$AS49</f>
        <v>0</v>
      </c>
      <c r="AD49" s="62">
        <f>-'5C1AG_Collegiate'!$AS49</f>
        <v>0</v>
      </c>
      <c r="AE49" s="62">
        <f>-'5C1AH_BRUP'!$AS49</f>
        <v>0</v>
      </c>
      <c r="AF49" s="62">
        <f>-'5C1AI_Harmony'!$AS49</f>
        <v>0</v>
      </c>
      <c r="AG49" s="62">
        <f>-'5C1AJ_Athlos'!$AS49</f>
        <v>0</v>
      </c>
      <c r="AH49" s="62">
        <f>-'5C1AK_NxtGen'!$AS49</f>
        <v>0</v>
      </c>
      <c r="AI49" s="62">
        <f>-'5C1AL_Red River'!$AS49</f>
        <v>0</v>
      </c>
      <c r="AJ49" s="62">
        <f>-'5C2_LAVCA'!AT49</f>
        <v>2053</v>
      </c>
      <c r="AK49" s="62">
        <f>-'5C3_UnvView'!AT49</f>
        <v>-5051</v>
      </c>
      <c r="AL49" s="326">
        <f t="shared" si="7"/>
        <v>-4164</v>
      </c>
      <c r="AM49" s="327">
        <f t="shared" si="8"/>
        <v>2147021</v>
      </c>
      <c r="AN49" s="62"/>
      <c r="AO49" s="62"/>
      <c r="AP49" s="62">
        <f>-'5C1A_Madison'!AX49</f>
        <v>0</v>
      </c>
      <c r="AQ49" s="62">
        <f>-'5C1B_DArbonne'!AX49</f>
        <v>0</v>
      </c>
      <c r="AR49" s="62">
        <f>-'5C1C_Intl High'!AX49</f>
        <v>0</v>
      </c>
      <c r="AS49" s="62">
        <f>-'5C1D_NOMMA'!AX49</f>
        <v>0</v>
      </c>
      <c r="AT49" s="62">
        <f>-'5C1E_LFNO'!AX49</f>
        <v>0</v>
      </c>
      <c r="AU49" s="62">
        <f>-'5C1F_L.C. Charter'!AX49</f>
        <v>0</v>
      </c>
      <c r="AV49" s="62">
        <f>-'5C1G_JS Clark'!AX49</f>
        <v>0</v>
      </c>
      <c r="AW49" s="62">
        <f>-'5C1H_Southwest'!AX49</f>
        <v>0</v>
      </c>
      <c r="AX49" s="62">
        <f>-'5C1I_LA Key'!AX49</f>
        <v>0</v>
      </c>
      <c r="AY49" s="62">
        <f>-'5C1J_JCFA-East'!AX49</f>
        <v>0</v>
      </c>
      <c r="AZ49" s="62">
        <f>-'5C1M_GEO Mid'!AX49</f>
        <v>0</v>
      </c>
      <c r="BA49" s="62">
        <f>-'5C1N_Delta'!AX49</f>
        <v>-12</v>
      </c>
      <c r="BB49" s="62">
        <f>-'5C1O_Impact'!AX49</f>
        <v>0</v>
      </c>
      <c r="BC49" s="62">
        <f>-'5C1Q_Advantage'!AX49</f>
        <v>0</v>
      </c>
      <c r="BD49" s="62">
        <f>-'5C1R_Iberville'!AX49</f>
        <v>0</v>
      </c>
      <c r="BE49" s="62">
        <f>-'5C1S_LC Col Prep'!AX49</f>
        <v>0</v>
      </c>
      <c r="BF49" s="62">
        <f>-'5C1T_Northeast'!AX49</f>
        <v>0</v>
      </c>
      <c r="BG49" s="62">
        <f>-'5C1U_Acadiana Ren'!AX49</f>
        <v>0</v>
      </c>
      <c r="BH49" s="62">
        <f>-'5C1V_Laf Ren'!AX49</f>
        <v>0</v>
      </c>
      <c r="BI49" s="62">
        <f>-'5C1W_Willow'!AX49</f>
        <v>0</v>
      </c>
      <c r="BJ49" s="62">
        <f>-'5C1Y_GEO'!AX49</f>
        <v>0</v>
      </c>
      <c r="BK49" s="62">
        <f>-'5C1Z_Lincoln Prep'!AX49</f>
        <v>0</v>
      </c>
      <c r="BL49" s="62">
        <f>-'5C1AE_Noble Minds'!AX49</f>
        <v>0</v>
      </c>
      <c r="BM49" s="62">
        <f>-'5C1AF_JCFA-Laf'!AX49</f>
        <v>0</v>
      </c>
      <c r="BN49" s="62">
        <f>-'5C1AG_Collegiate'!AX49</f>
        <v>0</v>
      </c>
      <c r="BO49" s="62">
        <f>-'5C1AH_BRUP'!AX49</f>
        <v>0</v>
      </c>
      <c r="BP49" s="62">
        <f>-'5C1AI_Harmony'!$AX49</f>
        <v>0</v>
      </c>
      <c r="BQ49" s="62">
        <f>-'5C1AJ_Athlos'!$AX49</f>
        <v>0</v>
      </c>
      <c r="BR49" s="62">
        <f>-'5C1AK_NxtGen'!$AX49</f>
        <v>0</v>
      </c>
      <c r="BS49" s="62">
        <f>-'5C1AL_Red River'!$AX49</f>
        <v>0</v>
      </c>
      <c r="BT49" s="62">
        <f>-'5C2_LAVCA'!AY49</f>
        <v>84</v>
      </c>
      <c r="BU49" s="62">
        <f>-'5C3_UnvView'!AY49</f>
        <v>-21</v>
      </c>
      <c r="BV49" s="62">
        <f t="shared" si="9"/>
        <v>51</v>
      </c>
      <c r="BW49" s="327">
        <f t="shared" si="10"/>
        <v>2147072</v>
      </c>
    </row>
    <row r="50" spans="1:75" s="8" customFormat="1" ht="15.75" customHeight="1" x14ac:dyDescent="0.2">
      <c r="A50" s="324">
        <v>44</v>
      </c>
      <c r="B50" s="325" t="s">
        <v>47</v>
      </c>
      <c r="C50" s="62">
        <f>'2_State Distrib and Adjs'!BB50</f>
        <v>3919973</v>
      </c>
      <c r="D50" s="62">
        <f>-'5A3_OJJ'!S50</f>
        <v>-657</v>
      </c>
      <c r="E50" s="62"/>
      <c r="F50" s="62">
        <f>-'5C1A_Madison'!AS50</f>
        <v>0</v>
      </c>
      <c r="G50" s="62">
        <f>-'5C1B_DArbonne'!AS50</f>
        <v>0</v>
      </c>
      <c r="H50" s="62">
        <f>-'5C1C_Intl High'!AS50</f>
        <v>-1327</v>
      </c>
      <c r="I50" s="62">
        <f>-'5C1D_NOMMA'!AS50</f>
        <v>-2162</v>
      </c>
      <c r="J50" s="62">
        <f>-'5C1E_LFNO'!AS50</f>
        <v>-2973</v>
      </c>
      <c r="K50" s="62">
        <f>-'5C1F_L.C. Charter'!AS50</f>
        <v>0</v>
      </c>
      <c r="L50" s="62">
        <f>-'5C1G_JS Clark'!AS50</f>
        <v>0</v>
      </c>
      <c r="M50" s="62">
        <f>-'5C1H_Southwest'!AS50</f>
        <v>0</v>
      </c>
      <c r="N50" s="62">
        <f>-'5C1I_LA Key'!AS50</f>
        <v>0</v>
      </c>
      <c r="O50" s="62">
        <f>-'5C1J_JCFA-East'!AS50</f>
        <v>0</v>
      </c>
      <c r="P50" s="62">
        <f>-'5C1M_GEO Mid'!AS50</f>
        <v>0</v>
      </c>
      <c r="Q50" s="62">
        <f>-'5C1N_Delta'!AS50</f>
        <v>0</v>
      </c>
      <c r="R50" s="62">
        <f>-'5C1O_Impact'!AS50</f>
        <v>0</v>
      </c>
      <c r="S50" s="62">
        <f>-'5C1Q_Advantage'!AS50</f>
        <v>0</v>
      </c>
      <c r="T50" s="62">
        <f>-'5C1R_Iberville'!AS50</f>
        <v>0</v>
      </c>
      <c r="U50" s="62">
        <f>-'5C1S_LC Col Prep'!AS50</f>
        <v>0</v>
      </c>
      <c r="V50" s="62">
        <f>-'5C1T_Northeast'!AS50</f>
        <v>0</v>
      </c>
      <c r="W50" s="62">
        <f>-'5C1U_Acadiana Ren'!AS50</f>
        <v>-1418</v>
      </c>
      <c r="X50" s="62">
        <f>-'5C1V_Laf Ren'!AS50</f>
        <v>0</v>
      </c>
      <c r="Y50" s="62">
        <f>-'5C1W_Willow'!AS50</f>
        <v>0</v>
      </c>
      <c r="Z50" s="62">
        <f>-'5C1Y_GEO'!AS50</f>
        <v>0</v>
      </c>
      <c r="AA50" s="62">
        <f>-'5C1Z_Lincoln Prep'!AS50</f>
        <v>0</v>
      </c>
      <c r="AB50" s="62">
        <f>-'5C1AE_Noble Minds'!$AS50</f>
        <v>-372</v>
      </c>
      <c r="AC50" s="62">
        <f>-'5C1AF_JCFA-Laf'!$AS50</f>
        <v>0</v>
      </c>
      <c r="AD50" s="62">
        <f>-'5C1AG_Collegiate'!$AS50</f>
        <v>0</v>
      </c>
      <c r="AE50" s="62">
        <f>-'5C1AH_BRUP'!$AS50</f>
        <v>0</v>
      </c>
      <c r="AF50" s="62">
        <f>-'5C1AI_Harmony'!$AS50</f>
        <v>0</v>
      </c>
      <c r="AG50" s="62">
        <f>-'5C1AJ_Athlos'!$AS50</f>
        <v>-1859</v>
      </c>
      <c r="AH50" s="62">
        <f>-'5C1AK_NxtGen'!$AS50</f>
        <v>0</v>
      </c>
      <c r="AI50" s="62">
        <f>-'5C1AL_Red River'!$AS50</f>
        <v>0</v>
      </c>
      <c r="AJ50" s="62">
        <f>-'5C2_LAVCA'!AT50</f>
        <v>-4442</v>
      </c>
      <c r="AK50" s="62">
        <f>-'5C3_UnvView'!AT50</f>
        <v>244</v>
      </c>
      <c r="AL50" s="326">
        <f t="shared" si="7"/>
        <v>-14966</v>
      </c>
      <c r="AM50" s="327">
        <f t="shared" si="8"/>
        <v>3905007</v>
      </c>
      <c r="AN50" s="62"/>
      <c r="AO50" s="62"/>
      <c r="AP50" s="62">
        <f>-'5C1A_Madison'!AX50</f>
        <v>0</v>
      </c>
      <c r="AQ50" s="62">
        <f>-'5C1B_DArbonne'!AX50</f>
        <v>0</v>
      </c>
      <c r="AR50" s="62">
        <f>-'5C1C_Intl High'!AX50</f>
        <v>3</v>
      </c>
      <c r="AS50" s="62">
        <f>-'5C1D_NOMMA'!AX50</f>
        <v>-23</v>
      </c>
      <c r="AT50" s="62">
        <f>-'5C1E_LFNO'!AX50</f>
        <v>-34</v>
      </c>
      <c r="AU50" s="62">
        <f>-'5C1F_L.C. Charter'!AX50</f>
        <v>0</v>
      </c>
      <c r="AV50" s="62">
        <f>-'5C1G_JS Clark'!AX50</f>
        <v>0</v>
      </c>
      <c r="AW50" s="62">
        <f>-'5C1H_Southwest'!AX50</f>
        <v>0</v>
      </c>
      <c r="AX50" s="62">
        <f>-'5C1I_LA Key'!AX50</f>
        <v>0</v>
      </c>
      <c r="AY50" s="62">
        <f>-'5C1J_JCFA-East'!AX50</f>
        <v>0</v>
      </c>
      <c r="AZ50" s="62">
        <f>-'5C1M_GEO Mid'!AX50</f>
        <v>0</v>
      </c>
      <c r="BA50" s="62">
        <f>-'5C1N_Delta'!AX50</f>
        <v>0</v>
      </c>
      <c r="BB50" s="62">
        <f>-'5C1O_Impact'!AX50</f>
        <v>0</v>
      </c>
      <c r="BC50" s="62">
        <f>-'5C1Q_Advantage'!AX50</f>
        <v>0</v>
      </c>
      <c r="BD50" s="62">
        <f>-'5C1R_Iberville'!AX50</f>
        <v>0</v>
      </c>
      <c r="BE50" s="62">
        <f>-'5C1S_LC Col Prep'!AX50</f>
        <v>0</v>
      </c>
      <c r="BF50" s="62">
        <f>-'5C1T_Northeast'!AX50</f>
        <v>0</v>
      </c>
      <c r="BG50" s="62">
        <f>-'5C1U_Acadiana Ren'!AX50</f>
        <v>-21</v>
      </c>
      <c r="BH50" s="62">
        <f>-'5C1V_Laf Ren'!AX50</f>
        <v>0</v>
      </c>
      <c r="BI50" s="62">
        <f>-'5C1W_Willow'!AX50</f>
        <v>0</v>
      </c>
      <c r="BJ50" s="62">
        <f>-'5C1Y_GEO'!AX50</f>
        <v>0</v>
      </c>
      <c r="BK50" s="62">
        <f>-'5C1Z_Lincoln Prep'!AX50</f>
        <v>0</v>
      </c>
      <c r="BL50" s="62">
        <f>-'5C1AE_Noble Minds'!AX50</f>
        <v>-1</v>
      </c>
      <c r="BM50" s="62">
        <f>-'5C1AF_JCFA-Laf'!AX50</f>
        <v>0</v>
      </c>
      <c r="BN50" s="62">
        <f>-'5C1AG_Collegiate'!AX50</f>
        <v>0</v>
      </c>
      <c r="BO50" s="62">
        <f>-'5C1AH_BRUP'!AX50</f>
        <v>0</v>
      </c>
      <c r="BP50" s="62">
        <f>-'5C1AI_Harmony'!$AX50</f>
        <v>0</v>
      </c>
      <c r="BQ50" s="62">
        <f>-'5C1AJ_Athlos'!$AX50</f>
        <v>-2</v>
      </c>
      <c r="BR50" s="62">
        <f>-'5C1AK_NxtGen'!$AX50</f>
        <v>0</v>
      </c>
      <c r="BS50" s="62">
        <f>-'5C1AL_Red River'!$AX50</f>
        <v>0</v>
      </c>
      <c r="BT50" s="62">
        <f>-'5C2_LAVCA'!AY50</f>
        <v>68</v>
      </c>
      <c r="BU50" s="62">
        <f>-'5C3_UnvView'!AY50</f>
        <v>75</v>
      </c>
      <c r="BV50" s="62">
        <f t="shared" si="9"/>
        <v>65</v>
      </c>
      <c r="BW50" s="327">
        <f t="shared" si="10"/>
        <v>3905072</v>
      </c>
    </row>
    <row r="51" spans="1:75" s="8" customFormat="1" ht="15.75" customHeight="1" x14ac:dyDescent="0.2">
      <c r="A51" s="314">
        <v>45</v>
      </c>
      <c r="B51" s="315" t="s">
        <v>48</v>
      </c>
      <c r="C51" s="316">
        <f>'2_State Distrib and Adjs'!BB51</f>
        <v>2512647</v>
      </c>
      <c r="D51" s="316">
        <f>-'5A3_OJJ'!S51</f>
        <v>-192</v>
      </c>
      <c r="E51" s="316"/>
      <c r="F51" s="316">
        <f>-'5C1A_Madison'!AS51</f>
        <v>0</v>
      </c>
      <c r="G51" s="316">
        <f>-'5C1B_DArbonne'!AS51</f>
        <v>0</v>
      </c>
      <c r="H51" s="316">
        <f>-'5C1C_Intl High'!AS51</f>
        <v>0</v>
      </c>
      <c r="I51" s="316">
        <f>-'5C1D_NOMMA'!AS51</f>
        <v>-2485</v>
      </c>
      <c r="J51" s="316">
        <f>-'5C1E_LFNO'!AS51</f>
        <v>-7957</v>
      </c>
      <c r="K51" s="316">
        <f>-'5C1F_L.C. Charter'!AS51</f>
        <v>0</v>
      </c>
      <c r="L51" s="316">
        <f>-'5C1G_JS Clark'!AS51</f>
        <v>0</v>
      </c>
      <c r="M51" s="316">
        <f>-'5C1H_Southwest'!AS51</f>
        <v>0</v>
      </c>
      <c r="N51" s="316">
        <f>-'5C1I_LA Key'!AS51</f>
        <v>0</v>
      </c>
      <c r="O51" s="316">
        <f>-'5C1J_JCFA-East'!AS51</f>
        <v>-5609</v>
      </c>
      <c r="P51" s="316">
        <f>-'5C1M_GEO Mid'!AS51</f>
        <v>0</v>
      </c>
      <c r="Q51" s="316">
        <f>-'5C1N_Delta'!AS51</f>
        <v>0</v>
      </c>
      <c r="R51" s="316">
        <f>-'5C1O_Impact'!AS51</f>
        <v>0</v>
      </c>
      <c r="S51" s="316">
        <f>-'5C1Q_Advantage'!AS51</f>
        <v>0</v>
      </c>
      <c r="T51" s="316">
        <f>-'5C1R_Iberville'!AS51</f>
        <v>-9982</v>
      </c>
      <c r="U51" s="316">
        <f>-'5C1S_LC Col Prep'!AS51</f>
        <v>0</v>
      </c>
      <c r="V51" s="316">
        <f>-'5C1T_Northeast'!AS51</f>
        <v>0</v>
      </c>
      <c r="W51" s="316">
        <f>-'5C1U_Acadiana Ren'!AS51</f>
        <v>0</v>
      </c>
      <c r="X51" s="316">
        <f>-'5C1V_Laf Ren'!AS51</f>
        <v>0</v>
      </c>
      <c r="Y51" s="316">
        <f>-'5C1W_Willow'!AS51</f>
        <v>0</v>
      </c>
      <c r="Z51" s="316">
        <f>-'5C1Y_GEO'!AS51</f>
        <v>0</v>
      </c>
      <c r="AA51" s="316">
        <f>-'5C1Z_Lincoln Prep'!AS51</f>
        <v>0</v>
      </c>
      <c r="AB51" s="316">
        <f>-'5C1AE_Noble Minds'!$AS51</f>
        <v>-1243</v>
      </c>
      <c r="AC51" s="316">
        <f>-'5C1AF_JCFA-Laf'!$AS51</f>
        <v>0</v>
      </c>
      <c r="AD51" s="316">
        <f>-'5C1AG_Collegiate'!$AS51</f>
        <v>0</v>
      </c>
      <c r="AE51" s="316">
        <f>-'5C1AH_BRUP'!$AS51</f>
        <v>0</v>
      </c>
      <c r="AF51" s="586">
        <f>-'5C1AI_Harmony'!$AS51</f>
        <v>0</v>
      </c>
      <c r="AG51" s="586">
        <f>-'5C1AJ_Athlos'!$AS51</f>
        <v>1253</v>
      </c>
      <c r="AH51" s="781">
        <f>-'5C1AK_NxtGen'!$AS51</f>
        <v>0</v>
      </c>
      <c r="AI51" s="781">
        <f>-'5C1AL_Red River'!$AS51</f>
        <v>0</v>
      </c>
      <c r="AJ51" s="316">
        <f>-'5C2_LAVCA'!AT51</f>
        <v>-26282</v>
      </c>
      <c r="AK51" s="316">
        <f>-'5C3_UnvView'!AT51</f>
        <v>-22421</v>
      </c>
      <c r="AL51" s="317">
        <f t="shared" si="7"/>
        <v>-74918</v>
      </c>
      <c r="AM51" s="318">
        <f t="shared" si="8"/>
        <v>2437729</v>
      </c>
      <c r="AN51" s="316"/>
      <c r="AO51" s="316"/>
      <c r="AP51" s="316">
        <f>-'5C1A_Madison'!AX51</f>
        <v>0</v>
      </c>
      <c r="AQ51" s="316">
        <f>-'5C1B_DArbonne'!AX51</f>
        <v>0</v>
      </c>
      <c r="AR51" s="316">
        <f>-'5C1C_Intl High'!AX51</f>
        <v>0</v>
      </c>
      <c r="AS51" s="316">
        <f>-'5C1D_NOMMA'!AX51</f>
        <v>0</v>
      </c>
      <c r="AT51" s="316">
        <f>-'5C1E_LFNO'!AX51</f>
        <v>-74</v>
      </c>
      <c r="AU51" s="316">
        <f>-'5C1F_L.C. Charter'!AX51</f>
        <v>0</v>
      </c>
      <c r="AV51" s="316">
        <f>-'5C1G_JS Clark'!AX51</f>
        <v>0</v>
      </c>
      <c r="AW51" s="316">
        <f>-'5C1H_Southwest'!AX51</f>
        <v>0</v>
      </c>
      <c r="AX51" s="316">
        <f>-'5C1I_LA Key'!AX51</f>
        <v>0</v>
      </c>
      <c r="AY51" s="316">
        <f>-'5C1J_JCFA-East'!AX51</f>
        <v>-56</v>
      </c>
      <c r="AZ51" s="316">
        <f>-'5C1M_GEO Mid'!AX51</f>
        <v>0</v>
      </c>
      <c r="BA51" s="316">
        <f>-'5C1N_Delta'!AX51</f>
        <v>0</v>
      </c>
      <c r="BB51" s="316">
        <f>-'5C1O_Impact'!AX51</f>
        <v>0</v>
      </c>
      <c r="BC51" s="316">
        <f>-'5C1Q_Advantage'!AX51</f>
        <v>0</v>
      </c>
      <c r="BD51" s="316">
        <f>-'5C1R_Iberville'!AX51</f>
        <v>-150</v>
      </c>
      <c r="BE51" s="316">
        <f>-'5C1S_LC Col Prep'!AX51</f>
        <v>0</v>
      </c>
      <c r="BF51" s="316">
        <f>-'5C1T_Northeast'!AX51</f>
        <v>0</v>
      </c>
      <c r="BG51" s="316">
        <f>-'5C1U_Acadiana Ren'!AX51</f>
        <v>0</v>
      </c>
      <c r="BH51" s="316">
        <f>-'5C1V_Laf Ren'!AX51</f>
        <v>0</v>
      </c>
      <c r="BI51" s="316">
        <f>-'5C1W_Willow'!AX51</f>
        <v>0</v>
      </c>
      <c r="BJ51" s="316">
        <f>-'5C1Y_GEO'!AX51</f>
        <v>0</v>
      </c>
      <c r="BK51" s="316">
        <f>-'5C1Z_Lincoln Prep'!AX51</f>
        <v>0</v>
      </c>
      <c r="BL51" s="316">
        <f>-'5C1AE_Noble Minds'!AX51</f>
        <v>0</v>
      </c>
      <c r="BM51" s="316">
        <f>-'5C1AF_JCFA-Laf'!AX51</f>
        <v>0</v>
      </c>
      <c r="BN51" s="316">
        <f>-'5C1AG_Collegiate'!AX51</f>
        <v>0</v>
      </c>
      <c r="BO51" s="316">
        <f>-'5C1AH_BRUP'!AX51</f>
        <v>0</v>
      </c>
      <c r="BP51" s="586">
        <f>-'5C1AI_Harmony'!$AX51</f>
        <v>0</v>
      </c>
      <c r="BQ51" s="586">
        <f>-'5C1AJ_Athlos'!$AX51</f>
        <v>38</v>
      </c>
      <c r="BR51" s="781">
        <f>-'5C1AK_NxtGen'!$AX51</f>
        <v>0</v>
      </c>
      <c r="BS51" s="781">
        <f>-'5C1AL_Red River'!$AX51</f>
        <v>0</v>
      </c>
      <c r="BT51" s="316">
        <f>-'5C2_LAVCA'!AY51</f>
        <v>-14</v>
      </c>
      <c r="BU51" s="316">
        <f>-'5C3_UnvView'!AY51</f>
        <v>-168</v>
      </c>
      <c r="BV51" s="316">
        <f t="shared" si="9"/>
        <v>-424</v>
      </c>
      <c r="BW51" s="318">
        <f t="shared" si="10"/>
        <v>2437305</v>
      </c>
    </row>
    <row r="52" spans="1:75" s="8" customFormat="1" ht="15.75" customHeight="1" x14ac:dyDescent="0.2">
      <c r="A52" s="324">
        <v>46</v>
      </c>
      <c r="B52" s="325" t="s">
        <v>49</v>
      </c>
      <c r="C52" s="62">
        <f>'2_State Distrib and Adjs'!BB52</f>
        <v>775340</v>
      </c>
      <c r="D52" s="62">
        <f>-'5A3_OJJ'!S52</f>
        <v>0</v>
      </c>
      <c r="E52" s="62"/>
      <c r="F52" s="62">
        <f>-'5C1A_Madison'!AS52</f>
        <v>0</v>
      </c>
      <c r="G52" s="62">
        <f>-'5C1B_DArbonne'!AS52</f>
        <v>0</v>
      </c>
      <c r="H52" s="62">
        <f>-'5C1C_Intl High'!AS52</f>
        <v>0</v>
      </c>
      <c r="I52" s="62">
        <f>-'5C1D_NOMMA'!AS52</f>
        <v>0</v>
      </c>
      <c r="J52" s="62">
        <f>-'5C1E_LFNO'!AS52</f>
        <v>0</v>
      </c>
      <c r="K52" s="62">
        <f>-'5C1F_L.C. Charter'!AS52</f>
        <v>0</v>
      </c>
      <c r="L52" s="62">
        <f>-'5C1G_JS Clark'!AS52</f>
        <v>0</v>
      </c>
      <c r="M52" s="62">
        <f>-'5C1H_Southwest'!AS52</f>
        <v>0</v>
      </c>
      <c r="N52" s="62">
        <f>-'5C1I_LA Key'!AS52</f>
        <v>0</v>
      </c>
      <c r="O52" s="62">
        <f>-'5C1J_JCFA-East'!AS52</f>
        <v>0</v>
      </c>
      <c r="P52" s="62">
        <f>-'5C1M_GEO Mid'!AS52</f>
        <v>0</v>
      </c>
      <c r="Q52" s="62">
        <f>-'5C1N_Delta'!AS52</f>
        <v>0</v>
      </c>
      <c r="R52" s="62">
        <f>-'5C1O_Impact'!AS52</f>
        <v>0</v>
      </c>
      <c r="S52" s="62">
        <f>-'5C1Q_Advantage'!AS52</f>
        <v>-517</v>
      </c>
      <c r="T52" s="62">
        <f>-'5C1R_Iberville'!AS52</f>
        <v>0</v>
      </c>
      <c r="U52" s="62">
        <f>-'5C1S_LC Col Prep'!AS52</f>
        <v>0</v>
      </c>
      <c r="V52" s="62">
        <f>-'5C1T_Northeast'!AS52</f>
        <v>0</v>
      </c>
      <c r="W52" s="62">
        <f>-'5C1U_Acadiana Ren'!AS52</f>
        <v>0</v>
      </c>
      <c r="X52" s="62">
        <f>-'5C1V_Laf Ren'!AS52</f>
        <v>0</v>
      </c>
      <c r="Y52" s="62">
        <f>-'5C1W_Willow'!AS52</f>
        <v>0</v>
      </c>
      <c r="Z52" s="62">
        <f>-'5C1Y_GEO'!AS52</f>
        <v>0</v>
      </c>
      <c r="AA52" s="62">
        <f>-'5C1Z_Lincoln Prep'!AS52</f>
        <v>0</v>
      </c>
      <c r="AB52" s="62">
        <f>-'5C1AE_Noble Minds'!$AS52</f>
        <v>0</v>
      </c>
      <c r="AC52" s="62">
        <f>-'5C1AF_JCFA-Laf'!$AS52</f>
        <v>0</v>
      </c>
      <c r="AD52" s="62">
        <f>-'5C1AG_Collegiate'!$AS52</f>
        <v>0</v>
      </c>
      <c r="AE52" s="62">
        <f>-'5C1AH_BRUP'!$AS52</f>
        <v>0</v>
      </c>
      <c r="AF52" s="62">
        <f>-'5C1AI_Harmony'!$AS52</f>
        <v>0</v>
      </c>
      <c r="AG52" s="62">
        <f>-'5C1AJ_Athlos'!$AS52</f>
        <v>0</v>
      </c>
      <c r="AH52" s="62">
        <f>-'5C1AK_NxtGen'!$AS52</f>
        <v>0</v>
      </c>
      <c r="AI52" s="62">
        <f>-'5C1AL_Red River'!$AS52</f>
        <v>0</v>
      </c>
      <c r="AJ52" s="62">
        <f>-'5C2_LAVCA'!AT52</f>
        <v>-550</v>
      </c>
      <c r="AK52" s="62">
        <f>-'5C3_UnvView'!AT52</f>
        <v>-2993</v>
      </c>
      <c r="AL52" s="326">
        <f t="shared" si="7"/>
        <v>-4060</v>
      </c>
      <c r="AM52" s="327">
        <f t="shared" si="8"/>
        <v>771280</v>
      </c>
      <c r="AN52" s="62"/>
      <c r="AO52" s="62"/>
      <c r="AP52" s="62">
        <f>-'5C1A_Madison'!AX52</f>
        <v>0</v>
      </c>
      <c r="AQ52" s="62">
        <f>-'5C1B_DArbonne'!AX52</f>
        <v>0</v>
      </c>
      <c r="AR52" s="62">
        <f>-'5C1C_Intl High'!AX52</f>
        <v>0</v>
      </c>
      <c r="AS52" s="62">
        <f>-'5C1D_NOMMA'!AX52</f>
        <v>0</v>
      </c>
      <c r="AT52" s="62">
        <f>-'5C1E_LFNO'!AX52</f>
        <v>0</v>
      </c>
      <c r="AU52" s="62">
        <f>-'5C1F_L.C. Charter'!AX52</f>
        <v>0</v>
      </c>
      <c r="AV52" s="62">
        <f>-'5C1G_JS Clark'!AX52</f>
        <v>0</v>
      </c>
      <c r="AW52" s="62">
        <f>-'5C1H_Southwest'!AX52</f>
        <v>0</v>
      </c>
      <c r="AX52" s="62">
        <f>-'5C1I_LA Key'!AX52</f>
        <v>0</v>
      </c>
      <c r="AY52" s="62">
        <f>-'5C1J_JCFA-East'!AX52</f>
        <v>0</v>
      </c>
      <c r="AZ52" s="62">
        <f>-'5C1M_GEO Mid'!AX52</f>
        <v>0</v>
      </c>
      <c r="BA52" s="62">
        <f>-'5C1N_Delta'!AX52</f>
        <v>0</v>
      </c>
      <c r="BB52" s="62">
        <f>-'5C1O_Impact'!AX52</f>
        <v>0</v>
      </c>
      <c r="BC52" s="62">
        <f>-'5C1Q_Advantage'!AX52</f>
        <v>-8</v>
      </c>
      <c r="BD52" s="62">
        <f>-'5C1R_Iberville'!AX52</f>
        <v>0</v>
      </c>
      <c r="BE52" s="62">
        <f>-'5C1S_LC Col Prep'!AX52</f>
        <v>0</v>
      </c>
      <c r="BF52" s="62">
        <f>-'5C1T_Northeast'!AX52</f>
        <v>0</v>
      </c>
      <c r="BG52" s="62">
        <f>-'5C1U_Acadiana Ren'!AX52</f>
        <v>0</v>
      </c>
      <c r="BH52" s="62">
        <f>-'5C1V_Laf Ren'!AX52</f>
        <v>0</v>
      </c>
      <c r="BI52" s="62">
        <f>-'5C1W_Willow'!AX52</f>
        <v>0</v>
      </c>
      <c r="BJ52" s="62">
        <f>-'5C1Y_GEO'!AX52</f>
        <v>0</v>
      </c>
      <c r="BK52" s="62">
        <f>-'5C1Z_Lincoln Prep'!AX52</f>
        <v>0</v>
      </c>
      <c r="BL52" s="62">
        <f>-'5C1AE_Noble Minds'!AX52</f>
        <v>0</v>
      </c>
      <c r="BM52" s="62">
        <f>-'5C1AF_JCFA-Laf'!AX52</f>
        <v>0</v>
      </c>
      <c r="BN52" s="62">
        <f>-'5C1AG_Collegiate'!AX52</f>
        <v>0</v>
      </c>
      <c r="BO52" s="62">
        <f>-'5C1AH_BRUP'!AX52</f>
        <v>0</v>
      </c>
      <c r="BP52" s="62">
        <f>-'5C1AI_Harmony'!$AX52</f>
        <v>0</v>
      </c>
      <c r="BQ52" s="62">
        <f>-'5C1AJ_Athlos'!$AX52</f>
        <v>0</v>
      </c>
      <c r="BR52" s="62">
        <f>-'5C1AK_NxtGen'!$AX52</f>
        <v>0</v>
      </c>
      <c r="BS52" s="62">
        <f>-'5C1AL_Red River'!$AX52</f>
        <v>0</v>
      </c>
      <c r="BT52" s="62">
        <f>-'5C2_LAVCA'!AY52</f>
        <v>11</v>
      </c>
      <c r="BU52" s="62">
        <f>-'5C3_UnvView'!AY52</f>
        <v>-20</v>
      </c>
      <c r="BV52" s="62">
        <f t="shared" si="9"/>
        <v>-17</v>
      </c>
      <c r="BW52" s="327">
        <f t="shared" si="10"/>
        <v>771263</v>
      </c>
    </row>
    <row r="53" spans="1:75" s="8" customFormat="1" ht="15.75" customHeight="1" x14ac:dyDescent="0.2">
      <c r="A53" s="324">
        <v>47</v>
      </c>
      <c r="B53" s="325" t="s">
        <v>50</v>
      </c>
      <c r="C53" s="62">
        <f>'2_State Distrib and Adjs'!BB53</f>
        <v>874303</v>
      </c>
      <c r="D53" s="62">
        <f>-'5A3_OJJ'!S53</f>
        <v>0</v>
      </c>
      <c r="E53" s="62"/>
      <c r="F53" s="62">
        <f>-'5C1A_Madison'!AS53</f>
        <v>0</v>
      </c>
      <c r="G53" s="62">
        <f>-'5C1B_DArbonne'!AS53</f>
        <v>0</v>
      </c>
      <c r="H53" s="62">
        <f>-'5C1C_Intl High'!AS53</f>
        <v>0</v>
      </c>
      <c r="I53" s="62">
        <f>-'5C1D_NOMMA'!AS53</f>
        <v>0</v>
      </c>
      <c r="J53" s="62">
        <f>-'5C1E_LFNO'!AS53</f>
        <v>0</v>
      </c>
      <c r="K53" s="62">
        <f>-'5C1F_L.C. Charter'!AS53</f>
        <v>0</v>
      </c>
      <c r="L53" s="62">
        <f>-'5C1G_JS Clark'!AS53</f>
        <v>0</v>
      </c>
      <c r="M53" s="62">
        <f>-'5C1H_Southwest'!AS53</f>
        <v>0</v>
      </c>
      <c r="N53" s="62">
        <f>-'5C1I_LA Key'!AS53</f>
        <v>0</v>
      </c>
      <c r="O53" s="62">
        <f>-'5C1J_JCFA-East'!AS53</f>
        <v>0</v>
      </c>
      <c r="P53" s="62">
        <f>-'5C1M_GEO Mid'!AS53</f>
        <v>0</v>
      </c>
      <c r="Q53" s="62">
        <f>-'5C1N_Delta'!AS53</f>
        <v>0</v>
      </c>
      <c r="R53" s="62">
        <f>-'5C1O_Impact'!AS53</f>
        <v>0</v>
      </c>
      <c r="S53" s="62">
        <f>-'5C1Q_Advantage'!AS53</f>
        <v>0</v>
      </c>
      <c r="T53" s="62">
        <f>-'5C1R_Iberville'!AS53</f>
        <v>1327</v>
      </c>
      <c r="U53" s="62">
        <f>-'5C1S_LC Col Prep'!AS53</f>
        <v>0</v>
      </c>
      <c r="V53" s="62">
        <f>-'5C1T_Northeast'!AS53</f>
        <v>0</v>
      </c>
      <c r="W53" s="62">
        <f>-'5C1U_Acadiana Ren'!AS53</f>
        <v>0</v>
      </c>
      <c r="X53" s="62">
        <f>-'5C1V_Laf Ren'!AS53</f>
        <v>0</v>
      </c>
      <c r="Y53" s="62">
        <f>-'5C1W_Willow'!AS53</f>
        <v>0</v>
      </c>
      <c r="Z53" s="62">
        <f>-'5C1Y_GEO'!AS53</f>
        <v>0</v>
      </c>
      <c r="AA53" s="62">
        <f>-'5C1Z_Lincoln Prep'!AS53</f>
        <v>0</v>
      </c>
      <c r="AB53" s="62">
        <f>-'5C1AE_Noble Minds'!$AS53</f>
        <v>0</v>
      </c>
      <c r="AC53" s="62">
        <f>-'5C1AF_JCFA-Laf'!$AS53</f>
        <v>0</v>
      </c>
      <c r="AD53" s="62">
        <f>-'5C1AG_Collegiate'!$AS53</f>
        <v>0</v>
      </c>
      <c r="AE53" s="62">
        <f>-'5C1AH_BRUP'!$AS53</f>
        <v>0</v>
      </c>
      <c r="AF53" s="62">
        <f>-'5C1AI_Harmony'!$AS53</f>
        <v>0</v>
      </c>
      <c r="AG53" s="62">
        <f>-'5C1AJ_Athlos'!$AS53</f>
        <v>0</v>
      </c>
      <c r="AH53" s="62">
        <f>-'5C1AK_NxtGen'!$AS53</f>
        <v>0</v>
      </c>
      <c r="AI53" s="62">
        <f>-'5C1AL_Red River'!$AS53</f>
        <v>0</v>
      </c>
      <c r="AJ53" s="62">
        <f>-'5C2_LAVCA'!AT53</f>
        <v>-5953</v>
      </c>
      <c r="AK53" s="62">
        <f>-'5C3_UnvView'!AT53</f>
        <v>-11907</v>
      </c>
      <c r="AL53" s="326">
        <f t="shared" si="7"/>
        <v>-16533</v>
      </c>
      <c r="AM53" s="327">
        <f t="shared" si="8"/>
        <v>857770</v>
      </c>
      <c r="AN53" s="62"/>
      <c r="AO53" s="62"/>
      <c r="AP53" s="62">
        <f>-'5C1A_Madison'!AX53</f>
        <v>0</v>
      </c>
      <c r="AQ53" s="62">
        <f>-'5C1B_DArbonne'!AX53</f>
        <v>0</v>
      </c>
      <c r="AR53" s="62">
        <f>-'5C1C_Intl High'!AX53</f>
        <v>0</v>
      </c>
      <c r="AS53" s="62">
        <f>-'5C1D_NOMMA'!AX53</f>
        <v>0</v>
      </c>
      <c r="AT53" s="62">
        <f>-'5C1E_LFNO'!AX53</f>
        <v>0</v>
      </c>
      <c r="AU53" s="62">
        <f>-'5C1F_L.C. Charter'!AX53</f>
        <v>0</v>
      </c>
      <c r="AV53" s="62">
        <f>-'5C1G_JS Clark'!AX53</f>
        <v>0</v>
      </c>
      <c r="AW53" s="62">
        <f>-'5C1H_Southwest'!AX53</f>
        <v>0</v>
      </c>
      <c r="AX53" s="62">
        <f>-'5C1I_LA Key'!AX53</f>
        <v>0</v>
      </c>
      <c r="AY53" s="62">
        <f>-'5C1J_JCFA-East'!AX53</f>
        <v>0</v>
      </c>
      <c r="AZ53" s="62">
        <f>-'5C1M_GEO Mid'!AX53</f>
        <v>0</v>
      </c>
      <c r="BA53" s="62">
        <f>-'5C1N_Delta'!AX53</f>
        <v>0</v>
      </c>
      <c r="BB53" s="62">
        <f>-'5C1O_Impact'!AX53</f>
        <v>0</v>
      </c>
      <c r="BC53" s="62">
        <f>-'5C1Q_Advantage'!AX53</f>
        <v>0</v>
      </c>
      <c r="BD53" s="62">
        <f>-'5C1R_Iberville'!AX53</f>
        <v>40</v>
      </c>
      <c r="BE53" s="62">
        <f>-'5C1S_LC Col Prep'!AX53</f>
        <v>0</v>
      </c>
      <c r="BF53" s="62">
        <f>-'5C1T_Northeast'!AX53</f>
        <v>0</v>
      </c>
      <c r="BG53" s="62">
        <f>-'5C1U_Acadiana Ren'!AX53</f>
        <v>0</v>
      </c>
      <c r="BH53" s="62">
        <f>-'5C1V_Laf Ren'!AX53</f>
        <v>0</v>
      </c>
      <c r="BI53" s="62">
        <f>-'5C1W_Willow'!AX53</f>
        <v>0</v>
      </c>
      <c r="BJ53" s="62">
        <f>-'5C1Y_GEO'!AX53</f>
        <v>0</v>
      </c>
      <c r="BK53" s="62">
        <f>-'5C1Z_Lincoln Prep'!AX53</f>
        <v>0</v>
      </c>
      <c r="BL53" s="62">
        <f>-'5C1AE_Noble Minds'!AX53</f>
        <v>0</v>
      </c>
      <c r="BM53" s="62">
        <f>-'5C1AF_JCFA-Laf'!AX53</f>
        <v>0</v>
      </c>
      <c r="BN53" s="62">
        <f>-'5C1AG_Collegiate'!AX53</f>
        <v>0</v>
      </c>
      <c r="BO53" s="62">
        <f>-'5C1AH_BRUP'!AX53</f>
        <v>0</v>
      </c>
      <c r="BP53" s="62">
        <f>-'5C1AI_Harmony'!$AX53</f>
        <v>0</v>
      </c>
      <c r="BQ53" s="62">
        <f>-'5C1AJ_Athlos'!$AX53</f>
        <v>0</v>
      </c>
      <c r="BR53" s="62">
        <f>-'5C1AK_NxtGen'!$AX53</f>
        <v>0</v>
      </c>
      <c r="BS53" s="62">
        <f>-'5C1AL_Red River'!$AX53</f>
        <v>0</v>
      </c>
      <c r="BT53" s="62">
        <f>-'5C2_LAVCA'!AY53</f>
        <v>-36</v>
      </c>
      <c r="BU53" s="62">
        <f>-'5C3_UnvView'!AY53</f>
        <v>-107</v>
      </c>
      <c r="BV53" s="62">
        <f t="shared" si="9"/>
        <v>-103</v>
      </c>
      <c r="BW53" s="327">
        <f t="shared" si="10"/>
        <v>857667</v>
      </c>
    </row>
    <row r="54" spans="1:75" s="8" customFormat="1" ht="15.75" customHeight="1" x14ac:dyDescent="0.2">
      <c r="A54" s="324">
        <v>48</v>
      </c>
      <c r="B54" s="325" t="s">
        <v>73</v>
      </c>
      <c r="C54" s="62">
        <f>'2_State Distrib and Adjs'!BB54</f>
        <v>2314195</v>
      </c>
      <c r="D54" s="62">
        <f>-'5A3_OJJ'!S54</f>
        <v>-112</v>
      </c>
      <c r="E54" s="62"/>
      <c r="F54" s="62">
        <f>-'5C1A_Madison'!AS54</f>
        <v>0</v>
      </c>
      <c r="G54" s="62">
        <f>-'5C1B_DArbonne'!AS54</f>
        <v>0</v>
      </c>
      <c r="H54" s="62">
        <f>-'5C1C_Intl High'!AS54</f>
        <v>-1631</v>
      </c>
      <c r="I54" s="62">
        <f>-'5C1D_NOMMA'!AS54</f>
        <v>0</v>
      </c>
      <c r="J54" s="62">
        <f>-'5C1E_LFNO'!AS54</f>
        <v>-2150</v>
      </c>
      <c r="K54" s="62">
        <f>-'5C1F_L.C. Charter'!AS54</f>
        <v>0</v>
      </c>
      <c r="L54" s="62">
        <f>-'5C1G_JS Clark'!AS54</f>
        <v>0</v>
      </c>
      <c r="M54" s="62">
        <f>-'5C1H_Southwest'!AS54</f>
        <v>0</v>
      </c>
      <c r="N54" s="62">
        <f>-'5C1I_LA Key'!AS54</f>
        <v>0</v>
      </c>
      <c r="O54" s="62">
        <f>-'5C1J_JCFA-East'!AS54</f>
        <v>-2150</v>
      </c>
      <c r="P54" s="62">
        <f>-'5C1M_GEO Mid'!AS54</f>
        <v>0</v>
      </c>
      <c r="Q54" s="62">
        <f>-'5C1N_Delta'!AS54</f>
        <v>0</v>
      </c>
      <c r="R54" s="62">
        <f>-'5C1O_Impact'!AS54</f>
        <v>0</v>
      </c>
      <c r="S54" s="62">
        <f>-'5C1Q_Advantage'!AS54</f>
        <v>3335</v>
      </c>
      <c r="T54" s="62">
        <f>-'5C1R_Iberville'!AS54</f>
        <v>-2706</v>
      </c>
      <c r="U54" s="62">
        <f>-'5C1S_LC Col Prep'!AS54</f>
        <v>0</v>
      </c>
      <c r="V54" s="62">
        <f>-'5C1T_Northeast'!AS54</f>
        <v>0</v>
      </c>
      <c r="W54" s="62">
        <f>-'5C1U_Acadiana Ren'!AS54</f>
        <v>0</v>
      </c>
      <c r="X54" s="62">
        <f>-'5C1V_Laf Ren'!AS54</f>
        <v>0</v>
      </c>
      <c r="Y54" s="62">
        <f>-'5C1W_Willow'!AS54</f>
        <v>0</v>
      </c>
      <c r="Z54" s="62">
        <f>-'5C1Y_GEO'!AS54</f>
        <v>0</v>
      </c>
      <c r="AA54" s="62">
        <f>-'5C1Z_Lincoln Prep'!AS54</f>
        <v>0</v>
      </c>
      <c r="AB54" s="62">
        <f>-'5C1AE_Noble Minds'!$AS54</f>
        <v>-1631</v>
      </c>
      <c r="AC54" s="62">
        <f>-'5C1AF_JCFA-Laf'!$AS54</f>
        <v>0</v>
      </c>
      <c r="AD54" s="62">
        <f>-'5C1AG_Collegiate'!$AS54</f>
        <v>0</v>
      </c>
      <c r="AE54" s="62">
        <f>-'5C1AH_BRUP'!$AS54</f>
        <v>0</v>
      </c>
      <c r="AF54" s="62">
        <f>-'5C1AI_Harmony'!$AS54</f>
        <v>0</v>
      </c>
      <c r="AG54" s="62">
        <f>-'5C1AJ_Athlos'!$AS54</f>
        <v>0</v>
      </c>
      <c r="AH54" s="62">
        <f>-'5C1AK_NxtGen'!$AS54</f>
        <v>0</v>
      </c>
      <c r="AI54" s="62">
        <f>-'5C1AL_Red River'!$AS54</f>
        <v>0</v>
      </c>
      <c r="AJ54" s="62">
        <f>-'5C2_LAVCA'!AT54</f>
        <v>-24192</v>
      </c>
      <c r="AK54" s="62">
        <f>-'5C3_UnvView'!AT54</f>
        <v>-55822</v>
      </c>
      <c r="AL54" s="326">
        <f t="shared" si="7"/>
        <v>-87059</v>
      </c>
      <c r="AM54" s="327">
        <f t="shared" si="8"/>
        <v>2227136</v>
      </c>
      <c r="AN54" s="62"/>
      <c r="AO54" s="62"/>
      <c r="AP54" s="62">
        <f>-'5C1A_Madison'!AX54</f>
        <v>0</v>
      </c>
      <c r="AQ54" s="62">
        <f>-'5C1B_DArbonne'!AX54</f>
        <v>0</v>
      </c>
      <c r="AR54" s="62">
        <f>-'5C1C_Intl High'!AX54</f>
        <v>-22</v>
      </c>
      <c r="AS54" s="62">
        <f>-'5C1D_NOMMA'!AX54</f>
        <v>0</v>
      </c>
      <c r="AT54" s="62">
        <f>-'5C1E_LFNO'!AX54</f>
        <v>-11</v>
      </c>
      <c r="AU54" s="62">
        <f>-'5C1F_L.C. Charter'!AX54</f>
        <v>0</v>
      </c>
      <c r="AV54" s="62">
        <f>-'5C1G_JS Clark'!AX54</f>
        <v>0</v>
      </c>
      <c r="AW54" s="62">
        <f>-'5C1H_Southwest'!AX54</f>
        <v>0</v>
      </c>
      <c r="AX54" s="62">
        <f>-'5C1I_LA Key'!AX54</f>
        <v>0</v>
      </c>
      <c r="AY54" s="62">
        <f>-'5C1J_JCFA-East'!AX54</f>
        <v>-11</v>
      </c>
      <c r="AZ54" s="62">
        <f>-'5C1M_GEO Mid'!AX54</f>
        <v>0</v>
      </c>
      <c r="BA54" s="62">
        <f>-'5C1N_Delta'!AX54</f>
        <v>0</v>
      </c>
      <c r="BB54" s="62">
        <f>-'5C1O_Impact'!AX54</f>
        <v>0</v>
      </c>
      <c r="BC54" s="62">
        <f>-'5C1Q_Advantage'!AX54</f>
        <v>100</v>
      </c>
      <c r="BD54" s="62">
        <f>-'5C1R_Iberville'!AX54</f>
        <v>-27</v>
      </c>
      <c r="BE54" s="62">
        <f>-'5C1S_LC Col Prep'!AX54</f>
        <v>0</v>
      </c>
      <c r="BF54" s="62">
        <f>-'5C1T_Northeast'!AX54</f>
        <v>0</v>
      </c>
      <c r="BG54" s="62">
        <f>-'5C1U_Acadiana Ren'!AX54</f>
        <v>0</v>
      </c>
      <c r="BH54" s="62">
        <f>-'5C1V_Laf Ren'!AX54</f>
        <v>0</v>
      </c>
      <c r="BI54" s="62">
        <f>-'5C1W_Willow'!AX54</f>
        <v>0</v>
      </c>
      <c r="BJ54" s="62">
        <f>-'5C1Y_GEO'!AX54</f>
        <v>0</v>
      </c>
      <c r="BK54" s="62">
        <f>-'5C1Z_Lincoln Prep'!AX54</f>
        <v>0</v>
      </c>
      <c r="BL54" s="62">
        <f>-'5C1AE_Noble Minds'!AX54</f>
        <v>-22</v>
      </c>
      <c r="BM54" s="62">
        <f>-'5C1AF_JCFA-Laf'!AX54</f>
        <v>0</v>
      </c>
      <c r="BN54" s="62">
        <f>-'5C1AG_Collegiate'!AX54</f>
        <v>0</v>
      </c>
      <c r="BO54" s="62">
        <f>-'5C1AH_BRUP'!AX54</f>
        <v>0</v>
      </c>
      <c r="BP54" s="62">
        <f>-'5C1AI_Harmony'!$AX54</f>
        <v>0</v>
      </c>
      <c r="BQ54" s="62">
        <f>-'5C1AJ_Athlos'!$AX54</f>
        <v>0</v>
      </c>
      <c r="BR54" s="62">
        <f>-'5C1AK_NxtGen'!$AX54</f>
        <v>0</v>
      </c>
      <c r="BS54" s="62">
        <f>-'5C1AL_Red River'!$AX54</f>
        <v>0</v>
      </c>
      <c r="BT54" s="62">
        <f>-'5C2_LAVCA'!AY54</f>
        <v>-192</v>
      </c>
      <c r="BU54" s="62">
        <f>-'5C3_UnvView'!AY54</f>
        <v>-424</v>
      </c>
      <c r="BV54" s="62">
        <f t="shared" si="9"/>
        <v>-609</v>
      </c>
      <c r="BW54" s="327">
        <f t="shared" si="10"/>
        <v>2226527</v>
      </c>
    </row>
    <row r="55" spans="1:75" s="8" customFormat="1" ht="15.75" customHeight="1" x14ac:dyDescent="0.2">
      <c r="A55" s="324">
        <v>49</v>
      </c>
      <c r="B55" s="325" t="s">
        <v>51</v>
      </c>
      <c r="C55" s="62">
        <f>'2_State Distrib and Adjs'!BB55</f>
        <v>6132831</v>
      </c>
      <c r="D55" s="62">
        <f>-'5A3_OJJ'!S55</f>
        <v>-566</v>
      </c>
      <c r="E55" s="62"/>
      <c r="F55" s="62">
        <f>-'5C1A_Madison'!AS55</f>
        <v>0</v>
      </c>
      <c r="G55" s="62">
        <f>-'5C1B_DArbonne'!AS55</f>
        <v>0</v>
      </c>
      <c r="H55" s="62">
        <f>-'5C1C_Intl High'!AS55</f>
        <v>0</v>
      </c>
      <c r="I55" s="62">
        <f>-'5C1D_NOMMA'!AS55</f>
        <v>0</v>
      </c>
      <c r="J55" s="62">
        <f>-'5C1E_LFNO'!AS55</f>
        <v>0</v>
      </c>
      <c r="K55" s="62">
        <f>-'5C1F_L.C. Charter'!AS55</f>
        <v>0</v>
      </c>
      <c r="L55" s="62">
        <f>-'5C1G_JS Clark'!AS55</f>
        <v>-68452</v>
      </c>
      <c r="M55" s="62">
        <f>-'5C1H_Southwest'!AS55</f>
        <v>0</v>
      </c>
      <c r="N55" s="62">
        <f>-'5C1I_LA Key'!AS55</f>
        <v>-266</v>
      </c>
      <c r="O55" s="62">
        <f>-'5C1J_JCFA-East'!AS55</f>
        <v>0</v>
      </c>
      <c r="P55" s="62">
        <f>-'5C1M_GEO Mid'!AS55</f>
        <v>0</v>
      </c>
      <c r="Q55" s="62">
        <f>-'5C1N_Delta'!AS55</f>
        <v>0</v>
      </c>
      <c r="R55" s="62">
        <f>-'5C1O_Impact'!AS55</f>
        <v>0</v>
      </c>
      <c r="S55" s="62">
        <f>-'5C1Q_Advantage'!AS55</f>
        <v>0</v>
      </c>
      <c r="T55" s="62">
        <f>-'5C1R_Iberville'!AS55</f>
        <v>-1723</v>
      </c>
      <c r="U55" s="62">
        <f>-'5C1S_LC Col Prep'!AS55</f>
        <v>0</v>
      </c>
      <c r="V55" s="62">
        <f>-'5C1T_Northeast'!AS55</f>
        <v>0</v>
      </c>
      <c r="W55" s="62">
        <f>-'5C1U_Acadiana Ren'!AS55</f>
        <v>-3279</v>
      </c>
      <c r="X55" s="62">
        <f>-'5C1V_Laf Ren'!AS55</f>
        <v>-26900</v>
      </c>
      <c r="Y55" s="62">
        <f>-'5C1W_Willow'!AS55</f>
        <v>-3696</v>
      </c>
      <c r="Z55" s="62">
        <f>-'5C1Y_GEO'!AS55</f>
        <v>0</v>
      </c>
      <c r="AA55" s="62">
        <f>-'5C1Z_Lincoln Prep'!AS55</f>
        <v>0</v>
      </c>
      <c r="AB55" s="62">
        <f>-'5C1AE_Noble Minds'!$AS55</f>
        <v>0</v>
      </c>
      <c r="AC55" s="62">
        <f>-'5C1AF_JCFA-Laf'!$AS55</f>
        <v>103</v>
      </c>
      <c r="AD55" s="62">
        <f>-'5C1AG_Collegiate'!$AS55</f>
        <v>0</v>
      </c>
      <c r="AE55" s="62">
        <f>-'5C1AH_BRUP'!$AS55</f>
        <v>0</v>
      </c>
      <c r="AF55" s="62">
        <f>-'5C1AI_Harmony'!$AS55</f>
        <v>0</v>
      </c>
      <c r="AG55" s="62">
        <f>-'5C1AJ_Athlos'!$AS55</f>
        <v>0</v>
      </c>
      <c r="AH55" s="62">
        <f>-'5C1AK_NxtGen'!$AS55</f>
        <v>0</v>
      </c>
      <c r="AI55" s="62">
        <f>-'5C1AL_Red River'!$AS55</f>
        <v>75</v>
      </c>
      <c r="AJ55" s="62">
        <f>-'5C2_LAVCA'!AT55</f>
        <v>-21489</v>
      </c>
      <c r="AK55" s="62">
        <f>-'5C3_UnvView'!AT55</f>
        <v>-23648</v>
      </c>
      <c r="AL55" s="326">
        <f t="shared" si="7"/>
        <v>-149841</v>
      </c>
      <c r="AM55" s="327">
        <f t="shared" si="8"/>
        <v>5982990</v>
      </c>
      <c r="AN55" s="62"/>
      <c r="AO55" s="62"/>
      <c r="AP55" s="62">
        <f>-'5C1A_Madison'!AX55</f>
        <v>0</v>
      </c>
      <c r="AQ55" s="62">
        <f>-'5C1B_DArbonne'!AX55</f>
        <v>0</v>
      </c>
      <c r="AR55" s="62">
        <f>-'5C1C_Intl High'!AX55</f>
        <v>0</v>
      </c>
      <c r="AS55" s="62">
        <f>-'5C1D_NOMMA'!AX55</f>
        <v>0</v>
      </c>
      <c r="AT55" s="62">
        <f>-'5C1E_LFNO'!AX55</f>
        <v>0</v>
      </c>
      <c r="AU55" s="62">
        <f>-'5C1F_L.C. Charter'!AX55</f>
        <v>0</v>
      </c>
      <c r="AV55" s="62">
        <f>-'5C1G_JS Clark'!AX55</f>
        <v>-224</v>
      </c>
      <c r="AW55" s="62">
        <f>-'5C1H_Southwest'!AX55</f>
        <v>0</v>
      </c>
      <c r="AX55" s="62">
        <f>-'5C1I_LA Key'!AX55</f>
        <v>0</v>
      </c>
      <c r="AY55" s="62">
        <f>-'5C1J_JCFA-East'!AX55</f>
        <v>0</v>
      </c>
      <c r="AZ55" s="62">
        <f>-'5C1M_GEO Mid'!AX55</f>
        <v>0</v>
      </c>
      <c r="BA55" s="62">
        <f>-'5C1N_Delta'!AX55</f>
        <v>0</v>
      </c>
      <c r="BB55" s="62">
        <f>-'5C1O_Impact'!AX55</f>
        <v>0</v>
      </c>
      <c r="BC55" s="62">
        <f>-'5C1Q_Advantage'!AX55</f>
        <v>0</v>
      </c>
      <c r="BD55" s="62">
        <f>-'5C1R_Iberville'!AX55</f>
        <v>-22</v>
      </c>
      <c r="BE55" s="62">
        <f>-'5C1S_LC Col Prep'!AX55</f>
        <v>0</v>
      </c>
      <c r="BF55" s="62">
        <f>-'5C1T_Northeast'!AX55</f>
        <v>0</v>
      </c>
      <c r="BG55" s="62">
        <f>-'5C1U_Acadiana Ren'!AX55</f>
        <v>-40</v>
      </c>
      <c r="BH55" s="62">
        <f>-'5C1V_Laf Ren'!AX55</f>
        <v>-98</v>
      </c>
      <c r="BI55" s="62">
        <f>-'5C1W_Willow'!AX55</f>
        <v>44</v>
      </c>
      <c r="BJ55" s="62">
        <f>-'5C1Y_GEO'!AX55</f>
        <v>0</v>
      </c>
      <c r="BK55" s="62">
        <f>-'5C1Z_Lincoln Prep'!AX55</f>
        <v>0</v>
      </c>
      <c r="BL55" s="62">
        <f>-'5C1AE_Noble Minds'!AX55</f>
        <v>0</v>
      </c>
      <c r="BM55" s="62">
        <f>-'5C1AF_JCFA-Laf'!AX55</f>
        <v>3</v>
      </c>
      <c r="BN55" s="62">
        <f>-'5C1AG_Collegiate'!AX55</f>
        <v>0</v>
      </c>
      <c r="BO55" s="62">
        <f>-'5C1AH_BRUP'!AX55</f>
        <v>0</v>
      </c>
      <c r="BP55" s="62">
        <f>-'5C1AI_Harmony'!$AX55</f>
        <v>0</v>
      </c>
      <c r="BQ55" s="62">
        <f>-'5C1AJ_Athlos'!$AX55</f>
        <v>0</v>
      </c>
      <c r="BR55" s="62">
        <f>-'5C1AK_NxtGen'!$AX55</f>
        <v>0</v>
      </c>
      <c r="BS55" s="62">
        <f>-'5C1AL_Red River'!$AX55</f>
        <v>7</v>
      </c>
      <c r="BT55" s="62">
        <f>-'5C2_LAVCA'!AY55</f>
        <v>-120</v>
      </c>
      <c r="BU55" s="62">
        <f>-'5C3_UnvView'!AY55</f>
        <v>-151</v>
      </c>
      <c r="BV55" s="62">
        <f t="shared" si="9"/>
        <v>-601</v>
      </c>
      <c r="BW55" s="327">
        <f t="shared" si="10"/>
        <v>5982389</v>
      </c>
    </row>
    <row r="56" spans="1:75" s="8" customFormat="1" ht="15.75" customHeight="1" x14ac:dyDescent="0.2">
      <c r="A56" s="314">
        <v>50</v>
      </c>
      <c r="B56" s="315" t="s">
        <v>52</v>
      </c>
      <c r="C56" s="316">
        <f>'2_State Distrib and Adjs'!BB56</f>
        <v>3474914</v>
      </c>
      <c r="D56" s="316">
        <f>-'5A3_OJJ'!S56</f>
        <v>-21</v>
      </c>
      <c r="E56" s="316"/>
      <c r="F56" s="316">
        <f>-'5C1A_Madison'!AS56</f>
        <v>0</v>
      </c>
      <c r="G56" s="316">
        <f>-'5C1B_DArbonne'!AS56</f>
        <v>0</v>
      </c>
      <c r="H56" s="316">
        <f>-'5C1C_Intl High'!AS56</f>
        <v>0</v>
      </c>
      <c r="I56" s="316">
        <f>-'5C1D_NOMMA'!AS56</f>
        <v>0</v>
      </c>
      <c r="J56" s="316">
        <f>-'5C1E_LFNO'!AS56</f>
        <v>0</v>
      </c>
      <c r="K56" s="316">
        <f>-'5C1F_L.C. Charter'!AS56</f>
        <v>0</v>
      </c>
      <c r="L56" s="316">
        <f>-'5C1G_JS Clark'!AS56</f>
        <v>0</v>
      </c>
      <c r="M56" s="316">
        <f>-'5C1H_Southwest'!AS56</f>
        <v>0</v>
      </c>
      <c r="N56" s="316">
        <f>-'5C1I_LA Key'!AS56</f>
        <v>0</v>
      </c>
      <c r="O56" s="316">
        <f>-'5C1J_JCFA-East'!AS56</f>
        <v>0</v>
      </c>
      <c r="P56" s="316">
        <f>-'5C1M_GEO Mid'!AS56</f>
        <v>0</v>
      </c>
      <c r="Q56" s="316">
        <f>-'5C1N_Delta'!AS56</f>
        <v>0</v>
      </c>
      <c r="R56" s="316">
        <f>-'5C1O_Impact'!AS56</f>
        <v>0</v>
      </c>
      <c r="S56" s="316">
        <f>-'5C1Q_Advantage'!AS56</f>
        <v>0</v>
      </c>
      <c r="T56" s="316">
        <f>-'5C1R_Iberville'!AS56</f>
        <v>-26263</v>
      </c>
      <c r="U56" s="316">
        <f>-'5C1S_LC Col Prep'!AS56</f>
        <v>0</v>
      </c>
      <c r="V56" s="316">
        <f>-'5C1T_Northeast'!AS56</f>
        <v>0</v>
      </c>
      <c r="W56" s="316">
        <f>-'5C1U_Acadiana Ren'!AS56</f>
        <v>-29164</v>
      </c>
      <c r="X56" s="316">
        <f>-'5C1V_Laf Ren'!AS56</f>
        <v>-13136</v>
      </c>
      <c r="Y56" s="316">
        <f>-'5C1W_Willow'!AS56</f>
        <v>-9521</v>
      </c>
      <c r="Z56" s="316">
        <f>-'5C1Y_GEO'!AS56</f>
        <v>0</v>
      </c>
      <c r="AA56" s="316">
        <f>-'5C1Z_Lincoln Prep'!AS56</f>
        <v>0</v>
      </c>
      <c r="AB56" s="316">
        <f>-'5C1AE_Noble Minds'!$AS56</f>
        <v>0</v>
      </c>
      <c r="AC56" s="316">
        <f>-'5C1AF_JCFA-Laf'!$AS56</f>
        <v>-1445</v>
      </c>
      <c r="AD56" s="316">
        <f>-'5C1AG_Collegiate'!$AS56</f>
        <v>0</v>
      </c>
      <c r="AE56" s="316">
        <f>-'5C1AH_BRUP'!$AS56</f>
        <v>0</v>
      </c>
      <c r="AF56" s="586">
        <f>-'5C1AI_Harmony'!$AS56</f>
        <v>0</v>
      </c>
      <c r="AG56" s="586">
        <f>-'5C1AJ_Athlos'!$AS56</f>
        <v>0</v>
      </c>
      <c r="AH56" s="781">
        <f>-'5C1AK_NxtGen'!$AS56</f>
        <v>0</v>
      </c>
      <c r="AI56" s="781">
        <f>-'5C1AL_Red River'!$AS56</f>
        <v>0</v>
      </c>
      <c r="AJ56" s="316">
        <f>-'5C2_LAVCA'!AT56</f>
        <v>-6280</v>
      </c>
      <c r="AK56" s="316">
        <f>-'5C3_UnvView'!AT56</f>
        <v>-7245</v>
      </c>
      <c r="AL56" s="317">
        <f t="shared" si="7"/>
        <v>-93075</v>
      </c>
      <c r="AM56" s="318">
        <f t="shared" si="8"/>
        <v>3381839</v>
      </c>
      <c r="AN56" s="316"/>
      <c r="AO56" s="316"/>
      <c r="AP56" s="316">
        <f>-'5C1A_Madison'!AX56</f>
        <v>0</v>
      </c>
      <c r="AQ56" s="316">
        <f>-'5C1B_DArbonne'!AX56</f>
        <v>0</v>
      </c>
      <c r="AR56" s="316">
        <f>-'5C1C_Intl High'!AX56</f>
        <v>0</v>
      </c>
      <c r="AS56" s="316">
        <f>-'5C1D_NOMMA'!AX56</f>
        <v>0</v>
      </c>
      <c r="AT56" s="316">
        <f>-'5C1E_LFNO'!AX56</f>
        <v>0</v>
      </c>
      <c r="AU56" s="316">
        <f>-'5C1F_L.C. Charter'!AX56</f>
        <v>0</v>
      </c>
      <c r="AV56" s="316">
        <f>-'5C1G_JS Clark'!AX56</f>
        <v>0</v>
      </c>
      <c r="AW56" s="316">
        <f>-'5C1H_Southwest'!AX56</f>
        <v>0</v>
      </c>
      <c r="AX56" s="316">
        <f>-'5C1I_LA Key'!AX56</f>
        <v>0</v>
      </c>
      <c r="AY56" s="316">
        <f>-'5C1J_JCFA-East'!AX56</f>
        <v>0</v>
      </c>
      <c r="AZ56" s="316">
        <f>-'5C1M_GEO Mid'!AX56</f>
        <v>0</v>
      </c>
      <c r="BA56" s="316">
        <f>-'5C1N_Delta'!AX56</f>
        <v>0</v>
      </c>
      <c r="BB56" s="316">
        <f>-'5C1O_Impact'!AX56</f>
        <v>0</v>
      </c>
      <c r="BC56" s="316">
        <f>-'5C1Q_Advantage'!AX56</f>
        <v>0</v>
      </c>
      <c r="BD56" s="316">
        <f>-'5C1R_Iberville'!AX56</f>
        <v>-405</v>
      </c>
      <c r="BE56" s="316">
        <f>-'5C1S_LC Col Prep'!AX56</f>
        <v>0</v>
      </c>
      <c r="BF56" s="316">
        <f>-'5C1T_Northeast'!AX56</f>
        <v>0</v>
      </c>
      <c r="BG56" s="316">
        <f>-'5C1U_Acadiana Ren'!AX56</f>
        <v>-241</v>
      </c>
      <c r="BH56" s="316">
        <f>-'5C1V_Laf Ren'!AX56</f>
        <v>29</v>
      </c>
      <c r="BI56" s="316">
        <f>-'5C1W_Willow'!AX56</f>
        <v>-46</v>
      </c>
      <c r="BJ56" s="316">
        <f>-'5C1Y_GEO'!AX56</f>
        <v>0</v>
      </c>
      <c r="BK56" s="316">
        <f>-'5C1Z_Lincoln Prep'!AX56</f>
        <v>0</v>
      </c>
      <c r="BL56" s="316">
        <f>-'5C1AE_Noble Minds'!AX56</f>
        <v>0</v>
      </c>
      <c r="BM56" s="316">
        <f>-'5C1AF_JCFA-Laf'!AX56</f>
        <v>-14</v>
      </c>
      <c r="BN56" s="316">
        <f>-'5C1AG_Collegiate'!AX56</f>
        <v>0</v>
      </c>
      <c r="BO56" s="316">
        <f>-'5C1AH_BRUP'!AX56</f>
        <v>0</v>
      </c>
      <c r="BP56" s="586">
        <f>-'5C1AI_Harmony'!$AX56</f>
        <v>0</v>
      </c>
      <c r="BQ56" s="586">
        <f>-'5C1AJ_Athlos'!$AX56</f>
        <v>0</v>
      </c>
      <c r="BR56" s="781">
        <f>-'5C1AK_NxtGen'!$AX56</f>
        <v>0</v>
      </c>
      <c r="BS56" s="781">
        <f>-'5C1AL_Red River'!$AX56</f>
        <v>0</v>
      </c>
      <c r="BT56" s="316">
        <f>-'5C2_LAVCA'!AY56</f>
        <v>19</v>
      </c>
      <c r="BU56" s="316">
        <f>-'5C3_UnvView'!AY56</f>
        <v>-62</v>
      </c>
      <c r="BV56" s="316">
        <f t="shared" si="9"/>
        <v>-720</v>
      </c>
      <c r="BW56" s="318">
        <f t="shared" si="10"/>
        <v>3381119</v>
      </c>
    </row>
    <row r="57" spans="1:75" s="8" customFormat="1" ht="15.75" customHeight="1" x14ac:dyDescent="0.2">
      <c r="A57" s="324">
        <v>51</v>
      </c>
      <c r="B57" s="325" t="s">
        <v>53</v>
      </c>
      <c r="C57" s="62">
        <f>'2_State Distrib and Adjs'!BB57</f>
        <v>3692684</v>
      </c>
      <c r="D57" s="62">
        <f>-'5A3_OJJ'!S57</f>
        <v>-317</v>
      </c>
      <c r="E57" s="62"/>
      <c r="F57" s="62">
        <f>-'5C1A_Madison'!AS57</f>
        <v>0</v>
      </c>
      <c r="G57" s="62">
        <f>-'5C1B_DArbonne'!AS57</f>
        <v>0</v>
      </c>
      <c r="H57" s="62">
        <f>-'5C1C_Intl High'!AS57</f>
        <v>0</v>
      </c>
      <c r="I57" s="62">
        <f>-'5C1D_NOMMA'!AS57</f>
        <v>0</v>
      </c>
      <c r="J57" s="62">
        <f>-'5C1E_LFNO'!AS57</f>
        <v>0</v>
      </c>
      <c r="K57" s="62">
        <f>-'5C1F_L.C. Charter'!AS57</f>
        <v>0</v>
      </c>
      <c r="L57" s="62">
        <f>-'5C1G_JS Clark'!AS57</f>
        <v>0</v>
      </c>
      <c r="M57" s="62">
        <f>-'5C1H_Southwest'!AS57</f>
        <v>0</v>
      </c>
      <c r="N57" s="62">
        <f>-'5C1I_LA Key'!AS57</f>
        <v>0</v>
      </c>
      <c r="O57" s="62">
        <f>-'5C1J_JCFA-East'!AS57</f>
        <v>0</v>
      </c>
      <c r="P57" s="62">
        <f>-'5C1M_GEO Mid'!AS57</f>
        <v>0</v>
      </c>
      <c r="Q57" s="62">
        <f>-'5C1N_Delta'!AS57</f>
        <v>0</v>
      </c>
      <c r="R57" s="62">
        <f>-'5C1O_Impact'!AS57</f>
        <v>0</v>
      </c>
      <c r="S57" s="62">
        <f>-'5C1Q_Advantage'!AS57</f>
        <v>0</v>
      </c>
      <c r="T57" s="62">
        <f>-'5C1R_Iberville'!AS57</f>
        <v>-7752</v>
      </c>
      <c r="U57" s="62">
        <f>-'5C1S_LC Col Prep'!AS57</f>
        <v>0</v>
      </c>
      <c r="V57" s="62">
        <f>-'5C1T_Northeast'!AS57</f>
        <v>0</v>
      </c>
      <c r="W57" s="62">
        <f>-'5C1U_Acadiana Ren'!AS57</f>
        <v>-816</v>
      </c>
      <c r="X57" s="62">
        <f>-'5C1V_Laf Ren'!AS57</f>
        <v>0</v>
      </c>
      <c r="Y57" s="62">
        <f>-'5C1W_Willow'!AS57</f>
        <v>-816</v>
      </c>
      <c r="Z57" s="62">
        <f>-'5C1Y_GEO'!AS57</f>
        <v>0</v>
      </c>
      <c r="AA57" s="62">
        <f>-'5C1Z_Lincoln Prep'!AS57</f>
        <v>0</v>
      </c>
      <c r="AB57" s="62">
        <f>-'5C1AE_Noble Minds'!$AS57</f>
        <v>0</v>
      </c>
      <c r="AC57" s="62">
        <f>-'5C1AF_JCFA-Laf'!$AS57</f>
        <v>0</v>
      </c>
      <c r="AD57" s="62">
        <f>-'5C1AG_Collegiate'!$AS57</f>
        <v>0</v>
      </c>
      <c r="AE57" s="62">
        <f>-'5C1AH_BRUP'!$AS57</f>
        <v>0</v>
      </c>
      <c r="AF57" s="62">
        <f>-'5C1AI_Harmony'!$AS57</f>
        <v>0</v>
      </c>
      <c r="AG57" s="62">
        <f>-'5C1AJ_Athlos'!$AS57</f>
        <v>0</v>
      </c>
      <c r="AH57" s="62">
        <f>-'5C1AK_NxtGen'!$AS57</f>
        <v>0</v>
      </c>
      <c r="AI57" s="62">
        <f>-'5C1AL_Red River'!$AS57</f>
        <v>0</v>
      </c>
      <c r="AJ57" s="62">
        <f>-'5C2_LAVCA'!AT57</f>
        <v>-5699</v>
      </c>
      <c r="AK57" s="62">
        <f>-'5C3_UnvView'!AT57</f>
        <v>-8510</v>
      </c>
      <c r="AL57" s="326">
        <f t="shared" si="7"/>
        <v>-23910</v>
      </c>
      <c r="AM57" s="327">
        <f t="shared" si="8"/>
        <v>3668774</v>
      </c>
      <c r="AN57" s="62"/>
      <c r="AO57" s="62"/>
      <c r="AP57" s="62">
        <f>-'5C1A_Madison'!AX57</f>
        <v>0</v>
      </c>
      <c r="AQ57" s="62">
        <f>-'5C1B_DArbonne'!AX57</f>
        <v>0</v>
      </c>
      <c r="AR57" s="62">
        <f>-'5C1C_Intl High'!AX57</f>
        <v>0</v>
      </c>
      <c r="AS57" s="62">
        <f>-'5C1D_NOMMA'!AX57</f>
        <v>0</v>
      </c>
      <c r="AT57" s="62">
        <f>-'5C1E_LFNO'!AX57</f>
        <v>0</v>
      </c>
      <c r="AU57" s="62">
        <f>-'5C1F_L.C. Charter'!AX57</f>
        <v>0</v>
      </c>
      <c r="AV57" s="62">
        <f>-'5C1G_JS Clark'!AX57</f>
        <v>0</v>
      </c>
      <c r="AW57" s="62">
        <f>-'5C1H_Southwest'!AX57</f>
        <v>0</v>
      </c>
      <c r="AX57" s="62">
        <f>-'5C1I_LA Key'!AX57</f>
        <v>0</v>
      </c>
      <c r="AY57" s="62">
        <f>-'5C1J_JCFA-East'!AX57</f>
        <v>0</v>
      </c>
      <c r="AZ57" s="62">
        <f>-'5C1M_GEO Mid'!AX57</f>
        <v>0</v>
      </c>
      <c r="BA57" s="62">
        <f>-'5C1N_Delta'!AX57</f>
        <v>0</v>
      </c>
      <c r="BB57" s="62">
        <f>-'5C1O_Impact'!AX57</f>
        <v>0</v>
      </c>
      <c r="BC57" s="62">
        <f>-'5C1Q_Advantage'!AX57</f>
        <v>0</v>
      </c>
      <c r="BD57" s="62">
        <f>-'5C1R_Iberville'!AX57</f>
        <v>-110</v>
      </c>
      <c r="BE57" s="62">
        <f>-'5C1S_LC Col Prep'!AX57</f>
        <v>0</v>
      </c>
      <c r="BF57" s="62">
        <f>-'5C1T_Northeast'!AX57</f>
        <v>0</v>
      </c>
      <c r="BG57" s="62">
        <f>-'5C1U_Acadiana Ren'!AX57</f>
        <v>-12</v>
      </c>
      <c r="BH57" s="62">
        <f>-'5C1V_Laf Ren'!AX57</f>
        <v>0</v>
      </c>
      <c r="BI57" s="62">
        <f>-'5C1W_Willow'!AX57</f>
        <v>-12</v>
      </c>
      <c r="BJ57" s="62">
        <f>-'5C1Y_GEO'!AX57</f>
        <v>0</v>
      </c>
      <c r="BK57" s="62">
        <f>-'5C1Z_Lincoln Prep'!AX57</f>
        <v>0</v>
      </c>
      <c r="BL57" s="62">
        <f>-'5C1AE_Noble Minds'!AX57</f>
        <v>0</v>
      </c>
      <c r="BM57" s="62">
        <f>-'5C1AF_JCFA-Laf'!AX57</f>
        <v>0</v>
      </c>
      <c r="BN57" s="62">
        <f>-'5C1AG_Collegiate'!AX57</f>
        <v>0</v>
      </c>
      <c r="BO57" s="62">
        <f>-'5C1AH_BRUP'!AX57</f>
        <v>0</v>
      </c>
      <c r="BP57" s="62">
        <f>-'5C1AI_Harmony'!$AX57</f>
        <v>0</v>
      </c>
      <c r="BQ57" s="62">
        <f>-'5C1AJ_Athlos'!$AX57</f>
        <v>0</v>
      </c>
      <c r="BR57" s="62">
        <f>-'5C1AK_NxtGen'!$AX57</f>
        <v>0</v>
      </c>
      <c r="BS57" s="62">
        <f>-'5C1AL_Red River'!$AX57</f>
        <v>0</v>
      </c>
      <c r="BT57" s="62">
        <f>-'5C2_LAVCA'!AY57</f>
        <v>-28</v>
      </c>
      <c r="BU57" s="62">
        <f>-'5C3_UnvView'!AY57</f>
        <v>-23</v>
      </c>
      <c r="BV57" s="62">
        <f t="shared" si="9"/>
        <v>-185</v>
      </c>
      <c r="BW57" s="327">
        <f t="shared" si="10"/>
        <v>3668589</v>
      </c>
    </row>
    <row r="58" spans="1:75" s="8" customFormat="1" ht="15.75" customHeight="1" x14ac:dyDescent="0.2">
      <c r="A58" s="324">
        <v>52</v>
      </c>
      <c r="B58" s="325" t="s">
        <v>54</v>
      </c>
      <c r="C58" s="62">
        <f>'2_State Distrib and Adjs'!BB58</f>
        <v>17863064</v>
      </c>
      <c r="D58" s="62">
        <f>-'5A3_OJJ'!S58</f>
        <v>-1363</v>
      </c>
      <c r="E58" s="62"/>
      <c r="F58" s="62">
        <f>-'5C1A_Madison'!AS58</f>
        <v>0</v>
      </c>
      <c r="G58" s="62">
        <f>-'5C1B_DArbonne'!AS58</f>
        <v>0</v>
      </c>
      <c r="H58" s="62">
        <f>-'5C1C_Intl High'!AS58</f>
        <v>1018</v>
      </c>
      <c r="I58" s="62">
        <f>-'5C1D_NOMMA'!AS58</f>
        <v>-3300</v>
      </c>
      <c r="J58" s="62">
        <f>-'5C1E_LFNO'!AS58</f>
        <v>-8608</v>
      </c>
      <c r="K58" s="62">
        <f>-'5C1F_L.C. Charter'!AS58</f>
        <v>0</v>
      </c>
      <c r="L58" s="62">
        <f>-'5C1G_JS Clark'!AS58</f>
        <v>0</v>
      </c>
      <c r="M58" s="62">
        <f>-'5C1H_Southwest'!AS58</f>
        <v>0</v>
      </c>
      <c r="N58" s="62">
        <f>-'5C1I_LA Key'!AS58</f>
        <v>-2460</v>
      </c>
      <c r="O58" s="62">
        <f>-'5C1J_JCFA-East'!AS58</f>
        <v>1526</v>
      </c>
      <c r="P58" s="62">
        <f>-'5C1M_GEO Mid'!AS58</f>
        <v>0</v>
      </c>
      <c r="Q58" s="62">
        <f>-'5C1N_Delta'!AS58</f>
        <v>0</v>
      </c>
      <c r="R58" s="62">
        <f>-'5C1O_Impact'!AS58</f>
        <v>0</v>
      </c>
      <c r="S58" s="62">
        <f>-'5C1Q_Advantage'!AS58</f>
        <v>0</v>
      </c>
      <c r="T58" s="62">
        <f>-'5C1R_Iberville'!AS58</f>
        <v>-1889</v>
      </c>
      <c r="U58" s="62">
        <f>-'5C1S_LC Col Prep'!AS58</f>
        <v>0</v>
      </c>
      <c r="V58" s="62">
        <f>-'5C1T_Northeast'!AS58</f>
        <v>0</v>
      </c>
      <c r="W58" s="62">
        <f>-'5C1U_Acadiana Ren'!AS58</f>
        <v>-1079</v>
      </c>
      <c r="X58" s="62">
        <f>-'5C1V_Laf Ren'!AS58</f>
        <v>0</v>
      </c>
      <c r="Y58" s="62">
        <f>-'5C1W_Willow'!AS58</f>
        <v>0</v>
      </c>
      <c r="Z58" s="62">
        <f>-'5C1Y_GEO'!AS58</f>
        <v>0</v>
      </c>
      <c r="AA58" s="62">
        <f>-'5C1Z_Lincoln Prep'!AS58</f>
        <v>0</v>
      </c>
      <c r="AB58" s="62">
        <f>-'5C1AE_Noble Minds'!$AS58</f>
        <v>0</v>
      </c>
      <c r="AC58" s="62">
        <f>-'5C1AF_JCFA-Laf'!$AS58</f>
        <v>0</v>
      </c>
      <c r="AD58" s="62">
        <f>-'5C1AG_Collegiate'!$AS58</f>
        <v>0</v>
      </c>
      <c r="AE58" s="62">
        <f>-'5C1AH_BRUP'!$AS58</f>
        <v>0</v>
      </c>
      <c r="AF58" s="62">
        <f>-'5C1AI_Harmony'!$AS58</f>
        <v>-1079</v>
      </c>
      <c r="AG58" s="62">
        <f>-'5C1AJ_Athlos'!$AS58</f>
        <v>-2159</v>
      </c>
      <c r="AH58" s="62">
        <f>-'5C1AK_NxtGen'!$AS58</f>
        <v>0</v>
      </c>
      <c r="AI58" s="62">
        <f>-'5C1AL_Red River'!$AS58</f>
        <v>0</v>
      </c>
      <c r="AJ58" s="62">
        <f>-'5C2_LAVCA'!AT58</f>
        <v>-71309</v>
      </c>
      <c r="AK58" s="62">
        <f>-'5C3_UnvView'!AT58</f>
        <v>-209292</v>
      </c>
      <c r="AL58" s="326">
        <f t="shared" si="7"/>
        <v>-299994</v>
      </c>
      <c r="AM58" s="327">
        <f t="shared" si="8"/>
        <v>17563070</v>
      </c>
      <c r="AN58" s="62"/>
      <c r="AO58" s="62"/>
      <c r="AP58" s="62">
        <f>-'5C1A_Madison'!AX58</f>
        <v>0</v>
      </c>
      <c r="AQ58" s="62">
        <f>-'5C1B_DArbonne'!AX58</f>
        <v>0</v>
      </c>
      <c r="AR58" s="62">
        <f>-'5C1C_Intl High'!AX58</f>
        <v>31</v>
      </c>
      <c r="AS58" s="62">
        <f>-'5C1D_NOMMA'!AX58</f>
        <v>-34</v>
      </c>
      <c r="AT58" s="62">
        <f>-'5C1E_LFNO'!AX58</f>
        <v>-73</v>
      </c>
      <c r="AU58" s="62">
        <f>-'5C1F_L.C. Charter'!AX58</f>
        <v>0</v>
      </c>
      <c r="AV58" s="62">
        <f>-'5C1G_JS Clark'!AX58</f>
        <v>0</v>
      </c>
      <c r="AW58" s="62">
        <f>-'5C1H_Southwest'!AX58</f>
        <v>0</v>
      </c>
      <c r="AX58" s="62">
        <f>-'5C1I_LA Key'!AX58</f>
        <v>-26</v>
      </c>
      <c r="AY58" s="62">
        <f>-'5C1J_JCFA-East'!AX58</f>
        <v>46</v>
      </c>
      <c r="AZ58" s="62">
        <f>-'5C1M_GEO Mid'!AX58</f>
        <v>0</v>
      </c>
      <c r="BA58" s="62">
        <f>-'5C1N_Delta'!AX58</f>
        <v>0</v>
      </c>
      <c r="BB58" s="62">
        <f>-'5C1O_Impact'!AX58</f>
        <v>0</v>
      </c>
      <c r="BC58" s="62">
        <f>-'5C1Q_Advantage'!AX58</f>
        <v>0</v>
      </c>
      <c r="BD58" s="62">
        <f>-'5C1R_Iberville'!AX58</f>
        <v>-24</v>
      </c>
      <c r="BE58" s="62">
        <f>-'5C1S_LC Col Prep'!AX58</f>
        <v>0</v>
      </c>
      <c r="BF58" s="62">
        <f>-'5C1T_Northeast'!AX58</f>
        <v>0</v>
      </c>
      <c r="BG58" s="62">
        <f>-'5C1U_Acadiana Ren'!AX58</f>
        <v>-16</v>
      </c>
      <c r="BH58" s="62">
        <f>-'5C1V_Laf Ren'!AX58</f>
        <v>0</v>
      </c>
      <c r="BI58" s="62">
        <f>-'5C1W_Willow'!AX58</f>
        <v>0</v>
      </c>
      <c r="BJ58" s="62">
        <f>-'5C1Y_GEO'!AX58</f>
        <v>0</v>
      </c>
      <c r="BK58" s="62">
        <f>-'5C1Z_Lincoln Prep'!AX58</f>
        <v>0</v>
      </c>
      <c r="BL58" s="62">
        <f>-'5C1AE_Noble Minds'!AX58</f>
        <v>0</v>
      </c>
      <c r="BM58" s="62">
        <f>-'5C1AF_JCFA-Laf'!AX58</f>
        <v>0</v>
      </c>
      <c r="BN58" s="62">
        <f>-'5C1AG_Collegiate'!AX58</f>
        <v>0</v>
      </c>
      <c r="BO58" s="62">
        <f>-'5C1AH_BRUP'!AX58</f>
        <v>0</v>
      </c>
      <c r="BP58" s="62">
        <f>-'5C1AI_Harmony'!$AX58</f>
        <v>-16</v>
      </c>
      <c r="BQ58" s="62">
        <f>-'5C1AJ_Athlos'!$AX58</f>
        <v>-32</v>
      </c>
      <c r="BR58" s="62">
        <f>-'5C1AK_NxtGen'!$AX58</f>
        <v>0</v>
      </c>
      <c r="BS58" s="62">
        <f>-'5C1AL_Red River'!$AX58</f>
        <v>0</v>
      </c>
      <c r="BT58" s="62">
        <f>-'5C2_LAVCA'!AY58</f>
        <v>-282</v>
      </c>
      <c r="BU58" s="62">
        <f>-'5C3_UnvView'!AY58</f>
        <v>-1057</v>
      </c>
      <c r="BV58" s="62">
        <f t="shared" si="9"/>
        <v>-1483</v>
      </c>
      <c r="BW58" s="327">
        <f t="shared" si="10"/>
        <v>17561587</v>
      </c>
    </row>
    <row r="59" spans="1:75" s="8" customFormat="1" ht="15.75" customHeight="1" x14ac:dyDescent="0.2">
      <c r="A59" s="324">
        <v>53</v>
      </c>
      <c r="B59" s="325" t="s">
        <v>55</v>
      </c>
      <c r="C59" s="62">
        <f>'2_State Distrib and Adjs'!BB59</f>
        <v>9722901</v>
      </c>
      <c r="D59" s="62">
        <f>-'5A3_OJJ'!S59</f>
        <v>-651</v>
      </c>
      <c r="E59" s="62"/>
      <c r="F59" s="62">
        <f>-'5C1A_Madison'!AS59</f>
        <v>-374</v>
      </c>
      <c r="G59" s="62">
        <f>-'5C1B_DArbonne'!AS59</f>
        <v>0</v>
      </c>
      <c r="H59" s="62">
        <f>-'5C1C_Intl High'!AS59</f>
        <v>0</v>
      </c>
      <c r="I59" s="62">
        <f>-'5C1D_NOMMA'!AS59</f>
        <v>-255</v>
      </c>
      <c r="J59" s="62">
        <f>-'5C1E_LFNO'!AS59</f>
        <v>-474</v>
      </c>
      <c r="K59" s="62">
        <f>-'5C1F_L.C. Charter'!AS59</f>
        <v>0</v>
      </c>
      <c r="L59" s="62">
        <f>-'5C1G_JS Clark'!AS59</f>
        <v>0</v>
      </c>
      <c r="M59" s="62">
        <f>-'5C1H_Southwest'!AS59</f>
        <v>0</v>
      </c>
      <c r="N59" s="62">
        <f>-'5C1I_LA Key'!AS59</f>
        <v>-2252</v>
      </c>
      <c r="O59" s="62">
        <f>-'5C1J_JCFA-East'!AS59</f>
        <v>-474</v>
      </c>
      <c r="P59" s="62">
        <f>-'5C1M_GEO Mid'!AS59</f>
        <v>0</v>
      </c>
      <c r="Q59" s="62">
        <f>-'5C1N_Delta'!AS59</f>
        <v>0</v>
      </c>
      <c r="R59" s="62">
        <f>-'5C1O_Impact'!AS59</f>
        <v>-237</v>
      </c>
      <c r="S59" s="62">
        <f>-'5C1Q_Advantage'!AS59</f>
        <v>0</v>
      </c>
      <c r="T59" s="62">
        <f>-'5C1R_Iberville'!AS59</f>
        <v>-949</v>
      </c>
      <c r="U59" s="62">
        <f>-'5C1S_LC Col Prep'!AS59</f>
        <v>0</v>
      </c>
      <c r="V59" s="62">
        <f>-'5C1T_Northeast'!AS59</f>
        <v>0</v>
      </c>
      <c r="W59" s="62">
        <f>-'5C1U_Acadiana Ren'!AS59</f>
        <v>0</v>
      </c>
      <c r="X59" s="62">
        <f>-'5C1V_Laf Ren'!AS59</f>
        <v>0</v>
      </c>
      <c r="Y59" s="62">
        <f>-'5C1W_Willow'!AS59</f>
        <v>0</v>
      </c>
      <c r="Z59" s="62">
        <f>-'5C1Y_GEO'!AS59</f>
        <v>0</v>
      </c>
      <c r="AA59" s="62">
        <f>-'5C1Z_Lincoln Prep'!AS59</f>
        <v>0</v>
      </c>
      <c r="AB59" s="62">
        <f>-'5C1AE_Noble Minds'!$AS59</f>
        <v>219</v>
      </c>
      <c r="AC59" s="62">
        <f>-'5C1AF_JCFA-Laf'!$AS59</f>
        <v>0</v>
      </c>
      <c r="AD59" s="62">
        <f>-'5C1AG_Collegiate'!$AS59</f>
        <v>0</v>
      </c>
      <c r="AE59" s="62">
        <f>-'5C1AH_BRUP'!$AS59</f>
        <v>0</v>
      </c>
      <c r="AF59" s="62">
        <f>-'5C1AI_Harmony'!$AS59</f>
        <v>0</v>
      </c>
      <c r="AG59" s="62">
        <f>-'5C1AJ_Athlos'!$AS59</f>
        <v>0</v>
      </c>
      <c r="AH59" s="62">
        <f>-'5C1AK_NxtGen'!$AS59</f>
        <v>0</v>
      </c>
      <c r="AI59" s="62">
        <f>-'5C1AL_Red River'!$AS59</f>
        <v>0</v>
      </c>
      <c r="AJ59" s="62">
        <f>-'5C2_LAVCA'!AT59</f>
        <v>-17759</v>
      </c>
      <c r="AK59" s="62">
        <f>-'5C3_UnvView'!AT59</f>
        <v>-55853</v>
      </c>
      <c r="AL59" s="326">
        <f t="shared" si="7"/>
        <v>-79059</v>
      </c>
      <c r="AM59" s="327">
        <f t="shared" si="8"/>
        <v>9643842</v>
      </c>
      <c r="AN59" s="62"/>
      <c r="AO59" s="62"/>
      <c r="AP59" s="62">
        <f>-'5C1A_Madison'!AX59</f>
        <v>-4</v>
      </c>
      <c r="AQ59" s="62">
        <f>-'5C1B_DArbonne'!AX59</f>
        <v>0</v>
      </c>
      <c r="AR59" s="62">
        <f>-'5C1C_Intl High'!AX59</f>
        <v>0</v>
      </c>
      <c r="AS59" s="62">
        <f>-'5C1D_NOMMA'!AX59</f>
        <v>0</v>
      </c>
      <c r="AT59" s="62">
        <f>-'5C1E_LFNO'!AX59</f>
        <v>-7</v>
      </c>
      <c r="AU59" s="62">
        <f>-'5C1F_L.C. Charter'!AX59</f>
        <v>0</v>
      </c>
      <c r="AV59" s="62">
        <f>-'5C1G_JS Clark'!AX59</f>
        <v>0</v>
      </c>
      <c r="AW59" s="62">
        <f>-'5C1H_Southwest'!AX59</f>
        <v>0</v>
      </c>
      <c r="AX59" s="62">
        <f>-'5C1I_LA Key'!AX59</f>
        <v>-32</v>
      </c>
      <c r="AY59" s="62">
        <f>-'5C1J_JCFA-East'!AX59</f>
        <v>-7</v>
      </c>
      <c r="AZ59" s="62">
        <f>-'5C1M_GEO Mid'!AX59</f>
        <v>0</v>
      </c>
      <c r="BA59" s="62">
        <f>-'5C1N_Delta'!AX59</f>
        <v>0</v>
      </c>
      <c r="BB59" s="62">
        <f>-'5C1O_Impact'!AX59</f>
        <v>-7</v>
      </c>
      <c r="BC59" s="62">
        <f>-'5C1Q_Advantage'!AX59</f>
        <v>0</v>
      </c>
      <c r="BD59" s="62">
        <f>-'5C1R_Iberville'!AX59</f>
        <v>-14</v>
      </c>
      <c r="BE59" s="62">
        <f>-'5C1S_LC Col Prep'!AX59</f>
        <v>0</v>
      </c>
      <c r="BF59" s="62">
        <f>-'5C1T_Northeast'!AX59</f>
        <v>0</v>
      </c>
      <c r="BG59" s="62">
        <f>-'5C1U_Acadiana Ren'!AX59</f>
        <v>0</v>
      </c>
      <c r="BH59" s="62">
        <f>-'5C1V_Laf Ren'!AX59</f>
        <v>0</v>
      </c>
      <c r="BI59" s="62">
        <f>-'5C1W_Willow'!AX59</f>
        <v>0</v>
      </c>
      <c r="BJ59" s="62">
        <f>-'5C1Y_GEO'!AX59</f>
        <v>0</v>
      </c>
      <c r="BK59" s="62">
        <f>-'5C1Z_Lincoln Prep'!AX59</f>
        <v>0</v>
      </c>
      <c r="BL59" s="62">
        <f>-'5C1AE_Noble Minds'!AX59</f>
        <v>7</v>
      </c>
      <c r="BM59" s="62">
        <f>-'5C1AF_JCFA-Laf'!AX59</f>
        <v>0</v>
      </c>
      <c r="BN59" s="62">
        <f>-'5C1AG_Collegiate'!AX59</f>
        <v>0</v>
      </c>
      <c r="BO59" s="62">
        <f>-'5C1AH_BRUP'!AX59</f>
        <v>0</v>
      </c>
      <c r="BP59" s="62">
        <f>-'5C1AI_Harmony'!$AX59</f>
        <v>0</v>
      </c>
      <c r="BQ59" s="62">
        <f>-'5C1AJ_Athlos'!$AX59</f>
        <v>0</v>
      </c>
      <c r="BR59" s="62">
        <f>-'5C1AK_NxtGen'!$AX59</f>
        <v>0</v>
      </c>
      <c r="BS59" s="62">
        <f>-'5C1AL_Red River'!$AX59</f>
        <v>0</v>
      </c>
      <c r="BT59" s="62">
        <f>-'5C2_LAVCA'!AY59</f>
        <v>-46</v>
      </c>
      <c r="BU59" s="62">
        <f>-'5C3_UnvView'!AY59</f>
        <v>-223</v>
      </c>
      <c r="BV59" s="62">
        <f t="shared" si="9"/>
        <v>-333</v>
      </c>
      <c r="BW59" s="327">
        <f t="shared" si="10"/>
        <v>9643509</v>
      </c>
    </row>
    <row r="60" spans="1:75" s="8" customFormat="1" ht="15.75" customHeight="1" x14ac:dyDescent="0.2">
      <c r="A60" s="324">
        <v>54</v>
      </c>
      <c r="B60" s="325" t="s">
        <v>56</v>
      </c>
      <c r="C60" s="62">
        <f>'2_State Distrib and Adjs'!BB60</f>
        <v>160421</v>
      </c>
      <c r="D60" s="62">
        <f>-'5A3_OJJ'!S60</f>
        <v>0</v>
      </c>
      <c r="E60" s="62"/>
      <c r="F60" s="62">
        <f>-'5C1A_Madison'!AS60</f>
        <v>0</v>
      </c>
      <c r="G60" s="62">
        <f>-'5C1B_DArbonne'!AS60</f>
        <v>0</v>
      </c>
      <c r="H60" s="62">
        <f>-'5C1C_Intl High'!AS60</f>
        <v>0</v>
      </c>
      <c r="I60" s="62">
        <f>-'5C1D_NOMMA'!AS60</f>
        <v>0</v>
      </c>
      <c r="J60" s="62">
        <f>-'5C1E_LFNO'!AS60</f>
        <v>0</v>
      </c>
      <c r="K60" s="62">
        <f>-'5C1F_L.C. Charter'!AS60</f>
        <v>0</v>
      </c>
      <c r="L60" s="62">
        <f>-'5C1G_JS Clark'!AS60</f>
        <v>0</v>
      </c>
      <c r="M60" s="62">
        <f>-'5C1H_Southwest'!AS60</f>
        <v>0</v>
      </c>
      <c r="N60" s="62">
        <f>-'5C1I_LA Key'!AS60</f>
        <v>0</v>
      </c>
      <c r="O60" s="62">
        <f>-'5C1J_JCFA-East'!AS60</f>
        <v>0</v>
      </c>
      <c r="P60" s="62">
        <f>-'5C1M_GEO Mid'!AS60</f>
        <v>0</v>
      </c>
      <c r="Q60" s="62">
        <f>-'5C1N_Delta'!AS60</f>
        <v>-38600</v>
      </c>
      <c r="R60" s="62">
        <f>-'5C1O_Impact'!AS60</f>
        <v>0</v>
      </c>
      <c r="S60" s="62">
        <f>-'5C1Q_Advantage'!AS60</f>
        <v>0</v>
      </c>
      <c r="T60" s="62">
        <f>-'5C1R_Iberville'!AS60</f>
        <v>0</v>
      </c>
      <c r="U60" s="62">
        <f>-'5C1S_LC Col Prep'!AS60</f>
        <v>0</v>
      </c>
      <c r="V60" s="62">
        <f>-'5C1T_Northeast'!AS60</f>
        <v>0</v>
      </c>
      <c r="W60" s="62">
        <f>-'5C1U_Acadiana Ren'!AS60</f>
        <v>0</v>
      </c>
      <c r="X60" s="62">
        <f>-'5C1V_Laf Ren'!AS60</f>
        <v>0</v>
      </c>
      <c r="Y60" s="62">
        <f>-'5C1W_Willow'!AS60</f>
        <v>0</v>
      </c>
      <c r="Z60" s="62">
        <f>-'5C1Y_GEO'!AS60</f>
        <v>0</v>
      </c>
      <c r="AA60" s="62">
        <f>-'5C1Z_Lincoln Prep'!AS60</f>
        <v>0</v>
      </c>
      <c r="AB60" s="62">
        <f>-'5C1AE_Noble Minds'!$AS60</f>
        <v>0</v>
      </c>
      <c r="AC60" s="62">
        <f>-'5C1AF_JCFA-Laf'!$AS60</f>
        <v>0</v>
      </c>
      <c r="AD60" s="62">
        <f>-'5C1AG_Collegiate'!$AS60</f>
        <v>0</v>
      </c>
      <c r="AE60" s="62">
        <f>-'5C1AH_BRUP'!$AS60</f>
        <v>0</v>
      </c>
      <c r="AF60" s="62">
        <f>-'5C1AI_Harmony'!$AS60</f>
        <v>0</v>
      </c>
      <c r="AG60" s="62">
        <f>-'5C1AJ_Athlos'!$AS60</f>
        <v>0</v>
      </c>
      <c r="AH60" s="62">
        <f>-'5C1AK_NxtGen'!$AS60</f>
        <v>0</v>
      </c>
      <c r="AI60" s="62">
        <f>-'5C1AL_Red River'!$AS60</f>
        <v>0</v>
      </c>
      <c r="AJ60" s="62">
        <f>-'5C2_LAVCA'!AT60</f>
        <v>1116</v>
      </c>
      <c r="AK60" s="62">
        <f>-'5C3_UnvView'!AT60</f>
        <v>-3867</v>
      </c>
      <c r="AL60" s="326">
        <f t="shared" si="7"/>
        <v>-41351</v>
      </c>
      <c r="AM60" s="327">
        <f t="shared" si="8"/>
        <v>119070</v>
      </c>
      <c r="AN60" s="62"/>
      <c r="AO60" s="62"/>
      <c r="AP60" s="62">
        <f>-'5C1A_Madison'!AX60</f>
        <v>0</v>
      </c>
      <c r="AQ60" s="62">
        <f>-'5C1B_DArbonne'!AX60</f>
        <v>0</v>
      </c>
      <c r="AR60" s="62">
        <f>-'5C1C_Intl High'!AX60</f>
        <v>0</v>
      </c>
      <c r="AS60" s="62">
        <f>-'5C1D_NOMMA'!AX60</f>
        <v>0</v>
      </c>
      <c r="AT60" s="62">
        <f>-'5C1E_LFNO'!AX60</f>
        <v>0</v>
      </c>
      <c r="AU60" s="62">
        <f>-'5C1F_L.C. Charter'!AX60</f>
        <v>0</v>
      </c>
      <c r="AV60" s="62">
        <f>-'5C1G_JS Clark'!AX60</f>
        <v>0</v>
      </c>
      <c r="AW60" s="62">
        <f>-'5C1H_Southwest'!AX60</f>
        <v>0</v>
      </c>
      <c r="AX60" s="62">
        <f>-'5C1I_LA Key'!AX60</f>
        <v>0</v>
      </c>
      <c r="AY60" s="62">
        <f>-'5C1J_JCFA-East'!AX60</f>
        <v>0</v>
      </c>
      <c r="AZ60" s="62">
        <f>-'5C1M_GEO Mid'!AX60</f>
        <v>0</v>
      </c>
      <c r="BA60" s="62">
        <f>-'5C1N_Delta'!AX60</f>
        <v>-292</v>
      </c>
      <c r="BB60" s="62">
        <f>-'5C1O_Impact'!AX60</f>
        <v>0</v>
      </c>
      <c r="BC60" s="62">
        <f>-'5C1Q_Advantage'!AX60</f>
        <v>0</v>
      </c>
      <c r="BD60" s="62">
        <f>-'5C1R_Iberville'!AX60</f>
        <v>0</v>
      </c>
      <c r="BE60" s="62">
        <f>-'5C1S_LC Col Prep'!AX60</f>
        <v>0</v>
      </c>
      <c r="BF60" s="62">
        <f>-'5C1T_Northeast'!AX60</f>
        <v>0</v>
      </c>
      <c r="BG60" s="62">
        <f>-'5C1U_Acadiana Ren'!AX60</f>
        <v>0</v>
      </c>
      <c r="BH60" s="62">
        <f>-'5C1V_Laf Ren'!AX60</f>
        <v>0</v>
      </c>
      <c r="BI60" s="62">
        <f>-'5C1W_Willow'!AX60</f>
        <v>0</v>
      </c>
      <c r="BJ60" s="62">
        <f>-'5C1Y_GEO'!AX60</f>
        <v>0</v>
      </c>
      <c r="BK60" s="62">
        <f>-'5C1Z_Lincoln Prep'!AX60</f>
        <v>0</v>
      </c>
      <c r="BL60" s="62">
        <f>-'5C1AE_Noble Minds'!AX60</f>
        <v>0</v>
      </c>
      <c r="BM60" s="62">
        <f>-'5C1AF_JCFA-Laf'!AX60</f>
        <v>0</v>
      </c>
      <c r="BN60" s="62">
        <f>-'5C1AG_Collegiate'!AX60</f>
        <v>0</v>
      </c>
      <c r="BO60" s="62">
        <f>-'5C1AH_BRUP'!AX60</f>
        <v>0</v>
      </c>
      <c r="BP60" s="62">
        <f>-'5C1AI_Harmony'!$AX60</f>
        <v>0</v>
      </c>
      <c r="BQ60" s="62">
        <f>-'5C1AJ_Athlos'!$AX60</f>
        <v>0</v>
      </c>
      <c r="BR60" s="62">
        <f>-'5C1AK_NxtGen'!$AX60</f>
        <v>0</v>
      </c>
      <c r="BS60" s="62">
        <f>-'5C1AL_Red River'!$AX60</f>
        <v>0</v>
      </c>
      <c r="BT60" s="62">
        <f>-'5C2_LAVCA'!AY60</f>
        <v>49</v>
      </c>
      <c r="BU60" s="62">
        <f>-'5C3_UnvView'!AY60</f>
        <v>-11</v>
      </c>
      <c r="BV60" s="62">
        <f t="shared" si="9"/>
        <v>-254</v>
      </c>
      <c r="BW60" s="327">
        <f t="shared" si="10"/>
        <v>118816</v>
      </c>
    </row>
    <row r="61" spans="1:75" s="8" customFormat="1" ht="15.75" customHeight="1" x14ac:dyDescent="0.2">
      <c r="A61" s="314">
        <v>55</v>
      </c>
      <c r="B61" s="315" t="s">
        <v>57</v>
      </c>
      <c r="C61" s="316">
        <f>'2_State Distrib and Adjs'!BB61</f>
        <v>7554090</v>
      </c>
      <c r="D61" s="316">
        <f>-'5A3_OJJ'!S61</f>
        <v>-1874</v>
      </c>
      <c r="E61" s="316"/>
      <c r="F61" s="316">
        <f>-'5C1A_Madison'!AS61</f>
        <v>0</v>
      </c>
      <c r="G61" s="316">
        <f>-'5C1B_DArbonne'!AS61</f>
        <v>0</v>
      </c>
      <c r="H61" s="316">
        <f>-'5C1C_Intl High'!AS61</f>
        <v>-690</v>
      </c>
      <c r="I61" s="316">
        <f>-'5C1D_NOMMA'!AS61</f>
        <v>0</v>
      </c>
      <c r="J61" s="316">
        <f>-'5C1E_LFNO'!AS61</f>
        <v>0</v>
      </c>
      <c r="K61" s="316">
        <f>-'5C1F_L.C. Charter'!AS61</f>
        <v>0</v>
      </c>
      <c r="L61" s="316">
        <f>-'5C1G_JS Clark'!AS61</f>
        <v>0</v>
      </c>
      <c r="M61" s="316">
        <f>-'5C1H_Southwest'!AS61</f>
        <v>0</v>
      </c>
      <c r="N61" s="316">
        <f>-'5C1I_LA Key'!AS61</f>
        <v>0</v>
      </c>
      <c r="O61" s="316">
        <f>-'5C1J_JCFA-East'!AS61</f>
        <v>0</v>
      </c>
      <c r="P61" s="316">
        <f>-'5C1M_GEO Mid'!AS61</f>
        <v>0</v>
      </c>
      <c r="Q61" s="316">
        <f>-'5C1N_Delta'!AS61</f>
        <v>0</v>
      </c>
      <c r="R61" s="316">
        <f>-'5C1O_Impact'!AS61</f>
        <v>0</v>
      </c>
      <c r="S61" s="316">
        <f>-'5C1Q_Advantage'!AS61</f>
        <v>0</v>
      </c>
      <c r="T61" s="316">
        <f>-'5C1R_Iberville'!AS61</f>
        <v>-38064</v>
      </c>
      <c r="U61" s="316">
        <f>-'5C1S_LC Col Prep'!AS61</f>
        <v>0</v>
      </c>
      <c r="V61" s="316">
        <f>-'5C1T_Northeast'!AS61</f>
        <v>0</v>
      </c>
      <c r="W61" s="316">
        <f>-'5C1U_Acadiana Ren'!AS61</f>
        <v>-7206</v>
      </c>
      <c r="X61" s="316">
        <f>-'5C1V_Laf Ren'!AS61</f>
        <v>0</v>
      </c>
      <c r="Y61" s="316">
        <f>-'5C1W_Willow'!AS61</f>
        <v>0</v>
      </c>
      <c r="Z61" s="316">
        <f>-'5C1Y_GEO'!AS61</f>
        <v>0</v>
      </c>
      <c r="AA61" s="316">
        <f>-'5C1Z_Lincoln Prep'!AS61</f>
        <v>0</v>
      </c>
      <c r="AB61" s="316">
        <f>-'5C1AE_Noble Minds'!$AS61</f>
        <v>0</v>
      </c>
      <c r="AC61" s="316">
        <f>-'5C1AF_JCFA-Laf'!$AS61</f>
        <v>0</v>
      </c>
      <c r="AD61" s="316">
        <f>-'5C1AG_Collegiate'!$AS61</f>
        <v>0</v>
      </c>
      <c r="AE61" s="316">
        <f>-'5C1AH_BRUP'!$AS61</f>
        <v>0</v>
      </c>
      <c r="AF61" s="586">
        <f>-'5C1AI_Harmony'!$AS61</f>
        <v>0</v>
      </c>
      <c r="AG61" s="586">
        <f>-'5C1AJ_Athlos'!$AS61</f>
        <v>0</v>
      </c>
      <c r="AH61" s="781">
        <f>-'5C1AK_NxtGen'!$AS61</f>
        <v>0</v>
      </c>
      <c r="AI61" s="781">
        <f>-'5C1AL_Red River'!$AS61</f>
        <v>0</v>
      </c>
      <c r="AJ61" s="316">
        <f>-'5C2_LAVCA'!AT61</f>
        <v>-33667</v>
      </c>
      <c r="AK61" s="316">
        <f>-'5C3_UnvView'!AT61</f>
        <v>-52400</v>
      </c>
      <c r="AL61" s="317">
        <f t="shared" si="7"/>
        <v>-133901</v>
      </c>
      <c r="AM61" s="318">
        <f t="shared" si="8"/>
        <v>7420189</v>
      </c>
      <c r="AN61" s="316"/>
      <c r="AO61" s="316"/>
      <c r="AP61" s="316">
        <f>-'5C1A_Madison'!AX61</f>
        <v>0</v>
      </c>
      <c r="AQ61" s="316">
        <f>-'5C1B_DArbonne'!AX61</f>
        <v>0</v>
      </c>
      <c r="AR61" s="316">
        <f>-'5C1C_Intl High'!AX61</f>
        <v>-10</v>
      </c>
      <c r="AS61" s="316">
        <f>-'5C1D_NOMMA'!AX61</f>
        <v>0</v>
      </c>
      <c r="AT61" s="316">
        <f>-'5C1E_LFNO'!AX61</f>
        <v>0</v>
      </c>
      <c r="AU61" s="316">
        <f>-'5C1F_L.C. Charter'!AX61</f>
        <v>0</v>
      </c>
      <c r="AV61" s="316">
        <f>-'5C1G_JS Clark'!AX61</f>
        <v>0</v>
      </c>
      <c r="AW61" s="316">
        <f>-'5C1H_Southwest'!AX61</f>
        <v>0</v>
      </c>
      <c r="AX61" s="316">
        <f>-'5C1I_LA Key'!AX61</f>
        <v>0</v>
      </c>
      <c r="AY61" s="316">
        <f>-'5C1J_JCFA-East'!AX61</f>
        <v>0</v>
      </c>
      <c r="AZ61" s="316">
        <f>-'5C1M_GEO Mid'!AX61</f>
        <v>0</v>
      </c>
      <c r="BA61" s="316">
        <f>-'5C1N_Delta'!AX61</f>
        <v>0</v>
      </c>
      <c r="BB61" s="316">
        <f>-'5C1O_Impact'!AX61</f>
        <v>0</v>
      </c>
      <c r="BC61" s="316">
        <f>-'5C1Q_Advantage'!AX61</f>
        <v>0</v>
      </c>
      <c r="BD61" s="316">
        <f>-'5C1R_Iberville'!AX61</f>
        <v>-316</v>
      </c>
      <c r="BE61" s="316">
        <f>-'5C1S_LC Col Prep'!AX61</f>
        <v>0</v>
      </c>
      <c r="BF61" s="316">
        <f>-'5C1T_Northeast'!AX61</f>
        <v>0</v>
      </c>
      <c r="BG61" s="316">
        <f>-'5C1U_Acadiana Ren'!AX61</f>
        <v>-102</v>
      </c>
      <c r="BH61" s="316">
        <f>-'5C1V_Laf Ren'!AX61</f>
        <v>0</v>
      </c>
      <c r="BI61" s="316">
        <f>-'5C1W_Willow'!AX61</f>
        <v>0</v>
      </c>
      <c r="BJ61" s="316">
        <f>-'5C1Y_GEO'!AX61</f>
        <v>0</v>
      </c>
      <c r="BK61" s="316">
        <f>-'5C1Z_Lincoln Prep'!AX61</f>
        <v>0</v>
      </c>
      <c r="BL61" s="316">
        <f>-'5C1AE_Noble Minds'!AX61</f>
        <v>0</v>
      </c>
      <c r="BM61" s="316">
        <f>-'5C1AF_JCFA-Laf'!AX61</f>
        <v>0</v>
      </c>
      <c r="BN61" s="316">
        <f>-'5C1AG_Collegiate'!AX61</f>
        <v>0</v>
      </c>
      <c r="BO61" s="316">
        <f>-'5C1AH_BRUP'!AX61</f>
        <v>0</v>
      </c>
      <c r="BP61" s="586">
        <f>-'5C1AI_Harmony'!$AX61</f>
        <v>0</v>
      </c>
      <c r="BQ61" s="586">
        <f>-'5C1AJ_Athlos'!$AX61</f>
        <v>0</v>
      </c>
      <c r="BR61" s="781">
        <f>-'5C1AK_NxtGen'!$AX61</f>
        <v>0</v>
      </c>
      <c r="BS61" s="781">
        <f>-'5C1AL_Red River'!$AX61</f>
        <v>0</v>
      </c>
      <c r="BT61" s="316">
        <f>-'5C2_LAVCA'!AY61</f>
        <v>-284</v>
      </c>
      <c r="BU61" s="316">
        <f>-'5C3_UnvView'!AY61</f>
        <v>-390</v>
      </c>
      <c r="BV61" s="316">
        <f t="shared" si="9"/>
        <v>-1102</v>
      </c>
      <c r="BW61" s="318">
        <f t="shared" si="10"/>
        <v>7419087</v>
      </c>
    </row>
    <row r="62" spans="1:75" s="8" customFormat="1" ht="15.75" customHeight="1" x14ac:dyDescent="0.2">
      <c r="A62" s="324">
        <v>56</v>
      </c>
      <c r="B62" s="325" t="s">
        <v>58</v>
      </c>
      <c r="C62" s="62">
        <f>'2_State Distrib and Adjs'!BB62</f>
        <v>1088651</v>
      </c>
      <c r="D62" s="62">
        <f>-'5A3_OJJ'!S62</f>
        <v>0</v>
      </c>
      <c r="E62" s="62"/>
      <c r="F62" s="62">
        <f>-'5C1A_Madison'!AS62</f>
        <v>0</v>
      </c>
      <c r="G62" s="62">
        <f>-'5C1B_DArbonne'!AS62</f>
        <v>-338628</v>
      </c>
      <c r="H62" s="62">
        <f>-'5C1C_Intl High'!AS62</f>
        <v>0</v>
      </c>
      <c r="I62" s="62">
        <f>-'5C1D_NOMMA'!AS62</f>
        <v>0</v>
      </c>
      <c r="J62" s="62">
        <f>-'5C1E_LFNO'!AS62</f>
        <v>0</v>
      </c>
      <c r="K62" s="62">
        <f>-'5C1F_L.C. Charter'!AS62</f>
        <v>0</v>
      </c>
      <c r="L62" s="62">
        <f>-'5C1G_JS Clark'!AS62</f>
        <v>0</v>
      </c>
      <c r="M62" s="62">
        <f>-'5C1H_Southwest'!AS62</f>
        <v>0</v>
      </c>
      <c r="N62" s="62">
        <f>-'5C1I_LA Key'!AS62</f>
        <v>0</v>
      </c>
      <c r="O62" s="62">
        <f>-'5C1J_JCFA-East'!AS62</f>
        <v>0</v>
      </c>
      <c r="P62" s="62">
        <f>-'5C1M_GEO Mid'!AS62</f>
        <v>0</v>
      </c>
      <c r="Q62" s="62">
        <f>-'5C1N_Delta'!AS62</f>
        <v>0</v>
      </c>
      <c r="R62" s="62">
        <f>-'5C1O_Impact'!AS62</f>
        <v>0</v>
      </c>
      <c r="S62" s="62">
        <f>-'5C1Q_Advantage'!AS62</f>
        <v>0</v>
      </c>
      <c r="T62" s="62">
        <f>-'5C1R_Iberville'!AS62</f>
        <v>0</v>
      </c>
      <c r="U62" s="62">
        <f>-'5C1S_LC Col Prep'!AS62</f>
        <v>0</v>
      </c>
      <c r="V62" s="62">
        <f>-'5C1T_Northeast'!AS62</f>
        <v>-51217</v>
      </c>
      <c r="W62" s="62">
        <f>-'5C1U_Acadiana Ren'!AS62</f>
        <v>0</v>
      </c>
      <c r="X62" s="62">
        <f>-'5C1V_Laf Ren'!AS62</f>
        <v>333</v>
      </c>
      <c r="Y62" s="62">
        <f>-'5C1W_Willow'!AS62</f>
        <v>0</v>
      </c>
      <c r="Z62" s="62">
        <f>-'5C1Y_GEO'!AS62</f>
        <v>0</v>
      </c>
      <c r="AA62" s="62">
        <f>-'5C1Z_Lincoln Prep'!AS62</f>
        <v>-17392</v>
      </c>
      <c r="AB62" s="62">
        <f>-'5C1AE_Noble Minds'!$AS62</f>
        <v>0</v>
      </c>
      <c r="AC62" s="62">
        <f>-'5C1AF_JCFA-Laf'!$AS62</f>
        <v>0</v>
      </c>
      <c r="AD62" s="62">
        <f>-'5C1AG_Collegiate'!$AS62</f>
        <v>0</v>
      </c>
      <c r="AE62" s="62">
        <f>-'5C1AH_BRUP'!$AS62</f>
        <v>0</v>
      </c>
      <c r="AF62" s="62">
        <f>-'5C1AI_Harmony'!$AS62</f>
        <v>0</v>
      </c>
      <c r="AG62" s="62">
        <f>-'5C1AJ_Athlos'!$AS62</f>
        <v>0</v>
      </c>
      <c r="AH62" s="62">
        <f>-'5C1AK_NxtGen'!$AS62</f>
        <v>0</v>
      </c>
      <c r="AI62" s="62">
        <f>-'5C1AL_Red River'!$AS62</f>
        <v>0</v>
      </c>
      <c r="AJ62" s="62">
        <f>-'5C2_LAVCA'!AT62</f>
        <v>-5022</v>
      </c>
      <c r="AK62" s="62">
        <f>-'5C3_UnvView'!AT62</f>
        <v>-3330</v>
      </c>
      <c r="AL62" s="326">
        <f t="shared" si="7"/>
        <v>-415256</v>
      </c>
      <c r="AM62" s="327">
        <f t="shared" si="8"/>
        <v>673395</v>
      </c>
      <c r="AN62" s="62"/>
      <c r="AO62" s="62"/>
      <c r="AP62" s="62">
        <f>-'5C1A_Madison'!AX62</f>
        <v>0</v>
      </c>
      <c r="AQ62" s="62">
        <f>-'5C1B_DArbonne'!AX62</f>
        <v>-651</v>
      </c>
      <c r="AR62" s="62">
        <f>-'5C1C_Intl High'!AX62</f>
        <v>0</v>
      </c>
      <c r="AS62" s="62">
        <f>-'5C1D_NOMMA'!AX62</f>
        <v>0</v>
      </c>
      <c r="AT62" s="62">
        <f>-'5C1E_LFNO'!AX62</f>
        <v>0</v>
      </c>
      <c r="AU62" s="62">
        <f>-'5C1F_L.C. Charter'!AX62</f>
        <v>0</v>
      </c>
      <c r="AV62" s="62">
        <f>-'5C1G_JS Clark'!AX62</f>
        <v>0</v>
      </c>
      <c r="AW62" s="62">
        <f>-'5C1H_Southwest'!AX62</f>
        <v>0</v>
      </c>
      <c r="AX62" s="62">
        <f>-'5C1I_LA Key'!AX62</f>
        <v>0</v>
      </c>
      <c r="AY62" s="62">
        <f>-'5C1J_JCFA-East'!AX62</f>
        <v>0</v>
      </c>
      <c r="AZ62" s="62">
        <f>-'5C1M_GEO Mid'!AX62</f>
        <v>0</v>
      </c>
      <c r="BA62" s="62">
        <f>-'5C1N_Delta'!AX62</f>
        <v>0</v>
      </c>
      <c r="BB62" s="62">
        <f>-'5C1O_Impact'!AX62</f>
        <v>0</v>
      </c>
      <c r="BC62" s="62">
        <f>-'5C1Q_Advantage'!AX62</f>
        <v>0</v>
      </c>
      <c r="BD62" s="62">
        <f>-'5C1R_Iberville'!AX62</f>
        <v>0</v>
      </c>
      <c r="BE62" s="62">
        <f>-'5C1S_LC Col Prep'!AX62</f>
        <v>0</v>
      </c>
      <c r="BF62" s="62">
        <f>-'5C1T_Northeast'!AX62</f>
        <v>-109</v>
      </c>
      <c r="BG62" s="62">
        <f>-'5C1U_Acadiana Ren'!AX62</f>
        <v>0</v>
      </c>
      <c r="BH62" s="62">
        <f>-'5C1V_Laf Ren'!AX62</f>
        <v>10</v>
      </c>
      <c r="BI62" s="62">
        <f>-'5C1W_Willow'!AX62</f>
        <v>0</v>
      </c>
      <c r="BJ62" s="62">
        <f>-'5C1Y_GEO'!AX62</f>
        <v>0</v>
      </c>
      <c r="BK62" s="62">
        <f>-'5C1Z_Lincoln Prep'!AX62</f>
        <v>-226</v>
      </c>
      <c r="BL62" s="62">
        <f>-'5C1AE_Noble Minds'!AX62</f>
        <v>0</v>
      </c>
      <c r="BM62" s="62">
        <f>-'5C1AF_JCFA-Laf'!AX62</f>
        <v>0</v>
      </c>
      <c r="BN62" s="62">
        <f>-'5C1AG_Collegiate'!AX62</f>
        <v>0</v>
      </c>
      <c r="BO62" s="62">
        <f>-'5C1AH_BRUP'!AX62</f>
        <v>0</v>
      </c>
      <c r="BP62" s="62">
        <f>-'5C1AI_Harmony'!$AX62</f>
        <v>0</v>
      </c>
      <c r="BQ62" s="62">
        <f>-'5C1AJ_Athlos'!$AX62</f>
        <v>0</v>
      </c>
      <c r="BR62" s="62">
        <f>-'5C1AK_NxtGen'!$AX62</f>
        <v>0</v>
      </c>
      <c r="BS62" s="62">
        <f>-'5C1AL_Red River'!$AX62</f>
        <v>0</v>
      </c>
      <c r="BT62" s="62">
        <f>-'5C2_LAVCA'!AY62</f>
        <v>-33</v>
      </c>
      <c r="BU62" s="62">
        <f>-'5C3_UnvView'!AY62</f>
        <v>-12</v>
      </c>
      <c r="BV62" s="62">
        <f t="shared" si="9"/>
        <v>-1021</v>
      </c>
      <c r="BW62" s="327">
        <f t="shared" si="10"/>
        <v>672374</v>
      </c>
    </row>
    <row r="63" spans="1:75" s="8" customFormat="1" ht="15.75" customHeight="1" x14ac:dyDescent="0.2">
      <c r="A63" s="324">
        <v>57</v>
      </c>
      <c r="B63" s="325" t="s">
        <v>59</v>
      </c>
      <c r="C63" s="62">
        <f>'2_State Distrib and Adjs'!BB63</f>
        <v>4878118</v>
      </c>
      <c r="D63" s="62">
        <f>-'5A3_OJJ'!S63</f>
        <v>-573</v>
      </c>
      <c r="E63" s="62"/>
      <c r="F63" s="62">
        <f>-'5C1A_Madison'!AS63</f>
        <v>0</v>
      </c>
      <c r="G63" s="62">
        <f>-'5C1B_DArbonne'!AS63</f>
        <v>0</v>
      </c>
      <c r="H63" s="62">
        <f>-'5C1C_Intl High'!AS63</f>
        <v>0</v>
      </c>
      <c r="I63" s="62">
        <f>-'5C1D_NOMMA'!AS63</f>
        <v>0</v>
      </c>
      <c r="J63" s="62">
        <f>-'5C1E_LFNO'!AS63</f>
        <v>0</v>
      </c>
      <c r="K63" s="62">
        <f>-'5C1F_L.C. Charter'!AS63</f>
        <v>0</v>
      </c>
      <c r="L63" s="62">
        <f>-'5C1G_JS Clark'!AS63</f>
        <v>0</v>
      </c>
      <c r="M63" s="62">
        <f>-'5C1H_Southwest'!AS63</f>
        <v>0</v>
      </c>
      <c r="N63" s="62">
        <f>-'5C1I_LA Key'!AS63</f>
        <v>0</v>
      </c>
      <c r="O63" s="62">
        <f>-'5C1J_JCFA-East'!AS63</f>
        <v>0</v>
      </c>
      <c r="P63" s="62">
        <f>-'5C1M_GEO Mid'!AS63</f>
        <v>0</v>
      </c>
      <c r="Q63" s="62">
        <f>-'5C1N_Delta'!AS63</f>
        <v>0</v>
      </c>
      <c r="R63" s="62">
        <f>-'5C1O_Impact'!AS63</f>
        <v>0</v>
      </c>
      <c r="S63" s="62">
        <f>-'5C1Q_Advantage'!AS63</f>
        <v>0</v>
      </c>
      <c r="T63" s="62">
        <f>-'5C1R_Iberville'!AS63</f>
        <v>0</v>
      </c>
      <c r="U63" s="62">
        <f>-'5C1S_LC Col Prep'!AS63</f>
        <v>0</v>
      </c>
      <c r="V63" s="62">
        <f>-'5C1T_Northeast'!AS63</f>
        <v>0</v>
      </c>
      <c r="W63" s="62">
        <f>-'5C1U_Acadiana Ren'!AS63</f>
        <v>-10409</v>
      </c>
      <c r="X63" s="62">
        <f>-'5C1V_Laf Ren'!AS63</f>
        <v>-881</v>
      </c>
      <c r="Y63" s="62">
        <f>-'5C1W_Willow'!AS63</f>
        <v>0</v>
      </c>
      <c r="Z63" s="62">
        <f>-'5C1Y_GEO'!AS63</f>
        <v>0</v>
      </c>
      <c r="AA63" s="62">
        <f>-'5C1Z_Lincoln Prep'!AS63</f>
        <v>0</v>
      </c>
      <c r="AB63" s="62">
        <f>-'5C1AE_Noble Minds'!$AS63</f>
        <v>0</v>
      </c>
      <c r="AC63" s="62">
        <f>-'5C1AF_JCFA-Laf'!$AS63</f>
        <v>-440</v>
      </c>
      <c r="AD63" s="62">
        <f>-'5C1AG_Collegiate'!$AS63</f>
        <v>0</v>
      </c>
      <c r="AE63" s="62">
        <f>-'5C1AH_BRUP'!$AS63</f>
        <v>0</v>
      </c>
      <c r="AF63" s="62">
        <f>-'5C1AI_Harmony'!$AS63</f>
        <v>0</v>
      </c>
      <c r="AG63" s="62">
        <f>-'5C1AJ_Athlos'!$AS63</f>
        <v>0</v>
      </c>
      <c r="AH63" s="62">
        <f>-'5C1AK_NxtGen'!$AS63</f>
        <v>0</v>
      </c>
      <c r="AI63" s="62">
        <f>-'5C1AL_Red River'!$AS63</f>
        <v>0</v>
      </c>
      <c r="AJ63" s="62">
        <f>-'5C2_LAVCA'!AT63</f>
        <v>-4512</v>
      </c>
      <c r="AK63" s="62">
        <f>-'5C3_UnvView'!AT63</f>
        <v>-2785</v>
      </c>
      <c r="AL63" s="326">
        <f t="shared" si="7"/>
        <v>-19600</v>
      </c>
      <c r="AM63" s="327">
        <f t="shared" si="8"/>
        <v>4858518</v>
      </c>
      <c r="AN63" s="62"/>
      <c r="AO63" s="62"/>
      <c r="AP63" s="62">
        <f>-'5C1A_Madison'!AX63</f>
        <v>0</v>
      </c>
      <c r="AQ63" s="62">
        <f>-'5C1B_DArbonne'!AX63</f>
        <v>0</v>
      </c>
      <c r="AR63" s="62">
        <f>-'5C1C_Intl High'!AX63</f>
        <v>0</v>
      </c>
      <c r="AS63" s="62">
        <f>-'5C1D_NOMMA'!AX63</f>
        <v>0</v>
      </c>
      <c r="AT63" s="62">
        <f>-'5C1E_LFNO'!AX63</f>
        <v>0</v>
      </c>
      <c r="AU63" s="62">
        <f>-'5C1F_L.C. Charter'!AX63</f>
        <v>0</v>
      </c>
      <c r="AV63" s="62">
        <f>-'5C1G_JS Clark'!AX63</f>
        <v>0</v>
      </c>
      <c r="AW63" s="62">
        <f>-'5C1H_Southwest'!AX63</f>
        <v>0</v>
      </c>
      <c r="AX63" s="62">
        <f>-'5C1I_LA Key'!AX63</f>
        <v>0</v>
      </c>
      <c r="AY63" s="62">
        <f>-'5C1J_JCFA-East'!AX63</f>
        <v>0</v>
      </c>
      <c r="AZ63" s="62">
        <f>-'5C1M_GEO Mid'!AX63</f>
        <v>0</v>
      </c>
      <c r="BA63" s="62">
        <f>-'5C1N_Delta'!AX63</f>
        <v>0</v>
      </c>
      <c r="BB63" s="62">
        <f>-'5C1O_Impact'!AX63</f>
        <v>0</v>
      </c>
      <c r="BC63" s="62">
        <f>-'5C1Q_Advantage'!AX63</f>
        <v>0</v>
      </c>
      <c r="BD63" s="62">
        <f>-'5C1R_Iberville'!AX63</f>
        <v>0</v>
      </c>
      <c r="BE63" s="62">
        <f>-'5C1S_LC Col Prep'!AX63</f>
        <v>0</v>
      </c>
      <c r="BF63" s="62">
        <f>-'5C1T_Northeast'!AX63</f>
        <v>0</v>
      </c>
      <c r="BG63" s="62">
        <f>-'5C1U_Acadiana Ren'!AX63</f>
        <v>-101</v>
      </c>
      <c r="BH63" s="62">
        <f>-'5C1V_Laf Ren'!AX63</f>
        <v>-13</v>
      </c>
      <c r="BI63" s="62">
        <f>-'5C1W_Willow'!AX63</f>
        <v>0</v>
      </c>
      <c r="BJ63" s="62">
        <f>-'5C1Y_GEO'!AX63</f>
        <v>0</v>
      </c>
      <c r="BK63" s="62">
        <f>-'5C1Z_Lincoln Prep'!AX63</f>
        <v>0</v>
      </c>
      <c r="BL63" s="62">
        <f>-'5C1AE_Noble Minds'!AX63</f>
        <v>0</v>
      </c>
      <c r="BM63" s="62">
        <f>-'5C1AF_JCFA-Laf'!AX63</f>
        <v>-7</v>
      </c>
      <c r="BN63" s="62">
        <f>-'5C1AG_Collegiate'!AX63</f>
        <v>0</v>
      </c>
      <c r="BO63" s="62">
        <f>-'5C1AH_BRUP'!AX63</f>
        <v>0</v>
      </c>
      <c r="BP63" s="62">
        <f>-'5C1AI_Harmony'!$AX63</f>
        <v>0</v>
      </c>
      <c r="BQ63" s="62">
        <f>-'5C1AJ_Athlos'!$AX63</f>
        <v>0</v>
      </c>
      <c r="BR63" s="62">
        <f>-'5C1AK_NxtGen'!$AX63</f>
        <v>0</v>
      </c>
      <c r="BS63" s="62">
        <f>-'5C1AL_Red River'!$AX63</f>
        <v>0</v>
      </c>
      <c r="BT63" s="62">
        <f>-'5C2_LAVCA'!AY63</f>
        <v>1</v>
      </c>
      <c r="BU63" s="62">
        <f>-'5C3_UnvView'!AY63</f>
        <v>0</v>
      </c>
      <c r="BV63" s="62">
        <f t="shared" si="9"/>
        <v>-120</v>
      </c>
      <c r="BW63" s="327">
        <f t="shared" si="10"/>
        <v>4858398</v>
      </c>
    </row>
    <row r="64" spans="1:75" s="8" customFormat="1" ht="15.75" customHeight="1" x14ac:dyDescent="0.2">
      <c r="A64" s="324">
        <v>58</v>
      </c>
      <c r="B64" s="325" t="s">
        <v>60</v>
      </c>
      <c r="C64" s="62">
        <f>'2_State Distrib and Adjs'!BB64</f>
        <v>4276797</v>
      </c>
      <c r="D64" s="62">
        <f>-'5A3_OJJ'!S64</f>
        <v>-225</v>
      </c>
      <c r="E64" s="62"/>
      <c r="F64" s="62">
        <f>-'5C1A_Madison'!AS64</f>
        <v>0</v>
      </c>
      <c r="G64" s="62">
        <f>-'5C1B_DArbonne'!AS64</f>
        <v>0</v>
      </c>
      <c r="H64" s="62">
        <f>-'5C1C_Intl High'!AS64</f>
        <v>0</v>
      </c>
      <c r="I64" s="62">
        <f>-'5C1D_NOMMA'!AS64</f>
        <v>0</v>
      </c>
      <c r="J64" s="62">
        <f>-'5C1E_LFNO'!AS64</f>
        <v>0</v>
      </c>
      <c r="K64" s="62">
        <f>-'5C1F_L.C. Charter'!AS64</f>
        <v>0</v>
      </c>
      <c r="L64" s="62">
        <f>-'5C1G_JS Clark'!AS64</f>
        <v>0</v>
      </c>
      <c r="M64" s="62">
        <f>-'5C1H_Southwest'!AS64</f>
        <v>0</v>
      </c>
      <c r="N64" s="62">
        <f>-'5C1I_LA Key'!AS64</f>
        <v>0</v>
      </c>
      <c r="O64" s="62">
        <f>-'5C1J_JCFA-East'!AS64</f>
        <v>0</v>
      </c>
      <c r="P64" s="62">
        <f>-'5C1M_GEO Mid'!AS64</f>
        <v>0</v>
      </c>
      <c r="Q64" s="62">
        <f>-'5C1N_Delta'!AS64</f>
        <v>0</v>
      </c>
      <c r="R64" s="62">
        <f>-'5C1O_Impact'!AS64</f>
        <v>0</v>
      </c>
      <c r="S64" s="62">
        <f>-'5C1Q_Advantage'!AS64</f>
        <v>0</v>
      </c>
      <c r="T64" s="62">
        <f>-'5C1R_Iberville'!AS64</f>
        <v>0</v>
      </c>
      <c r="U64" s="62">
        <f>-'5C1S_LC Col Prep'!AS64</f>
        <v>0</v>
      </c>
      <c r="V64" s="62">
        <f>-'5C1T_Northeast'!AS64</f>
        <v>0</v>
      </c>
      <c r="W64" s="62">
        <f>-'5C1U_Acadiana Ren'!AS64</f>
        <v>0</v>
      </c>
      <c r="X64" s="62">
        <f>-'5C1V_Laf Ren'!AS64</f>
        <v>0</v>
      </c>
      <c r="Y64" s="62">
        <f>-'5C1W_Willow'!AS64</f>
        <v>0</v>
      </c>
      <c r="Z64" s="62">
        <f>-'5C1Y_GEO'!AS64</f>
        <v>0</v>
      </c>
      <c r="AA64" s="62">
        <f>-'5C1Z_Lincoln Prep'!AS64</f>
        <v>0</v>
      </c>
      <c r="AB64" s="62">
        <f>-'5C1AE_Noble Minds'!$AS64</f>
        <v>0</v>
      </c>
      <c r="AC64" s="62">
        <f>-'5C1AF_JCFA-Laf'!$AS64</f>
        <v>0</v>
      </c>
      <c r="AD64" s="62">
        <f>-'5C1AG_Collegiate'!$AS64</f>
        <v>0</v>
      </c>
      <c r="AE64" s="62">
        <f>-'5C1AH_BRUP'!$AS64</f>
        <v>0</v>
      </c>
      <c r="AF64" s="62">
        <f>-'5C1AI_Harmony'!$AS64</f>
        <v>0</v>
      </c>
      <c r="AG64" s="62">
        <f>-'5C1AJ_Athlos'!$AS64</f>
        <v>0</v>
      </c>
      <c r="AH64" s="62">
        <f>-'5C1AK_NxtGen'!$AS64</f>
        <v>0</v>
      </c>
      <c r="AI64" s="62">
        <f>-'5C1AL_Red River'!$AS64</f>
        <v>0</v>
      </c>
      <c r="AJ64" s="62">
        <f>-'5C2_LAVCA'!AT64</f>
        <v>-8449</v>
      </c>
      <c r="AK64" s="62">
        <f>-'5C3_UnvView'!AT64</f>
        <v>-4868</v>
      </c>
      <c r="AL64" s="326">
        <f t="shared" si="7"/>
        <v>-13542</v>
      </c>
      <c r="AM64" s="327">
        <f t="shared" si="8"/>
        <v>4263255</v>
      </c>
      <c r="AN64" s="62"/>
      <c r="AO64" s="62"/>
      <c r="AP64" s="62">
        <f>-'5C1A_Madison'!AX64</f>
        <v>0</v>
      </c>
      <c r="AQ64" s="62">
        <f>-'5C1B_DArbonne'!AX64</f>
        <v>0</v>
      </c>
      <c r="AR64" s="62">
        <f>-'5C1C_Intl High'!AX64</f>
        <v>0</v>
      </c>
      <c r="AS64" s="62">
        <f>-'5C1D_NOMMA'!AX64</f>
        <v>0</v>
      </c>
      <c r="AT64" s="62">
        <f>-'5C1E_LFNO'!AX64</f>
        <v>0</v>
      </c>
      <c r="AU64" s="62">
        <f>-'5C1F_L.C. Charter'!AX64</f>
        <v>0</v>
      </c>
      <c r="AV64" s="62">
        <f>-'5C1G_JS Clark'!AX64</f>
        <v>0</v>
      </c>
      <c r="AW64" s="62">
        <f>-'5C1H_Southwest'!AX64</f>
        <v>0</v>
      </c>
      <c r="AX64" s="62">
        <f>-'5C1I_LA Key'!AX64</f>
        <v>0</v>
      </c>
      <c r="AY64" s="62">
        <f>-'5C1J_JCFA-East'!AX64</f>
        <v>0</v>
      </c>
      <c r="AZ64" s="62">
        <f>-'5C1M_GEO Mid'!AX64</f>
        <v>0</v>
      </c>
      <c r="BA64" s="62">
        <f>-'5C1N_Delta'!AX64</f>
        <v>0</v>
      </c>
      <c r="BB64" s="62">
        <f>-'5C1O_Impact'!AX64</f>
        <v>0</v>
      </c>
      <c r="BC64" s="62">
        <f>-'5C1Q_Advantage'!AX64</f>
        <v>0</v>
      </c>
      <c r="BD64" s="62">
        <f>-'5C1R_Iberville'!AX64</f>
        <v>0</v>
      </c>
      <c r="BE64" s="62">
        <f>-'5C1S_LC Col Prep'!AX64</f>
        <v>0</v>
      </c>
      <c r="BF64" s="62">
        <f>-'5C1T_Northeast'!AX64</f>
        <v>0</v>
      </c>
      <c r="BG64" s="62">
        <f>-'5C1U_Acadiana Ren'!AX64</f>
        <v>0</v>
      </c>
      <c r="BH64" s="62">
        <f>-'5C1V_Laf Ren'!AX64</f>
        <v>0</v>
      </c>
      <c r="BI64" s="62">
        <f>-'5C1W_Willow'!AX64</f>
        <v>0</v>
      </c>
      <c r="BJ64" s="62">
        <f>-'5C1Y_GEO'!AX64</f>
        <v>0</v>
      </c>
      <c r="BK64" s="62">
        <f>-'5C1Z_Lincoln Prep'!AX64</f>
        <v>0</v>
      </c>
      <c r="BL64" s="62">
        <f>-'5C1AE_Noble Minds'!AX64</f>
        <v>0</v>
      </c>
      <c r="BM64" s="62">
        <f>-'5C1AF_JCFA-Laf'!AX64</f>
        <v>0</v>
      </c>
      <c r="BN64" s="62">
        <f>-'5C1AG_Collegiate'!AX64</f>
        <v>0</v>
      </c>
      <c r="BO64" s="62">
        <f>-'5C1AH_BRUP'!AX64</f>
        <v>0</v>
      </c>
      <c r="BP64" s="62">
        <f>-'5C1AI_Harmony'!$AX64</f>
        <v>0</v>
      </c>
      <c r="BQ64" s="62">
        <f>-'5C1AJ_Athlos'!$AX64</f>
        <v>0</v>
      </c>
      <c r="BR64" s="62">
        <f>-'5C1AK_NxtGen'!$AX64</f>
        <v>0</v>
      </c>
      <c r="BS64" s="62">
        <f>-'5C1AL_Red River'!$AX64</f>
        <v>0</v>
      </c>
      <c r="BT64" s="62">
        <f>-'5C2_LAVCA'!AY64</f>
        <v>-67</v>
      </c>
      <c r="BU64" s="62">
        <f>-'5C3_UnvView'!AY64</f>
        <v>-20</v>
      </c>
      <c r="BV64" s="62">
        <f t="shared" si="9"/>
        <v>-87</v>
      </c>
      <c r="BW64" s="327">
        <f t="shared" si="10"/>
        <v>4263168</v>
      </c>
    </row>
    <row r="65" spans="1:75" s="8" customFormat="1" ht="15.75" customHeight="1" x14ac:dyDescent="0.2">
      <c r="A65" s="324">
        <v>59</v>
      </c>
      <c r="B65" s="325" t="s">
        <v>61</v>
      </c>
      <c r="C65" s="62">
        <f>'2_State Distrib and Adjs'!BB65</f>
        <v>2900558</v>
      </c>
      <c r="D65" s="62">
        <f>-'5A3_OJJ'!S65</f>
        <v>-138</v>
      </c>
      <c r="E65" s="62"/>
      <c r="F65" s="62">
        <f>-'5C1A_Madison'!AS65</f>
        <v>0</v>
      </c>
      <c r="G65" s="62">
        <f>-'5C1B_DArbonne'!AS65</f>
        <v>0</v>
      </c>
      <c r="H65" s="62">
        <f>-'5C1C_Intl High'!AS65</f>
        <v>0</v>
      </c>
      <c r="I65" s="62">
        <f>-'5C1D_NOMMA'!AS65</f>
        <v>0</v>
      </c>
      <c r="J65" s="62">
        <f>-'5C1E_LFNO'!AS65</f>
        <v>0</v>
      </c>
      <c r="K65" s="62">
        <f>-'5C1F_L.C. Charter'!AS65</f>
        <v>0</v>
      </c>
      <c r="L65" s="62">
        <f>-'5C1G_JS Clark'!AS65</f>
        <v>0</v>
      </c>
      <c r="M65" s="62">
        <f>-'5C1H_Southwest'!AS65</f>
        <v>0</v>
      </c>
      <c r="N65" s="62">
        <f>-'5C1I_LA Key'!AS65</f>
        <v>0</v>
      </c>
      <c r="O65" s="62">
        <f>-'5C1J_JCFA-East'!AS65</f>
        <v>0</v>
      </c>
      <c r="P65" s="62">
        <f>-'5C1M_GEO Mid'!AS65</f>
        <v>0</v>
      </c>
      <c r="Q65" s="62">
        <f>-'5C1N_Delta'!AS65</f>
        <v>0</v>
      </c>
      <c r="R65" s="62">
        <f>-'5C1O_Impact'!AS65</f>
        <v>0</v>
      </c>
      <c r="S65" s="62">
        <f>-'5C1Q_Advantage'!AS65</f>
        <v>0</v>
      </c>
      <c r="T65" s="62">
        <f>-'5C1R_Iberville'!AS65</f>
        <v>0</v>
      </c>
      <c r="U65" s="62">
        <f>-'5C1S_LC Col Prep'!AS65</f>
        <v>0</v>
      </c>
      <c r="V65" s="62">
        <f>-'5C1T_Northeast'!AS65</f>
        <v>0</v>
      </c>
      <c r="W65" s="62">
        <f>-'5C1U_Acadiana Ren'!AS65</f>
        <v>0</v>
      </c>
      <c r="X65" s="62">
        <f>-'5C1V_Laf Ren'!AS65</f>
        <v>0</v>
      </c>
      <c r="Y65" s="62">
        <f>-'5C1W_Willow'!AS65</f>
        <v>0</v>
      </c>
      <c r="Z65" s="62">
        <f>-'5C1Y_GEO'!AS65</f>
        <v>0</v>
      </c>
      <c r="AA65" s="62">
        <f>-'5C1Z_Lincoln Prep'!AS65</f>
        <v>0</v>
      </c>
      <c r="AB65" s="62">
        <f>-'5C1AE_Noble Minds'!$AS65</f>
        <v>0</v>
      </c>
      <c r="AC65" s="62">
        <f>-'5C1AF_JCFA-Laf'!$AS65</f>
        <v>0</v>
      </c>
      <c r="AD65" s="62">
        <f>-'5C1AG_Collegiate'!$AS65</f>
        <v>0</v>
      </c>
      <c r="AE65" s="62">
        <f>-'5C1AH_BRUP'!$AS65</f>
        <v>0</v>
      </c>
      <c r="AF65" s="62">
        <f>-'5C1AI_Harmony'!$AS65</f>
        <v>0</v>
      </c>
      <c r="AG65" s="62">
        <f>-'5C1AJ_Athlos'!$AS65</f>
        <v>0</v>
      </c>
      <c r="AH65" s="62">
        <f>-'5C1AK_NxtGen'!$AS65</f>
        <v>0</v>
      </c>
      <c r="AI65" s="62">
        <f>-'5C1AL_Red River'!$AS65</f>
        <v>0</v>
      </c>
      <c r="AJ65" s="62">
        <f>-'5C2_LAVCA'!AT65</f>
        <v>-2070</v>
      </c>
      <c r="AK65" s="62">
        <f>-'5C3_UnvView'!AT65</f>
        <v>-5533</v>
      </c>
      <c r="AL65" s="326">
        <f t="shared" si="7"/>
        <v>-7741</v>
      </c>
      <c r="AM65" s="327">
        <f t="shared" si="8"/>
        <v>2892817</v>
      </c>
      <c r="AN65" s="62"/>
      <c r="AO65" s="62"/>
      <c r="AP65" s="62">
        <f>-'5C1A_Madison'!AX65</f>
        <v>0</v>
      </c>
      <c r="AQ65" s="62">
        <f>-'5C1B_DArbonne'!AX65</f>
        <v>0</v>
      </c>
      <c r="AR65" s="62">
        <f>-'5C1C_Intl High'!AX65</f>
        <v>0</v>
      </c>
      <c r="AS65" s="62">
        <f>-'5C1D_NOMMA'!AX65</f>
        <v>0</v>
      </c>
      <c r="AT65" s="62">
        <f>-'5C1E_LFNO'!AX65</f>
        <v>0</v>
      </c>
      <c r="AU65" s="62">
        <f>-'5C1F_L.C. Charter'!AX65</f>
        <v>0</v>
      </c>
      <c r="AV65" s="62">
        <f>-'5C1G_JS Clark'!AX65</f>
        <v>0</v>
      </c>
      <c r="AW65" s="62">
        <f>-'5C1H_Southwest'!AX65</f>
        <v>0</v>
      </c>
      <c r="AX65" s="62">
        <f>-'5C1I_LA Key'!AX65</f>
        <v>0</v>
      </c>
      <c r="AY65" s="62">
        <f>-'5C1J_JCFA-East'!AX65</f>
        <v>0</v>
      </c>
      <c r="AZ65" s="62">
        <f>-'5C1M_GEO Mid'!AX65</f>
        <v>0</v>
      </c>
      <c r="BA65" s="62">
        <f>-'5C1N_Delta'!AX65</f>
        <v>0</v>
      </c>
      <c r="BB65" s="62">
        <f>-'5C1O_Impact'!AX65</f>
        <v>0</v>
      </c>
      <c r="BC65" s="62">
        <f>-'5C1Q_Advantage'!AX65</f>
        <v>0</v>
      </c>
      <c r="BD65" s="62">
        <f>-'5C1R_Iberville'!AX65</f>
        <v>0</v>
      </c>
      <c r="BE65" s="62">
        <f>-'5C1S_LC Col Prep'!AX65</f>
        <v>0</v>
      </c>
      <c r="BF65" s="62">
        <f>-'5C1T_Northeast'!AX65</f>
        <v>0</v>
      </c>
      <c r="BG65" s="62">
        <f>-'5C1U_Acadiana Ren'!AX65</f>
        <v>0</v>
      </c>
      <c r="BH65" s="62">
        <f>-'5C1V_Laf Ren'!AX65</f>
        <v>0</v>
      </c>
      <c r="BI65" s="62">
        <f>-'5C1W_Willow'!AX65</f>
        <v>0</v>
      </c>
      <c r="BJ65" s="62">
        <f>-'5C1Y_GEO'!AX65</f>
        <v>0</v>
      </c>
      <c r="BK65" s="62">
        <f>-'5C1Z_Lincoln Prep'!AX65</f>
        <v>0</v>
      </c>
      <c r="BL65" s="62">
        <f>-'5C1AE_Noble Minds'!AX65</f>
        <v>0</v>
      </c>
      <c r="BM65" s="62">
        <f>-'5C1AF_JCFA-Laf'!AX65</f>
        <v>0</v>
      </c>
      <c r="BN65" s="62">
        <f>-'5C1AG_Collegiate'!AX65</f>
        <v>0</v>
      </c>
      <c r="BO65" s="62">
        <f>-'5C1AH_BRUP'!AX65</f>
        <v>0</v>
      </c>
      <c r="BP65" s="62">
        <f>-'5C1AI_Harmony'!$AX65</f>
        <v>0</v>
      </c>
      <c r="BQ65" s="62">
        <f>-'5C1AJ_Athlos'!$AX65</f>
        <v>0</v>
      </c>
      <c r="BR65" s="62">
        <f>-'5C1AK_NxtGen'!$AX65</f>
        <v>0</v>
      </c>
      <c r="BS65" s="62">
        <f>-'5C1AL_Red River'!$AX65</f>
        <v>0</v>
      </c>
      <c r="BT65" s="62">
        <f>-'5C2_LAVCA'!AY65</f>
        <v>13</v>
      </c>
      <c r="BU65" s="62">
        <f>-'5C3_UnvView'!AY65</f>
        <v>-3</v>
      </c>
      <c r="BV65" s="62">
        <f t="shared" si="9"/>
        <v>10</v>
      </c>
      <c r="BW65" s="327">
        <f t="shared" si="10"/>
        <v>2892827</v>
      </c>
    </row>
    <row r="66" spans="1:75" s="8" customFormat="1" ht="15.75" customHeight="1" x14ac:dyDescent="0.2">
      <c r="A66" s="314">
        <v>60</v>
      </c>
      <c r="B66" s="315" t="s">
        <v>62</v>
      </c>
      <c r="C66" s="316">
        <f>'2_State Distrib and Adjs'!BB66</f>
        <v>2900141</v>
      </c>
      <c r="D66" s="316">
        <f>-'5A3_OJJ'!S66</f>
        <v>-61</v>
      </c>
      <c r="E66" s="316"/>
      <c r="F66" s="316">
        <f>-'5C1A_Madison'!AS66</f>
        <v>0</v>
      </c>
      <c r="G66" s="316">
        <f>-'5C1B_DArbonne'!AS66</f>
        <v>0</v>
      </c>
      <c r="H66" s="316">
        <f>-'5C1C_Intl High'!AS66</f>
        <v>0</v>
      </c>
      <c r="I66" s="316">
        <f>-'5C1D_NOMMA'!AS66</f>
        <v>0</v>
      </c>
      <c r="J66" s="316">
        <f>-'5C1E_LFNO'!AS66</f>
        <v>0</v>
      </c>
      <c r="K66" s="316">
        <f>-'5C1F_L.C. Charter'!AS66</f>
        <v>0</v>
      </c>
      <c r="L66" s="316">
        <f>-'5C1G_JS Clark'!AS66</f>
        <v>0</v>
      </c>
      <c r="M66" s="316">
        <f>-'5C1H_Southwest'!AS66</f>
        <v>0</v>
      </c>
      <c r="N66" s="316">
        <f>-'5C1I_LA Key'!AS66</f>
        <v>0</v>
      </c>
      <c r="O66" s="316">
        <f>-'5C1J_JCFA-East'!AS66</f>
        <v>0</v>
      </c>
      <c r="P66" s="316">
        <f>-'5C1M_GEO Mid'!AS66</f>
        <v>0</v>
      </c>
      <c r="Q66" s="316">
        <f>-'5C1N_Delta'!AS66</f>
        <v>0</v>
      </c>
      <c r="R66" s="316">
        <f>-'5C1O_Impact'!AS66</f>
        <v>0</v>
      </c>
      <c r="S66" s="316">
        <f>-'5C1Q_Advantage'!AS66</f>
        <v>0</v>
      </c>
      <c r="T66" s="316">
        <f>-'5C1R_Iberville'!AS66</f>
        <v>0</v>
      </c>
      <c r="U66" s="316">
        <f>-'5C1S_LC Col Prep'!AS66</f>
        <v>0</v>
      </c>
      <c r="V66" s="316">
        <f>-'5C1T_Northeast'!AS66</f>
        <v>0</v>
      </c>
      <c r="W66" s="316">
        <f>-'5C1U_Acadiana Ren'!AS66</f>
        <v>0</v>
      </c>
      <c r="X66" s="316">
        <f>-'5C1V_Laf Ren'!AS66</f>
        <v>0</v>
      </c>
      <c r="Y66" s="316">
        <f>-'5C1W_Willow'!AS66</f>
        <v>0</v>
      </c>
      <c r="Z66" s="316">
        <f>-'5C1Y_GEO'!AS66</f>
        <v>0</v>
      </c>
      <c r="AA66" s="316">
        <f>-'5C1Z_Lincoln Prep'!AS66</f>
        <v>-88</v>
      </c>
      <c r="AB66" s="316">
        <f>-'5C1AE_Noble Minds'!$AS66</f>
        <v>0</v>
      </c>
      <c r="AC66" s="316">
        <f>-'5C1AF_JCFA-Laf'!$AS66</f>
        <v>0</v>
      </c>
      <c r="AD66" s="316">
        <f>-'5C1AG_Collegiate'!$AS66</f>
        <v>0</v>
      </c>
      <c r="AE66" s="316">
        <f>-'5C1AH_BRUP'!$AS66</f>
        <v>0</v>
      </c>
      <c r="AF66" s="586">
        <f>-'5C1AI_Harmony'!$AS66</f>
        <v>0</v>
      </c>
      <c r="AG66" s="586">
        <f>-'5C1AJ_Athlos'!$AS66</f>
        <v>0</v>
      </c>
      <c r="AH66" s="781">
        <f>-'5C1AK_NxtGen'!$AS66</f>
        <v>0</v>
      </c>
      <c r="AI66" s="781">
        <f>-'5C1AL_Red River'!$AS66</f>
        <v>0</v>
      </c>
      <c r="AJ66" s="316">
        <f>-'5C2_LAVCA'!AT66</f>
        <v>-1050</v>
      </c>
      <c r="AK66" s="316">
        <f>-'5C3_UnvView'!AT66</f>
        <v>-11561</v>
      </c>
      <c r="AL66" s="317">
        <f t="shared" si="7"/>
        <v>-12760</v>
      </c>
      <c r="AM66" s="318">
        <f t="shared" si="8"/>
        <v>2887381</v>
      </c>
      <c r="AN66" s="316"/>
      <c r="AO66" s="316"/>
      <c r="AP66" s="316">
        <f>-'5C1A_Madison'!AX66</f>
        <v>0</v>
      </c>
      <c r="AQ66" s="316">
        <f>-'5C1B_DArbonne'!AX66</f>
        <v>0</v>
      </c>
      <c r="AR66" s="316">
        <f>-'5C1C_Intl High'!AX66</f>
        <v>0</v>
      </c>
      <c r="AS66" s="316">
        <f>-'5C1D_NOMMA'!AX66</f>
        <v>0</v>
      </c>
      <c r="AT66" s="316">
        <f>-'5C1E_LFNO'!AX66</f>
        <v>0</v>
      </c>
      <c r="AU66" s="316">
        <f>-'5C1F_L.C. Charter'!AX66</f>
        <v>0</v>
      </c>
      <c r="AV66" s="316">
        <f>-'5C1G_JS Clark'!AX66</f>
        <v>0</v>
      </c>
      <c r="AW66" s="316">
        <f>-'5C1H_Southwest'!AX66</f>
        <v>0</v>
      </c>
      <c r="AX66" s="316">
        <f>-'5C1I_LA Key'!AX66</f>
        <v>0</v>
      </c>
      <c r="AY66" s="316">
        <f>-'5C1J_JCFA-East'!AX66</f>
        <v>0</v>
      </c>
      <c r="AZ66" s="316">
        <f>-'5C1M_GEO Mid'!AX66</f>
        <v>0</v>
      </c>
      <c r="BA66" s="316">
        <f>-'5C1N_Delta'!AX66</f>
        <v>0</v>
      </c>
      <c r="BB66" s="316">
        <f>-'5C1O_Impact'!AX66</f>
        <v>0</v>
      </c>
      <c r="BC66" s="316">
        <f>-'5C1Q_Advantage'!AX66</f>
        <v>0</v>
      </c>
      <c r="BD66" s="316">
        <f>-'5C1R_Iberville'!AX66</f>
        <v>0</v>
      </c>
      <c r="BE66" s="316">
        <f>-'5C1S_LC Col Prep'!AX66</f>
        <v>0</v>
      </c>
      <c r="BF66" s="316">
        <f>-'5C1T_Northeast'!AX66</f>
        <v>0</v>
      </c>
      <c r="BG66" s="316">
        <f>-'5C1U_Acadiana Ren'!AX66</f>
        <v>0</v>
      </c>
      <c r="BH66" s="316">
        <f>-'5C1V_Laf Ren'!AX66</f>
        <v>0</v>
      </c>
      <c r="BI66" s="316">
        <f>-'5C1W_Willow'!AX66</f>
        <v>0</v>
      </c>
      <c r="BJ66" s="316">
        <f>-'5C1Y_GEO'!AX66</f>
        <v>0</v>
      </c>
      <c r="BK66" s="316">
        <f>-'5C1Z_Lincoln Prep'!AX66</f>
        <v>9</v>
      </c>
      <c r="BL66" s="316">
        <f>-'5C1AE_Noble Minds'!AX66</f>
        <v>0</v>
      </c>
      <c r="BM66" s="316">
        <f>-'5C1AF_JCFA-Laf'!AX66</f>
        <v>0</v>
      </c>
      <c r="BN66" s="316">
        <f>-'5C1AG_Collegiate'!AX66</f>
        <v>0</v>
      </c>
      <c r="BO66" s="316">
        <f>-'5C1AH_BRUP'!AX66</f>
        <v>0</v>
      </c>
      <c r="BP66" s="586">
        <f>-'5C1AI_Harmony'!$AX66</f>
        <v>0</v>
      </c>
      <c r="BQ66" s="586">
        <f>-'5C1AJ_Athlos'!$AX66</f>
        <v>0</v>
      </c>
      <c r="BR66" s="781">
        <f>-'5C1AK_NxtGen'!$AX66</f>
        <v>0</v>
      </c>
      <c r="BS66" s="781">
        <f>-'5C1AL_Red River'!$AX66</f>
        <v>0</v>
      </c>
      <c r="BT66" s="316">
        <f>-'5C2_LAVCA'!AY66</f>
        <v>44</v>
      </c>
      <c r="BU66" s="316">
        <f>-'5C3_UnvView'!AY66</f>
        <v>-37</v>
      </c>
      <c r="BV66" s="316">
        <f t="shared" si="9"/>
        <v>16</v>
      </c>
      <c r="BW66" s="318">
        <f t="shared" si="10"/>
        <v>2887397</v>
      </c>
    </row>
    <row r="67" spans="1:75" s="8" customFormat="1" ht="15.75" customHeight="1" x14ac:dyDescent="0.2">
      <c r="A67" s="324">
        <v>61</v>
      </c>
      <c r="B67" s="325" t="s">
        <v>63</v>
      </c>
      <c r="C67" s="62">
        <f>'2_State Distrib and Adjs'!BB67</f>
        <v>1356229</v>
      </c>
      <c r="D67" s="62">
        <f>-'5A3_OJJ'!S67</f>
        <v>0</v>
      </c>
      <c r="E67" s="62"/>
      <c r="F67" s="62">
        <f>-'5C1A_Madison'!AS67</f>
        <v>-1602</v>
      </c>
      <c r="G67" s="62">
        <f>-'5C1B_DArbonne'!AS67</f>
        <v>0</v>
      </c>
      <c r="H67" s="62">
        <f>-'5C1C_Intl High'!AS67</f>
        <v>0</v>
      </c>
      <c r="I67" s="62">
        <f>-'5C1D_NOMMA'!AS67</f>
        <v>0</v>
      </c>
      <c r="J67" s="62">
        <f>-'5C1E_LFNO'!AS67</f>
        <v>0</v>
      </c>
      <c r="K67" s="62">
        <f>-'5C1F_L.C. Charter'!AS67</f>
        <v>0</v>
      </c>
      <c r="L67" s="62">
        <f>-'5C1G_JS Clark'!AS67</f>
        <v>0</v>
      </c>
      <c r="M67" s="62">
        <f>-'5C1H_Southwest'!AS67</f>
        <v>0</v>
      </c>
      <c r="N67" s="62">
        <f>-'5C1I_LA Key'!AS67</f>
        <v>-13751</v>
      </c>
      <c r="O67" s="62">
        <f>-'5C1J_JCFA-East'!AS67</f>
        <v>0</v>
      </c>
      <c r="P67" s="62">
        <f>-'5C1M_GEO Mid'!AS67</f>
        <v>-1146</v>
      </c>
      <c r="Q67" s="62">
        <f>-'5C1N_Delta'!AS67</f>
        <v>0</v>
      </c>
      <c r="R67" s="62">
        <f>-'5C1O_Impact'!AS67</f>
        <v>0</v>
      </c>
      <c r="S67" s="62">
        <f>-'5C1Q_Advantage'!AS67</f>
        <v>-5040</v>
      </c>
      <c r="T67" s="62">
        <f>-'5C1R_Iberville'!AS67</f>
        <v>-66965</v>
      </c>
      <c r="U67" s="62">
        <f>-'5C1S_LC Col Prep'!AS67</f>
        <v>0</v>
      </c>
      <c r="V67" s="62">
        <f>-'5C1T_Northeast'!AS67</f>
        <v>0</v>
      </c>
      <c r="W67" s="62">
        <f>-'5C1U_Acadiana Ren'!AS67</f>
        <v>0</v>
      </c>
      <c r="X67" s="62">
        <f>-'5C1V_Laf Ren'!AS67</f>
        <v>0</v>
      </c>
      <c r="Y67" s="62">
        <f>-'5C1W_Willow'!AS67</f>
        <v>0</v>
      </c>
      <c r="Z67" s="62">
        <f>-'5C1Y_GEO'!AS67</f>
        <v>-915</v>
      </c>
      <c r="AA67" s="62">
        <f>-'5C1Z_Lincoln Prep'!AS67</f>
        <v>0</v>
      </c>
      <c r="AB67" s="62">
        <f>-'5C1AE_Noble Minds'!$AS67</f>
        <v>0</v>
      </c>
      <c r="AC67" s="62">
        <f>-'5C1AF_JCFA-Laf'!$AS67</f>
        <v>0</v>
      </c>
      <c r="AD67" s="62">
        <f>-'5C1AG_Collegiate'!$AS67</f>
        <v>-459</v>
      </c>
      <c r="AE67" s="62">
        <f>-'5C1AH_BRUP'!$AS67</f>
        <v>0</v>
      </c>
      <c r="AF67" s="62">
        <f>-'5C1AI_Harmony'!$AS67</f>
        <v>0</v>
      </c>
      <c r="AG67" s="62">
        <f>-'5C1AJ_Athlos'!$AS67</f>
        <v>0</v>
      </c>
      <c r="AH67" s="62">
        <f>-'5C1AK_NxtGen'!$AS67</f>
        <v>0</v>
      </c>
      <c r="AI67" s="62">
        <f>-'5C1AL_Red River'!$AS67</f>
        <v>0</v>
      </c>
      <c r="AJ67" s="62">
        <f>-'5C2_LAVCA'!AT67</f>
        <v>-10313</v>
      </c>
      <c r="AK67" s="62">
        <f>-'5C3_UnvView'!AT67</f>
        <v>-26608</v>
      </c>
      <c r="AL67" s="326">
        <f t="shared" si="7"/>
        <v>-126799</v>
      </c>
      <c r="AM67" s="327">
        <f t="shared" si="8"/>
        <v>1229430</v>
      </c>
      <c r="AN67" s="62"/>
      <c r="AO67" s="62"/>
      <c r="AP67" s="62">
        <f>-'5C1A_Madison'!AX67</f>
        <v>7</v>
      </c>
      <c r="AQ67" s="62">
        <f>-'5C1B_DArbonne'!AX67</f>
        <v>0</v>
      </c>
      <c r="AR67" s="62">
        <f>-'5C1C_Intl High'!AX67</f>
        <v>0</v>
      </c>
      <c r="AS67" s="62">
        <f>-'5C1D_NOMMA'!AX67</f>
        <v>0</v>
      </c>
      <c r="AT67" s="62">
        <f>-'5C1E_LFNO'!AX67</f>
        <v>0</v>
      </c>
      <c r="AU67" s="62">
        <f>-'5C1F_L.C. Charter'!AX67</f>
        <v>0</v>
      </c>
      <c r="AV67" s="62">
        <f>-'5C1G_JS Clark'!AX67</f>
        <v>0</v>
      </c>
      <c r="AW67" s="62">
        <f>-'5C1H_Southwest'!AX67</f>
        <v>0</v>
      </c>
      <c r="AX67" s="62">
        <f>-'5C1I_LA Key'!AX67</f>
        <v>-54</v>
      </c>
      <c r="AY67" s="62">
        <f>-'5C1J_JCFA-East'!AX67</f>
        <v>0</v>
      </c>
      <c r="AZ67" s="62">
        <f>-'5C1M_GEO Mid'!AX67</f>
        <v>-7</v>
      </c>
      <c r="BA67" s="62">
        <f>-'5C1N_Delta'!AX67</f>
        <v>0</v>
      </c>
      <c r="BB67" s="62">
        <f>-'5C1O_Impact'!AX67</f>
        <v>0</v>
      </c>
      <c r="BC67" s="62">
        <f>-'5C1Q_Advantage'!AX67</f>
        <v>-13</v>
      </c>
      <c r="BD67" s="62">
        <f>-'5C1R_Iberville'!AX67</f>
        <v>-605</v>
      </c>
      <c r="BE67" s="62">
        <f>-'5C1S_LC Col Prep'!AX67</f>
        <v>0</v>
      </c>
      <c r="BF67" s="62">
        <f>-'5C1T_Northeast'!AX67</f>
        <v>0</v>
      </c>
      <c r="BG67" s="62">
        <f>-'5C1U_Acadiana Ren'!AX67</f>
        <v>0</v>
      </c>
      <c r="BH67" s="62">
        <f>-'5C1V_Laf Ren'!AX67</f>
        <v>0</v>
      </c>
      <c r="BI67" s="62">
        <f>-'5C1W_Willow'!AX67</f>
        <v>0</v>
      </c>
      <c r="BJ67" s="62">
        <f>-'5C1Y_GEO'!AX67</f>
        <v>1</v>
      </c>
      <c r="BK67" s="62">
        <f>-'5C1Z_Lincoln Prep'!AX67</f>
        <v>0</v>
      </c>
      <c r="BL67" s="62">
        <f>-'5C1AE_Noble Minds'!AX67</f>
        <v>0</v>
      </c>
      <c r="BM67" s="62">
        <f>-'5C1AF_JCFA-Laf'!AX67</f>
        <v>0</v>
      </c>
      <c r="BN67" s="62">
        <f>-'5C1AG_Collegiate'!AX67</f>
        <v>-14</v>
      </c>
      <c r="BO67" s="62">
        <f>-'5C1AH_BRUP'!AX67</f>
        <v>0</v>
      </c>
      <c r="BP67" s="62">
        <f>-'5C1AI_Harmony'!$AX67</f>
        <v>0</v>
      </c>
      <c r="BQ67" s="62">
        <f>-'5C1AJ_Athlos'!$AX67</f>
        <v>0</v>
      </c>
      <c r="BR67" s="62">
        <f>-'5C1AK_NxtGen'!$AX67</f>
        <v>0</v>
      </c>
      <c r="BS67" s="62">
        <f>-'5C1AL_Red River'!$AX67</f>
        <v>0</v>
      </c>
      <c r="BT67" s="62">
        <f>-'5C2_LAVCA'!AY67</f>
        <v>-37</v>
      </c>
      <c r="BU67" s="62">
        <f>-'5C3_UnvView'!AY67</f>
        <v>-129</v>
      </c>
      <c r="BV67" s="62">
        <f t="shared" si="9"/>
        <v>-851</v>
      </c>
      <c r="BW67" s="327">
        <f t="shared" si="10"/>
        <v>1228579</v>
      </c>
    </row>
    <row r="68" spans="1:75" s="8" customFormat="1" ht="15.75" customHeight="1" x14ac:dyDescent="0.2">
      <c r="A68" s="324">
        <v>62</v>
      </c>
      <c r="B68" s="325" t="s">
        <v>64</v>
      </c>
      <c r="C68" s="62">
        <f>'2_State Distrib and Adjs'!BB68</f>
        <v>1022662</v>
      </c>
      <c r="D68" s="62">
        <f>-'5A3_OJJ'!S68</f>
        <v>-182</v>
      </c>
      <c r="E68" s="62"/>
      <c r="F68" s="62">
        <f>-'5C1A_Madison'!AS68</f>
        <v>0</v>
      </c>
      <c r="G68" s="62">
        <f>-'5C1B_DArbonne'!AS68</f>
        <v>0</v>
      </c>
      <c r="H68" s="62">
        <f>-'5C1C_Intl High'!AS68</f>
        <v>0</v>
      </c>
      <c r="I68" s="62">
        <f>-'5C1D_NOMMA'!AS68</f>
        <v>0</v>
      </c>
      <c r="J68" s="62">
        <f>-'5C1E_LFNO'!AS68</f>
        <v>0</v>
      </c>
      <c r="K68" s="62">
        <f>-'5C1F_L.C. Charter'!AS68</f>
        <v>0</v>
      </c>
      <c r="L68" s="62">
        <f>-'5C1G_JS Clark'!AS68</f>
        <v>0</v>
      </c>
      <c r="M68" s="62">
        <f>-'5C1H_Southwest'!AS68</f>
        <v>0</v>
      </c>
      <c r="N68" s="62">
        <f>-'5C1I_LA Key'!AS68</f>
        <v>0</v>
      </c>
      <c r="O68" s="62">
        <f>-'5C1J_JCFA-East'!AS68</f>
        <v>0</v>
      </c>
      <c r="P68" s="62">
        <f>-'5C1M_GEO Mid'!AS68</f>
        <v>0</v>
      </c>
      <c r="Q68" s="62">
        <f>-'5C1N_Delta'!AS68</f>
        <v>0</v>
      </c>
      <c r="R68" s="62">
        <f>-'5C1O_Impact'!AS68</f>
        <v>0</v>
      </c>
      <c r="S68" s="62">
        <f>-'5C1Q_Advantage'!AS68</f>
        <v>0</v>
      </c>
      <c r="T68" s="62">
        <f>-'5C1R_Iberville'!AS68</f>
        <v>0</v>
      </c>
      <c r="U68" s="62">
        <f>-'5C1S_LC Col Prep'!AS68</f>
        <v>0</v>
      </c>
      <c r="V68" s="62">
        <f>-'5C1T_Northeast'!AS68</f>
        <v>0</v>
      </c>
      <c r="W68" s="62">
        <f>-'5C1U_Acadiana Ren'!AS68</f>
        <v>0</v>
      </c>
      <c r="X68" s="62">
        <f>-'5C1V_Laf Ren'!AS68</f>
        <v>0</v>
      </c>
      <c r="Y68" s="62">
        <f>-'5C1W_Willow'!AS68</f>
        <v>0</v>
      </c>
      <c r="Z68" s="62">
        <f>-'5C1Y_GEO'!AS68</f>
        <v>0</v>
      </c>
      <c r="AA68" s="62">
        <f>-'5C1Z_Lincoln Prep'!AS68</f>
        <v>0</v>
      </c>
      <c r="AB68" s="62">
        <f>-'5C1AE_Noble Minds'!$AS68</f>
        <v>0</v>
      </c>
      <c r="AC68" s="62">
        <f>-'5C1AF_JCFA-Laf'!$AS68</f>
        <v>0</v>
      </c>
      <c r="AD68" s="62">
        <f>-'5C1AG_Collegiate'!$AS68</f>
        <v>0</v>
      </c>
      <c r="AE68" s="62">
        <f>-'5C1AH_BRUP'!$AS68</f>
        <v>0</v>
      </c>
      <c r="AF68" s="62">
        <f>-'5C1AI_Harmony'!$AS68</f>
        <v>0</v>
      </c>
      <c r="AG68" s="62">
        <f>-'5C1AJ_Athlos'!$AS68</f>
        <v>0</v>
      </c>
      <c r="AH68" s="62">
        <f>-'5C1AK_NxtGen'!$AS68</f>
        <v>0</v>
      </c>
      <c r="AI68" s="62">
        <f>-'5C1AL_Red River'!$AS68</f>
        <v>0</v>
      </c>
      <c r="AJ68" s="62">
        <f>-'5C2_LAVCA'!AT68</f>
        <v>-320</v>
      </c>
      <c r="AK68" s="62">
        <f>-'5C3_UnvView'!AT68</f>
        <v>-4101</v>
      </c>
      <c r="AL68" s="326">
        <f t="shared" si="7"/>
        <v>-4603</v>
      </c>
      <c r="AM68" s="327">
        <f t="shared" si="8"/>
        <v>1018059</v>
      </c>
      <c r="AN68" s="62"/>
      <c r="AO68" s="62"/>
      <c r="AP68" s="62">
        <f>-'5C1A_Madison'!AX68</f>
        <v>0</v>
      </c>
      <c r="AQ68" s="62">
        <f>-'5C1B_DArbonne'!AX68</f>
        <v>0</v>
      </c>
      <c r="AR68" s="62">
        <f>-'5C1C_Intl High'!AX68</f>
        <v>0</v>
      </c>
      <c r="AS68" s="62">
        <f>-'5C1D_NOMMA'!AX68</f>
        <v>0</v>
      </c>
      <c r="AT68" s="62">
        <f>-'5C1E_LFNO'!AX68</f>
        <v>0</v>
      </c>
      <c r="AU68" s="62">
        <f>-'5C1F_L.C. Charter'!AX68</f>
        <v>0</v>
      </c>
      <c r="AV68" s="62">
        <f>-'5C1G_JS Clark'!AX68</f>
        <v>0</v>
      </c>
      <c r="AW68" s="62">
        <f>-'5C1H_Southwest'!AX68</f>
        <v>0</v>
      </c>
      <c r="AX68" s="62">
        <f>-'5C1I_LA Key'!AX68</f>
        <v>0</v>
      </c>
      <c r="AY68" s="62">
        <f>-'5C1J_JCFA-East'!AX68</f>
        <v>0</v>
      </c>
      <c r="AZ68" s="62">
        <f>-'5C1M_GEO Mid'!AX68</f>
        <v>0</v>
      </c>
      <c r="BA68" s="62">
        <f>-'5C1N_Delta'!AX68</f>
        <v>0</v>
      </c>
      <c r="BB68" s="62">
        <f>-'5C1O_Impact'!AX68</f>
        <v>0</v>
      </c>
      <c r="BC68" s="62">
        <f>-'5C1Q_Advantage'!AX68</f>
        <v>0</v>
      </c>
      <c r="BD68" s="62">
        <f>-'5C1R_Iberville'!AX68</f>
        <v>0</v>
      </c>
      <c r="BE68" s="62">
        <f>-'5C1S_LC Col Prep'!AX68</f>
        <v>0</v>
      </c>
      <c r="BF68" s="62">
        <f>-'5C1T_Northeast'!AX68</f>
        <v>0</v>
      </c>
      <c r="BG68" s="62">
        <f>-'5C1U_Acadiana Ren'!AX68</f>
        <v>0</v>
      </c>
      <c r="BH68" s="62">
        <f>-'5C1V_Laf Ren'!AX68</f>
        <v>0</v>
      </c>
      <c r="BI68" s="62">
        <f>-'5C1W_Willow'!AX68</f>
        <v>0</v>
      </c>
      <c r="BJ68" s="62">
        <f>-'5C1Y_GEO'!AX68</f>
        <v>0</v>
      </c>
      <c r="BK68" s="62">
        <f>-'5C1Z_Lincoln Prep'!AX68</f>
        <v>0</v>
      </c>
      <c r="BL68" s="62">
        <f>-'5C1AE_Noble Minds'!AX68</f>
        <v>0</v>
      </c>
      <c r="BM68" s="62">
        <f>-'5C1AF_JCFA-Laf'!AX68</f>
        <v>0</v>
      </c>
      <c r="BN68" s="62">
        <f>-'5C1AG_Collegiate'!AX68</f>
        <v>0</v>
      </c>
      <c r="BO68" s="62">
        <f>-'5C1AH_BRUP'!AX68</f>
        <v>0</v>
      </c>
      <c r="BP68" s="62">
        <f>-'5C1AI_Harmony'!$AX68</f>
        <v>0</v>
      </c>
      <c r="BQ68" s="62">
        <f>-'5C1AJ_Athlos'!$AX68</f>
        <v>0</v>
      </c>
      <c r="BR68" s="62">
        <f>-'5C1AK_NxtGen'!$AX68</f>
        <v>0</v>
      </c>
      <c r="BS68" s="62">
        <f>-'5C1AL_Red River'!$AX68</f>
        <v>0</v>
      </c>
      <c r="BT68" s="62">
        <f>-'5C2_LAVCA'!AY68</f>
        <v>8</v>
      </c>
      <c r="BU68" s="62">
        <f>-'5C3_UnvView'!AY68</f>
        <v>-37</v>
      </c>
      <c r="BV68" s="62">
        <f t="shared" si="9"/>
        <v>-29</v>
      </c>
      <c r="BW68" s="327">
        <f t="shared" si="10"/>
        <v>1018030</v>
      </c>
    </row>
    <row r="69" spans="1:75" s="8" customFormat="1" ht="15.75" customHeight="1" x14ac:dyDescent="0.2">
      <c r="A69" s="324">
        <v>63</v>
      </c>
      <c r="B69" s="325" t="s">
        <v>65</v>
      </c>
      <c r="C69" s="62">
        <f>'2_State Distrib and Adjs'!BB69</f>
        <v>776447</v>
      </c>
      <c r="D69" s="62">
        <f>-'5A3_OJJ'!S69</f>
        <v>0</v>
      </c>
      <c r="E69" s="62"/>
      <c r="F69" s="62">
        <f>-'5C1A_Madison'!AS69</f>
        <v>0</v>
      </c>
      <c r="G69" s="62">
        <f>-'5C1B_DArbonne'!AS69</f>
        <v>0</v>
      </c>
      <c r="H69" s="62">
        <f>-'5C1C_Intl High'!AS69</f>
        <v>0</v>
      </c>
      <c r="I69" s="62">
        <f>-'5C1D_NOMMA'!AS69</f>
        <v>0</v>
      </c>
      <c r="J69" s="62">
        <f>-'5C1E_LFNO'!AS69</f>
        <v>0</v>
      </c>
      <c r="K69" s="62">
        <f>-'5C1F_L.C. Charter'!AS69</f>
        <v>0</v>
      </c>
      <c r="L69" s="62">
        <f>-'5C1G_JS Clark'!AS69</f>
        <v>0</v>
      </c>
      <c r="M69" s="62">
        <f>-'5C1H_Southwest'!AS69</f>
        <v>0</v>
      </c>
      <c r="N69" s="62">
        <f>-'5C1I_LA Key'!AS69</f>
        <v>-3040</v>
      </c>
      <c r="O69" s="62">
        <f>-'5C1J_JCFA-East'!AS69</f>
        <v>0</v>
      </c>
      <c r="P69" s="62">
        <f>-'5C1M_GEO Mid'!AS69</f>
        <v>0</v>
      </c>
      <c r="Q69" s="62">
        <f>-'5C1N_Delta'!AS69</f>
        <v>0</v>
      </c>
      <c r="R69" s="62">
        <f>-'5C1O_Impact'!AS69</f>
        <v>0</v>
      </c>
      <c r="S69" s="62">
        <f>-'5C1Q_Advantage'!AS69</f>
        <v>777</v>
      </c>
      <c r="T69" s="62">
        <f>-'5C1R_Iberville'!AS69</f>
        <v>0</v>
      </c>
      <c r="U69" s="62">
        <f>-'5C1S_LC Col Prep'!AS69</f>
        <v>0</v>
      </c>
      <c r="V69" s="62">
        <f>-'5C1T_Northeast'!AS69</f>
        <v>0</v>
      </c>
      <c r="W69" s="62">
        <f>-'5C1U_Acadiana Ren'!AS69</f>
        <v>0</v>
      </c>
      <c r="X69" s="62">
        <f>-'5C1V_Laf Ren'!AS69</f>
        <v>0</v>
      </c>
      <c r="Y69" s="62">
        <f>-'5C1W_Willow'!AS69</f>
        <v>0</v>
      </c>
      <c r="Z69" s="62">
        <f>-'5C1Y_GEO'!AS69</f>
        <v>0</v>
      </c>
      <c r="AA69" s="62">
        <f>-'5C1Z_Lincoln Prep'!AS69</f>
        <v>0</v>
      </c>
      <c r="AB69" s="62">
        <f>-'5C1AE_Noble Minds'!$AS69</f>
        <v>0</v>
      </c>
      <c r="AC69" s="62">
        <f>-'5C1AF_JCFA-Laf'!$AS69</f>
        <v>0</v>
      </c>
      <c r="AD69" s="62">
        <f>-'5C1AG_Collegiate'!$AS69</f>
        <v>0</v>
      </c>
      <c r="AE69" s="62">
        <f>-'5C1AH_BRUP'!$AS69</f>
        <v>0</v>
      </c>
      <c r="AF69" s="62">
        <f>-'5C1AI_Harmony'!$AS69</f>
        <v>0</v>
      </c>
      <c r="AG69" s="62">
        <f>-'5C1AJ_Athlos'!$AS69</f>
        <v>0</v>
      </c>
      <c r="AH69" s="62">
        <f>-'5C1AK_NxtGen'!$AS69</f>
        <v>0</v>
      </c>
      <c r="AI69" s="62">
        <f>-'5C1AL_Red River'!$AS69</f>
        <v>0</v>
      </c>
      <c r="AJ69" s="62">
        <f>-'5C2_LAVCA'!AT69</f>
        <v>-10095</v>
      </c>
      <c r="AK69" s="62">
        <f>-'5C3_UnvView'!AT69</f>
        <v>-4203</v>
      </c>
      <c r="AL69" s="326">
        <f t="shared" si="7"/>
        <v>-16561</v>
      </c>
      <c r="AM69" s="327">
        <f t="shared" si="8"/>
        <v>759886</v>
      </c>
      <c r="AN69" s="62"/>
      <c r="AO69" s="62"/>
      <c r="AP69" s="62">
        <f>-'5C1A_Madison'!AX69</f>
        <v>0</v>
      </c>
      <c r="AQ69" s="62">
        <f>-'5C1B_DArbonne'!AX69</f>
        <v>0</v>
      </c>
      <c r="AR69" s="62">
        <f>-'5C1C_Intl High'!AX69</f>
        <v>0</v>
      </c>
      <c r="AS69" s="62">
        <f>-'5C1D_NOMMA'!AX69</f>
        <v>0</v>
      </c>
      <c r="AT69" s="62">
        <f>-'5C1E_LFNO'!AX69</f>
        <v>0</v>
      </c>
      <c r="AU69" s="62">
        <f>-'5C1F_L.C. Charter'!AX69</f>
        <v>0</v>
      </c>
      <c r="AV69" s="62">
        <f>-'5C1G_JS Clark'!AX69</f>
        <v>0</v>
      </c>
      <c r="AW69" s="62">
        <f>-'5C1H_Southwest'!AX69</f>
        <v>0</v>
      </c>
      <c r="AX69" s="62">
        <f>-'5C1I_LA Key'!AX69</f>
        <v>-11</v>
      </c>
      <c r="AY69" s="62">
        <f>-'5C1J_JCFA-East'!AX69</f>
        <v>0</v>
      </c>
      <c r="AZ69" s="62">
        <f>-'5C1M_GEO Mid'!AX69</f>
        <v>0</v>
      </c>
      <c r="BA69" s="62">
        <f>-'5C1N_Delta'!AX69</f>
        <v>0</v>
      </c>
      <c r="BB69" s="62">
        <f>-'5C1O_Impact'!AX69</f>
        <v>0</v>
      </c>
      <c r="BC69" s="62">
        <f>-'5C1Q_Advantage'!AX69</f>
        <v>23</v>
      </c>
      <c r="BD69" s="62">
        <f>-'5C1R_Iberville'!AX69</f>
        <v>0</v>
      </c>
      <c r="BE69" s="62">
        <f>-'5C1S_LC Col Prep'!AX69</f>
        <v>0</v>
      </c>
      <c r="BF69" s="62">
        <f>-'5C1T_Northeast'!AX69</f>
        <v>0</v>
      </c>
      <c r="BG69" s="62">
        <f>-'5C1U_Acadiana Ren'!AX69</f>
        <v>0</v>
      </c>
      <c r="BH69" s="62">
        <f>-'5C1V_Laf Ren'!AX69</f>
        <v>0</v>
      </c>
      <c r="BI69" s="62">
        <f>-'5C1W_Willow'!AX69</f>
        <v>0</v>
      </c>
      <c r="BJ69" s="62">
        <f>-'5C1Y_GEO'!AX69</f>
        <v>0</v>
      </c>
      <c r="BK69" s="62">
        <f>-'5C1Z_Lincoln Prep'!AX69</f>
        <v>0</v>
      </c>
      <c r="BL69" s="62">
        <f>-'5C1AE_Noble Minds'!AX69</f>
        <v>0</v>
      </c>
      <c r="BM69" s="62">
        <f>-'5C1AF_JCFA-Laf'!AX69</f>
        <v>0</v>
      </c>
      <c r="BN69" s="62">
        <f>-'5C1AG_Collegiate'!AX69</f>
        <v>0</v>
      </c>
      <c r="BO69" s="62">
        <f>-'5C1AH_BRUP'!AX69</f>
        <v>0</v>
      </c>
      <c r="BP69" s="62">
        <f>-'5C1AI_Harmony'!$AX69</f>
        <v>0</v>
      </c>
      <c r="BQ69" s="62">
        <f>-'5C1AJ_Athlos'!$AX69</f>
        <v>0</v>
      </c>
      <c r="BR69" s="62">
        <f>-'5C1AK_NxtGen'!$AX69</f>
        <v>0</v>
      </c>
      <c r="BS69" s="62">
        <f>-'5C1AL_Red River'!$AX69</f>
        <v>0</v>
      </c>
      <c r="BT69" s="62">
        <f>-'5C2_LAVCA'!AY69</f>
        <v>-110</v>
      </c>
      <c r="BU69" s="62">
        <f>-'5C3_UnvView'!AY69</f>
        <v>67</v>
      </c>
      <c r="BV69" s="62">
        <f t="shared" si="9"/>
        <v>-31</v>
      </c>
      <c r="BW69" s="327">
        <f t="shared" si="10"/>
        <v>759855</v>
      </c>
    </row>
    <row r="70" spans="1:75" s="8" customFormat="1" ht="15.75" customHeight="1" x14ac:dyDescent="0.2">
      <c r="A70" s="324">
        <v>64</v>
      </c>
      <c r="B70" s="325" t="s">
        <v>66</v>
      </c>
      <c r="C70" s="62">
        <f>'2_State Distrib and Adjs'!BB70</f>
        <v>1090287</v>
      </c>
      <c r="D70" s="62">
        <f>-'5A3_OJJ'!S70</f>
        <v>0</v>
      </c>
      <c r="E70" s="62"/>
      <c r="F70" s="62">
        <f>-'5C1A_Madison'!AS70</f>
        <v>0</v>
      </c>
      <c r="G70" s="62">
        <f>-'5C1B_DArbonne'!AS70</f>
        <v>0</v>
      </c>
      <c r="H70" s="62">
        <f>-'5C1C_Intl High'!AS70</f>
        <v>0</v>
      </c>
      <c r="I70" s="62">
        <f>-'5C1D_NOMMA'!AS70</f>
        <v>0</v>
      </c>
      <c r="J70" s="62">
        <f>-'5C1E_LFNO'!AS70</f>
        <v>0</v>
      </c>
      <c r="K70" s="62">
        <f>-'5C1F_L.C. Charter'!AS70</f>
        <v>0</v>
      </c>
      <c r="L70" s="62">
        <f>-'5C1G_JS Clark'!AS70</f>
        <v>0</v>
      </c>
      <c r="M70" s="62">
        <f>-'5C1H_Southwest'!AS70</f>
        <v>0</v>
      </c>
      <c r="N70" s="62">
        <f>-'5C1I_LA Key'!AS70</f>
        <v>0</v>
      </c>
      <c r="O70" s="62">
        <f>-'5C1J_JCFA-East'!AS70</f>
        <v>0</v>
      </c>
      <c r="P70" s="62">
        <f>-'5C1M_GEO Mid'!AS70</f>
        <v>0</v>
      </c>
      <c r="Q70" s="62">
        <f>-'5C1N_Delta'!AS70</f>
        <v>0</v>
      </c>
      <c r="R70" s="62">
        <f>-'5C1O_Impact'!AS70</f>
        <v>0</v>
      </c>
      <c r="S70" s="62">
        <f>-'5C1Q_Advantage'!AS70</f>
        <v>0</v>
      </c>
      <c r="T70" s="62">
        <f>-'5C1R_Iberville'!AS70</f>
        <v>0</v>
      </c>
      <c r="U70" s="62">
        <f>-'5C1S_LC Col Prep'!AS70</f>
        <v>0</v>
      </c>
      <c r="V70" s="62">
        <f>-'5C1T_Northeast'!AS70</f>
        <v>0</v>
      </c>
      <c r="W70" s="62">
        <f>-'5C1U_Acadiana Ren'!AS70</f>
        <v>0</v>
      </c>
      <c r="X70" s="62">
        <f>-'5C1V_Laf Ren'!AS70</f>
        <v>0</v>
      </c>
      <c r="Y70" s="62">
        <f>-'5C1W_Willow'!AS70</f>
        <v>0</v>
      </c>
      <c r="Z70" s="62">
        <f>-'5C1Y_GEO'!AS70</f>
        <v>0</v>
      </c>
      <c r="AA70" s="62">
        <f>-'5C1Z_Lincoln Prep'!AS70</f>
        <v>-256</v>
      </c>
      <c r="AB70" s="62">
        <f>-'5C1AE_Noble Minds'!$AS70</f>
        <v>0</v>
      </c>
      <c r="AC70" s="62">
        <f>-'5C1AF_JCFA-Laf'!$AS70</f>
        <v>0</v>
      </c>
      <c r="AD70" s="62">
        <f>-'5C1AG_Collegiate'!$AS70</f>
        <v>0</v>
      </c>
      <c r="AE70" s="62">
        <f>-'5C1AH_BRUP'!$AS70</f>
        <v>0</v>
      </c>
      <c r="AF70" s="62">
        <f>-'5C1AI_Harmony'!$AS70</f>
        <v>0</v>
      </c>
      <c r="AG70" s="62">
        <f>-'5C1AJ_Athlos'!$AS70</f>
        <v>0</v>
      </c>
      <c r="AH70" s="62">
        <f>-'5C1AK_NxtGen'!$AS70</f>
        <v>0</v>
      </c>
      <c r="AI70" s="62">
        <f>-'5C1AL_Red River'!$AS70</f>
        <v>0</v>
      </c>
      <c r="AJ70" s="62">
        <f>-'5C2_LAVCA'!AT70</f>
        <v>-2404</v>
      </c>
      <c r="AK70" s="62">
        <f>-'5C3_UnvView'!AT70</f>
        <v>-1028</v>
      </c>
      <c r="AL70" s="326">
        <f t="shared" si="7"/>
        <v>-3688</v>
      </c>
      <c r="AM70" s="327">
        <f t="shared" si="8"/>
        <v>1086599</v>
      </c>
      <c r="AN70" s="62"/>
      <c r="AO70" s="62"/>
      <c r="AP70" s="62">
        <f>-'5C1A_Madison'!AX70</f>
        <v>0</v>
      </c>
      <c r="AQ70" s="62">
        <f>-'5C1B_DArbonne'!AX70</f>
        <v>0</v>
      </c>
      <c r="AR70" s="62">
        <f>-'5C1C_Intl High'!AX70</f>
        <v>0</v>
      </c>
      <c r="AS70" s="62">
        <f>-'5C1D_NOMMA'!AX70</f>
        <v>0</v>
      </c>
      <c r="AT70" s="62">
        <f>-'5C1E_LFNO'!AX70</f>
        <v>0</v>
      </c>
      <c r="AU70" s="62">
        <f>-'5C1F_L.C. Charter'!AX70</f>
        <v>0</v>
      </c>
      <c r="AV70" s="62">
        <f>-'5C1G_JS Clark'!AX70</f>
        <v>0</v>
      </c>
      <c r="AW70" s="62">
        <f>-'5C1H_Southwest'!AX70</f>
        <v>0</v>
      </c>
      <c r="AX70" s="62">
        <f>-'5C1I_LA Key'!AX70</f>
        <v>0</v>
      </c>
      <c r="AY70" s="62">
        <f>-'5C1J_JCFA-East'!AX70</f>
        <v>0</v>
      </c>
      <c r="AZ70" s="62">
        <f>-'5C1M_GEO Mid'!AX70</f>
        <v>0</v>
      </c>
      <c r="BA70" s="62">
        <f>-'5C1N_Delta'!AX70</f>
        <v>0</v>
      </c>
      <c r="BB70" s="62">
        <f>-'5C1O_Impact'!AX70</f>
        <v>0</v>
      </c>
      <c r="BC70" s="62">
        <f>-'5C1Q_Advantage'!AX70</f>
        <v>0</v>
      </c>
      <c r="BD70" s="62">
        <f>-'5C1R_Iberville'!AX70</f>
        <v>0</v>
      </c>
      <c r="BE70" s="62">
        <f>-'5C1S_LC Col Prep'!AX70</f>
        <v>0</v>
      </c>
      <c r="BF70" s="62">
        <f>-'5C1T_Northeast'!AX70</f>
        <v>0</v>
      </c>
      <c r="BG70" s="62">
        <f>-'5C1U_Acadiana Ren'!AX70</f>
        <v>0</v>
      </c>
      <c r="BH70" s="62">
        <f>-'5C1V_Laf Ren'!AX70</f>
        <v>0</v>
      </c>
      <c r="BI70" s="62">
        <f>-'5C1W_Willow'!AX70</f>
        <v>0</v>
      </c>
      <c r="BJ70" s="62">
        <f>-'5C1Y_GEO'!AX70</f>
        <v>0</v>
      </c>
      <c r="BK70" s="62">
        <f>-'5C1Z_Lincoln Prep'!AX70</f>
        <v>1</v>
      </c>
      <c r="BL70" s="62">
        <f>-'5C1AE_Noble Minds'!AX70</f>
        <v>0</v>
      </c>
      <c r="BM70" s="62">
        <f>-'5C1AF_JCFA-Laf'!AX70</f>
        <v>0</v>
      </c>
      <c r="BN70" s="62">
        <f>-'5C1AG_Collegiate'!AX70</f>
        <v>0</v>
      </c>
      <c r="BO70" s="62">
        <f>-'5C1AH_BRUP'!AX70</f>
        <v>0</v>
      </c>
      <c r="BP70" s="62">
        <f>-'5C1AI_Harmony'!$AX70</f>
        <v>0</v>
      </c>
      <c r="BQ70" s="62">
        <f>-'5C1AJ_Athlos'!$AX70</f>
        <v>0</v>
      </c>
      <c r="BR70" s="62">
        <f>-'5C1AK_NxtGen'!$AX70</f>
        <v>0</v>
      </c>
      <c r="BS70" s="62">
        <f>-'5C1AL_Red River'!$AX70</f>
        <v>0</v>
      </c>
      <c r="BT70" s="62">
        <f>-'5C2_LAVCA'!AY70</f>
        <v>-12</v>
      </c>
      <c r="BU70" s="62">
        <f>-'5C3_UnvView'!AY70</f>
        <v>7</v>
      </c>
      <c r="BV70" s="62">
        <f t="shared" si="9"/>
        <v>-4</v>
      </c>
      <c r="BW70" s="327">
        <f t="shared" si="10"/>
        <v>1086595</v>
      </c>
    </row>
    <row r="71" spans="1:75" s="8" customFormat="1" ht="15.75" customHeight="1" x14ac:dyDescent="0.2">
      <c r="A71" s="314">
        <v>65</v>
      </c>
      <c r="B71" s="315" t="s">
        <v>67</v>
      </c>
      <c r="C71" s="316">
        <f>'2_State Distrib and Adjs'!BB71</f>
        <v>3881378</v>
      </c>
      <c r="D71" s="316">
        <f>-'5A3_OJJ'!S71</f>
        <v>-493</v>
      </c>
      <c r="E71" s="316"/>
      <c r="F71" s="316">
        <f>-'5C1A_Madison'!AS71</f>
        <v>0</v>
      </c>
      <c r="G71" s="316">
        <f>-'5C1B_DArbonne'!AS71</f>
        <v>0</v>
      </c>
      <c r="H71" s="316">
        <f>-'5C1C_Intl High'!AS71</f>
        <v>0</v>
      </c>
      <c r="I71" s="316">
        <f>-'5C1D_NOMMA'!AS71</f>
        <v>0</v>
      </c>
      <c r="J71" s="316">
        <f>-'5C1E_LFNO'!AS71</f>
        <v>0</v>
      </c>
      <c r="K71" s="316">
        <f>-'5C1F_L.C. Charter'!AS71</f>
        <v>0</v>
      </c>
      <c r="L71" s="316">
        <f>-'5C1G_JS Clark'!AS71</f>
        <v>0</v>
      </c>
      <c r="M71" s="316">
        <f>-'5C1H_Southwest'!AS71</f>
        <v>0</v>
      </c>
      <c r="N71" s="316">
        <f>-'5C1I_LA Key'!AS71</f>
        <v>0</v>
      </c>
      <c r="O71" s="316">
        <f>-'5C1J_JCFA-East'!AS71</f>
        <v>0</v>
      </c>
      <c r="P71" s="316">
        <f>-'5C1M_GEO Mid'!AS71</f>
        <v>0</v>
      </c>
      <c r="Q71" s="316">
        <f>-'5C1N_Delta'!AS71</f>
        <v>0</v>
      </c>
      <c r="R71" s="316">
        <f>-'5C1O_Impact'!AS71</f>
        <v>0</v>
      </c>
      <c r="S71" s="316">
        <f>-'5C1Q_Advantage'!AS71</f>
        <v>0</v>
      </c>
      <c r="T71" s="316">
        <f>-'5C1R_Iberville'!AS71</f>
        <v>0</v>
      </c>
      <c r="U71" s="316">
        <f>-'5C1S_LC Col Prep'!AS71</f>
        <v>0</v>
      </c>
      <c r="V71" s="316">
        <f>-'5C1T_Northeast'!AS71</f>
        <v>0</v>
      </c>
      <c r="W71" s="316">
        <f>-'5C1U_Acadiana Ren'!AS71</f>
        <v>0</v>
      </c>
      <c r="X71" s="316">
        <f>-'5C1V_Laf Ren'!AS71</f>
        <v>0</v>
      </c>
      <c r="Y71" s="316">
        <f>-'5C1W_Willow'!AS71</f>
        <v>0</v>
      </c>
      <c r="Z71" s="316">
        <f>-'5C1Y_GEO'!AS71</f>
        <v>0</v>
      </c>
      <c r="AA71" s="316">
        <f>-'5C1Z_Lincoln Prep'!AS71</f>
        <v>0</v>
      </c>
      <c r="AB71" s="316">
        <f>-'5C1AE_Noble Minds'!$AS71</f>
        <v>0</v>
      </c>
      <c r="AC71" s="316">
        <f>-'5C1AF_JCFA-Laf'!$AS71</f>
        <v>0</v>
      </c>
      <c r="AD71" s="316">
        <f>-'5C1AG_Collegiate'!$AS71</f>
        <v>0</v>
      </c>
      <c r="AE71" s="316">
        <f>-'5C1AH_BRUP'!$AS71</f>
        <v>0</v>
      </c>
      <c r="AF71" s="586">
        <f>-'5C1AI_Harmony'!$AS71</f>
        <v>0</v>
      </c>
      <c r="AG71" s="586">
        <f>-'5C1AJ_Athlos'!$AS71</f>
        <v>0</v>
      </c>
      <c r="AH71" s="781">
        <f>-'5C1AK_NxtGen'!$AS71</f>
        <v>0</v>
      </c>
      <c r="AI71" s="781">
        <f>-'5C1AL_Red River'!$AS71</f>
        <v>0</v>
      </c>
      <c r="AJ71" s="316">
        <f>-'5C2_LAVCA'!AT71</f>
        <v>-1393</v>
      </c>
      <c r="AK71" s="316">
        <f>-'5C3_UnvView'!AT71</f>
        <v>1218</v>
      </c>
      <c r="AL71" s="317">
        <f>SUM(D71:AK71)</f>
        <v>-668</v>
      </c>
      <c r="AM71" s="318">
        <f>C71+AL71</f>
        <v>3880710</v>
      </c>
      <c r="AN71" s="316"/>
      <c r="AO71" s="316"/>
      <c r="AP71" s="316">
        <f>-'5C1A_Madison'!AX71</f>
        <v>0</v>
      </c>
      <c r="AQ71" s="316">
        <f>-'5C1B_DArbonne'!AX71</f>
        <v>0</v>
      </c>
      <c r="AR71" s="316">
        <f>-'5C1C_Intl High'!AX71</f>
        <v>0</v>
      </c>
      <c r="AS71" s="316">
        <f>-'5C1D_NOMMA'!AX71</f>
        <v>0</v>
      </c>
      <c r="AT71" s="316">
        <f>-'5C1E_LFNO'!AX71</f>
        <v>0</v>
      </c>
      <c r="AU71" s="316">
        <f>-'5C1F_L.C. Charter'!AX71</f>
        <v>0</v>
      </c>
      <c r="AV71" s="316">
        <f>-'5C1G_JS Clark'!AX71</f>
        <v>0</v>
      </c>
      <c r="AW71" s="316">
        <f>-'5C1H_Southwest'!AX71</f>
        <v>0</v>
      </c>
      <c r="AX71" s="316">
        <f>-'5C1I_LA Key'!AX71</f>
        <v>0</v>
      </c>
      <c r="AY71" s="316">
        <f>-'5C1J_JCFA-East'!AX71</f>
        <v>0</v>
      </c>
      <c r="AZ71" s="316">
        <f>-'5C1M_GEO Mid'!AX71</f>
        <v>0</v>
      </c>
      <c r="BA71" s="316">
        <f>-'5C1N_Delta'!AX71</f>
        <v>0</v>
      </c>
      <c r="BB71" s="316">
        <f>-'5C1O_Impact'!AX71</f>
        <v>0</v>
      </c>
      <c r="BC71" s="316">
        <f>-'5C1Q_Advantage'!AX71</f>
        <v>0</v>
      </c>
      <c r="BD71" s="316">
        <f>-'5C1R_Iberville'!AX71</f>
        <v>0</v>
      </c>
      <c r="BE71" s="316">
        <f>-'5C1S_LC Col Prep'!AX71</f>
        <v>0</v>
      </c>
      <c r="BF71" s="316">
        <f>-'5C1T_Northeast'!AX71</f>
        <v>0</v>
      </c>
      <c r="BG71" s="316">
        <f>-'5C1U_Acadiana Ren'!AX71</f>
        <v>0</v>
      </c>
      <c r="BH71" s="316">
        <f>-'5C1V_Laf Ren'!AX71</f>
        <v>0</v>
      </c>
      <c r="BI71" s="316">
        <f>-'5C1W_Willow'!AX71</f>
        <v>0</v>
      </c>
      <c r="BJ71" s="316">
        <f>-'5C1Y_GEO'!AX71</f>
        <v>0</v>
      </c>
      <c r="BK71" s="316">
        <f>-'5C1Z_Lincoln Prep'!AX71</f>
        <v>0</v>
      </c>
      <c r="BL71" s="316">
        <f>-'5C1AE_Noble Minds'!AX71</f>
        <v>0</v>
      </c>
      <c r="BM71" s="316">
        <f>-'5C1AF_JCFA-Laf'!AX71</f>
        <v>0</v>
      </c>
      <c r="BN71" s="316">
        <f>-'5C1AG_Collegiate'!AX71</f>
        <v>0</v>
      </c>
      <c r="BO71" s="316">
        <f>-'5C1AH_BRUP'!AX71</f>
        <v>0</v>
      </c>
      <c r="BP71" s="586">
        <f>-'5C1AI_Harmony'!$AX71</f>
        <v>0</v>
      </c>
      <c r="BQ71" s="586">
        <f>-'5C1AJ_Athlos'!$AX71</f>
        <v>0</v>
      </c>
      <c r="BR71" s="781">
        <f>-'5C1AK_NxtGen'!$AX71</f>
        <v>0</v>
      </c>
      <c r="BS71" s="781">
        <f>-'5C1AL_Red River'!$AX71</f>
        <v>0</v>
      </c>
      <c r="BT71" s="316">
        <f>-'5C2_LAVCA'!AY71</f>
        <v>18</v>
      </c>
      <c r="BU71" s="316">
        <f>-'5C3_UnvView'!AY71</f>
        <v>84</v>
      </c>
      <c r="BV71" s="316">
        <f>SUM(AO71:BU71)</f>
        <v>102</v>
      </c>
      <c r="BW71" s="318">
        <f t="shared" si="10"/>
        <v>3880812</v>
      </c>
    </row>
    <row r="72" spans="1:75" s="8" customFormat="1" ht="15.75" customHeight="1" x14ac:dyDescent="0.2">
      <c r="A72" s="324">
        <v>66</v>
      </c>
      <c r="B72" s="325" t="s">
        <v>68</v>
      </c>
      <c r="C72" s="62">
        <f>'2_State Distrib and Adjs'!BB72</f>
        <v>1156303</v>
      </c>
      <c r="D72" s="62">
        <f>-'5A3_OJJ'!S72</f>
        <v>0</v>
      </c>
      <c r="E72" s="62"/>
      <c r="F72" s="62">
        <f>-'5C1A_Madison'!AS72</f>
        <v>0</v>
      </c>
      <c r="G72" s="62">
        <f>-'5C1B_DArbonne'!AS72</f>
        <v>0</v>
      </c>
      <c r="H72" s="62">
        <f>-'5C1C_Intl High'!AS72</f>
        <v>0</v>
      </c>
      <c r="I72" s="62">
        <f>-'5C1D_NOMMA'!AS72</f>
        <v>0</v>
      </c>
      <c r="J72" s="62">
        <f>-'5C1E_LFNO'!AS72</f>
        <v>0</v>
      </c>
      <c r="K72" s="62">
        <f>-'5C1F_L.C. Charter'!AS72</f>
        <v>0</v>
      </c>
      <c r="L72" s="62">
        <f>-'5C1G_JS Clark'!AS72</f>
        <v>0</v>
      </c>
      <c r="M72" s="62">
        <f>-'5C1H_Southwest'!AS72</f>
        <v>0</v>
      </c>
      <c r="N72" s="62">
        <f>-'5C1I_LA Key'!AS72</f>
        <v>0</v>
      </c>
      <c r="O72" s="62">
        <f>-'5C1J_JCFA-East'!AS72</f>
        <v>0</v>
      </c>
      <c r="P72" s="62">
        <f>-'5C1M_GEO Mid'!AS72</f>
        <v>0</v>
      </c>
      <c r="Q72" s="62">
        <f>-'5C1N_Delta'!AS72</f>
        <v>0</v>
      </c>
      <c r="R72" s="62">
        <f>-'5C1O_Impact'!AS72</f>
        <v>0</v>
      </c>
      <c r="S72" s="62">
        <f>-'5C1Q_Advantage'!AS72</f>
        <v>0</v>
      </c>
      <c r="T72" s="62">
        <f>-'5C1R_Iberville'!AS72</f>
        <v>0</v>
      </c>
      <c r="U72" s="62">
        <f>-'5C1S_LC Col Prep'!AS72</f>
        <v>0</v>
      </c>
      <c r="V72" s="62">
        <f>-'5C1T_Northeast'!AS72</f>
        <v>0</v>
      </c>
      <c r="W72" s="62">
        <f>-'5C1U_Acadiana Ren'!AS72</f>
        <v>0</v>
      </c>
      <c r="X72" s="62">
        <f>-'5C1V_Laf Ren'!AS72</f>
        <v>0</v>
      </c>
      <c r="Y72" s="62">
        <f>-'5C1W_Willow'!AS72</f>
        <v>0</v>
      </c>
      <c r="Z72" s="62">
        <f>-'5C1Y_GEO'!AS72</f>
        <v>0</v>
      </c>
      <c r="AA72" s="62">
        <f>-'5C1Z_Lincoln Prep'!AS72</f>
        <v>0</v>
      </c>
      <c r="AB72" s="62">
        <f>-'5C1AE_Noble Minds'!$AS72</f>
        <v>0</v>
      </c>
      <c r="AC72" s="62">
        <f>-'5C1AF_JCFA-Laf'!$AS72</f>
        <v>0</v>
      </c>
      <c r="AD72" s="62">
        <f>-'5C1AG_Collegiate'!$AS72</f>
        <v>0</v>
      </c>
      <c r="AE72" s="62">
        <f>-'5C1AH_BRUP'!$AS72</f>
        <v>0</v>
      </c>
      <c r="AF72" s="62">
        <f>-'5C1AI_Harmony'!$AS72</f>
        <v>0</v>
      </c>
      <c r="AG72" s="62">
        <f>-'5C1AJ_Athlos'!$AS72</f>
        <v>0</v>
      </c>
      <c r="AH72" s="62">
        <f>-'5C1AK_NxtGen'!$AS72</f>
        <v>0</v>
      </c>
      <c r="AI72" s="62">
        <f>-'5C1AL_Red River'!$AS72</f>
        <v>0</v>
      </c>
      <c r="AJ72" s="62">
        <f>-'5C2_LAVCA'!AT72</f>
        <v>-4477</v>
      </c>
      <c r="AK72" s="62">
        <f>-'5C3_UnvView'!AT72</f>
        <v>-7204</v>
      </c>
      <c r="AL72" s="326">
        <f>SUM(D72:AK72)</f>
        <v>-11681</v>
      </c>
      <c r="AM72" s="327">
        <f>C72+AL72</f>
        <v>1144622</v>
      </c>
      <c r="AN72" s="62"/>
      <c r="AO72" s="62"/>
      <c r="AP72" s="62">
        <f>-'5C1A_Madison'!AX72</f>
        <v>0</v>
      </c>
      <c r="AQ72" s="62">
        <f>-'5C1B_DArbonne'!AX72</f>
        <v>0</v>
      </c>
      <c r="AR72" s="62">
        <f>-'5C1C_Intl High'!AX72</f>
        <v>0</v>
      </c>
      <c r="AS72" s="62">
        <f>-'5C1D_NOMMA'!AX72</f>
        <v>0</v>
      </c>
      <c r="AT72" s="62">
        <f>-'5C1E_LFNO'!AX72</f>
        <v>0</v>
      </c>
      <c r="AU72" s="62">
        <f>-'5C1F_L.C. Charter'!AX72</f>
        <v>0</v>
      </c>
      <c r="AV72" s="62">
        <f>-'5C1G_JS Clark'!AX72</f>
        <v>0</v>
      </c>
      <c r="AW72" s="62">
        <f>-'5C1H_Southwest'!AX72</f>
        <v>0</v>
      </c>
      <c r="AX72" s="62">
        <f>-'5C1I_LA Key'!AX72</f>
        <v>0</v>
      </c>
      <c r="AY72" s="62">
        <f>-'5C1J_JCFA-East'!AX72</f>
        <v>0</v>
      </c>
      <c r="AZ72" s="62">
        <f>-'5C1M_GEO Mid'!AX72</f>
        <v>0</v>
      </c>
      <c r="BA72" s="62">
        <f>-'5C1N_Delta'!AX72</f>
        <v>0</v>
      </c>
      <c r="BB72" s="62">
        <f>-'5C1O_Impact'!AX72</f>
        <v>0</v>
      </c>
      <c r="BC72" s="62">
        <f>-'5C1Q_Advantage'!AX72</f>
        <v>0</v>
      </c>
      <c r="BD72" s="62">
        <f>-'5C1R_Iberville'!AX72</f>
        <v>0</v>
      </c>
      <c r="BE72" s="62">
        <f>-'5C1S_LC Col Prep'!AX72</f>
        <v>0</v>
      </c>
      <c r="BF72" s="62">
        <f>-'5C1T_Northeast'!AX72</f>
        <v>0</v>
      </c>
      <c r="BG72" s="62">
        <f>-'5C1U_Acadiana Ren'!AX72</f>
        <v>0</v>
      </c>
      <c r="BH72" s="62">
        <f>-'5C1V_Laf Ren'!AX72</f>
        <v>0</v>
      </c>
      <c r="BI72" s="62">
        <f>-'5C1W_Willow'!AX72</f>
        <v>0</v>
      </c>
      <c r="BJ72" s="62">
        <f>-'5C1Y_GEO'!AX72</f>
        <v>0</v>
      </c>
      <c r="BK72" s="62">
        <f>-'5C1Z_Lincoln Prep'!AX72</f>
        <v>0</v>
      </c>
      <c r="BL72" s="62">
        <f>-'5C1AE_Noble Minds'!AX72</f>
        <v>0</v>
      </c>
      <c r="BM72" s="62">
        <f>-'5C1AF_JCFA-Laf'!AX72</f>
        <v>0</v>
      </c>
      <c r="BN72" s="62">
        <f>-'5C1AG_Collegiate'!AX72</f>
        <v>0</v>
      </c>
      <c r="BO72" s="62">
        <f>-'5C1AH_BRUP'!AX72</f>
        <v>0</v>
      </c>
      <c r="BP72" s="62">
        <f>-'5C1AI_Harmony'!$AX72</f>
        <v>0</v>
      </c>
      <c r="BQ72" s="62">
        <f>-'5C1AJ_Athlos'!$AX72</f>
        <v>0</v>
      </c>
      <c r="BR72" s="62">
        <f>-'5C1AK_NxtGen'!$AX72</f>
        <v>0</v>
      </c>
      <c r="BS72" s="62">
        <f>-'5C1AL_Red River'!$AX72</f>
        <v>0</v>
      </c>
      <c r="BT72" s="62">
        <f>-'5C2_LAVCA'!AY72</f>
        <v>-2</v>
      </c>
      <c r="BU72" s="62">
        <f>-'5C3_UnvView'!AY72</f>
        <v>19</v>
      </c>
      <c r="BV72" s="62">
        <f>SUM(AO72:BU72)</f>
        <v>17</v>
      </c>
      <c r="BW72" s="327">
        <f t="shared" si="10"/>
        <v>1144639</v>
      </c>
    </row>
    <row r="73" spans="1:75" s="8" customFormat="1" ht="15.75" customHeight="1" x14ac:dyDescent="0.2">
      <c r="A73" s="324">
        <v>67</v>
      </c>
      <c r="B73" s="325" t="s">
        <v>2</v>
      </c>
      <c r="C73" s="62">
        <f>'2_State Distrib and Adjs'!BB73</f>
        <v>2731873</v>
      </c>
      <c r="D73" s="62">
        <f>-'5A3_OJJ'!S73</f>
        <v>-79</v>
      </c>
      <c r="E73" s="62"/>
      <c r="F73" s="62">
        <f>-'5C1A_Madison'!AS73</f>
        <v>-650</v>
      </c>
      <c r="G73" s="62">
        <f>-'5C1B_DArbonne'!AS73</f>
        <v>0</v>
      </c>
      <c r="H73" s="62">
        <f>-'5C1C_Intl High'!AS73</f>
        <v>0</v>
      </c>
      <c r="I73" s="62">
        <f>-'5C1D_NOMMA'!AS73</f>
        <v>0</v>
      </c>
      <c r="J73" s="62">
        <f>-'5C1E_LFNO'!AS73</f>
        <v>0</v>
      </c>
      <c r="K73" s="62">
        <f>-'5C1F_L.C. Charter'!AS73</f>
        <v>0</v>
      </c>
      <c r="L73" s="62">
        <f>-'5C1G_JS Clark'!AS73</f>
        <v>0</v>
      </c>
      <c r="M73" s="62">
        <f>-'5C1H_Southwest'!AS73</f>
        <v>0</v>
      </c>
      <c r="N73" s="62">
        <f>-'5C1I_LA Key'!AS73</f>
        <v>-3813</v>
      </c>
      <c r="O73" s="62">
        <f>-'5C1J_JCFA-East'!AS73</f>
        <v>0</v>
      </c>
      <c r="P73" s="62">
        <f>-'5C1M_GEO Mid'!AS73</f>
        <v>-521</v>
      </c>
      <c r="Q73" s="62">
        <f>-'5C1N_Delta'!AS73</f>
        <v>0</v>
      </c>
      <c r="R73" s="62">
        <f>-'5C1O_Impact'!AS73</f>
        <v>-724</v>
      </c>
      <c r="S73" s="62">
        <f>-'5C1Q_Advantage'!AS73</f>
        <v>-5615</v>
      </c>
      <c r="T73" s="62">
        <f>-'5C1R_Iberville'!AS73</f>
        <v>0</v>
      </c>
      <c r="U73" s="62">
        <f>-'5C1S_LC Col Prep'!AS73</f>
        <v>0</v>
      </c>
      <c r="V73" s="62">
        <f>-'5C1T_Northeast'!AS73</f>
        <v>0</v>
      </c>
      <c r="W73" s="62">
        <f>-'5C1U_Acadiana Ren'!AS73</f>
        <v>0</v>
      </c>
      <c r="X73" s="62">
        <f>-'5C1V_Laf Ren'!AS73</f>
        <v>0</v>
      </c>
      <c r="Y73" s="62">
        <f>-'5C1W_Willow'!AS73</f>
        <v>0</v>
      </c>
      <c r="Z73" s="62">
        <f>-'5C1Y_GEO'!AS73</f>
        <v>-1339</v>
      </c>
      <c r="AA73" s="62">
        <f>-'5C1Z_Lincoln Prep'!AS73</f>
        <v>0</v>
      </c>
      <c r="AB73" s="62">
        <f>-'5C1AE_Noble Minds'!$AS73</f>
        <v>0</v>
      </c>
      <c r="AC73" s="62">
        <f>-'5C1AF_JCFA-Laf'!$AS73</f>
        <v>0</v>
      </c>
      <c r="AD73" s="62">
        <f>-'5C1AG_Collegiate'!$AS73</f>
        <v>0</v>
      </c>
      <c r="AE73" s="62">
        <f>-'5C1AH_BRUP'!$AS73</f>
        <v>243</v>
      </c>
      <c r="AF73" s="62">
        <f>-'5C1AI_Harmony'!$AS73</f>
        <v>0</v>
      </c>
      <c r="AG73" s="62">
        <f>-'5C1AJ_Athlos'!$AS73</f>
        <v>0</v>
      </c>
      <c r="AH73" s="62">
        <f>-'5C1AK_NxtGen'!$AS73</f>
        <v>-261</v>
      </c>
      <c r="AI73" s="62">
        <f>-'5C1AL_Red River'!$AS73</f>
        <v>0</v>
      </c>
      <c r="AJ73" s="62">
        <f>-'5C2_LAVCA'!AT73</f>
        <v>-3733</v>
      </c>
      <c r="AK73" s="62">
        <f>-'5C3_UnvView'!AT73</f>
        <v>-13024</v>
      </c>
      <c r="AL73" s="326">
        <f>SUM(D73:AK73)</f>
        <v>-29516</v>
      </c>
      <c r="AM73" s="327">
        <f>C73+AL73</f>
        <v>2702357</v>
      </c>
      <c r="AN73" s="62"/>
      <c r="AO73" s="62"/>
      <c r="AP73" s="62">
        <f>-'5C1A_Madison'!AX73</f>
        <v>43</v>
      </c>
      <c r="AQ73" s="62">
        <f>-'5C1B_DArbonne'!AX73</f>
        <v>0</v>
      </c>
      <c r="AR73" s="62">
        <f>-'5C1C_Intl High'!AX73</f>
        <v>0</v>
      </c>
      <c r="AS73" s="62">
        <f>-'5C1D_NOMMA'!AX73</f>
        <v>0</v>
      </c>
      <c r="AT73" s="62">
        <f>-'5C1E_LFNO'!AX73</f>
        <v>0</v>
      </c>
      <c r="AU73" s="62">
        <f>-'5C1F_L.C. Charter'!AX73</f>
        <v>0</v>
      </c>
      <c r="AV73" s="62">
        <f>-'5C1G_JS Clark'!AX73</f>
        <v>0</v>
      </c>
      <c r="AW73" s="62">
        <f>-'5C1H_Southwest'!AX73</f>
        <v>0</v>
      </c>
      <c r="AX73" s="62">
        <f>-'5C1I_LA Key'!AX73</f>
        <v>11</v>
      </c>
      <c r="AY73" s="62">
        <f>-'5C1J_JCFA-East'!AX73</f>
        <v>0</v>
      </c>
      <c r="AZ73" s="62">
        <f>-'5C1M_GEO Mid'!AX73</f>
        <v>-16</v>
      </c>
      <c r="BA73" s="62">
        <f>-'5C1N_Delta'!AX73</f>
        <v>0</v>
      </c>
      <c r="BB73" s="62">
        <f>-'5C1O_Impact'!AX73</f>
        <v>72</v>
      </c>
      <c r="BC73" s="62">
        <f>-'5C1Q_Advantage'!AX73</f>
        <v>82</v>
      </c>
      <c r="BD73" s="62">
        <f>-'5C1R_Iberville'!AX73</f>
        <v>0</v>
      </c>
      <c r="BE73" s="62">
        <f>-'5C1S_LC Col Prep'!AX73</f>
        <v>0</v>
      </c>
      <c r="BF73" s="62">
        <f>-'5C1T_Northeast'!AX73</f>
        <v>0</v>
      </c>
      <c r="BG73" s="62">
        <f>-'5C1U_Acadiana Ren'!AX73</f>
        <v>0</v>
      </c>
      <c r="BH73" s="62">
        <f>-'5C1V_Laf Ren'!AX73</f>
        <v>0</v>
      </c>
      <c r="BI73" s="62">
        <f>-'5C1W_Willow'!AX73</f>
        <v>0</v>
      </c>
      <c r="BJ73" s="62">
        <f>-'5C1Y_GEO'!AX73</f>
        <v>-41</v>
      </c>
      <c r="BK73" s="62">
        <f>-'5C1Z_Lincoln Prep'!AX73</f>
        <v>0</v>
      </c>
      <c r="BL73" s="62">
        <f>-'5C1AE_Noble Minds'!AX73</f>
        <v>0</v>
      </c>
      <c r="BM73" s="62">
        <f>-'5C1AF_JCFA-Laf'!AX73</f>
        <v>0</v>
      </c>
      <c r="BN73" s="62">
        <f>-'5C1AG_Collegiate'!AX73</f>
        <v>0</v>
      </c>
      <c r="BO73" s="62">
        <f>-'5C1AH_BRUP'!AX73</f>
        <v>7</v>
      </c>
      <c r="BP73" s="62">
        <f>-'5C1AI_Harmony'!$AX73</f>
        <v>0</v>
      </c>
      <c r="BQ73" s="62">
        <f>-'5C1AJ_Athlos'!$AX73</f>
        <v>0</v>
      </c>
      <c r="BR73" s="62">
        <f>-'5C1AK_NxtGen'!$AX73</f>
        <v>-8</v>
      </c>
      <c r="BS73" s="62">
        <f>-'5C1AL_Red River'!$AX73</f>
        <v>0</v>
      </c>
      <c r="BT73" s="62">
        <f>-'5C2_LAVCA'!AY73</f>
        <v>29</v>
      </c>
      <c r="BU73" s="62">
        <f>-'5C3_UnvView'!AY73</f>
        <v>46</v>
      </c>
      <c r="BV73" s="62">
        <f>SUM(AO73:BU73)</f>
        <v>225</v>
      </c>
      <c r="BW73" s="327">
        <f t="shared" si="10"/>
        <v>2702582</v>
      </c>
    </row>
    <row r="74" spans="1:75" s="8" customFormat="1" ht="15.75" customHeight="1" x14ac:dyDescent="0.2">
      <c r="A74" s="324">
        <v>68</v>
      </c>
      <c r="B74" s="325" t="s">
        <v>1</v>
      </c>
      <c r="C74" s="62">
        <f>'2_State Distrib and Adjs'!BB74</f>
        <v>646231</v>
      </c>
      <c r="D74" s="62">
        <f>-'5A3_OJJ'!S74</f>
        <v>-152</v>
      </c>
      <c r="E74" s="62"/>
      <c r="F74" s="62">
        <f>-'5C1A_Madison'!AS74</f>
        <v>-2549</v>
      </c>
      <c r="G74" s="62">
        <f>-'5C1B_DArbonne'!AS74</f>
        <v>0</v>
      </c>
      <c r="H74" s="62">
        <f>-'5C1C_Intl High'!AS74</f>
        <v>0</v>
      </c>
      <c r="I74" s="62">
        <f>-'5C1D_NOMMA'!AS74</f>
        <v>0</v>
      </c>
      <c r="J74" s="62">
        <f>-'5C1E_LFNO'!AS74</f>
        <v>0</v>
      </c>
      <c r="K74" s="62">
        <f>-'5C1F_L.C. Charter'!AS74</f>
        <v>0</v>
      </c>
      <c r="L74" s="62">
        <f>-'5C1G_JS Clark'!AS74</f>
        <v>0</v>
      </c>
      <c r="M74" s="62">
        <f>-'5C1H_Southwest'!AS74</f>
        <v>0</v>
      </c>
      <c r="N74" s="62">
        <f>-'5C1I_LA Key'!AS74</f>
        <v>-5017</v>
      </c>
      <c r="O74" s="62">
        <f>-'5C1J_JCFA-East'!AS74</f>
        <v>0</v>
      </c>
      <c r="P74" s="62">
        <f>-'5C1M_GEO Mid'!AS74</f>
        <v>90</v>
      </c>
      <c r="Q74" s="62">
        <f>-'5C1N_Delta'!AS74</f>
        <v>0</v>
      </c>
      <c r="R74" s="62">
        <f>-'5C1O_Impact'!AS74</f>
        <v>-44806</v>
      </c>
      <c r="S74" s="62">
        <f>-'5C1Q_Advantage'!AS74</f>
        <v>-75793</v>
      </c>
      <c r="T74" s="62">
        <f>-'5C1R_Iberville'!AS74</f>
        <v>0</v>
      </c>
      <c r="U74" s="62">
        <f>-'5C1S_LC Col Prep'!AS74</f>
        <v>0</v>
      </c>
      <c r="V74" s="62">
        <f>-'5C1T_Northeast'!AS74</f>
        <v>0</v>
      </c>
      <c r="W74" s="62">
        <f>-'5C1U_Acadiana Ren'!AS74</f>
        <v>0</v>
      </c>
      <c r="X74" s="62">
        <f>-'5C1V_Laf Ren'!AS74</f>
        <v>0</v>
      </c>
      <c r="Y74" s="62">
        <f>-'5C1W_Willow'!AS74</f>
        <v>0</v>
      </c>
      <c r="Z74" s="62">
        <f>-'5C1Y_GEO'!AS74</f>
        <v>-687</v>
      </c>
      <c r="AA74" s="62">
        <f>-'5C1Z_Lincoln Prep'!AS74</f>
        <v>0</v>
      </c>
      <c r="AB74" s="62">
        <f>-'5C1AE_Noble Minds'!$AS74</f>
        <v>0</v>
      </c>
      <c r="AC74" s="62">
        <f>-'5C1AF_JCFA-Laf'!$AS74</f>
        <v>0</v>
      </c>
      <c r="AD74" s="62">
        <f>-'5C1AG_Collegiate'!$AS74</f>
        <v>-1683</v>
      </c>
      <c r="AE74" s="62">
        <f>-'5C1AH_BRUP'!$AS74</f>
        <v>-3551</v>
      </c>
      <c r="AF74" s="62">
        <f>-'5C1AI_Harmony'!$AS74</f>
        <v>0</v>
      </c>
      <c r="AG74" s="62">
        <f>-'5C1AJ_Athlos'!$AS74</f>
        <v>0</v>
      </c>
      <c r="AH74" s="62">
        <f>-'5C1AK_NxtGen'!$AS74</f>
        <v>458</v>
      </c>
      <c r="AI74" s="62">
        <f>-'5C1AL_Red River'!$AS74</f>
        <v>0</v>
      </c>
      <c r="AJ74" s="62">
        <f>-'5C2_LAVCA'!AT74</f>
        <v>-1016</v>
      </c>
      <c r="AK74" s="62">
        <f>-'5C3_UnvView'!AT74</f>
        <v>-1711</v>
      </c>
      <c r="AL74" s="326">
        <f>SUM(D74:AK74)</f>
        <v>-136417</v>
      </c>
      <c r="AM74" s="327">
        <f>C74+AL74</f>
        <v>509814</v>
      </c>
      <c r="AN74" s="62"/>
      <c r="AO74" s="62"/>
      <c r="AP74" s="62">
        <f>-'5C1A_Madison'!AX74</f>
        <v>18</v>
      </c>
      <c r="AQ74" s="62">
        <f>-'5C1B_DArbonne'!AX74</f>
        <v>0</v>
      </c>
      <c r="AR74" s="62">
        <f>-'5C1C_Intl High'!AX74</f>
        <v>0</v>
      </c>
      <c r="AS74" s="62">
        <f>-'5C1D_NOMMA'!AX74</f>
        <v>0</v>
      </c>
      <c r="AT74" s="62">
        <f>-'5C1E_LFNO'!AX74</f>
        <v>0</v>
      </c>
      <c r="AU74" s="62">
        <f>-'5C1F_L.C. Charter'!AX74</f>
        <v>0</v>
      </c>
      <c r="AV74" s="62">
        <f>-'5C1G_JS Clark'!AX74</f>
        <v>0</v>
      </c>
      <c r="AW74" s="62">
        <f>-'5C1H_Southwest'!AX74</f>
        <v>0</v>
      </c>
      <c r="AX74" s="62">
        <f>-'5C1I_LA Key'!AX74</f>
        <v>-4</v>
      </c>
      <c r="AY74" s="62">
        <f>-'5C1J_JCFA-East'!AX74</f>
        <v>0</v>
      </c>
      <c r="AZ74" s="62">
        <f>-'5C1M_GEO Mid'!AX74</f>
        <v>11</v>
      </c>
      <c r="BA74" s="62">
        <f>-'5C1N_Delta'!AX74</f>
        <v>0</v>
      </c>
      <c r="BB74" s="62">
        <f>-'5C1O_Impact'!AX74</f>
        <v>-60</v>
      </c>
      <c r="BC74" s="62">
        <f>-'5C1Q_Advantage'!AX74</f>
        <v>-137</v>
      </c>
      <c r="BD74" s="62">
        <f>-'5C1R_Iberville'!AX74</f>
        <v>0</v>
      </c>
      <c r="BE74" s="62">
        <f>-'5C1S_LC Col Prep'!AX74</f>
        <v>0</v>
      </c>
      <c r="BF74" s="62">
        <f>-'5C1T_Northeast'!AX74</f>
        <v>0</v>
      </c>
      <c r="BG74" s="62">
        <f>-'5C1U_Acadiana Ren'!AX74</f>
        <v>0</v>
      </c>
      <c r="BH74" s="62">
        <f>-'5C1V_Laf Ren'!AX74</f>
        <v>0</v>
      </c>
      <c r="BI74" s="62">
        <f>-'5C1W_Willow'!AX74</f>
        <v>0</v>
      </c>
      <c r="BJ74" s="62">
        <f>-'5C1Y_GEO'!AX74</f>
        <v>49</v>
      </c>
      <c r="BK74" s="62">
        <f>-'5C1Z_Lincoln Prep'!AX74</f>
        <v>0</v>
      </c>
      <c r="BL74" s="62">
        <f>-'5C1AE_Noble Minds'!AX74</f>
        <v>0</v>
      </c>
      <c r="BM74" s="62">
        <f>-'5C1AF_JCFA-Laf'!AX74</f>
        <v>0</v>
      </c>
      <c r="BN74" s="62">
        <f>-'5C1AG_Collegiate'!AX74</f>
        <v>1</v>
      </c>
      <c r="BO74" s="62">
        <f>-'5C1AH_BRUP'!AX74</f>
        <v>-29</v>
      </c>
      <c r="BP74" s="62">
        <f>-'5C1AI_Harmony'!$AX74</f>
        <v>0</v>
      </c>
      <c r="BQ74" s="62">
        <f>-'5C1AJ_Athlos'!$AX74</f>
        <v>0</v>
      </c>
      <c r="BR74" s="62">
        <f>-'5C1AK_NxtGen'!$AX74</f>
        <v>-40</v>
      </c>
      <c r="BS74" s="62">
        <f>-'5C1AL_Red River'!$AX74</f>
        <v>0</v>
      </c>
      <c r="BT74" s="62">
        <f>-'5C2_LAVCA'!AY74</f>
        <v>-7</v>
      </c>
      <c r="BU74" s="62">
        <f>-'5C3_UnvView'!AY74</f>
        <v>18</v>
      </c>
      <c r="BV74" s="62">
        <f>SUM(AO74:BU74)</f>
        <v>-180</v>
      </c>
      <c r="BW74" s="327">
        <f t="shared" si="10"/>
        <v>509634</v>
      </c>
    </row>
    <row r="75" spans="1:75" s="8" customFormat="1" ht="15.75" customHeight="1" x14ac:dyDescent="0.2">
      <c r="A75" s="328">
        <v>69</v>
      </c>
      <c r="B75" s="329" t="s">
        <v>74</v>
      </c>
      <c r="C75" s="330">
        <f>'2_State Distrib and Adjs'!BB75</f>
        <v>2691888</v>
      </c>
      <c r="D75" s="330">
        <f>-'5A3_OJJ'!S75</f>
        <v>0</v>
      </c>
      <c r="E75" s="330"/>
      <c r="F75" s="330">
        <f>-'5C1A_Madison'!AS75</f>
        <v>-416</v>
      </c>
      <c r="G75" s="330">
        <f>-'5C1B_DArbonne'!AS75</f>
        <v>0</v>
      </c>
      <c r="H75" s="330">
        <f>-'5C1C_Intl High'!AS75</f>
        <v>0</v>
      </c>
      <c r="I75" s="330">
        <f>-'5C1D_NOMMA'!AS75</f>
        <v>0</v>
      </c>
      <c r="J75" s="330">
        <f>-'5C1E_LFNO'!AS75</f>
        <v>0</v>
      </c>
      <c r="K75" s="330">
        <f>-'5C1F_L.C. Charter'!AS75</f>
        <v>0</v>
      </c>
      <c r="L75" s="330">
        <f>-'5C1G_JS Clark'!AS75</f>
        <v>0</v>
      </c>
      <c r="M75" s="330">
        <f>-'5C1H_Southwest'!AS75</f>
        <v>0</v>
      </c>
      <c r="N75" s="330">
        <f>-'5C1I_LA Key'!AS75</f>
        <v>-4268</v>
      </c>
      <c r="O75" s="330">
        <f>-'5C1J_JCFA-East'!AS75</f>
        <v>0</v>
      </c>
      <c r="P75" s="330">
        <f>-'5C1M_GEO Mid'!AS75</f>
        <v>-745</v>
      </c>
      <c r="Q75" s="330">
        <f>-'5C1N_Delta'!AS75</f>
        <v>0</v>
      </c>
      <c r="R75" s="330">
        <f>-'5C1O_Impact'!AS75</f>
        <v>773</v>
      </c>
      <c r="S75" s="330">
        <f>-'5C1Q_Advantage'!AS75</f>
        <v>-5001</v>
      </c>
      <c r="T75" s="330">
        <f>-'5C1R_Iberville'!AS75</f>
        <v>0</v>
      </c>
      <c r="U75" s="330">
        <f>-'5C1S_LC Col Prep'!AS75</f>
        <v>0</v>
      </c>
      <c r="V75" s="330">
        <f>-'5C1T_Northeast'!AS75</f>
        <v>0</v>
      </c>
      <c r="W75" s="330">
        <f>-'5C1U_Acadiana Ren'!AS75</f>
        <v>0</v>
      </c>
      <c r="X75" s="330">
        <f>-'5C1V_Laf Ren'!AS75</f>
        <v>0</v>
      </c>
      <c r="Y75" s="330">
        <f>-'5C1W_Willow'!AS75</f>
        <v>0</v>
      </c>
      <c r="Z75" s="330">
        <f>-'5C1Y_GEO'!AS75</f>
        <v>-1423</v>
      </c>
      <c r="AA75" s="330">
        <f>-'5C1Z_Lincoln Prep'!AS75</f>
        <v>0</v>
      </c>
      <c r="AB75" s="330">
        <f>-'5C1AE_Noble Minds'!$AS75</f>
        <v>0</v>
      </c>
      <c r="AC75" s="330">
        <f>-'5C1AF_JCFA-Laf'!$AS75</f>
        <v>0</v>
      </c>
      <c r="AD75" s="330">
        <f>-'5C1AG_Collegiate'!$AS75</f>
        <v>626</v>
      </c>
      <c r="AE75" s="330">
        <f>-'5C1AH_BRUP'!$AS75</f>
        <v>0</v>
      </c>
      <c r="AF75" s="330">
        <f>-'5C1AI_Harmony'!$AS75</f>
        <v>0</v>
      </c>
      <c r="AG75" s="330">
        <f>-'5C1AJ_Athlos'!$AS75</f>
        <v>0</v>
      </c>
      <c r="AH75" s="330">
        <f>-'5C1AK_NxtGen'!$AS75</f>
        <v>85</v>
      </c>
      <c r="AI75" s="330">
        <f>-'5C1AL_Red River'!$AS75</f>
        <v>0</v>
      </c>
      <c r="AJ75" s="330">
        <f>-'5C2_LAVCA'!AT75</f>
        <v>-2068</v>
      </c>
      <c r="AK75" s="330">
        <f>-'5C3_UnvView'!AT75</f>
        <v>-1932</v>
      </c>
      <c r="AL75" s="331">
        <f>SUM(D75:AK75)</f>
        <v>-14369</v>
      </c>
      <c r="AM75" s="332">
        <f>C75+AL75</f>
        <v>2677519</v>
      </c>
      <c r="AN75" s="330"/>
      <c r="AO75" s="330"/>
      <c r="AP75" s="330">
        <f>-'5C1A_Madison'!AX75</f>
        <v>27</v>
      </c>
      <c r="AQ75" s="330">
        <f>-'5C1B_DArbonne'!AX75</f>
        <v>0</v>
      </c>
      <c r="AR75" s="330">
        <f>-'5C1C_Intl High'!AX75</f>
        <v>0</v>
      </c>
      <c r="AS75" s="330">
        <f>-'5C1D_NOMMA'!AX75</f>
        <v>0</v>
      </c>
      <c r="AT75" s="330">
        <f>-'5C1E_LFNO'!AX75</f>
        <v>0</v>
      </c>
      <c r="AU75" s="330">
        <f>-'5C1F_L.C. Charter'!AX75</f>
        <v>0</v>
      </c>
      <c r="AV75" s="330">
        <f>-'5C1G_JS Clark'!AX75</f>
        <v>0</v>
      </c>
      <c r="AW75" s="330">
        <f>-'5C1H_Southwest'!AX75</f>
        <v>0</v>
      </c>
      <c r="AX75" s="330">
        <f>-'5C1I_LA Key'!AX75</f>
        <v>20</v>
      </c>
      <c r="AY75" s="330">
        <f>-'5C1J_JCFA-East'!AX75</f>
        <v>0</v>
      </c>
      <c r="AZ75" s="330">
        <f>-'5C1M_GEO Mid'!AX75</f>
        <v>-3</v>
      </c>
      <c r="BA75" s="330">
        <f>-'5C1N_Delta'!AX75</f>
        <v>0</v>
      </c>
      <c r="BB75" s="330">
        <f>-'5C1O_Impact'!AX75</f>
        <v>23</v>
      </c>
      <c r="BC75" s="330">
        <f>-'5C1Q_Advantage'!AX75</f>
        <v>-61</v>
      </c>
      <c r="BD75" s="330">
        <f>-'5C1R_Iberville'!AX75</f>
        <v>0</v>
      </c>
      <c r="BE75" s="330">
        <f>-'5C1S_LC Col Prep'!AX75</f>
        <v>0</v>
      </c>
      <c r="BF75" s="330">
        <f>-'5C1T_Northeast'!AX75</f>
        <v>0</v>
      </c>
      <c r="BG75" s="330">
        <f>-'5C1U_Acadiana Ren'!AX75</f>
        <v>0</v>
      </c>
      <c r="BH75" s="330">
        <f>-'5C1V_Laf Ren'!AX75</f>
        <v>0</v>
      </c>
      <c r="BI75" s="330">
        <f>-'5C1W_Willow'!AX75</f>
        <v>0</v>
      </c>
      <c r="BJ75" s="330">
        <f>-'5C1Y_GEO'!AX75</f>
        <v>-13</v>
      </c>
      <c r="BK75" s="330">
        <f>-'5C1Z_Lincoln Prep'!AX75</f>
        <v>0</v>
      </c>
      <c r="BL75" s="330">
        <f>-'5C1AE_Noble Minds'!AX75</f>
        <v>0</v>
      </c>
      <c r="BM75" s="330">
        <f>-'5C1AF_JCFA-Laf'!AX75</f>
        <v>0</v>
      </c>
      <c r="BN75" s="330">
        <f>-'5C1AG_Collegiate'!AX75</f>
        <v>19</v>
      </c>
      <c r="BO75" s="330">
        <f>-'5C1AH_BRUP'!AX75</f>
        <v>0</v>
      </c>
      <c r="BP75" s="330">
        <f>-'5C1AI_Harmony'!$AX75</f>
        <v>0</v>
      </c>
      <c r="BQ75" s="330">
        <f>-'5C1AJ_Athlos'!$AX75</f>
        <v>0</v>
      </c>
      <c r="BR75" s="330">
        <f>-'5C1AK_NxtGen'!$AX75</f>
        <v>-5</v>
      </c>
      <c r="BS75" s="330">
        <f>-'5C1AL_Red River'!$AX75</f>
        <v>0</v>
      </c>
      <c r="BT75" s="330">
        <f>-'5C2_LAVCA'!AY75</f>
        <v>0</v>
      </c>
      <c r="BU75" s="330">
        <f>-'5C3_UnvView'!AY75</f>
        <v>85</v>
      </c>
      <c r="BV75" s="330">
        <f>SUM(AO75:BU75)</f>
        <v>92</v>
      </c>
      <c r="BW75" s="332">
        <f t="shared" si="10"/>
        <v>2677611</v>
      </c>
    </row>
    <row r="76" spans="1:75" s="33" customFormat="1" ht="15.75" customHeight="1" thickBot="1" x14ac:dyDescent="0.25">
      <c r="A76" s="452"/>
      <c r="B76" s="453" t="s">
        <v>69</v>
      </c>
      <c r="C76" s="1208">
        <f t="shared" ref="C76:BW76" si="11">SUM(C7:C75)</f>
        <v>292392011</v>
      </c>
      <c r="D76" s="1208">
        <f>SUM(D7:D75)</f>
        <v>-60524</v>
      </c>
      <c r="E76" s="1208">
        <f t="shared" si="11"/>
        <v>-1509666</v>
      </c>
      <c r="F76" s="1208">
        <f t="shared" si="11"/>
        <v>-409680</v>
      </c>
      <c r="G76" s="1208">
        <f t="shared" si="11"/>
        <v>-361285</v>
      </c>
      <c r="H76" s="1208">
        <f t="shared" si="11"/>
        <v>-170569</v>
      </c>
      <c r="I76" s="1208">
        <f t="shared" si="11"/>
        <v>-600893</v>
      </c>
      <c r="J76" s="1208">
        <f t="shared" si="11"/>
        <v>-542458</v>
      </c>
      <c r="K76" s="1208">
        <f t="shared" si="11"/>
        <v>-534017</v>
      </c>
      <c r="L76" s="1208">
        <f t="shared" si="11"/>
        <v>-68483</v>
      </c>
      <c r="M76" s="1208">
        <f t="shared" si="11"/>
        <v>-336323</v>
      </c>
      <c r="N76" s="1208">
        <f t="shared" si="11"/>
        <v>-289336</v>
      </c>
      <c r="O76" s="1208">
        <f t="shared" si="11"/>
        <v>-84387</v>
      </c>
      <c r="P76" s="1208">
        <f t="shared" si="11"/>
        <v>-422946</v>
      </c>
      <c r="Q76" s="1208">
        <f t="shared" si="11"/>
        <v>-152160</v>
      </c>
      <c r="R76" s="1208">
        <f>SUM(R7:R75)</f>
        <v>-193436</v>
      </c>
      <c r="S76" s="1208">
        <f t="shared" ref="S76:AI76" si="12">SUM(S7:S75)</f>
        <v>-272698</v>
      </c>
      <c r="T76" s="1208">
        <f t="shared" si="12"/>
        <v>-482391</v>
      </c>
      <c r="U76" s="1208">
        <f t="shared" si="12"/>
        <v>-361479</v>
      </c>
      <c r="V76" s="1208">
        <f t="shared" si="12"/>
        <v>-70106</v>
      </c>
      <c r="W76" s="1208">
        <f t="shared" si="12"/>
        <v>-858520</v>
      </c>
      <c r="X76" s="1208">
        <f t="shared" si="12"/>
        <v>-453814</v>
      </c>
      <c r="Y76" s="1208">
        <f t="shared" si="12"/>
        <v>-308673</v>
      </c>
      <c r="Z76" s="1208">
        <f t="shared" si="12"/>
        <v>-496697</v>
      </c>
      <c r="AA76" s="1208">
        <f t="shared" si="12"/>
        <v>-294397</v>
      </c>
      <c r="AB76" s="1208">
        <f t="shared" si="12"/>
        <v>-67745</v>
      </c>
      <c r="AC76" s="1208">
        <f t="shared" si="12"/>
        <v>-31042</v>
      </c>
      <c r="AD76" s="1208">
        <f t="shared" si="12"/>
        <v>-353668</v>
      </c>
      <c r="AE76" s="1208">
        <f t="shared" si="12"/>
        <v>-210874</v>
      </c>
      <c r="AF76" s="1208">
        <f t="shared" si="12"/>
        <v>-134363</v>
      </c>
      <c r="AG76" s="1208">
        <f t="shared" si="12"/>
        <v>-761331</v>
      </c>
      <c r="AH76" s="1208">
        <f t="shared" si="12"/>
        <v>-134829</v>
      </c>
      <c r="AI76" s="1208">
        <f t="shared" si="12"/>
        <v>-63461</v>
      </c>
      <c r="AJ76" s="1208">
        <f>SUM(AJ7:AJ75)</f>
        <v>-822973</v>
      </c>
      <c r="AK76" s="1208">
        <f>SUM(AK7:AK75)</f>
        <v>-1578337</v>
      </c>
      <c r="AL76" s="1209">
        <f t="shared" si="11"/>
        <v>-13493561</v>
      </c>
      <c r="AM76" s="1210">
        <f>SUM(AM7:AM75)</f>
        <v>278898450</v>
      </c>
      <c r="AN76" s="1208">
        <f t="shared" si="11"/>
        <v>705</v>
      </c>
      <c r="AO76" s="1208">
        <f t="shared" si="11"/>
        <v>99</v>
      </c>
      <c r="AP76" s="1208">
        <f t="shared" si="11"/>
        <v>-1063</v>
      </c>
      <c r="AQ76" s="1208">
        <f t="shared" si="11"/>
        <v>-463</v>
      </c>
      <c r="AR76" s="1208">
        <f t="shared" si="11"/>
        <v>475</v>
      </c>
      <c r="AS76" s="1208">
        <f t="shared" si="11"/>
        <v>-2429</v>
      </c>
      <c r="AT76" s="1208">
        <f t="shared" si="11"/>
        <v>-1693</v>
      </c>
      <c r="AU76" s="1208">
        <f t="shared" si="11"/>
        <v>-534</v>
      </c>
      <c r="AV76" s="1208">
        <f t="shared" si="11"/>
        <v>-225</v>
      </c>
      <c r="AW76" s="1208">
        <f t="shared" si="11"/>
        <v>676</v>
      </c>
      <c r="AX76" s="1208">
        <f t="shared" si="11"/>
        <v>-771</v>
      </c>
      <c r="AY76" s="1208">
        <f t="shared" si="11"/>
        <v>339</v>
      </c>
      <c r="AZ76" s="1208">
        <f t="shared" si="11"/>
        <v>173</v>
      </c>
      <c r="BA76" s="1208">
        <f t="shared" si="11"/>
        <v>-481</v>
      </c>
      <c r="BB76" s="1208">
        <f t="shared" si="11"/>
        <v>-30</v>
      </c>
      <c r="BC76" s="1208">
        <f t="shared" si="11"/>
        <v>-1028</v>
      </c>
      <c r="BD76" s="1208">
        <f t="shared" si="11"/>
        <v>-2257</v>
      </c>
      <c r="BE76" s="1208">
        <f t="shared" si="11"/>
        <v>-1349</v>
      </c>
      <c r="BF76" s="1208">
        <f t="shared" si="11"/>
        <v>-136</v>
      </c>
      <c r="BG76" s="1208">
        <f t="shared" si="11"/>
        <v>-7054</v>
      </c>
      <c r="BH76" s="1208">
        <f t="shared" si="11"/>
        <v>-485</v>
      </c>
      <c r="BI76" s="1208">
        <f t="shared" si="11"/>
        <v>-727</v>
      </c>
      <c r="BJ76" s="1208">
        <f t="shared" si="11"/>
        <v>-1382</v>
      </c>
      <c r="BK76" s="1208">
        <f t="shared" si="11"/>
        <v>-1504</v>
      </c>
      <c r="BL76" s="1208">
        <f t="shared" si="11"/>
        <v>-280</v>
      </c>
      <c r="BM76" s="1208">
        <f t="shared" si="11"/>
        <v>-29</v>
      </c>
      <c r="BN76" s="1208">
        <f t="shared" si="11"/>
        <v>-1702</v>
      </c>
      <c r="BO76" s="1208">
        <f t="shared" si="11"/>
        <v>83</v>
      </c>
      <c r="BP76" s="1208">
        <f t="shared" si="11"/>
        <v>-1248</v>
      </c>
      <c r="BQ76" s="1208">
        <f t="shared" si="11"/>
        <v>-3945</v>
      </c>
      <c r="BR76" s="1208">
        <f t="shared" si="11"/>
        <v>-2068</v>
      </c>
      <c r="BS76" s="1208">
        <f t="shared" si="11"/>
        <v>-602</v>
      </c>
      <c r="BT76" s="1208">
        <f>SUM(BT7:BT75)</f>
        <v>-1689</v>
      </c>
      <c r="BU76" s="1208">
        <f>SUM(BU7:BU75)</f>
        <v>-6043</v>
      </c>
      <c r="BV76" s="1208">
        <f>SUM(BV7:BV75)</f>
        <v>-39372</v>
      </c>
      <c r="BW76" s="1210">
        <f t="shared" si="11"/>
        <v>278859783</v>
      </c>
    </row>
    <row r="77" spans="1:75" ht="13.5" thickTop="1" x14ac:dyDescent="0.2"/>
  </sheetData>
  <sheetProtection password="D893" sheet="1" formatCells="0" formatColumn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BW1:BW2"/>
    <mergeCell ref="C1:C2"/>
    <mergeCell ref="AO1:AU1"/>
    <mergeCell ref="AV1:BB1"/>
    <mergeCell ref="A1:B2"/>
    <mergeCell ref="BV1:BV2"/>
    <mergeCell ref="AM1:AM2"/>
    <mergeCell ref="AG1:AL1"/>
    <mergeCell ref="Z1:AF1"/>
    <mergeCell ref="R1:Y1"/>
    <mergeCell ref="J1:Q1"/>
    <mergeCell ref="D1:I1"/>
    <mergeCell ref="BJ1:BP1"/>
    <mergeCell ref="BC1:BI1"/>
    <mergeCell ref="BQ1:BU1"/>
    <mergeCell ref="AN1:AN2"/>
  </mergeCells>
  <printOptions horizontalCentered="1"/>
  <pageMargins left="0.3" right="0.3" top="1" bottom="0.5" header="0.3" footer="0.25"/>
  <pageSetup paperSize="5" scale="74" firstPageNumber="13" fitToWidth="0" orientation="portrait" r:id="rId2"/>
  <headerFooter>
    <oddHeader>&amp;L&amp;"Arial,Bold"&amp;18&amp;K000000Table 2A-2: FY2020-21 Budget Letter
MFP Monthly Transfer Amount (March 2021)</oddHeader>
    <oddFooter>&amp;R&amp;P</oddFooter>
  </headerFooter>
  <colBreaks count="9" manualBreakCount="9">
    <brk id="9" max="75" man="1"/>
    <brk id="17" max="75" man="1"/>
    <brk id="25" max="75" man="1"/>
    <brk id="32" max="75" man="1"/>
    <brk id="39" max="75" man="1"/>
    <brk id="47" max="75" man="1"/>
    <brk id="54" max="75" man="1"/>
    <brk id="61" max="75" man="1"/>
    <brk id="68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444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310196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175602</v>
      </c>
      <c r="AM20" s="146"/>
      <c r="AN20" s="143"/>
      <c r="AO20" s="135">
        <v>0</v>
      </c>
      <c r="AP20" s="143"/>
      <c r="AQ20" s="144"/>
      <c r="AR20" s="144"/>
      <c r="AS20" s="143">
        <v>15297</v>
      </c>
      <c r="AT20" s="697"/>
      <c r="AU20" s="698"/>
      <c r="AV20" s="136"/>
      <c r="AW20" s="136"/>
      <c r="AX20" s="136">
        <v>11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27908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37050</v>
      </c>
      <c r="AM37" s="127"/>
      <c r="AN37" s="124"/>
      <c r="AO37" s="117">
        <v>0</v>
      </c>
      <c r="AP37" s="124"/>
      <c r="AQ37" s="125"/>
      <c r="AR37" s="125"/>
      <c r="AS37" s="124">
        <v>3592</v>
      </c>
      <c r="AT37" s="695"/>
      <c r="AU37" s="696"/>
      <c r="AV37" s="118"/>
      <c r="AW37" s="118"/>
      <c r="AX37" s="118">
        <v>16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840429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579422</v>
      </c>
      <c r="AM62" s="127"/>
      <c r="AN62" s="124"/>
      <c r="AO62" s="117">
        <v>0</v>
      </c>
      <c r="AP62" s="124"/>
      <c r="AQ62" s="125"/>
      <c r="AR62" s="125"/>
      <c r="AS62" s="124">
        <v>51217</v>
      </c>
      <c r="AT62" s="695"/>
      <c r="AU62" s="696"/>
      <c r="AV62" s="118"/>
      <c r="AW62" s="118"/>
      <c r="AX62" s="118">
        <v>109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184</v>
      </c>
      <c r="D76" s="914">
        <v>4268.9653302959669</v>
      </c>
      <c r="E76" s="915">
        <v>952936.98064546636</v>
      </c>
      <c r="F76" s="916">
        <v>150</v>
      </c>
      <c r="G76" s="917">
        <v>570.35224473434255</v>
      </c>
      <c r="H76" s="918">
        <v>101042.19216481668</v>
      </c>
      <c r="I76" s="1109">
        <v>131.5</v>
      </c>
      <c r="J76" s="917">
        <v>158.37628411149953</v>
      </c>
      <c r="K76" s="918">
        <v>24051.610795965636</v>
      </c>
      <c r="L76" s="916">
        <v>22</v>
      </c>
      <c r="M76" s="917">
        <v>3936.5780458287281</v>
      </c>
      <c r="N76" s="918">
        <v>100502.15078237817</v>
      </c>
      <c r="O76" s="916">
        <v>0</v>
      </c>
      <c r="P76" s="917">
        <v>1527.9418817790604</v>
      </c>
      <c r="Q76" s="918">
        <v>0</v>
      </c>
      <c r="R76" s="919">
        <v>1178533</v>
      </c>
      <c r="S76" s="917">
        <v>-17851</v>
      </c>
      <c r="T76" s="917">
        <v>-5703</v>
      </c>
      <c r="U76" s="920">
        <v>-23554</v>
      </c>
      <c r="V76" s="919">
        <v>1154979</v>
      </c>
      <c r="W76" s="918">
        <v>-2888</v>
      </c>
      <c r="X76" s="919">
        <v>1152091</v>
      </c>
      <c r="Y76" s="918">
        <v>0</v>
      </c>
      <c r="Z76" s="919">
        <v>1152091</v>
      </c>
      <c r="AA76" s="917">
        <v>777792</v>
      </c>
      <c r="AB76" s="917">
        <v>374299</v>
      </c>
      <c r="AC76" s="919">
        <v>93575</v>
      </c>
      <c r="AD76" s="921">
        <v>1152091</v>
      </c>
      <c r="AE76" s="917">
        <v>5688</v>
      </c>
      <c r="AF76" s="922">
        <v>805002</v>
      </c>
      <c r="AG76" s="916">
        <v>-3</v>
      </c>
      <c r="AH76" s="917">
        <v>-10549</v>
      </c>
      <c r="AI76" s="916">
        <v>-1</v>
      </c>
      <c r="AJ76" s="917">
        <v>-2379</v>
      </c>
      <c r="AK76" s="920">
        <v>-12928</v>
      </c>
      <c r="AL76" s="922">
        <v>792074</v>
      </c>
      <c r="AM76" s="917">
        <v>-1981</v>
      </c>
      <c r="AN76" s="922">
        <v>790093</v>
      </c>
      <c r="AO76" s="917">
        <v>0</v>
      </c>
      <c r="AP76" s="922">
        <v>790093</v>
      </c>
      <c r="AQ76" s="917">
        <v>509666</v>
      </c>
      <c r="AR76" s="917">
        <v>280427</v>
      </c>
      <c r="AS76" s="922">
        <v>70106</v>
      </c>
      <c r="AT76" s="1176">
        <v>1942184</v>
      </c>
      <c r="AU76" s="1177">
        <v>163681</v>
      </c>
      <c r="AV76" s="917">
        <v>1981</v>
      </c>
      <c r="AW76" s="917">
        <v>1845</v>
      </c>
      <c r="AX76" s="917">
        <v>136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11442</v>
      </c>
      <c r="S77" s="860"/>
      <c r="T77" s="860"/>
      <c r="U77" s="860"/>
      <c r="V77" s="861">
        <v>11442</v>
      </c>
      <c r="W77" s="910">
        <v>-29</v>
      </c>
      <c r="X77" s="861">
        <v>11413</v>
      </c>
      <c r="Y77" s="860"/>
      <c r="Z77" s="861">
        <v>11413</v>
      </c>
      <c r="AA77" s="860">
        <v>8244</v>
      </c>
      <c r="AB77" s="860">
        <v>3169</v>
      </c>
      <c r="AC77" s="861">
        <v>792</v>
      </c>
      <c r="AD77" s="912">
        <v>11413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11413</v>
      </c>
      <c r="AU77" s="1175">
        <v>792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4661</v>
      </c>
      <c r="AA83" s="155">
        <v>3106</v>
      </c>
      <c r="AB83" s="709">
        <v>1555</v>
      </c>
      <c r="AC83" s="156">
        <v>389</v>
      </c>
      <c r="AD83" s="156">
        <v>4661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4661</v>
      </c>
      <c r="AU83" s="710">
        <v>389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184</v>
      </c>
      <c r="D84" s="914">
        <v>4268.9653302959669</v>
      </c>
      <c r="E84" s="915">
        <v>952936.98064546636</v>
      </c>
      <c r="F84" s="916">
        <v>150</v>
      </c>
      <c r="G84" s="917">
        <v>570.35224473434255</v>
      </c>
      <c r="H84" s="918">
        <v>101042.19216481668</v>
      </c>
      <c r="I84" s="1109">
        <v>131.5</v>
      </c>
      <c r="J84" s="917">
        <v>158.37628411149953</v>
      </c>
      <c r="K84" s="918">
        <v>24051.610795965636</v>
      </c>
      <c r="L84" s="916">
        <v>22</v>
      </c>
      <c r="M84" s="917">
        <v>3936.5780458287281</v>
      </c>
      <c r="N84" s="918">
        <v>100502.15078237817</v>
      </c>
      <c r="O84" s="916">
        <v>0</v>
      </c>
      <c r="P84" s="917">
        <v>1527.9418817790604</v>
      </c>
      <c r="Q84" s="918">
        <v>0</v>
      </c>
      <c r="R84" s="919">
        <v>1189975</v>
      </c>
      <c r="S84" s="917">
        <v>-17851</v>
      </c>
      <c r="T84" s="917">
        <v>-5703</v>
      </c>
      <c r="U84" s="920">
        <v>-23554</v>
      </c>
      <c r="V84" s="919">
        <v>1166421</v>
      </c>
      <c r="W84" s="918">
        <v>-2917</v>
      </c>
      <c r="X84" s="919">
        <v>1163504</v>
      </c>
      <c r="Y84" s="918">
        <v>0</v>
      </c>
      <c r="Z84" s="919">
        <v>1168165</v>
      </c>
      <c r="AA84" s="917">
        <v>789142</v>
      </c>
      <c r="AB84" s="917">
        <v>379023</v>
      </c>
      <c r="AC84" s="919">
        <v>94756</v>
      </c>
      <c r="AD84" s="921">
        <v>1178165</v>
      </c>
      <c r="AE84" s="917">
        <v>5688</v>
      </c>
      <c r="AF84" s="922">
        <v>805002</v>
      </c>
      <c r="AG84" s="916">
        <v>-3</v>
      </c>
      <c r="AH84" s="917">
        <v>-10549</v>
      </c>
      <c r="AI84" s="916">
        <v>-1</v>
      </c>
      <c r="AJ84" s="917">
        <v>-2379</v>
      </c>
      <c r="AK84" s="920">
        <v>-12928</v>
      </c>
      <c r="AL84" s="922">
        <v>792074</v>
      </c>
      <c r="AM84" s="917">
        <v>-1981</v>
      </c>
      <c r="AN84" s="922">
        <v>790093</v>
      </c>
      <c r="AO84" s="917">
        <v>0</v>
      </c>
      <c r="AP84" s="922">
        <v>790093</v>
      </c>
      <c r="AQ84" s="917">
        <v>509666</v>
      </c>
      <c r="AR84" s="917">
        <v>280427</v>
      </c>
      <c r="AS84" s="922">
        <v>70106</v>
      </c>
      <c r="AT84" s="702">
        <v>1958258</v>
      </c>
      <c r="AU84" s="702">
        <v>164862</v>
      </c>
      <c r="AV84" s="917">
        <v>1981</v>
      </c>
      <c r="AW84" s="917">
        <v>1845</v>
      </c>
      <c r="AX84" s="917">
        <v>136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4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445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4954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10496</v>
      </c>
      <c r="AM7" s="127"/>
      <c r="AN7" s="124"/>
      <c r="AO7" s="117">
        <v>0</v>
      </c>
      <c r="AP7" s="124"/>
      <c r="AQ7" s="125"/>
      <c r="AR7" s="125"/>
      <c r="AS7" s="124">
        <v>1971</v>
      </c>
      <c r="AT7" s="695"/>
      <c r="AU7" s="696"/>
      <c r="AV7" s="118"/>
      <c r="AW7" s="118"/>
      <c r="AX7" s="118">
        <v>20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6656</v>
      </c>
      <c r="AM9" s="146"/>
      <c r="AN9" s="143"/>
      <c r="AO9" s="135">
        <v>0</v>
      </c>
      <c r="AP9" s="143"/>
      <c r="AQ9" s="144"/>
      <c r="AR9" s="144"/>
      <c r="AS9" s="143">
        <v>1106</v>
      </c>
      <c r="AT9" s="697"/>
      <c r="AU9" s="698"/>
      <c r="AV9" s="136"/>
      <c r="AW9" s="136"/>
      <c r="AX9" s="136">
        <v>17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16597</v>
      </c>
      <c r="AM10" s="146"/>
      <c r="AN10" s="143"/>
      <c r="AO10" s="135">
        <v>0</v>
      </c>
      <c r="AP10" s="143"/>
      <c r="AQ10" s="144"/>
      <c r="AR10" s="144"/>
      <c r="AS10" s="143">
        <v>2562</v>
      </c>
      <c r="AT10" s="697"/>
      <c r="AU10" s="698"/>
      <c r="AV10" s="136"/>
      <c r="AW10" s="136"/>
      <c r="AX10" s="136">
        <v>41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7749</v>
      </c>
      <c r="AM23" s="146"/>
      <c r="AN23" s="143"/>
      <c r="AO23" s="135">
        <v>0</v>
      </c>
      <c r="AP23" s="143"/>
      <c r="AQ23" s="144"/>
      <c r="AR23" s="144"/>
      <c r="AS23" s="143">
        <v>1288</v>
      </c>
      <c r="AT23" s="697"/>
      <c r="AU23" s="698"/>
      <c r="AV23" s="136"/>
      <c r="AW23" s="136"/>
      <c r="AX23" s="136">
        <v>19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382584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404670</v>
      </c>
      <c r="AM29" s="146"/>
      <c r="AN29" s="143"/>
      <c r="AO29" s="135">
        <v>0</v>
      </c>
      <c r="AP29" s="143"/>
      <c r="AQ29" s="144"/>
      <c r="AR29" s="144"/>
      <c r="AS29" s="143">
        <v>48246</v>
      </c>
      <c r="AT29" s="697"/>
      <c r="AU29" s="698"/>
      <c r="AV29" s="136"/>
      <c r="AW29" s="136"/>
      <c r="AX29" s="136">
        <v>421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3050188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6551044</v>
      </c>
      <c r="AM34" s="146"/>
      <c r="AN34" s="143"/>
      <c r="AO34" s="135">
        <v>0</v>
      </c>
      <c r="AP34" s="143"/>
      <c r="AQ34" s="144"/>
      <c r="AR34" s="144"/>
      <c r="AS34" s="143">
        <v>742327</v>
      </c>
      <c r="AT34" s="697"/>
      <c r="AU34" s="698"/>
      <c r="AV34" s="136"/>
      <c r="AW34" s="136"/>
      <c r="AX34" s="136">
        <v>5901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8655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59098</v>
      </c>
      <c r="AM35" s="146"/>
      <c r="AN35" s="143"/>
      <c r="AO35" s="135">
        <v>0</v>
      </c>
      <c r="AP35" s="143"/>
      <c r="AQ35" s="144"/>
      <c r="AR35" s="144"/>
      <c r="AS35" s="143">
        <v>8384</v>
      </c>
      <c r="AT35" s="697"/>
      <c r="AU35" s="698"/>
      <c r="AV35" s="136"/>
      <c r="AW35" s="136"/>
      <c r="AX35" s="136">
        <v>124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5267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-430</v>
      </c>
      <c r="AT36" s="699"/>
      <c r="AU36" s="700"/>
      <c r="AV36" s="150"/>
      <c r="AW36" s="150"/>
      <c r="AX36" s="150">
        <v>-13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4889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-305</v>
      </c>
      <c r="AT46" s="699"/>
      <c r="AU46" s="700"/>
      <c r="AV46" s="150"/>
      <c r="AW46" s="150"/>
      <c r="AX46" s="150">
        <v>-9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8532</v>
      </c>
      <c r="AM50" s="146"/>
      <c r="AN50" s="143"/>
      <c r="AO50" s="135">
        <v>0</v>
      </c>
      <c r="AP50" s="143"/>
      <c r="AQ50" s="144"/>
      <c r="AR50" s="144"/>
      <c r="AS50" s="143">
        <v>1418</v>
      </c>
      <c r="AT50" s="697"/>
      <c r="AU50" s="698"/>
      <c r="AV50" s="136"/>
      <c r="AW50" s="136"/>
      <c r="AX50" s="136">
        <v>21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27425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26640</v>
      </c>
      <c r="AM55" s="146"/>
      <c r="AN55" s="143"/>
      <c r="AO55" s="135">
        <v>0</v>
      </c>
      <c r="AP55" s="143"/>
      <c r="AQ55" s="144"/>
      <c r="AR55" s="144"/>
      <c r="AS55" s="143">
        <v>3279</v>
      </c>
      <c r="AT55" s="697"/>
      <c r="AU55" s="698"/>
      <c r="AV55" s="136"/>
      <c r="AW55" s="136"/>
      <c r="AX55" s="136">
        <v>40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259786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283195</v>
      </c>
      <c r="AM56" s="161"/>
      <c r="AN56" s="158"/>
      <c r="AO56" s="149">
        <v>0</v>
      </c>
      <c r="AP56" s="158"/>
      <c r="AQ56" s="159"/>
      <c r="AR56" s="159"/>
      <c r="AS56" s="158">
        <v>29164</v>
      </c>
      <c r="AT56" s="699"/>
      <c r="AU56" s="700"/>
      <c r="AV56" s="150"/>
      <c r="AW56" s="150"/>
      <c r="AX56" s="150">
        <v>241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4908</v>
      </c>
      <c r="AM57" s="127"/>
      <c r="AN57" s="124"/>
      <c r="AO57" s="117">
        <v>0</v>
      </c>
      <c r="AP57" s="124"/>
      <c r="AQ57" s="125"/>
      <c r="AR57" s="125"/>
      <c r="AS57" s="124">
        <v>816</v>
      </c>
      <c r="AT57" s="695"/>
      <c r="AU57" s="696"/>
      <c r="AV57" s="118"/>
      <c r="AW57" s="118"/>
      <c r="AX57" s="118">
        <v>12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6493</v>
      </c>
      <c r="AM58" s="146"/>
      <c r="AN58" s="143"/>
      <c r="AO58" s="135">
        <v>0</v>
      </c>
      <c r="AP58" s="143"/>
      <c r="AQ58" s="144"/>
      <c r="AR58" s="144"/>
      <c r="AS58" s="143">
        <v>1079</v>
      </c>
      <c r="AT58" s="697"/>
      <c r="AU58" s="698"/>
      <c r="AV58" s="136"/>
      <c r="AW58" s="136"/>
      <c r="AX58" s="136">
        <v>16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9000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47702</v>
      </c>
      <c r="AM61" s="161"/>
      <c r="AN61" s="158"/>
      <c r="AO61" s="149">
        <v>0</v>
      </c>
      <c r="AP61" s="158"/>
      <c r="AQ61" s="159"/>
      <c r="AR61" s="159"/>
      <c r="AS61" s="158">
        <v>7206</v>
      </c>
      <c r="AT61" s="699"/>
      <c r="AU61" s="700"/>
      <c r="AV61" s="150"/>
      <c r="AW61" s="150"/>
      <c r="AX61" s="150">
        <v>102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131420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94039</v>
      </c>
      <c r="AM63" s="146"/>
      <c r="AN63" s="143"/>
      <c r="AO63" s="135">
        <v>0</v>
      </c>
      <c r="AP63" s="143"/>
      <c r="AQ63" s="144"/>
      <c r="AR63" s="144"/>
      <c r="AS63" s="143">
        <v>10409</v>
      </c>
      <c r="AT63" s="697"/>
      <c r="AU63" s="698"/>
      <c r="AV63" s="136"/>
      <c r="AW63" s="136"/>
      <c r="AX63" s="136">
        <v>101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896</v>
      </c>
      <c r="D76" s="914">
        <v>4268.9653302959669</v>
      </c>
      <c r="E76" s="915">
        <v>3414751.3966409038</v>
      </c>
      <c r="F76" s="916">
        <v>345</v>
      </c>
      <c r="G76" s="917">
        <v>570.35224473434255</v>
      </c>
      <c r="H76" s="918">
        <v>182351.3102239552</v>
      </c>
      <c r="I76" s="1109">
        <v>286</v>
      </c>
      <c r="J76" s="917">
        <v>158.37628411149953</v>
      </c>
      <c r="K76" s="918">
        <v>40785.078349252988</v>
      </c>
      <c r="L76" s="916">
        <v>51</v>
      </c>
      <c r="M76" s="917">
        <v>3936.5780458287281</v>
      </c>
      <c r="N76" s="918">
        <v>184679.67474580961</v>
      </c>
      <c r="O76" s="916">
        <v>44</v>
      </c>
      <c r="P76" s="917">
        <v>1527.9418817790604</v>
      </c>
      <c r="Q76" s="918">
        <v>61600.104330553717</v>
      </c>
      <c r="R76" s="919">
        <v>3884168</v>
      </c>
      <c r="S76" s="917">
        <v>2341966</v>
      </c>
      <c r="T76" s="917">
        <v>-45530</v>
      </c>
      <c r="U76" s="920">
        <v>2296436</v>
      </c>
      <c r="V76" s="919">
        <v>6180604</v>
      </c>
      <c r="W76" s="918">
        <v>-15452</v>
      </c>
      <c r="X76" s="919">
        <v>6165152</v>
      </c>
      <c r="Y76" s="918">
        <v>0</v>
      </c>
      <c r="Z76" s="919">
        <v>6165152</v>
      </c>
      <c r="AA76" s="917">
        <v>3359860</v>
      </c>
      <c r="AB76" s="917">
        <v>2805292</v>
      </c>
      <c r="AC76" s="919">
        <v>701324</v>
      </c>
      <c r="AD76" s="921">
        <v>6165152</v>
      </c>
      <c r="AE76" s="917">
        <v>5688</v>
      </c>
      <c r="AF76" s="922">
        <v>4806912</v>
      </c>
      <c r="AG76" s="916">
        <v>520</v>
      </c>
      <c r="AH76" s="917">
        <v>2745125</v>
      </c>
      <c r="AI76" s="916">
        <v>-16</v>
      </c>
      <c r="AJ76" s="917">
        <v>-24218</v>
      </c>
      <c r="AK76" s="920">
        <v>2720907</v>
      </c>
      <c r="AL76" s="922">
        <v>7527819</v>
      </c>
      <c r="AM76" s="917">
        <v>-18819</v>
      </c>
      <c r="AN76" s="922">
        <v>7509000</v>
      </c>
      <c r="AO76" s="917">
        <v>0</v>
      </c>
      <c r="AP76" s="922">
        <v>7509000</v>
      </c>
      <c r="AQ76" s="917">
        <v>4074924</v>
      </c>
      <c r="AR76" s="917">
        <v>3434076</v>
      </c>
      <c r="AS76" s="922">
        <v>858520</v>
      </c>
      <c r="AT76" s="1176">
        <v>13674152</v>
      </c>
      <c r="AU76" s="1177">
        <v>1559844</v>
      </c>
      <c r="AV76" s="917">
        <v>18819</v>
      </c>
      <c r="AW76" s="917">
        <v>11765</v>
      </c>
      <c r="AX76" s="917">
        <v>7054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126898</v>
      </c>
      <c r="S77" s="860"/>
      <c r="T77" s="860"/>
      <c r="U77" s="860"/>
      <c r="V77" s="861">
        <v>126898</v>
      </c>
      <c r="W77" s="910">
        <v>-317</v>
      </c>
      <c r="X77" s="861">
        <v>126581</v>
      </c>
      <c r="Y77" s="860"/>
      <c r="Z77" s="861">
        <v>126581</v>
      </c>
      <c r="AA77" s="860">
        <v>72194</v>
      </c>
      <c r="AB77" s="860">
        <v>54387</v>
      </c>
      <c r="AC77" s="861">
        <v>13597</v>
      </c>
      <c r="AD77" s="912">
        <v>126581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126581</v>
      </c>
      <c r="AU77" s="1175">
        <v>13597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13014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11446</v>
      </c>
      <c r="AA83" s="155">
        <v>7632</v>
      </c>
      <c r="AB83" s="709">
        <v>3814</v>
      </c>
      <c r="AC83" s="156">
        <v>954</v>
      </c>
      <c r="AD83" s="156">
        <v>11446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11446</v>
      </c>
      <c r="AU83" s="710">
        <v>954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896</v>
      </c>
      <c r="D84" s="914">
        <v>4268.9653302959669</v>
      </c>
      <c r="E84" s="915">
        <v>3414751.3966409038</v>
      </c>
      <c r="F84" s="916">
        <v>345</v>
      </c>
      <c r="G84" s="917">
        <v>570.35224473434255</v>
      </c>
      <c r="H84" s="918">
        <v>182351.3102239552</v>
      </c>
      <c r="I84" s="1109">
        <v>286</v>
      </c>
      <c r="J84" s="917">
        <v>158.37628411149953</v>
      </c>
      <c r="K84" s="918">
        <v>40785.078349252988</v>
      </c>
      <c r="L84" s="916">
        <v>51</v>
      </c>
      <c r="M84" s="917">
        <v>3936.5780458287281</v>
      </c>
      <c r="N84" s="918">
        <v>184679.67474580961</v>
      </c>
      <c r="O84" s="916">
        <v>44</v>
      </c>
      <c r="P84" s="917">
        <v>1527.9418817790604</v>
      </c>
      <c r="Q84" s="918">
        <v>61600.104330553717</v>
      </c>
      <c r="R84" s="919">
        <v>4011066</v>
      </c>
      <c r="S84" s="917">
        <v>2341966</v>
      </c>
      <c r="T84" s="917">
        <v>-45530</v>
      </c>
      <c r="U84" s="920">
        <v>2296436</v>
      </c>
      <c r="V84" s="919">
        <v>6307502</v>
      </c>
      <c r="W84" s="918">
        <v>-15769</v>
      </c>
      <c r="X84" s="919">
        <v>6291733</v>
      </c>
      <c r="Y84" s="918">
        <v>0</v>
      </c>
      <c r="Z84" s="919">
        <v>6303179</v>
      </c>
      <c r="AA84" s="917">
        <v>3439686</v>
      </c>
      <c r="AB84" s="917">
        <v>2863493</v>
      </c>
      <c r="AC84" s="919">
        <v>715875</v>
      </c>
      <c r="AD84" s="921">
        <v>6316193</v>
      </c>
      <c r="AE84" s="917">
        <v>5688</v>
      </c>
      <c r="AF84" s="922">
        <v>4806912</v>
      </c>
      <c r="AG84" s="916">
        <v>520</v>
      </c>
      <c r="AH84" s="917">
        <v>2745125</v>
      </c>
      <c r="AI84" s="916">
        <v>-16</v>
      </c>
      <c r="AJ84" s="917">
        <v>-24218</v>
      </c>
      <c r="AK84" s="920">
        <v>2720907</v>
      </c>
      <c r="AL84" s="922">
        <v>7527819</v>
      </c>
      <c r="AM84" s="917">
        <v>-18819</v>
      </c>
      <c r="AN84" s="922">
        <v>7509000</v>
      </c>
      <c r="AO84" s="917">
        <v>0</v>
      </c>
      <c r="AP84" s="922">
        <v>7509000</v>
      </c>
      <c r="AQ84" s="917">
        <v>4074924</v>
      </c>
      <c r="AR84" s="917">
        <v>3434076</v>
      </c>
      <c r="AS84" s="922">
        <v>858520</v>
      </c>
      <c r="AT84" s="702">
        <v>13812179</v>
      </c>
      <c r="AU84" s="702">
        <v>1574395</v>
      </c>
      <c r="AV84" s="917">
        <v>18819</v>
      </c>
      <c r="AW84" s="917">
        <v>11765</v>
      </c>
      <c r="AX84" s="917">
        <v>7054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446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116314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53792</v>
      </c>
      <c r="AM7" s="127"/>
      <c r="AN7" s="124"/>
      <c r="AO7" s="117">
        <v>0</v>
      </c>
      <c r="AP7" s="124"/>
      <c r="AQ7" s="125"/>
      <c r="AR7" s="125"/>
      <c r="AS7" s="124">
        <v>5716</v>
      </c>
      <c r="AT7" s="695"/>
      <c r="AU7" s="696"/>
      <c r="AV7" s="118"/>
      <c r="AW7" s="118"/>
      <c r="AX7" s="118">
        <v>14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3787</v>
      </c>
      <c r="AM16" s="161"/>
      <c r="AN16" s="158"/>
      <c r="AO16" s="149">
        <v>0</v>
      </c>
      <c r="AP16" s="158"/>
      <c r="AQ16" s="159"/>
      <c r="AR16" s="159"/>
      <c r="AS16" s="158">
        <v>945</v>
      </c>
      <c r="AT16" s="699"/>
      <c r="AU16" s="700"/>
      <c r="AV16" s="150"/>
      <c r="AW16" s="150"/>
      <c r="AX16" s="150">
        <v>9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2693</v>
      </c>
      <c r="AM26" s="161"/>
      <c r="AN26" s="158"/>
      <c r="AO26" s="149">
        <v>0</v>
      </c>
      <c r="AP26" s="158"/>
      <c r="AQ26" s="159"/>
      <c r="AR26" s="159"/>
      <c r="AS26" s="158">
        <v>448</v>
      </c>
      <c r="AT26" s="699"/>
      <c r="AU26" s="700"/>
      <c r="AV26" s="150"/>
      <c r="AW26" s="150"/>
      <c r="AX26" s="150">
        <v>7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25146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23124</v>
      </c>
      <c r="AM29" s="146"/>
      <c r="AN29" s="143"/>
      <c r="AO29" s="135">
        <v>0</v>
      </c>
      <c r="AP29" s="143"/>
      <c r="AQ29" s="144"/>
      <c r="AR29" s="144"/>
      <c r="AS29" s="143">
        <v>2950</v>
      </c>
      <c r="AT29" s="697"/>
      <c r="AU29" s="698"/>
      <c r="AV29" s="136"/>
      <c r="AW29" s="136"/>
      <c r="AX29" s="136">
        <v>31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3503395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4674428</v>
      </c>
      <c r="AM34" s="146"/>
      <c r="AN34" s="143"/>
      <c r="AO34" s="135">
        <v>0</v>
      </c>
      <c r="AP34" s="143"/>
      <c r="AQ34" s="144"/>
      <c r="AR34" s="144"/>
      <c r="AS34" s="143">
        <v>401462</v>
      </c>
      <c r="AT34" s="697"/>
      <c r="AU34" s="698"/>
      <c r="AV34" s="136"/>
      <c r="AW34" s="136"/>
      <c r="AX34" s="136">
        <v>326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10278</v>
      </c>
      <c r="AM35" s="146"/>
      <c r="AN35" s="143"/>
      <c r="AO35" s="135">
        <v>0</v>
      </c>
      <c r="AP35" s="143"/>
      <c r="AQ35" s="144"/>
      <c r="AR35" s="144"/>
      <c r="AS35" s="143">
        <v>1709</v>
      </c>
      <c r="AT35" s="697"/>
      <c r="AU35" s="698"/>
      <c r="AV35" s="136"/>
      <c r="AW35" s="136"/>
      <c r="AX35" s="136">
        <v>26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490464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284160</v>
      </c>
      <c r="AM55" s="146"/>
      <c r="AN55" s="143"/>
      <c r="AO55" s="135">
        <v>0</v>
      </c>
      <c r="AP55" s="143"/>
      <c r="AQ55" s="144"/>
      <c r="AR55" s="144"/>
      <c r="AS55" s="143">
        <v>26900</v>
      </c>
      <c r="AT55" s="697"/>
      <c r="AU55" s="698"/>
      <c r="AV55" s="136"/>
      <c r="AW55" s="136"/>
      <c r="AX55" s="136">
        <v>98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237204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159900</v>
      </c>
      <c r="AM56" s="161"/>
      <c r="AN56" s="158"/>
      <c r="AO56" s="149">
        <v>0</v>
      </c>
      <c r="AP56" s="158"/>
      <c r="AQ56" s="159"/>
      <c r="AR56" s="159"/>
      <c r="AS56" s="158">
        <v>13136</v>
      </c>
      <c r="AT56" s="699"/>
      <c r="AU56" s="700"/>
      <c r="AV56" s="150"/>
      <c r="AW56" s="150"/>
      <c r="AX56" s="150">
        <v>-29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5152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-333</v>
      </c>
      <c r="AT62" s="695"/>
      <c r="AU62" s="696"/>
      <c r="AV62" s="118"/>
      <c r="AW62" s="118"/>
      <c r="AX62" s="118">
        <v>-10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5298</v>
      </c>
      <c r="AM63" s="146"/>
      <c r="AN63" s="143"/>
      <c r="AO63" s="135">
        <v>0</v>
      </c>
      <c r="AP63" s="143"/>
      <c r="AQ63" s="144"/>
      <c r="AR63" s="144"/>
      <c r="AS63" s="143">
        <v>881</v>
      </c>
      <c r="AT63" s="697"/>
      <c r="AU63" s="698"/>
      <c r="AV63" s="136"/>
      <c r="AW63" s="136"/>
      <c r="AX63" s="136">
        <v>13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968</v>
      </c>
      <c r="D76" s="914">
        <v>4268.9653302959669</v>
      </c>
      <c r="E76" s="915">
        <v>3663487.9073891235</v>
      </c>
      <c r="F76" s="916">
        <v>835</v>
      </c>
      <c r="G76" s="917">
        <v>570.35224473434255</v>
      </c>
      <c r="H76" s="918">
        <v>432942.2212981293</v>
      </c>
      <c r="I76" s="1109">
        <v>68</v>
      </c>
      <c r="J76" s="917">
        <v>158.37628411149953</v>
      </c>
      <c r="K76" s="918">
        <v>9554.1241287653702</v>
      </c>
      <c r="L76" s="916">
        <v>67</v>
      </c>
      <c r="M76" s="917">
        <v>3936.5780458287281</v>
      </c>
      <c r="N76" s="918">
        <v>238326.36861013871</v>
      </c>
      <c r="O76" s="916">
        <v>23</v>
      </c>
      <c r="P76" s="917">
        <v>1527.9418817790604</v>
      </c>
      <c r="Q76" s="918">
        <v>33364.681785818262</v>
      </c>
      <c r="R76" s="919">
        <v>4377675</v>
      </c>
      <c r="S76" s="917">
        <v>37865</v>
      </c>
      <c r="T76" s="917">
        <v>63867</v>
      </c>
      <c r="U76" s="920">
        <v>101732</v>
      </c>
      <c r="V76" s="919">
        <v>4479407</v>
      </c>
      <c r="W76" s="918">
        <v>-11199</v>
      </c>
      <c r="X76" s="919">
        <v>4468208</v>
      </c>
      <c r="Y76" s="918">
        <v>0</v>
      </c>
      <c r="Z76" s="919">
        <v>4468208</v>
      </c>
      <c r="AA76" s="917">
        <v>2923748</v>
      </c>
      <c r="AB76" s="917">
        <v>1544460</v>
      </c>
      <c r="AC76" s="919">
        <v>386116</v>
      </c>
      <c r="AD76" s="921">
        <v>4468208</v>
      </c>
      <c r="AE76" s="917">
        <v>5688</v>
      </c>
      <c r="AF76" s="922">
        <v>5125816</v>
      </c>
      <c r="AG76" s="916">
        <v>10</v>
      </c>
      <c r="AH76" s="917">
        <v>43372</v>
      </c>
      <c r="AI76" s="916">
        <v>22</v>
      </c>
      <c r="AJ76" s="917">
        <v>48272</v>
      </c>
      <c r="AK76" s="920">
        <v>91644</v>
      </c>
      <c r="AL76" s="922">
        <v>5217460</v>
      </c>
      <c r="AM76" s="917">
        <v>-13043</v>
      </c>
      <c r="AN76" s="922">
        <v>5204417</v>
      </c>
      <c r="AO76" s="917">
        <v>0</v>
      </c>
      <c r="AP76" s="922">
        <v>5204417</v>
      </c>
      <c r="AQ76" s="917">
        <v>3389174</v>
      </c>
      <c r="AR76" s="917">
        <v>1815243</v>
      </c>
      <c r="AS76" s="922">
        <v>453814</v>
      </c>
      <c r="AT76" s="1176">
        <v>9672625</v>
      </c>
      <c r="AU76" s="1177">
        <v>839930</v>
      </c>
      <c r="AV76" s="917">
        <v>13043</v>
      </c>
      <c r="AW76" s="917">
        <v>12558</v>
      </c>
      <c r="AX76" s="917">
        <v>485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95779</v>
      </c>
      <c r="S77" s="860"/>
      <c r="T77" s="860"/>
      <c r="U77" s="860"/>
      <c r="V77" s="861">
        <v>95779</v>
      </c>
      <c r="W77" s="910">
        <v>-239</v>
      </c>
      <c r="X77" s="861">
        <v>95540</v>
      </c>
      <c r="Y77" s="860"/>
      <c r="Z77" s="861">
        <v>95540</v>
      </c>
      <c r="AA77" s="860">
        <v>64918</v>
      </c>
      <c r="AB77" s="860">
        <v>30622</v>
      </c>
      <c r="AC77" s="861">
        <v>7656</v>
      </c>
      <c r="AD77" s="912">
        <v>95540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95540</v>
      </c>
      <c r="AU77" s="1175">
        <v>7656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12390</v>
      </c>
      <c r="AA83" s="155">
        <v>8262</v>
      </c>
      <c r="AB83" s="709">
        <v>4128</v>
      </c>
      <c r="AC83" s="156">
        <v>1032</v>
      </c>
      <c r="AD83" s="156">
        <v>12390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12390</v>
      </c>
      <c r="AU83" s="710">
        <v>1032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968</v>
      </c>
      <c r="D84" s="914">
        <v>4268.9653302959669</v>
      </c>
      <c r="E84" s="915">
        <v>3663487.9073891235</v>
      </c>
      <c r="F84" s="916">
        <v>835</v>
      </c>
      <c r="G84" s="917">
        <v>570.35224473434255</v>
      </c>
      <c r="H84" s="918">
        <v>432942.2212981293</v>
      </c>
      <c r="I84" s="1109">
        <v>68</v>
      </c>
      <c r="J84" s="917">
        <v>158.37628411149953</v>
      </c>
      <c r="K84" s="918">
        <v>9554.1241287653702</v>
      </c>
      <c r="L84" s="916">
        <v>67</v>
      </c>
      <c r="M84" s="917">
        <v>3936.5780458287281</v>
      </c>
      <c r="N84" s="918">
        <v>238326.36861013871</v>
      </c>
      <c r="O84" s="916">
        <v>23</v>
      </c>
      <c r="P84" s="917">
        <v>1527.9418817790604</v>
      </c>
      <c r="Q84" s="918">
        <v>33364.681785818262</v>
      </c>
      <c r="R84" s="919">
        <v>4473454</v>
      </c>
      <c r="S84" s="917">
        <v>37865</v>
      </c>
      <c r="T84" s="917">
        <v>63867</v>
      </c>
      <c r="U84" s="920">
        <v>101732</v>
      </c>
      <c r="V84" s="919">
        <v>4575186</v>
      </c>
      <c r="W84" s="918">
        <v>-11438</v>
      </c>
      <c r="X84" s="919">
        <v>4563748</v>
      </c>
      <c r="Y84" s="918">
        <v>0</v>
      </c>
      <c r="Z84" s="919">
        <v>4576138</v>
      </c>
      <c r="AA84" s="917">
        <v>2996928</v>
      </c>
      <c r="AB84" s="917">
        <v>1579210</v>
      </c>
      <c r="AC84" s="919">
        <v>394804</v>
      </c>
      <c r="AD84" s="921">
        <v>4576138</v>
      </c>
      <c r="AE84" s="917">
        <v>5688</v>
      </c>
      <c r="AF84" s="922">
        <v>5125816</v>
      </c>
      <c r="AG84" s="916">
        <v>10</v>
      </c>
      <c r="AH84" s="917">
        <v>43372</v>
      </c>
      <c r="AI84" s="916">
        <v>22</v>
      </c>
      <c r="AJ84" s="917">
        <v>48272</v>
      </c>
      <c r="AK84" s="920">
        <v>91644</v>
      </c>
      <c r="AL84" s="922">
        <v>5217460</v>
      </c>
      <c r="AM84" s="917">
        <v>-13043</v>
      </c>
      <c r="AN84" s="922">
        <v>5204417</v>
      </c>
      <c r="AO84" s="917">
        <v>0</v>
      </c>
      <c r="AP84" s="922">
        <v>5204417</v>
      </c>
      <c r="AQ84" s="917">
        <v>3389174</v>
      </c>
      <c r="AR84" s="917">
        <v>1815243</v>
      </c>
      <c r="AS84" s="922">
        <v>453814</v>
      </c>
      <c r="AT84" s="702">
        <v>9780555</v>
      </c>
      <c r="AU84" s="702">
        <v>848618</v>
      </c>
      <c r="AV84" s="917">
        <v>13043</v>
      </c>
      <c r="AW84" s="917">
        <v>12558</v>
      </c>
      <c r="AX84" s="917">
        <v>485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6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447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7"/>
      <c r="B3" s="1508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49"/>
      <c r="B5" s="649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21956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17056</v>
      </c>
      <c r="AM7" s="127"/>
      <c r="AN7" s="124"/>
      <c r="AO7" s="117">
        <v>0</v>
      </c>
      <c r="AP7" s="124"/>
      <c r="AQ7" s="125"/>
      <c r="AR7" s="125"/>
      <c r="AS7" s="124">
        <v>1886</v>
      </c>
      <c r="AT7" s="695"/>
      <c r="AU7" s="696"/>
      <c r="AV7" s="118"/>
      <c r="AW7" s="118"/>
      <c r="AX7" s="118">
        <v>18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11624</v>
      </c>
      <c r="AM23" s="146"/>
      <c r="AN23" s="143"/>
      <c r="AO23" s="135">
        <v>0</v>
      </c>
      <c r="AP23" s="143"/>
      <c r="AQ23" s="144"/>
      <c r="AR23" s="144"/>
      <c r="AS23" s="143">
        <v>2899</v>
      </c>
      <c r="AT23" s="697"/>
      <c r="AU23" s="698"/>
      <c r="AV23" s="136"/>
      <c r="AW23" s="136"/>
      <c r="AX23" s="136">
        <v>29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7708</v>
      </c>
      <c r="AM29" s="146"/>
      <c r="AN29" s="143"/>
      <c r="AO29" s="135">
        <v>0</v>
      </c>
      <c r="AP29" s="143"/>
      <c r="AQ29" s="144"/>
      <c r="AR29" s="144"/>
      <c r="AS29" s="143">
        <v>961</v>
      </c>
      <c r="AT29" s="697"/>
      <c r="AU29" s="698"/>
      <c r="AV29" s="136"/>
      <c r="AW29" s="136"/>
      <c r="AX29" s="136">
        <v>19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2449400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3288356</v>
      </c>
      <c r="AM34" s="146"/>
      <c r="AN34" s="143"/>
      <c r="AO34" s="135">
        <v>0</v>
      </c>
      <c r="AP34" s="143"/>
      <c r="AQ34" s="144"/>
      <c r="AR34" s="144"/>
      <c r="AS34" s="143">
        <v>288894</v>
      </c>
      <c r="AT34" s="697"/>
      <c r="AU34" s="698"/>
      <c r="AV34" s="136"/>
      <c r="AW34" s="136"/>
      <c r="AX34" s="136">
        <v>647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182479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66600</v>
      </c>
      <c r="AM55" s="146"/>
      <c r="AN55" s="143"/>
      <c r="AO55" s="135">
        <v>0</v>
      </c>
      <c r="AP55" s="143"/>
      <c r="AQ55" s="144"/>
      <c r="AR55" s="144"/>
      <c r="AS55" s="143">
        <v>3696</v>
      </c>
      <c r="AT55" s="697"/>
      <c r="AU55" s="698"/>
      <c r="AV55" s="136"/>
      <c r="AW55" s="136"/>
      <c r="AX55" s="136">
        <v>-44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118251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94399</v>
      </c>
      <c r="AM56" s="161"/>
      <c r="AN56" s="158"/>
      <c r="AO56" s="149">
        <v>0</v>
      </c>
      <c r="AP56" s="158"/>
      <c r="AQ56" s="159"/>
      <c r="AR56" s="159"/>
      <c r="AS56" s="158">
        <v>9521</v>
      </c>
      <c r="AT56" s="699"/>
      <c r="AU56" s="700"/>
      <c r="AV56" s="150"/>
      <c r="AW56" s="150"/>
      <c r="AX56" s="150">
        <v>46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4908</v>
      </c>
      <c r="AM57" s="127"/>
      <c r="AN57" s="124"/>
      <c r="AO57" s="117">
        <v>0</v>
      </c>
      <c r="AP57" s="124"/>
      <c r="AQ57" s="125"/>
      <c r="AR57" s="125"/>
      <c r="AS57" s="124">
        <v>816</v>
      </c>
      <c r="AT57" s="695"/>
      <c r="AU57" s="696"/>
      <c r="AV57" s="118"/>
      <c r="AW57" s="118"/>
      <c r="AX57" s="118">
        <v>12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595</v>
      </c>
      <c r="D76" s="914">
        <v>4268.9653302959669</v>
      </c>
      <c r="E76" s="915">
        <v>2208241.3382061473</v>
      </c>
      <c r="F76" s="916">
        <v>583</v>
      </c>
      <c r="G76" s="917">
        <v>570.35224473434255</v>
      </c>
      <c r="H76" s="918">
        <v>296803.41648976982</v>
      </c>
      <c r="I76" s="1109">
        <v>95</v>
      </c>
      <c r="J76" s="917">
        <v>158.37628411149953</v>
      </c>
      <c r="K76" s="918">
        <v>13421.184661227568</v>
      </c>
      <c r="L76" s="916">
        <v>73</v>
      </c>
      <c r="M76" s="917">
        <v>3936.5780458287281</v>
      </c>
      <c r="N76" s="918">
        <v>253619.69191766609</v>
      </c>
      <c r="O76" s="916">
        <v>0</v>
      </c>
      <c r="P76" s="917">
        <v>1527.9418817790604</v>
      </c>
      <c r="Q76" s="918">
        <v>0</v>
      </c>
      <c r="R76" s="919">
        <v>2772086</v>
      </c>
      <c r="S76" s="917">
        <v>203226</v>
      </c>
      <c r="T76" s="917">
        <v>-66403</v>
      </c>
      <c r="U76" s="920">
        <v>136823</v>
      </c>
      <c r="V76" s="919">
        <v>2908909</v>
      </c>
      <c r="W76" s="918">
        <v>-7272</v>
      </c>
      <c r="X76" s="919">
        <v>2901637</v>
      </c>
      <c r="Y76" s="918">
        <v>0</v>
      </c>
      <c r="Z76" s="919">
        <v>2901637</v>
      </c>
      <c r="AA76" s="917">
        <v>1911010</v>
      </c>
      <c r="AB76" s="917">
        <v>990627</v>
      </c>
      <c r="AC76" s="919">
        <v>247658</v>
      </c>
      <c r="AD76" s="921">
        <v>2901637</v>
      </c>
      <c r="AE76" s="917">
        <v>5688</v>
      </c>
      <c r="AF76" s="922">
        <v>3259476</v>
      </c>
      <c r="AG76" s="916">
        <v>53</v>
      </c>
      <c r="AH76" s="917">
        <v>298530</v>
      </c>
      <c r="AI76" s="916">
        <v>-27</v>
      </c>
      <c r="AJ76" s="917">
        <v>-67355</v>
      </c>
      <c r="AK76" s="920">
        <v>231175</v>
      </c>
      <c r="AL76" s="922">
        <v>3490651</v>
      </c>
      <c r="AM76" s="917">
        <v>-8727</v>
      </c>
      <c r="AN76" s="922">
        <v>3481924</v>
      </c>
      <c r="AO76" s="917">
        <v>0</v>
      </c>
      <c r="AP76" s="922">
        <v>3481924</v>
      </c>
      <c r="AQ76" s="917">
        <v>2247232</v>
      </c>
      <c r="AR76" s="917">
        <v>1234692</v>
      </c>
      <c r="AS76" s="922">
        <v>308673</v>
      </c>
      <c r="AT76" s="1176">
        <v>6383561</v>
      </c>
      <c r="AU76" s="1177">
        <v>556331</v>
      </c>
      <c r="AV76" s="917">
        <v>8727</v>
      </c>
      <c r="AW76" s="917">
        <v>8000</v>
      </c>
      <c r="AX76" s="917">
        <v>727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74539</v>
      </c>
      <c r="S77" s="860"/>
      <c r="T77" s="860"/>
      <c r="U77" s="860"/>
      <c r="V77" s="861">
        <v>74539</v>
      </c>
      <c r="W77" s="910">
        <v>-186</v>
      </c>
      <c r="X77" s="861">
        <v>74353</v>
      </c>
      <c r="Y77" s="860"/>
      <c r="Z77" s="861">
        <v>74353</v>
      </c>
      <c r="AA77" s="860">
        <v>47520</v>
      </c>
      <c r="AB77" s="860">
        <v>26833</v>
      </c>
      <c r="AC77" s="861">
        <v>6708</v>
      </c>
      <c r="AD77" s="912">
        <v>74353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74353</v>
      </c>
      <c r="AU77" s="1175">
        <v>6708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6136</v>
      </c>
      <c r="AA83" s="155">
        <v>4090</v>
      </c>
      <c r="AB83" s="709">
        <v>2046</v>
      </c>
      <c r="AC83" s="156">
        <v>512</v>
      </c>
      <c r="AD83" s="156">
        <v>6136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6136</v>
      </c>
      <c r="AU83" s="710">
        <v>512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595</v>
      </c>
      <c r="D84" s="914">
        <v>4268.9653302959669</v>
      </c>
      <c r="E84" s="915">
        <v>2208241.3382061473</v>
      </c>
      <c r="F84" s="916">
        <v>583</v>
      </c>
      <c r="G84" s="917">
        <v>570.35224473434255</v>
      </c>
      <c r="H84" s="918">
        <v>296803.41648976982</v>
      </c>
      <c r="I84" s="1109">
        <v>95</v>
      </c>
      <c r="J84" s="917">
        <v>158.37628411149953</v>
      </c>
      <c r="K84" s="918">
        <v>13421.184661227568</v>
      </c>
      <c r="L84" s="916">
        <v>73</v>
      </c>
      <c r="M84" s="917">
        <v>3936.5780458287281</v>
      </c>
      <c r="N84" s="918">
        <v>253619.69191766609</v>
      </c>
      <c r="O84" s="916">
        <v>0</v>
      </c>
      <c r="P84" s="917">
        <v>1527.9418817790604</v>
      </c>
      <c r="Q84" s="918">
        <v>0</v>
      </c>
      <c r="R84" s="919">
        <v>2846625</v>
      </c>
      <c r="S84" s="917">
        <v>203226</v>
      </c>
      <c r="T84" s="917">
        <v>-66403</v>
      </c>
      <c r="U84" s="920">
        <v>136823</v>
      </c>
      <c r="V84" s="919">
        <v>2983448</v>
      </c>
      <c r="W84" s="918">
        <v>-7458</v>
      </c>
      <c r="X84" s="919">
        <v>2975990</v>
      </c>
      <c r="Y84" s="918">
        <v>0</v>
      </c>
      <c r="Z84" s="919">
        <v>2982126</v>
      </c>
      <c r="AA84" s="917">
        <v>1962620</v>
      </c>
      <c r="AB84" s="917">
        <v>1019506</v>
      </c>
      <c r="AC84" s="919">
        <v>254878</v>
      </c>
      <c r="AD84" s="921">
        <v>2982126</v>
      </c>
      <c r="AE84" s="917">
        <v>5688</v>
      </c>
      <c r="AF84" s="922">
        <v>3259476</v>
      </c>
      <c r="AG84" s="916">
        <v>53</v>
      </c>
      <c r="AH84" s="917">
        <v>298530</v>
      </c>
      <c r="AI84" s="916">
        <v>-27</v>
      </c>
      <c r="AJ84" s="917">
        <v>-67355</v>
      </c>
      <c r="AK84" s="920">
        <v>231175</v>
      </c>
      <c r="AL84" s="922">
        <v>3490651</v>
      </c>
      <c r="AM84" s="917">
        <v>-8727</v>
      </c>
      <c r="AN84" s="922">
        <v>3481924</v>
      </c>
      <c r="AO84" s="917">
        <v>0</v>
      </c>
      <c r="AP84" s="922">
        <v>3481924</v>
      </c>
      <c r="AQ84" s="917">
        <v>2247232</v>
      </c>
      <c r="AR84" s="917">
        <v>1234692</v>
      </c>
      <c r="AS84" s="922">
        <v>308673</v>
      </c>
      <c r="AT84" s="702">
        <v>6464050</v>
      </c>
      <c r="AU84" s="702">
        <v>563551</v>
      </c>
      <c r="AV84" s="917">
        <v>8727</v>
      </c>
      <c r="AW84" s="917">
        <v>8000</v>
      </c>
      <c r="AX84" s="917">
        <v>727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4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458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202"/>
      <c r="B4" s="203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13312</v>
      </c>
      <c r="AM9" s="146"/>
      <c r="AN9" s="143"/>
      <c r="AO9" s="135">
        <v>0</v>
      </c>
      <c r="AP9" s="143"/>
      <c r="AQ9" s="144"/>
      <c r="AR9" s="144"/>
      <c r="AS9" s="143">
        <v>2213</v>
      </c>
      <c r="AT9" s="697"/>
      <c r="AU9" s="698"/>
      <c r="AV9" s="136"/>
      <c r="AW9" s="136"/>
      <c r="AX9" s="136">
        <v>33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2666191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5257697</v>
      </c>
      <c r="AM23" s="146"/>
      <c r="AN23" s="143"/>
      <c r="AO23" s="135">
        <v>0</v>
      </c>
      <c r="AP23" s="143"/>
      <c r="AQ23" s="144"/>
      <c r="AR23" s="144"/>
      <c r="AS23" s="143">
        <v>488500</v>
      </c>
      <c r="AT23" s="697"/>
      <c r="AU23" s="698"/>
      <c r="AV23" s="136"/>
      <c r="AW23" s="136"/>
      <c r="AX23" s="136">
        <v>1338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5101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-345</v>
      </c>
      <c r="AT25" s="697"/>
      <c r="AU25" s="698"/>
      <c r="AV25" s="136"/>
      <c r="AW25" s="136"/>
      <c r="AX25" s="136">
        <v>-10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33779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19943</v>
      </c>
      <c r="AM38" s="146"/>
      <c r="AN38" s="143"/>
      <c r="AO38" s="135">
        <v>0</v>
      </c>
      <c r="AP38" s="143"/>
      <c r="AQ38" s="144"/>
      <c r="AR38" s="144"/>
      <c r="AS38" s="143">
        <v>1965</v>
      </c>
      <c r="AT38" s="697"/>
      <c r="AU38" s="698"/>
      <c r="AV38" s="136"/>
      <c r="AW38" s="136"/>
      <c r="AX38" s="136">
        <v>17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12503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16567</v>
      </c>
      <c r="AM67" s="127"/>
      <c r="AN67" s="124"/>
      <c r="AO67" s="117">
        <v>0</v>
      </c>
      <c r="AP67" s="124"/>
      <c r="AQ67" s="125"/>
      <c r="AR67" s="125"/>
      <c r="AS67" s="124">
        <v>915</v>
      </c>
      <c r="AT67" s="695"/>
      <c r="AU67" s="696"/>
      <c r="AV67" s="118"/>
      <c r="AW67" s="118"/>
      <c r="AX67" s="118">
        <v>-1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10539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28210</v>
      </c>
      <c r="AM73" s="146"/>
      <c r="AN73" s="143"/>
      <c r="AO73" s="135">
        <v>0</v>
      </c>
      <c r="AP73" s="143"/>
      <c r="AQ73" s="144"/>
      <c r="AR73" s="144"/>
      <c r="AS73" s="143">
        <v>1339</v>
      </c>
      <c r="AT73" s="697"/>
      <c r="AU73" s="698"/>
      <c r="AV73" s="701"/>
      <c r="AW73" s="701"/>
      <c r="AX73" s="701">
        <v>41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160350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50112</v>
      </c>
      <c r="AM74" s="146"/>
      <c r="AN74" s="143"/>
      <c r="AO74" s="135">
        <v>0</v>
      </c>
      <c r="AP74" s="143"/>
      <c r="AQ74" s="144"/>
      <c r="AR74" s="144"/>
      <c r="AS74" s="143">
        <v>687</v>
      </c>
      <c r="AT74" s="697"/>
      <c r="AU74" s="698"/>
      <c r="AV74" s="701"/>
      <c r="AW74" s="701"/>
      <c r="AX74" s="701">
        <v>-49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37016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27783</v>
      </c>
      <c r="AM75" s="146"/>
      <c r="AN75" s="143"/>
      <c r="AO75" s="135">
        <v>0</v>
      </c>
      <c r="AP75" s="143"/>
      <c r="AQ75" s="144"/>
      <c r="AR75" s="144"/>
      <c r="AS75" s="143">
        <v>1423</v>
      </c>
      <c r="AT75" s="1172"/>
      <c r="AU75" s="1173"/>
      <c r="AV75" s="1174"/>
      <c r="AW75" s="1174"/>
      <c r="AX75" s="1174">
        <v>13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668</v>
      </c>
      <c r="D76" s="914">
        <v>4268.9653302959669</v>
      </c>
      <c r="E76" s="915">
        <v>2411644.925861856</v>
      </c>
      <c r="F76" s="916">
        <v>595</v>
      </c>
      <c r="G76" s="917">
        <v>570.35224473434255</v>
      </c>
      <c r="H76" s="918">
        <v>273044.63177616196</v>
      </c>
      <c r="I76" s="1109">
        <v>23</v>
      </c>
      <c r="J76" s="917">
        <v>158.37628411149953</v>
      </c>
      <c r="K76" s="918">
        <v>2866.050051139428</v>
      </c>
      <c r="L76" s="916">
        <v>74</v>
      </c>
      <c r="M76" s="917">
        <v>3936.5780458287281</v>
      </c>
      <c r="N76" s="918">
        <v>233532.91770734871</v>
      </c>
      <c r="O76" s="916">
        <v>3</v>
      </c>
      <c r="P76" s="917">
        <v>1527.9418817790604</v>
      </c>
      <c r="Q76" s="918">
        <v>4390.3807215399329</v>
      </c>
      <c r="R76" s="919">
        <v>2925479</v>
      </c>
      <c r="S76" s="917">
        <v>285604</v>
      </c>
      <c r="T76" s="917">
        <v>-61366</v>
      </c>
      <c r="U76" s="920">
        <v>224238</v>
      </c>
      <c r="V76" s="919">
        <v>3149717</v>
      </c>
      <c r="W76" s="918">
        <v>-7874</v>
      </c>
      <c r="X76" s="919">
        <v>3141843</v>
      </c>
      <c r="Y76" s="918">
        <v>0</v>
      </c>
      <c r="Z76" s="919">
        <v>3141843</v>
      </c>
      <c r="AA76" s="917">
        <v>2040404</v>
      </c>
      <c r="AB76" s="917">
        <v>1101439</v>
      </c>
      <c r="AC76" s="919">
        <v>275360</v>
      </c>
      <c r="AD76" s="921">
        <v>3141843</v>
      </c>
      <c r="AE76" s="917">
        <v>5688</v>
      </c>
      <c r="AF76" s="922">
        <v>5034981</v>
      </c>
      <c r="AG76" s="916">
        <v>52</v>
      </c>
      <c r="AH76" s="917">
        <v>364452</v>
      </c>
      <c r="AI76" s="916">
        <v>-10</v>
      </c>
      <c r="AJ76" s="917">
        <v>14191</v>
      </c>
      <c r="AK76" s="920">
        <v>378643</v>
      </c>
      <c r="AL76" s="922">
        <v>5413624</v>
      </c>
      <c r="AM76" s="917">
        <v>-13533</v>
      </c>
      <c r="AN76" s="922">
        <v>5400091</v>
      </c>
      <c r="AO76" s="917">
        <v>0</v>
      </c>
      <c r="AP76" s="922">
        <v>5400091</v>
      </c>
      <c r="AQ76" s="917">
        <v>3413306</v>
      </c>
      <c r="AR76" s="917">
        <v>1986785</v>
      </c>
      <c r="AS76" s="922">
        <v>496697</v>
      </c>
      <c r="AT76" s="1176">
        <v>8541934</v>
      </c>
      <c r="AU76" s="1177">
        <v>772057</v>
      </c>
      <c r="AV76" s="917">
        <v>13533</v>
      </c>
      <c r="AW76" s="917">
        <v>12151</v>
      </c>
      <c r="AX76" s="917">
        <v>1382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102621</v>
      </c>
      <c r="S77" s="860"/>
      <c r="T77" s="860"/>
      <c r="U77" s="860"/>
      <c r="V77" s="861">
        <v>102621</v>
      </c>
      <c r="W77" s="910">
        <v>-257</v>
      </c>
      <c r="X77" s="861">
        <v>102364</v>
      </c>
      <c r="Y77" s="860"/>
      <c r="Z77" s="861">
        <v>102364</v>
      </c>
      <c r="AA77" s="860">
        <v>66106</v>
      </c>
      <c r="AB77" s="860">
        <v>36258</v>
      </c>
      <c r="AC77" s="861">
        <v>9065</v>
      </c>
      <c r="AD77" s="912">
        <v>102364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102364</v>
      </c>
      <c r="AU77" s="1175">
        <v>9065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12291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3776</v>
      </c>
      <c r="AA83" s="155">
        <v>2518</v>
      </c>
      <c r="AB83" s="709">
        <v>1258</v>
      </c>
      <c r="AC83" s="156">
        <v>315</v>
      </c>
      <c r="AD83" s="156">
        <v>3776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3776</v>
      </c>
      <c r="AU83" s="710">
        <v>315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668</v>
      </c>
      <c r="D84" s="914">
        <v>4268.9653302959669</v>
      </c>
      <c r="E84" s="915">
        <v>2411644.925861856</v>
      </c>
      <c r="F84" s="916">
        <v>595</v>
      </c>
      <c r="G84" s="917">
        <v>570.35224473434255</v>
      </c>
      <c r="H84" s="918">
        <v>273044.63177616196</v>
      </c>
      <c r="I84" s="1109">
        <v>23</v>
      </c>
      <c r="J84" s="917">
        <v>158.37628411149953</v>
      </c>
      <c r="K84" s="918">
        <v>2866.050051139428</v>
      </c>
      <c r="L84" s="916">
        <v>74</v>
      </c>
      <c r="M84" s="917">
        <v>3936.5780458287281</v>
      </c>
      <c r="N84" s="918">
        <v>233532.91770734871</v>
      </c>
      <c r="O84" s="916">
        <v>3</v>
      </c>
      <c r="P84" s="917">
        <v>1527.9418817790604</v>
      </c>
      <c r="Q84" s="918">
        <v>4390.3807215399329</v>
      </c>
      <c r="R84" s="919">
        <v>3028100</v>
      </c>
      <c r="S84" s="917">
        <v>285604</v>
      </c>
      <c r="T84" s="917">
        <v>-61366</v>
      </c>
      <c r="U84" s="920">
        <v>224238</v>
      </c>
      <c r="V84" s="919">
        <v>3252338</v>
      </c>
      <c r="W84" s="918">
        <v>-8131</v>
      </c>
      <c r="X84" s="919">
        <v>3244207</v>
      </c>
      <c r="Y84" s="918">
        <v>0</v>
      </c>
      <c r="Z84" s="919">
        <v>3247983</v>
      </c>
      <c r="AA84" s="917">
        <v>2109028</v>
      </c>
      <c r="AB84" s="917">
        <v>1138955</v>
      </c>
      <c r="AC84" s="919">
        <v>284740</v>
      </c>
      <c r="AD84" s="921">
        <v>3260274</v>
      </c>
      <c r="AE84" s="917">
        <v>5688</v>
      </c>
      <c r="AF84" s="922">
        <v>5034981</v>
      </c>
      <c r="AG84" s="916">
        <v>52</v>
      </c>
      <c r="AH84" s="917">
        <v>364452</v>
      </c>
      <c r="AI84" s="916">
        <v>-10</v>
      </c>
      <c r="AJ84" s="917">
        <v>14191</v>
      </c>
      <c r="AK84" s="920">
        <v>378643</v>
      </c>
      <c r="AL84" s="922">
        <v>5413624</v>
      </c>
      <c r="AM84" s="917">
        <v>-13533</v>
      </c>
      <c r="AN84" s="922">
        <v>5400091</v>
      </c>
      <c r="AO84" s="917">
        <v>0</v>
      </c>
      <c r="AP84" s="922">
        <v>5400091</v>
      </c>
      <c r="AQ84" s="917">
        <v>3413306</v>
      </c>
      <c r="AR84" s="917">
        <v>1986785</v>
      </c>
      <c r="AS84" s="922">
        <v>496697</v>
      </c>
      <c r="AT84" s="702">
        <v>8648074</v>
      </c>
      <c r="AU84" s="702">
        <v>781437</v>
      </c>
      <c r="AV84" s="917">
        <v>13533</v>
      </c>
      <c r="AW84" s="917">
        <v>12151</v>
      </c>
      <c r="AX84" s="917">
        <v>1382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6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1026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6.149999999999999" customHeight="1" x14ac:dyDescent="0.2">
      <c r="A4" s="202"/>
      <c r="B4" s="203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164995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354722</v>
      </c>
      <c r="AM13" s="146"/>
      <c r="AN13" s="143"/>
      <c r="AO13" s="135">
        <v>0</v>
      </c>
      <c r="AP13" s="143"/>
      <c r="AQ13" s="144"/>
      <c r="AR13" s="144"/>
      <c r="AS13" s="143">
        <v>23160</v>
      </c>
      <c r="AT13" s="697"/>
      <c r="AU13" s="698"/>
      <c r="AV13" s="136"/>
      <c r="AW13" s="136"/>
      <c r="AX13" s="136">
        <v>-149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353515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215321</v>
      </c>
      <c r="AM20" s="146"/>
      <c r="AN20" s="143"/>
      <c r="AO20" s="135">
        <v>0</v>
      </c>
      <c r="AP20" s="143"/>
      <c r="AQ20" s="144"/>
      <c r="AR20" s="144"/>
      <c r="AS20" s="143">
        <v>17128</v>
      </c>
      <c r="AT20" s="697"/>
      <c r="AU20" s="698"/>
      <c r="AV20" s="136"/>
      <c r="AW20" s="136"/>
      <c r="AX20" s="136">
        <v>52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123947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104254</v>
      </c>
      <c r="AM31" s="161"/>
      <c r="AN31" s="158"/>
      <c r="AO31" s="149">
        <v>0</v>
      </c>
      <c r="AP31" s="158"/>
      <c r="AQ31" s="159"/>
      <c r="AR31" s="159"/>
      <c r="AS31" s="158">
        <v>11243</v>
      </c>
      <c r="AT31" s="699"/>
      <c r="AU31" s="700"/>
      <c r="AV31" s="150"/>
      <c r="AW31" s="150"/>
      <c r="AX31" s="150">
        <v>41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1754763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2541013</v>
      </c>
      <c r="AM37" s="127"/>
      <c r="AN37" s="124"/>
      <c r="AO37" s="117">
        <v>0</v>
      </c>
      <c r="AP37" s="124"/>
      <c r="AQ37" s="125"/>
      <c r="AR37" s="125"/>
      <c r="AS37" s="124">
        <v>221326</v>
      </c>
      <c r="AT37" s="695"/>
      <c r="AU37" s="696"/>
      <c r="AV37" s="118"/>
      <c r="AW37" s="118"/>
      <c r="AX37" s="118">
        <v>1307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69124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51816</v>
      </c>
      <c r="AM43" s="146"/>
      <c r="AN43" s="143"/>
      <c r="AO43" s="135">
        <v>0</v>
      </c>
      <c r="AP43" s="143"/>
      <c r="AQ43" s="144"/>
      <c r="AR43" s="144"/>
      <c r="AS43" s="143">
        <v>3804</v>
      </c>
      <c r="AT43" s="697"/>
      <c r="AU43" s="698"/>
      <c r="AV43" s="136"/>
      <c r="AW43" s="136"/>
      <c r="AX43" s="136">
        <v>37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176250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194598</v>
      </c>
      <c r="AM62" s="127"/>
      <c r="AN62" s="124"/>
      <c r="AO62" s="117">
        <v>0</v>
      </c>
      <c r="AP62" s="124"/>
      <c r="AQ62" s="125"/>
      <c r="AR62" s="125"/>
      <c r="AS62" s="124">
        <v>17392</v>
      </c>
      <c r="AT62" s="695"/>
      <c r="AU62" s="696"/>
      <c r="AV62" s="118"/>
      <c r="AW62" s="118"/>
      <c r="AX62" s="118">
        <v>226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11210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4762</v>
      </c>
      <c r="AM66" s="161"/>
      <c r="AN66" s="158"/>
      <c r="AO66" s="149">
        <v>0</v>
      </c>
      <c r="AP66" s="158"/>
      <c r="AQ66" s="159"/>
      <c r="AR66" s="159"/>
      <c r="AS66" s="158">
        <v>88</v>
      </c>
      <c r="AT66" s="699"/>
      <c r="AU66" s="700"/>
      <c r="AV66" s="150"/>
      <c r="AW66" s="150"/>
      <c r="AX66" s="150">
        <v>-9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5974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3347</v>
      </c>
      <c r="AM70" s="146"/>
      <c r="AN70" s="143"/>
      <c r="AO70" s="135">
        <v>0</v>
      </c>
      <c r="AP70" s="143"/>
      <c r="AQ70" s="144"/>
      <c r="AR70" s="144"/>
      <c r="AS70" s="143">
        <v>256</v>
      </c>
      <c r="AT70" s="697"/>
      <c r="AU70" s="698"/>
      <c r="AV70" s="136"/>
      <c r="AW70" s="136"/>
      <c r="AX70" s="136">
        <v>-1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475</v>
      </c>
      <c r="D76" s="914">
        <v>4268.9653302959669</v>
      </c>
      <c r="E76" s="915">
        <v>2010402.2592514674</v>
      </c>
      <c r="F76" s="916">
        <v>475</v>
      </c>
      <c r="G76" s="917">
        <v>570.35224473434255</v>
      </c>
      <c r="H76" s="918">
        <v>270516.03780582472</v>
      </c>
      <c r="I76" s="1109">
        <v>166</v>
      </c>
      <c r="J76" s="917">
        <v>158.37628411149953</v>
      </c>
      <c r="K76" s="918">
        <v>25627.953451303682</v>
      </c>
      <c r="L76" s="916">
        <v>89</v>
      </c>
      <c r="M76" s="917">
        <v>3936.5780458287281</v>
      </c>
      <c r="N76" s="918">
        <v>341986.53971402632</v>
      </c>
      <c r="O76" s="916">
        <v>7</v>
      </c>
      <c r="P76" s="917">
        <v>1527.9418817790604</v>
      </c>
      <c r="Q76" s="918">
        <v>11244.386558069871</v>
      </c>
      <c r="R76" s="919">
        <v>2659778</v>
      </c>
      <c r="S76" s="917">
        <v>534249</v>
      </c>
      <c r="T76" s="917">
        <v>-3737</v>
      </c>
      <c r="U76" s="920">
        <v>530512</v>
      </c>
      <c r="V76" s="919">
        <v>3190290</v>
      </c>
      <c r="W76" s="918">
        <v>-7976</v>
      </c>
      <c r="X76" s="919">
        <v>3182314</v>
      </c>
      <c r="Y76" s="918">
        <v>0</v>
      </c>
      <c r="Z76" s="919">
        <v>3182314</v>
      </c>
      <c r="AA76" s="917">
        <v>2126830</v>
      </c>
      <c r="AB76" s="917">
        <v>1055484</v>
      </c>
      <c r="AC76" s="919">
        <v>263872</v>
      </c>
      <c r="AD76" s="921">
        <v>3182314</v>
      </c>
      <c r="AE76" s="917">
        <v>5688</v>
      </c>
      <c r="AF76" s="922">
        <v>2989347</v>
      </c>
      <c r="AG76" s="916">
        <v>97</v>
      </c>
      <c r="AH76" s="917">
        <v>487888</v>
      </c>
      <c r="AI76" s="916">
        <v>-3</v>
      </c>
      <c r="AJ76" s="917">
        <v>-7402</v>
      </c>
      <c r="AK76" s="920">
        <v>480486</v>
      </c>
      <c r="AL76" s="922">
        <v>3469833</v>
      </c>
      <c r="AM76" s="917">
        <v>-8675</v>
      </c>
      <c r="AN76" s="922">
        <v>3461158</v>
      </c>
      <c r="AO76" s="917">
        <v>0</v>
      </c>
      <c r="AP76" s="922">
        <v>3461158</v>
      </c>
      <c r="AQ76" s="917">
        <v>2283575</v>
      </c>
      <c r="AR76" s="917">
        <v>1177583</v>
      </c>
      <c r="AS76" s="922">
        <v>294397</v>
      </c>
      <c r="AT76" s="1176">
        <v>6643472</v>
      </c>
      <c r="AU76" s="1177">
        <v>558269</v>
      </c>
      <c r="AV76" s="917">
        <v>8675</v>
      </c>
      <c r="AW76" s="917">
        <v>7171</v>
      </c>
      <c r="AX76" s="917">
        <v>1504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82521</v>
      </c>
      <c r="S77" s="860"/>
      <c r="T77" s="860"/>
      <c r="U77" s="860"/>
      <c r="V77" s="861">
        <v>82521</v>
      </c>
      <c r="W77" s="910">
        <v>-206</v>
      </c>
      <c r="X77" s="861">
        <v>82315</v>
      </c>
      <c r="Y77" s="860"/>
      <c r="Z77" s="861">
        <v>82315</v>
      </c>
      <c r="AA77" s="860">
        <v>52722</v>
      </c>
      <c r="AB77" s="860">
        <v>29593</v>
      </c>
      <c r="AC77" s="861">
        <v>7398</v>
      </c>
      <c r="AD77" s="912">
        <v>82315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82315</v>
      </c>
      <c r="AU77" s="1175">
        <v>7398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14101</v>
      </c>
      <c r="AA83" s="155">
        <v>9400</v>
      </c>
      <c r="AB83" s="709">
        <v>4701</v>
      </c>
      <c r="AC83" s="156">
        <v>1175</v>
      </c>
      <c r="AD83" s="156">
        <v>14101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14101</v>
      </c>
      <c r="AU83" s="710">
        <v>1175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475</v>
      </c>
      <c r="D84" s="914">
        <v>4268.9653302959669</v>
      </c>
      <c r="E84" s="915">
        <v>2010402.2592514674</v>
      </c>
      <c r="F84" s="916">
        <v>475</v>
      </c>
      <c r="G84" s="917">
        <v>570.35224473434255</v>
      </c>
      <c r="H84" s="918">
        <v>270516.03780582472</v>
      </c>
      <c r="I84" s="1109">
        <v>166</v>
      </c>
      <c r="J84" s="917">
        <v>158.37628411149953</v>
      </c>
      <c r="K84" s="918">
        <v>25627.953451303682</v>
      </c>
      <c r="L84" s="916">
        <v>89</v>
      </c>
      <c r="M84" s="917">
        <v>3936.5780458287281</v>
      </c>
      <c r="N84" s="918">
        <v>341986.53971402632</v>
      </c>
      <c r="O84" s="916">
        <v>7</v>
      </c>
      <c r="P84" s="917">
        <v>1527.9418817790604</v>
      </c>
      <c r="Q84" s="918">
        <v>11244.386558069871</v>
      </c>
      <c r="R84" s="919">
        <v>2742299</v>
      </c>
      <c r="S84" s="917">
        <v>534249</v>
      </c>
      <c r="T84" s="917">
        <v>-3737</v>
      </c>
      <c r="U84" s="920">
        <v>530512</v>
      </c>
      <c r="V84" s="919">
        <v>3272811</v>
      </c>
      <c r="W84" s="918">
        <v>-8182</v>
      </c>
      <c r="X84" s="919">
        <v>3264629</v>
      </c>
      <c r="Y84" s="918">
        <v>0</v>
      </c>
      <c r="Z84" s="919">
        <v>3278730</v>
      </c>
      <c r="AA84" s="917">
        <v>2188952</v>
      </c>
      <c r="AB84" s="917">
        <v>1089778</v>
      </c>
      <c r="AC84" s="919">
        <v>272445</v>
      </c>
      <c r="AD84" s="921">
        <v>3288730</v>
      </c>
      <c r="AE84" s="917">
        <v>5688</v>
      </c>
      <c r="AF84" s="922">
        <v>2989347</v>
      </c>
      <c r="AG84" s="916">
        <v>97</v>
      </c>
      <c r="AH84" s="917">
        <v>487888</v>
      </c>
      <c r="AI84" s="916">
        <v>-3</v>
      </c>
      <c r="AJ84" s="917">
        <v>-7402</v>
      </c>
      <c r="AK84" s="920">
        <v>480486</v>
      </c>
      <c r="AL84" s="922">
        <v>3469833</v>
      </c>
      <c r="AM84" s="917">
        <v>-8675</v>
      </c>
      <c r="AN84" s="922">
        <v>3461158</v>
      </c>
      <c r="AO84" s="917">
        <v>0</v>
      </c>
      <c r="AP84" s="922">
        <v>3461158</v>
      </c>
      <c r="AQ84" s="917">
        <v>2283575</v>
      </c>
      <c r="AR84" s="917">
        <v>1177583</v>
      </c>
      <c r="AS84" s="922">
        <v>294397</v>
      </c>
      <c r="AT84" s="702">
        <v>6739888</v>
      </c>
      <c r="AU84" s="702">
        <v>566842</v>
      </c>
      <c r="AV84" s="917">
        <v>8675</v>
      </c>
      <c r="AW84" s="917">
        <v>7171</v>
      </c>
      <c r="AX84" s="917">
        <v>1504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  <mergeCell ref="AV1:AX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840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4.25" customHeight="1" x14ac:dyDescent="0.2">
      <c r="A4" s="202"/>
      <c r="B4" s="203"/>
      <c r="C4" s="201">
        <v>1</v>
      </c>
      <c r="D4" s="201">
        <v>2</v>
      </c>
      <c r="E4" s="201">
        <v>3</v>
      </c>
      <c r="F4" s="201">
        <v>4</v>
      </c>
      <c r="G4" s="201">
        <v>5</v>
      </c>
      <c r="H4" s="201">
        <v>6</v>
      </c>
      <c r="I4" s="201">
        <v>7</v>
      </c>
      <c r="J4" s="201">
        <v>8</v>
      </c>
      <c r="K4" s="201">
        <v>9</v>
      </c>
      <c r="L4" s="201">
        <v>10</v>
      </c>
      <c r="M4" s="201">
        <v>11</v>
      </c>
      <c r="N4" s="201">
        <v>12</v>
      </c>
      <c r="O4" s="201">
        <v>13</v>
      </c>
      <c r="P4" s="201">
        <v>14</v>
      </c>
      <c r="Q4" s="201">
        <v>15</v>
      </c>
      <c r="R4" s="201">
        <v>16</v>
      </c>
      <c r="S4" s="201">
        <v>17</v>
      </c>
      <c r="T4" s="201">
        <v>18</v>
      </c>
      <c r="U4" s="201">
        <v>19</v>
      </c>
      <c r="V4" s="201">
        <v>20</v>
      </c>
      <c r="W4" s="201">
        <v>21</v>
      </c>
      <c r="X4" s="201">
        <v>22</v>
      </c>
      <c r="Y4" s="201">
        <v>23</v>
      </c>
      <c r="Z4" s="201">
        <v>24</v>
      </c>
      <c r="AA4" s="201">
        <v>25</v>
      </c>
      <c r="AB4" s="201">
        <v>26</v>
      </c>
      <c r="AC4" s="201">
        <v>27</v>
      </c>
      <c r="AD4" s="201">
        <v>28</v>
      </c>
      <c r="AE4" s="201">
        <v>29</v>
      </c>
      <c r="AF4" s="201">
        <v>30</v>
      </c>
      <c r="AG4" s="201">
        <v>31</v>
      </c>
      <c r="AH4" s="201">
        <v>32</v>
      </c>
      <c r="AI4" s="201">
        <v>33</v>
      </c>
      <c r="AJ4" s="201">
        <v>34</v>
      </c>
      <c r="AK4" s="201">
        <v>35</v>
      </c>
      <c r="AL4" s="201">
        <v>36</v>
      </c>
      <c r="AM4" s="201">
        <v>37</v>
      </c>
      <c r="AN4" s="201">
        <v>38</v>
      </c>
      <c r="AO4" s="201">
        <v>39</v>
      </c>
      <c r="AP4" s="201">
        <v>40</v>
      </c>
      <c r="AQ4" s="201">
        <v>41</v>
      </c>
      <c r="AR4" s="201">
        <v>42</v>
      </c>
      <c r="AS4" s="201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58202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51425</v>
      </c>
      <c r="AM32" s="127"/>
      <c r="AN32" s="124"/>
      <c r="AO32" s="117">
        <v>0</v>
      </c>
      <c r="AP32" s="124"/>
      <c r="AQ32" s="125"/>
      <c r="AR32" s="125"/>
      <c r="AS32" s="124">
        <v>3563</v>
      </c>
      <c r="AT32" s="695"/>
      <c r="AU32" s="696"/>
      <c r="AV32" s="118"/>
      <c r="AW32" s="118"/>
      <c r="AX32" s="118">
        <v>-13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365809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653004</v>
      </c>
      <c r="AM42" s="127"/>
      <c r="AN42" s="124"/>
      <c r="AO42" s="117">
        <v>-6407</v>
      </c>
      <c r="AP42" s="124"/>
      <c r="AQ42" s="125"/>
      <c r="AR42" s="125"/>
      <c r="AS42" s="124">
        <v>61155</v>
      </c>
      <c r="AT42" s="695"/>
      <c r="AU42" s="696"/>
      <c r="AV42" s="118"/>
      <c r="AW42" s="118"/>
      <c r="AX42" s="118">
        <v>277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5503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4266</v>
      </c>
      <c r="AM50" s="146"/>
      <c r="AN50" s="143"/>
      <c r="AO50" s="135">
        <v>0</v>
      </c>
      <c r="AP50" s="143"/>
      <c r="AQ50" s="144"/>
      <c r="AR50" s="144"/>
      <c r="AS50" s="143">
        <v>372</v>
      </c>
      <c r="AT50" s="697"/>
      <c r="AU50" s="698"/>
      <c r="AV50" s="136"/>
      <c r="AW50" s="136"/>
      <c r="AX50" s="136">
        <v>1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2834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15010</v>
      </c>
      <c r="AM51" s="161"/>
      <c r="AN51" s="158"/>
      <c r="AO51" s="149">
        <v>0</v>
      </c>
      <c r="AP51" s="158"/>
      <c r="AQ51" s="159"/>
      <c r="AR51" s="159"/>
      <c r="AS51" s="158">
        <v>1243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8769</v>
      </c>
      <c r="AM54" s="146"/>
      <c r="AN54" s="143"/>
      <c r="AO54" s="135">
        <v>0</v>
      </c>
      <c r="AP54" s="143"/>
      <c r="AQ54" s="144"/>
      <c r="AR54" s="144"/>
      <c r="AS54" s="143">
        <v>1631</v>
      </c>
      <c r="AT54" s="697"/>
      <c r="AU54" s="698"/>
      <c r="AV54" s="136"/>
      <c r="AW54" s="136"/>
      <c r="AX54" s="136">
        <v>22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5484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-219</v>
      </c>
      <c r="AT59" s="697"/>
      <c r="AU59" s="698"/>
      <c r="AV59" s="136"/>
      <c r="AW59" s="136"/>
      <c r="AX59" s="136">
        <v>-7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97</v>
      </c>
      <c r="D76" s="914">
        <v>4268.9653302959669</v>
      </c>
      <c r="E76" s="915">
        <v>332739.49733541376</v>
      </c>
      <c r="F76" s="916">
        <v>97</v>
      </c>
      <c r="G76" s="917">
        <v>570.35224473434255</v>
      </c>
      <c r="H76" s="918">
        <v>45074.782028171212</v>
      </c>
      <c r="I76" s="1109">
        <v>0</v>
      </c>
      <c r="J76" s="917">
        <v>158.37628411149953</v>
      </c>
      <c r="K76" s="918">
        <v>0</v>
      </c>
      <c r="L76" s="916">
        <v>19</v>
      </c>
      <c r="M76" s="917">
        <v>3936.5780458287281</v>
      </c>
      <c r="N76" s="918">
        <v>60017.639434621044</v>
      </c>
      <c r="O76" s="916">
        <v>0</v>
      </c>
      <c r="P76" s="917">
        <v>1527.9418817790604</v>
      </c>
      <c r="Q76" s="918">
        <v>0</v>
      </c>
      <c r="R76" s="919">
        <v>437832</v>
      </c>
      <c r="S76" s="917">
        <v>75880</v>
      </c>
      <c r="T76" s="917">
        <v>-17026</v>
      </c>
      <c r="U76" s="920">
        <v>58854</v>
      </c>
      <c r="V76" s="919">
        <v>496686</v>
      </c>
      <c r="W76" s="918">
        <v>-1242</v>
      </c>
      <c r="X76" s="919">
        <v>495444</v>
      </c>
      <c r="Y76" s="918">
        <v>-5439</v>
      </c>
      <c r="Z76" s="919">
        <v>490005</v>
      </c>
      <c r="AA76" s="917">
        <v>312764</v>
      </c>
      <c r="AB76" s="917">
        <v>177241</v>
      </c>
      <c r="AC76" s="919">
        <v>44310</v>
      </c>
      <c r="AD76" s="921">
        <v>490005</v>
      </c>
      <c r="AE76" s="917">
        <v>5688</v>
      </c>
      <c r="AF76" s="922">
        <v>636146</v>
      </c>
      <c r="AG76" s="916">
        <v>17</v>
      </c>
      <c r="AH76" s="917">
        <v>119141</v>
      </c>
      <c r="AI76" s="916">
        <v>-7</v>
      </c>
      <c r="AJ76" s="917">
        <v>-22813</v>
      </c>
      <c r="AK76" s="920">
        <v>96328</v>
      </c>
      <c r="AL76" s="922">
        <v>732474</v>
      </c>
      <c r="AM76" s="917">
        <v>-1833</v>
      </c>
      <c r="AN76" s="922">
        <v>730641</v>
      </c>
      <c r="AO76" s="917">
        <v>-6407</v>
      </c>
      <c r="AP76" s="922">
        <v>724234</v>
      </c>
      <c r="AQ76" s="917">
        <v>453258</v>
      </c>
      <c r="AR76" s="917">
        <v>270976</v>
      </c>
      <c r="AS76" s="922">
        <v>67745</v>
      </c>
      <c r="AT76" s="1176">
        <v>1214239</v>
      </c>
      <c r="AU76" s="1177">
        <v>112055</v>
      </c>
      <c r="AV76" s="917">
        <v>1833</v>
      </c>
      <c r="AW76" s="917">
        <v>1553</v>
      </c>
      <c r="AX76" s="917">
        <v>280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15869</v>
      </c>
      <c r="S77" s="860"/>
      <c r="T77" s="860"/>
      <c r="U77" s="860"/>
      <c r="V77" s="861">
        <v>15869</v>
      </c>
      <c r="W77" s="910">
        <v>-40</v>
      </c>
      <c r="X77" s="861">
        <v>15829</v>
      </c>
      <c r="Y77" s="860"/>
      <c r="Z77" s="861">
        <v>15829</v>
      </c>
      <c r="AA77" s="860">
        <v>8980</v>
      </c>
      <c r="AB77" s="860">
        <v>6849</v>
      </c>
      <c r="AC77" s="861">
        <v>1712</v>
      </c>
      <c r="AD77" s="912">
        <v>15829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15829</v>
      </c>
      <c r="AU77" s="1175">
        <v>1712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20808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0</v>
      </c>
      <c r="AA83" s="155">
        <v>0</v>
      </c>
      <c r="AB83" s="709">
        <v>0</v>
      </c>
      <c r="AC83" s="156">
        <v>0</v>
      </c>
      <c r="AD83" s="156">
        <v>0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0</v>
      </c>
      <c r="AU83" s="710">
        <v>0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97</v>
      </c>
      <c r="D84" s="914">
        <v>4268.9653302959669</v>
      </c>
      <c r="E84" s="915">
        <v>332739.49733541376</v>
      </c>
      <c r="F84" s="916">
        <v>97</v>
      </c>
      <c r="G84" s="917">
        <v>570.35224473434255</v>
      </c>
      <c r="H84" s="918">
        <v>45074.782028171212</v>
      </c>
      <c r="I84" s="1109">
        <v>0</v>
      </c>
      <c r="J84" s="917">
        <v>158.37628411149953</v>
      </c>
      <c r="K84" s="918">
        <v>0</v>
      </c>
      <c r="L84" s="916">
        <v>19</v>
      </c>
      <c r="M84" s="917">
        <v>3936.5780458287281</v>
      </c>
      <c r="N84" s="918">
        <v>60017.639434621044</v>
      </c>
      <c r="O84" s="916">
        <v>0</v>
      </c>
      <c r="P84" s="917">
        <v>1527.9418817790604</v>
      </c>
      <c r="Q84" s="918">
        <v>0</v>
      </c>
      <c r="R84" s="919">
        <v>453701</v>
      </c>
      <c r="S84" s="917">
        <v>75880</v>
      </c>
      <c r="T84" s="917">
        <v>-17026</v>
      </c>
      <c r="U84" s="920">
        <v>58854</v>
      </c>
      <c r="V84" s="919">
        <v>512555</v>
      </c>
      <c r="W84" s="918">
        <v>-1282</v>
      </c>
      <c r="X84" s="919">
        <v>511273</v>
      </c>
      <c r="Y84" s="918">
        <v>-5439</v>
      </c>
      <c r="Z84" s="919">
        <v>505834</v>
      </c>
      <c r="AA84" s="917">
        <v>321744</v>
      </c>
      <c r="AB84" s="917">
        <v>184090</v>
      </c>
      <c r="AC84" s="919">
        <v>46022</v>
      </c>
      <c r="AD84" s="921">
        <v>526642</v>
      </c>
      <c r="AE84" s="917">
        <v>5688</v>
      </c>
      <c r="AF84" s="922">
        <v>636146</v>
      </c>
      <c r="AG84" s="916">
        <v>17</v>
      </c>
      <c r="AH84" s="917">
        <v>119141</v>
      </c>
      <c r="AI84" s="916">
        <v>-7</v>
      </c>
      <c r="AJ84" s="917">
        <v>-22813</v>
      </c>
      <c r="AK84" s="920">
        <v>96328</v>
      </c>
      <c r="AL84" s="922">
        <v>732474</v>
      </c>
      <c r="AM84" s="917">
        <v>-1833</v>
      </c>
      <c r="AN84" s="922">
        <v>730641</v>
      </c>
      <c r="AO84" s="917">
        <v>-6407</v>
      </c>
      <c r="AP84" s="922">
        <v>724234</v>
      </c>
      <c r="AQ84" s="917">
        <v>453258</v>
      </c>
      <c r="AR84" s="917">
        <v>270976</v>
      </c>
      <c r="AS84" s="922">
        <v>67745</v>
      </c>
      <c r="AT84" s="702">
        <v>1230068</v>
      </c>
      <c r="AU84" s="702">
        <v>113767</v>
      </c>
      <c r="AV84" s="917">
        <v>1833</v>
      </c>
      <c r="AW84" s="917">
        <v>1553</v>
      </c>
      <c r="AX84" s="917">
        <v>280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C89" s="19"/>
      <c r="D89" s="9"/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C90" s="19"/>
      <c r="D90" s="9"/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C91" s="19"/>
      <c r="D91" s="9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V1:AX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84:B84"/>
    <mergeCell ref="A79:B79"/>
    <mergeCell ref="A80:B80"/>
    <mergeCell ref="A81:B81"/>
    <mergeCell ref="A82:B82"/>
    <mergeCell ref="A83:B83"/>
    <mergeCell ref="AP2:AP3"/>
    <mergeCell ref="A77:B77"/>
    <mergeCell ref="AV2:AV3"/>
    <mergeCell ref="AW2:AW3"/>
    <mergeCell ref="AX2:AX3"/>
    <mergeCell ref="AS2:AS3"/>
    <mergeCell ref="A76:B76"/>
    <mergeCell ref="AN2:AN3"/>
    <mergeCell ref="AO2:AO3"/>
    <mergeCell ref="S2:U2"/>
    <mergeCell ref="V2:V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841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4.25" customHeight="1" x14ac:dyDescent="0.2">
      <c r="A4" s="202"/>
      <c r="B4" s="203"/>
      <c r="C4" s="201">
        <v>1</v>
      </c>
      <c r="D4" s="201">
        <v>2</v>
      </c>
      <c r="E4" s="201">
        <v>3</v>
      </c>
      <c r="F4" s="201">
        <v>4</v>
      </c>
      <c r="G4" s="201">
        <v>5</v>
      </c>
      <c r="H4" s="201">
        <v>6</v>
      </c>
      <c r="I4" s="201">
        <v>7</v>
      </c>
      <c r="J4" s="201">
        <v>8</v>
      </c>
      <c r="K4" s="201">
        <v>9</v>
      </c>
      <c r="L4" s="201">
        <v>10</v>
      </c>
      <c r="M4" s="201">
        <v>11</v>
      </c>
      <c r="N4" s="201">
        <v>12</v>
      </c>
      <c r="O4" s="201">
        <v>13</v>
      </c>
      <c r="P4" s="201">
        <v>14</v>
      </c>
      <c r="Q4" s="201">
        <v>15</v>
      </c>
      <c r="R4" s="201">
        <v>16</v>
      </c>
      <c r="S4" s="201">
        <v>17</v>
      </c>
      <c r="T4" s="201">
        <v>18</v>
      </c>
      <c r="U4" s="201">
        <v>19</v>
      </c>
      <c r="V4" s="201">
        <v>20</v>
      </c>
      <c r="W4" s="201">
        <v>21</v>
      </c>
      <c r="X4" s="201">
        <v>22</v>
      </c>
      <c r="Y4" s="201">
        <v>23</v>
      </c>
      <c r="Z4" s="201">
        <v>24</v>
      </c>
      <c r="AA4" s="201">
        <v>25</v>
      </c>
      <c r="AB4" s="201">
        <v>26</v>
      </c>
      <c r="AC4" s="201">
        <v>27</v>
      </c>
      <c r="AD4" s="201">
        <v>28</v>
      </c>
      <c r="AE4" s="201">
        <v>29</v>
      </c>
      <c r="AF4" s="201">
        <v>30</v>
      </c>
      <c r="AG4" s="201">
        <v>31</v>
      </c>
      <c r="AH4" s="201">
        <v>32</v>
      </c>
      <c r="AI4" s="201">
        <v>33</v>
      </c>
      <c r="AJ4" s="201">
        <v>34</v>
      </c>
      <c r="AK4" s="201">
        <v>35</v>
      </c>
      <c r="AL4" s="201">
        <v>36</v>
      </c>
      <c r="AM4" s="201">
        <v>37</v>
      </c>
      <c r="AN4" s="201">
        <v>38</v>
      </c>
      <c r="AO4" s="201">
        <v>39</v>
      </c>
      <c r="AP4" s="201">
        <v>40</v>
      </c>
      <c r="AQ4" s="201">
        <v>41</v>
      </c>
      <c r="AR4" s="201">
        <v>42</v>
      </c>
      <c r="AS4" s="201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15470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5248</v>
      </c>
      <c r="AM7" s="127"/>
      <c r="AN7" s="124"/>
      <c r="AO7" s="117">
        <v>0</v>
      </c>
      <c r="AP7" s="124"/>
      <c r="AQ7" s="125"/>
      <c r="AR7" s="125"/>
      <c r="AS7" s="124">
        <v>452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9375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11562</v>
      </c>
      <c r="AM29" s="146"/>
      <c r="AN29" s="143"/>
      <c r="AO29" s="135">
        <v>0</v>
      </c>
      <c r="AP29" s="143"/>
      <c r="AQ29" s="144"/>
      <c r="AR29" s="144"/>
      <c r="AS29" s="143">
        <v>1624</v>
      </c>
      <c r="AT29" s="697"/>
      <c r="AU29" s="698"/>
      <c r="AV29" s="136"/>
      <c r="AW29" s="136"/>
      <c r="AX29" s="136">
        <v>20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5963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-298</v>
      </c>
      <c r="AT33" s="697"/>
      <c r="AU33" s="698"/>
      <c r="AV33" s="136"/>
      <c r="AW33" s="136"/>
      <c r="AX33" s="136">
        <v>-9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278417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330832</v>
      </c>
      <c r="AM34" s="146"/>
      <c r="AN34" s="143"/>
      <c r="AO34" s="135">
        <v>0</v>
      </c>
      <c r="AP34" s="143"/>
      <c r="AQ34" s="144"/>
      <c r="AR34" s="144"/>
      <c r="AS34" s="143">
        <v>27482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5255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1480</v>
      </c>
      <c r="AM55" s="146"/>
      <c r="AN55" s="143"/>
      <c r="AO55" s="135">
        <v>0</v>
      </c>
      <c r="AP55" s="143"/>
      <c r="AQ55" s="144"/>
      <c r="AR55" s="144"/>
      <c r="AS55" s="143">
        <v>-103</v>
      </c>
      <c r="AT55" s="697"/>
      <c r="AU55" s="698"/>
      <c r="AV55" s="136"/>
      <c r="AW55" s="136"/>
      <c r="AX55" s="136">
        <v>-3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5287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9633</v>
      </c>
      <c r="AM56" s="161"/>
      <c r="AN56" s="158"/>
      <c r="AO56" s="149">
        <v>0</v>
      </c>
      <c r="AP56" s="158"/>
      <c r="AQ56" s="159"/>
      <c r="AR56" s="159"/>
      <c r="AS56" s="158">
        <v>1445</v>
      </c>
      <c r="AT56" s="699"/>
      <c r="AU56" s="700"/>
      <c r="AV56" s="150"/>
      <c r="AW56" s="150"/>
      <c r="AX56" s="150">
        <v>14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2649</v>
      </c>
      <c r="AM63" s="146"/>
      <c r="AN63" s="143"/>
      <c r="AO63" s="135">
        <v>0</v>
      </c>
      <c r="AP63" s="143"/>
      <c r="AQ63" s="144"/>
      <c r="AR63" s="144"/>
      <c r="AS63" s="143">
        <v>440</v>
      </c>
      <c r="AT63" s="697"/>
      <c r="AU63" s="698"/>
      <c r="AV63" s="136"/>
      <c r="AW63" s="136"/>
      <c r="AX63" s="136">
        <v>7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65</v>
      </c>
      <c r="D76" s="914">
        <v>4268.9653302959669</v>
      </c>
      <c r="E76" s="915">
        <v>242341.97311121298</v>
      </c>
      <c r="F76" s="916">
        <v>59</v>
      </c>
      <c r="G76" s="917">
        <v>570.35224473434255</v>
      </c>
      <c r="H76" s="918">
        <v>30042.993351199606</v>
      </c>
      <c r="I76" s="1109">
        <v>9.5</v>
      </c>
      <c r="J76" s="917">
        <v>158.37628411149953</v>
      </c>
      <c r="K76" s="918">
        <v>1321.8079185219594</v>
      </c>
      <c r="L76" s="916">
        <v>13</v>
      </c>
      <c r="M76" s="917">
        <v>3936.5780458287281</v>
      </c>
      <c r="N76" s="918">
        <v>46059.498821636815</v>
      </c>
      <c r="O76" s="916">
        <v>0</v>
      </c>
      <c r="P76" s="917">
        <v>1527.9418817790604</v>
      </c>
      <c r="Q76" s="918">
        <v>0</v>
      </c>
      <c r="R76" s="919">
        <v>319767</v>
      </c>
      <c r="S76" s="917">
        <v>11335</v>
      </c>
      <c r="T76" s="917">
        <v>273</v>
      </c>
      <c r="U76" s="920">
        <v>11608</v>
      </c>
      <c r="V76" s="919">
        <v>331375</v>
      </c>
      <c r="W76" s="918">
        <v>-829</v>
      </c>
      <c r="X76" s="919">
        <v>330546</v>
      </c>
      <c r="Y76" s="918">
        <v>0</v>
      </c>
      <c r="Z76" s="919">
        <v>330546</v>
      </c>
      <c r="AA76" s="917">
        <v>216418</v>
      </c>
      <c r="AB76" s="917">
        <v>114128</v>
      </c>
      <c r="AC76" s="919">
        <v>28533</v>
      </c>
      <c r="AD76" s="921">
        <v>330546</v>
      </c>
      <c r="AE76" s="917">
        <v>5688</v>
      </c>
      <c r="AF76" s="922">
        <v>356171</v>
      </c>
      <c r="AG76" s="916">
        <v>2</v>
      </c>
      <c r="AH76" s="917">
        <v>4786</v>
      </c>
      <c r="AI76" s="916">
        <v>0</v>
      </c>
      <c r="AJ76" s="917">
        <v>447</v>
      </c>
      <c r="AK76" s="920">
        <v>5233</v>
      </c>
      <c r="AL76" s="922">
        <v>361404</v>
      </c>
      <c r="AM76" s="917">
        <v>-904</v>
      </c>
      <c r="AN76" s="922">
        <v>360500</v>
      </c>
      <c r="AO76" s="917">
        <v>0</v>
      </c>
      <c r="AP76" s="922">
        <v>360500</v>
      </c>
      <c r="AQ76" s="917">
        <v>236334</v>
      </c>
      <c r="AR76" s="917">
        <v>124166</v>
      </c>
      <c r="AS76" s="922">
        <v>31042</v>
      </c>
      <c r="AT76" s="1176">
        <v>691046</v>
      </c>
      <c r="AU76" s="1177">
        <v>59575</v>
      </c>
      <c r="AV76" s="917">
        <v>904</v>
      </c>
      <c r="AW76" s="917">
        <v>875</v>
      </c>
      <c r="AX76" s="917">
        <v>29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13311</v>
      </c>
      <c r="S77" s="860"/>
      <c r="T77" s="860"/>
      <c r="U77" s="860"/>
      <c r="V77" s="861">
        <v>13311</v>
      </c>
      <c r="W77" s="910">
        <v>-33</v>
      </c>
      <c r="X77" s="861">
        <v>13278</v>
      </c>
      <c r="Y77" s="860"/>
      <c r="Z77" s="861">
        <v>13278</v>
      </c>
      <c r="AA77" s="860">
        <v>8630</v>
      </c>
      <c r="AB77" s="860">
        <v>4648</v>
      </c>
      <c r="AC77" s="861">
        <v>1162</v>
      </c>
      <c r="AD77" s="912">
        <v>13278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13278</v>
      </c>
      <c r="AU77" s="1175">
        <v>1162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3835</v>
      </c>
      <c r="AA83" s="155">
        <v>2558</v>
      </c>
      <c r="AB83" s="709">
        <v>1277</v>
      </c>
      <c r="AC83" s="156">
        <v>319</v>
      </c>
      <c r="AD83" s="156">
        <v>3835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3835</v>
      </c>
      <c r="AU83" s="710">
        <v>319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65</v>
      </c>
      <c r="D84" s="914">
        <v>4268.9653302959669</v>
      </c>
      <c r="E84" s="915">
        <v>242341.97311121298</v>
      </c>
      <c r="F84" s="916">
        <v>59</v>
      </c>
      <c r="G84" s="917">
        <v>570.35224473434255</v>
      </c>
      <c r="H84" s="918">
        <v>30042.993351199606</v>
      </c>
      <c r="I84" s="1109">
        <v>9.5</v>
      </c>
      <c r="J84" s="917">
        <v>158.37628411149953</v>
      </c>
      <c r="K84" s="918">
        <v>1321.8079185219594</v>
      </c>
      <c r="L84" s="916">
        <v>13</v>
      </c>
      <c r="M84" s="917">
        <v>3936.5780458287281</v>
      </c>
      <c r="N84" s="918">
        <v>46059.498821636815</v>
      </c>
      <c r="O84" s="916">
        <v>0</v>
      </c>
      <c r="P84" s="917">
        <v>1527.9418817790604</v>
      </c>
      <c r="Q84" s="918">
        <v>0</v>
      </c>
      <c r="R84" s="919">
        <v>333078</v>
      </c>
      <c r="S84" s="917">
        <v>11335</v>
      </c>
      <c r="T84" s="917">
        <v>273</v>
      </c>
      <c r="U84" s="920">
        <v>11608</v>
      </c>
      <c r="V84" s="919">
        <v>344686</v>
      </c>
      <c r="W84" s="918">
        <v>-862</v>
      </c>
      <c r="X84" s="919">
        <v>343824</v>
      </c>
      <c r="Y84" s="918">
        <v>0</v>
      </c>
      <c r="Z84" s="919">
        <v>347659</v>
      </c>
      <c r="AA84" s="917">
        <v>227606</v>
      </c>
      <c r="AB84" s="917">
        <v>120053</v>
      </c>
      <c r="AC84" s="919">
        <v>30014</v>
      </c>
      <c r="AD84" s="921">
        <v>357659</v>
      </c>
      <c r="AE84" s="917">
        <v>5688</v>
      </c>
      <c r="AF84" s="922">
        <v>356171</v>
      </c>
      <c r="AG84" s="916">
        <v>2</v>
      </c>
      <c r="AH84" s="917">
        <v>4786</v>
      </c>
      <c r="AI84" s="916">
        <v>0</v>
      </c>
      <c r="AJ84" s="917">
        <v>447</v>
      </c>
      <c r="AK84" s="920">
        <v>5233</v>
      </c>
      <c r="AL84" s="922">
        <v>361404</v>
      </c>
      <c r="AM84" s="917">
        <v>-904</v>
      </c>
      <c r="AN84" s="922">
        <v>360500</v>
      </c>
      <c r="AO84" s="917">
        <v>0</v>
      </c>
      <c r="AP84" s="922">
        <v>360500</v>
      </c>
      <c r="AQ84" s="917">
        <v>236334</v>
      </c>
      <c r="AR84" s="917">
        <v>124166</v>
      </c>
      <c r="AS84" s="922">
        <v>31042</v>
      </c>
      <c r="AT84" s="702">
        <v>708159</v>
      </c>
      <c r="AU84" s="702">
        <v>61056</v>
      </c>
      <c r="AV84" s="917">
        <v>904</v>
      </c>
      <c r="AW84" s="917">
        <v>875</v>
      </c>
      <c r="AX84" s="917">
        <v>29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C89" s="19"/>
      <c r="D89" s="461"/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C90" s="19"/>
      <c r="D90" s="461"/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C91" s="19"/>
      <c r="D91" s="461"/>
      <c r="AW91" s="13"/>
    </row>
    <row r="92" spans="1:51" x14ac:dyDescent="0.2">
      <c r="B92" s="751"/>
      <c r="C92" s="19"/>
      <c r="D92" s="461"/>
    </row>
    <row r="93" spans="1:51" x14ac:dyDescent="0.2">
      <c r="B93" s="751"/>
      <c r="C93" s="19"/>
      <c r="D93" s="461"/>
    </row>
    <row r="94" spans="1:51" x14ac:dyDescent="0.2">
      <c r="B94" s="751"/>
      <c r="C94" s="19"/>
      <c r="D94" s="46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M2:AM3"/>
    <mergeCell ref="Z2:Z3"/>
    <mergeCell ref="A78:B78"/>
    <mergeCell ref="AA2:AA3"/>
    <mergeCell ref="A77:B77"/>
    <mergeCell ref="R2:R3"/>
    <mergeCell ref="S2:U2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842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4.25" customHeight="1" x14ac:dyDescent="0.2">
      <c r="A4" s="202"/>
      <c r="B4" s="203"/>
      <c r="C4" s="201">
        <v>1</v>
      </c>
      <c r="D4" s="201">
        <v>2</v>
      </c>
      <c r="E4" s="201">
        <v>3</v>
      </c>
      <c r="F4" s="201">
        <v>4</v>
      </c>
      <c r="G4" s="201">
        <v>5</v>
      </c>
      <c r="H4" s="201">
        <v>6</v>
      </c>
      <c r="I4" s="201">
        <v>7</v>
      </c>
      <c r="J4" s="201">
        <v>8</v>
      </c>
      <c r="K4" s="201">
        <v>9</v>
      </c>
      <c r="L4" s="201">
        <v>10</v>
      </c>
      <c r="M4" s="201">
        <v>11</v>
      </c>
      <c r="N4" s="201">
        <v>12</v>
      </c>
      <c r="O4" s="201">
        <v>13</v>
      </c>
      <c r="P4" s="201">
        <v>14</v>
      </c>
      <c r="Q4" s="201">
        <v>15</v>
      </c>
      <c r="R4" s="201">
        <v>16</v>
      </c>
      <c r="S4" s="201">
        <v>17</v>
      </c>
      <c r="T4" s="201">
        <v>18</v>
      </c>
      <c r="U4" s="201">
        <v>19</v>
      </c>
      <c r="V4" s="201">
        <v>20</v>
      </c>
      <c r="W4" s="201">
        <v>21</v>
      </c>
      <c r="X4" s="201">
        <v>22</v>
      </c>
      <c r="Y4" s="201">
        <v>23</v>
      </c>
      <c r="Z4" s="201">
        <v>24</v>
      </c>
      <c r="AA4" s="201">
        <v>25</v>
      </c>
      <c r="AB4" s="201">
        <v>26</v>
      </c>
      <c r="AC4" s="201">
        <v>27</v>
      </c>
      <c r="AD4" s="201">
        <v>28</v>
      </c>
      <c r="AE4" s="201">
        <v>29</v>
      </c>
      <c r="AF4" s="201">
        <v>30</v>
      </c>
      <c r="AG4" s="201">
        <v>31</v>
      </c>
      <c r="AH4" s="201">
        <v>32</v>
      </c>
      <c r="AI4" s="201">
        <v>33</v>
      </c>
      <c r="AJ4" s="201">
        <v>34</v>
      </c>
      <c r="AK4" s="201">
        <v>35</v>
      </c>
      <c r="AL4" s="201">
        <v>36</v>
      </c>
      <c r="AM4" s="201">
        <v>37</v>
      </c>
      <c r="AN4" s="201">
        <v>38</v>
      </c>
      <c r="AO4" s="201">
        <v>39</v>
      </c>
      <c r="AP4" s="201">
        <v>40</v>
      </c>
      <c r="AQ4" s="201">
        <v>41</v>
      </c>
      <c r="AR4" s="201">
        <v>42</v>
      </c>
      <c r="AS4" s="201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1733682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3576163</v>
      </c>
      <c r="AM23" s="146"/>
      <c r="AN23" s="143"/>
      <c r="AO23" s="135">
        <v>0</v>
      </c>
      <c r="AP23" s="143"/>
      <c r="AQ23" s="144"/>
      <c r="AR23" s="144"/>
      <c r="AS23" s="143">
        <v>351476</v>
      </c>
      <c r="AT23" s="697"/>
      <c r="AU23" s="698"/>
      <c r="AV23" s="136"/>
      <c r="AW23" s="136"/>
      <c r="AX23" s="136">
        <v>1688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8134</v>
      </c>
      <c r="AM30" s="146"/>
      <c r="AN30" s="143"/>
      <c r="AO30" s="135">
        <v>0</v>
      </c>
      <c r="AP30" s="143"/>
      <c r="AQ30" s="144"/>
      <c r="AR30" s="144"/>
      <c r="AS30" s="143">
        <v>676</v>
      </c>
      <c r="AT30" s="697"/>
      <c r="AU30" s="698"/>
      <c r="AV30" s="136"/>
      <c r="AW30" s="136"/>
      <c r="AX30" s="136">
        <v>20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5522</v>
      </c>
      <c r="AM67" s="127"/>
      <c r="AN67" s="124"/>
      <c r="AO67" s="117">
        <v>0</v>
      </c>
      <c r="AP67" s="124"/>
      <c r="AQ67" s="125"/>
      <c r="AR67" s="125"/>
      <c r="AS67" s="124">
        <v>459</v>
      </c>
      <c r="AT67" s="695"/>
      <c r="AU67" s="696"/>
      <c r="AV67" s="118"/>
      <c r="AW67" s="118"/>
      <c r="AX67" s="118">
        <v>14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73190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31104</v>
      </c>
      <c r="AM74" s="146"/>
      <c r="AN74" s="143"/>
      <c r="AO74" s="135">
        <v>0</v>
      </c>
      <c r="AP74" s="143"/>
      <c r="AQ74" s="144"/>
      <c r="AR74" s="144"/>
      <c r="AS74" s="143">
        <v>1683</v>
      </c>
      <c r="AT74" s="697"/>
      <c r="AU74" s="698"/>
      <c r="AV74" s="701"/>
      <c r="AW74" s="701"/>
      <c r="AX74" s="701">
        <v>-1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12339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-626</v>
      </c>
      <c r="AT75" s="1172"/>
      <c r="AU75" s="1173"/>
      <c r="AV75" s="1174"/>
      <c r="AW75" s="1174"/>
      <c r="AX75" s="1174">
        <v>-19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399</v>
      </c>
      <c r="D76" s="914">
        <v>4268.9653302959669</v>
      </c>
      <c r="E76" s="915">
        <v>1423537.7040959301</v>
      </c>
      <c r="F76" s="916">
        <v>368</v>
      </c>
      <c r="G76" s="917">
        <v>570.35224473434255</v>
      </c>
      <c r="H76" s="918">
        <v>166489.71086326486</v>
      </c>
      <c r="I76" s="1109">
        <v>229</v>
      </c>
      <c r="J76" s="917">
        <v>158.37628411149953</v>
      </c>
      <c r="K76" s="918">
        <v>28239.204811220294</v>
      </c>
      <c r="L76" s="916">
        <v>65</v>
      </c>
      <c r="M76" s="917">
        <v>3936.5780458287281</v>
      </c>
      <c r="N76" s="918">
        <v>200944.03705787542</v>
      </c>
      <c r="O76" s="916">
        <v>0</v>
      </c>
      <c r="P76" s="917">
        <v>1527.9418817790604</v>
      </c>
      <c r="Q76" s="918">
        <v>0</v>
      </c>
      <c r="R76" s="919">
        <v>1819211</v>
      </c>
      <c r="S76" s="917">
        <v>357414</v>
      </c>
      <c r="T76" s="917">
        <v>-50190</v>
      </c>
      <c r="U76" s="920">
        <v>307224</v>
      </c>
      <c r="V76" s="919">
        <v>2126435</v>
      </c>
      <c r="W76" s="918">
        <v>-5316</v>
      </c>
      <c r="X76" s="919">
        <v>2121119</v>
      </c>
      <c r="Y76" s="918">
        <v>0</v>
      </c>
      <c r="Z76" s="919">
        <v>2121119</v>
      </c>
      <c r="AA76" s="917">
        <v>1324678</v>
      </c>
      <c r="AB76" s="917">
        <v>796441</v>
      </c>
      <c r="AC76" s="919">
        <v>199111</v>
      </c>
      <c r="AD76" s="921">
        <v>2121119</v>
      </c>
      <c r="AE76" s="917">
        <v>5688</v>
      </c>
      <c r="AF76" s="922">
        <v>3041361</v>
      </c>
      <c r="AG76" s="916">
        <v>82</v>
      </c>
      <c r="AH76" s="917">
        <v>646207</v>
      </c>
      <c r="AI76" s="916">
        <v>-19</v>
      </c>
      <c r="AJ76" s="917">
        <v>-66645</v>
      </c>
      <c r="AK76" s="920">
        <v>579562</v>
      </c>
      <c r="AL76" s="922">
        <v>3620923</v>
      </c>
      <c r="AM76" s="917">
        <v>-9052</v>
      </c>
      <c r="AN76" s="922">
        <v>3611871</v>
      </c>
      <c r="AO76" s="917">
        <v>0</v>
      </c>
      <c r="AP76" s="922">
        <v>3611871</v>
      </c>
      <c r="AQ76" s="917">
        <v>2197198</v>
      </c>
      <c r="AR76" s="917">
        <v>1414673</v>
      </c>
      <c r="AS76" s="922">
        <v>353668</v>
      </c>
      <c r="AT76" s="1176">
        <v>5732990</v>
      </c>
      <c r="AU76" s="1177">
        <v>552779</v>
      </c>
      <c r="AV76" s="917">
        <v>9052</v>
      </c>
      <c r="AW76" s="917">
        <v>7350</v>
      </c>
      <c r="AX76" s="917">
        <v>1702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70832</v>
      </c>
      <c r="S77" s="860"/>
      <c r="T77" s="860"/>
      <c r="U77" s="860"/>
      <c r="V77" s="861">
        <v>70832</v>
      </c>
      <c r="W77" s="910">
        <v>-177</v>
      </c>
      <c r="X77" s="861">
        <v>70655</v>
      </c>
      <c r="Y77" s="860"/>
      <c r="Z77" s="861">
        <v>70655</v>
      </c>
      <c r="AA77" s="860">
        <v>42088</v>
      </c>
      <c r="AB77" s="860">
        <v>28567</v>
      </c>
      <c r="AC77" s="861">
        <v>7142</v>
      </c>
      <c r="AD77" s="912">
        <v>70655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70655</v>
      </c>
      <c r="AU77" s="1175">
        <v>7142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94048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23541</v>
      </c>
      <c r="AA83" s="155">
        <v>15696</v>
      </c>
      <c r="AB83" s="709">
        <v>7845</v>
      </c>
      <c r="AC83" s="156">
        <v>1961</v>
      </c>
      <c r="AD83" s="156">
        <v>23541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23541</v>
      </c>
      <c r="AU83" s="710">
        <v>1961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399</v>
      </c>
      <c r="D84" s="914">
        <v>4268.9653302959669</v>
      </c>
      <c r="E84" s="915">
        <v>1423537.7040959301</v>
      </c>
      <c r="F84" s="916">
        <v>368</v>
      </c>
      <c r="G84" s="917">
        <v>570.35224473434255</v>
      </c>
      <c r="H84" s="918">
        <v>166489.71086326486</v>
      </c>
      <c r="I84" s="1109">
        <v>229</v>
      </c>
      <c r="J84" s="917">
        <v>158.37628411149953</v>
      </c>
      <c r="K84" s="918">
        <v>28239.204811220294</v>
      </c>
      <c r="L84" s="916">
        <v>65</v>
      </c>
      <c r="M84" s="917">
        <v>3936.5780458287281</v>
      </c>
      <c r="N84" s="918">
        <v>200944.03705787542</v>
      </c>
      <c r="O84" s="916">
        <v>0</v>
      </c>
      <c r="P84" s="917">
        <v>1527.9418817790604</v>
      </c>
      <c r="Q84" s="918">
        <v>0</v>
      </c>
      <c r="R84" s="919">
        <v>1890043</v>
      </c>
      <c r="S84" s="917">
        <v>357414</v>
      </c>
      <c r="T84" s="917">
        <v>-50190</v>
      </c>
      <c r="U84" s="920">
        <v>307224</v>
      </c>
      <c r="V84" s="919">
        <v>2197267</v>
      </c>
      <c r="W84" s="918">
        <v>-5493</v>
      </c>
      <c r="X84" s="919">
        <v>2191774</v>
      </c>
      <c r="Y84" s="918">
        <v>0</v>
      </c>
      <c r="Z84" s="919">
        <v>2215315</v>
      </c>
      <c r="AA84" s="917">
        <v>1382462</v>
      </c>
      <c r="AB84" s="917">
        <v>832853</v>
      </c>
      <c r="AC84" s="919">
        <v>208214</v>
      </c>
      <c r="AD84" s="921">
        <v>2319363</v>
      </c>
      <c r="AE84" s="917">
        <v>5688</v>
      </c>
      <c r="AF84" s="922">
        <v>3041361</v>
      </c>
      <c r="AG84" s="916">
        <v>82</v>
      </c>
      <c r="AH84" s="917">
        <v>646207</v>
      </c>
      <c r="AI84" s="916">
        <v>-19</v>
      </c>
      <c r="AJ84" s="917">
        <v>-66645</v>
      </c>
      <c r="AK84" s="920">
        <v>579562</v>
      </c>
      <c r="AL84" s="922">
        <v>3620923</v>
      </c>
      <c r="AM84" s="917">
        <v>-9052</v>
      </c>
      <c r="AN84" s="922">
        <v>3611871</v>
      </c>
      <c r="AO84" s="917">
        <v>0</v>
      </c>
      <c r="AP84" s="922">
        <v>3611871</v>
      </c>
      <c r="AQ84" s="917">
        <v>2197198</v>
      </c>
      <c r="AR84" s="917">
        <v>1414673</v>
      </c>
      <c r="AS84" s="922">
        <v>353668</v>
      </c>
      <c r="AT84" s="702">
        <v>5827186</v>
      </c>
      <c r="AU84" s="702">
        <v>561882</v>
      </c>
      <c r="AV84" s="917">
        <v>9052</v>
      </c>
      <c r="AW84" s="917">
        <v>7350</v>
      </c>
      <c r="AX84" s="917">
        <v>1702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M2:AM3"/>
    <mergeCell ref="Z2:Z3"/>
    <mergeCell ref="A78:B78"/>
    <mergeCell ref="AA2:AA3"/>
    <mergeCell ref="A77:B77"/>
    <mergeCell ref="R2:R3"/>
    <mergeCell ref="S2:U2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843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4.25" customHeight="1" x14ac:dyDescent="0.2">
      <c r="A4" s="202"/>
      <c r="B4" s="203"/>
      <c r="C4" s="201">
        <v>1</v>
      </c>
      <c r="D4" s="201">
        <v>2</v>
      </c>
      <c r="E4" s="201">
        <v>3</v>
      </c>
      <c r="F4" s="201">
        <v>4</v>
      </c>
      <c r="G4" s="201">
        <v>5</v>
      </c>
      <c r="H4" s="201">
        <v>6</v>
      </c>
      <c r="I4" s="201">
        <v>7</v>
      </c>
      <c r="J4" s="201">
        <v>8</v>
      </c>
      <c r="K4" s="201">
        <v>9</v>
      </c>
      <c r="L4" s="201">
        <v>10</v>
      </c>
      <c r="M4" s="201">
        <v>11</v>
      </c>
      <c r="N4" s="201">
        <v>12</v>
      </c>
      <c r="O4" s="201">
        <v>13</v>
      </c>
      <c r="P4" s="201">
        <v>14</v>
      </c>
      <c r="Q4" s="201">
        <v>15</v>
      </c>
      <c r="R4" s="201">
        <v>16</v>
      </c>
      <c r="S4" s="201">
        <v>17</v>
      </c>
      <c r="T4" s="201">
        <v>18</v>
      </c>
      <c r="U4" s="201">
        <v>19</v>
      </c>
      <c r="V4" s="201">
        <v>20</v>
      </c>
      <c r="W4" s="201">
        <v>21</v>
      </c>
      <c r="X4" s="201">
        <v>22</v>
      </c>
      <c r="Y4" s="201">
        <v>23</v>
      </c>
      <c r="Z4" s="201">
        <v>24</v>
      </c>
      <c r="AA4" s="201">
        <v>25</v>
      </c>
      <c r="AB4" s="201">
        <v>26</v>
      </c>
      <c r="AC4" s="201">
        <v>27</v>
      </c>
      <c r="AD4" s="201">
        <v>28</v>
      </c>
      <c r="AE4" s="201">
        <v>29</v>
      </c>
      <c r="AF4" s="201">
        <v>30</v>
      </c>
      <c r="AG4" s="201">
        <v>31</v>
      </c>
      <c r="AH4" s="201">
        <v>32</v>
      </c>
      <c r="AI4" s="201">
        <v>33</v>
      </c>
      <c r="AJ4" s="201">
        <v>34</v>
      </c>
      <c r="AK4" s="201">
        <v>35</v>
      </c>
      <c r="AL4" s="201">
        <v>36</v>
      </c>
      <c r="AM4" s="201">
        <v>37</v>
      </c>
      <c r="AN4" s="201">
        <v>38</v>
      </c>
      <c r="AO4" s="201">
        <v>39</v>
      </c>
      <c r="AP4" s="201">
        <v>40</v>
      </c>
      <c r="AQ4" s="201">
        <v>41</v>
      </c>
      <c r="AR4" s="201">
        <v>42</v>
      </c>
      <c r="AS4" s="201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1472233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2499053</v>
      </c>
      <c r="AM23" s="146"/>
      <c r="AN23" s="143"/>
      <c r="AO23" s="135">
        <v>0</v>
      </c>
      <c r="AP23" s="143"/>
      <c r="AQ23" s="144"/>
      <c r="AR23" s="144"/>
      <c r="AS23" s="143">
        <v>207566</v>
      </c>
      <c r="AT23" s="697"/>
      <c r="AU23" s="698"/>
      <c r="AV23" s="136"/>
      <c r="AW23" s="136"/>
      <c r="AX23" s="136">
        <v>-105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10079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3134</v>
      </c>
      <c r="AM73" s="146"/>
      <c r="AN73" s="143"/>
      <c r="AO73" s="135">
        <v>0</v>
      </c>
      <c r="AP73" s="143"/>
      <c r="AQ73" s="144"/>
      <c r="AR73" s="144"/>
      <c r="AS73" s="143">
        <v>-243</v>
      </c>
      <c r="AT73" s="697"/>
      <c r="AU73" s="698"/>
      <c r="AV73" s="701"/>
      <c r="AW73" s="701"/>
      <c r="AX73" s="701">
        <v>-7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67823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43200</v>
      </c>
      <c r="AM74" s="146"/>
      <c r="AN74" s="143"/>
      <c r="AO74" s="135">
        <v>0</v>
      </c>
      <c r="AP74" s="143"/>
      <c r="AQ74" s="144"/>
      <c r="AR74" s="144"/>
      <c r="AS74" s="143">
        <v>3551</v>
      </c>
      <c r="AT74" s="697"/>
      <c r="AU74" s="698"/>
      <c r="AV74" s="701"/>
      <c r="AW74" s="701"/>
      <c r="AX74" s="701">
        <v>29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350</v>
      </c>
      <c r="D76" s="914">
        <v>4268.9653302959669</v>
      </c>
      <c r="E76" s="915">
        <v>1249366.2787241307</v>
      </c>
      <c r="F76" s="916">
        <v>342</v>
      </c>
      <c r="G76" s="917">
        <v>570.35224473434255</v>
      </c>
      <c r="H76" s="918">
        <v>154860.48251031272</v>
      </c>
      <c r="I76" s="1109">
        <v>0</v>
      </c>
      <c r="J76" s="917">
        <v>158.37628411149953</v>
      </c>
      <c r="K76" s="918">
        <v>0</v>
      </c>
      <c r="L76" s="916">
        <v>47</v>
      </c>
      <c r="M76" s="917">
        <v>3936.5780458287281</v>
      </c>
      <c r="N76" s="918">
        <v>145909.00389456318</v>
      </c>
      <c r="O76" s="916">
        <v>0</v>
      </c>
      <c r="P76" s="917">
        <v>1527.9418817790604</v>
      </c>
      <c r="Q76" s="918">
        <v>0</v>
      </c>
      <c r="R76" s="919">
        <v>1550135</v>
      </c>
      <c r="S76" s="917">
        <v>-90831</v>
      </c>
      <c r="T76" s="917">
        <v>-4199</v>
      </c>
      <c r="U76" s="920">
        <v>-95030</v>
      </c>
      <c r="V76" s="919">
        <v>1455105</v>
      </c>
      <c r="W76" s="918">
        <v>-3638</v>
      </c>
      <c r="X76" s="919">
        <v>1451467</v>
      </c>
      <c r="Y76" s="918">
        <v>0</v>
      </c>
      <c r="Z76" s="919">
        <v>1451467</v>
      </c>
      <c r="AA76" s="917">
        <v>1000640</v>
      </c>
      <c r="AB76" s="917">
        <v>450827</v>
      </c>
      <c r="AC76" s="919">
        <v>112706</v>
      </c>
      <c r="AD76" s="921">
        <v>1451467</v>
      </c>
      <c r="AE76" s="917">
        <v>5688</v>
      </c>
      <c r="AF76" s="922">
        <v>2667740</v>
      </c>
      <c r="AG76" s="916">
        <v>-16</v>
      </c>
      <c r="AH76" s="917">
        <v>-149742</v>
      </c>
      <c r="AI76" s="916">
        <v>3</v>
      </c>
      <c r="AJ76" s="917">
        <v>27389</v>
      </c>
      <c r="AK76" s="920">
        <v>-122353</v>
      </c>
      <c r="AL76" s="922">
        <v>2545387</v>
      </c>
      <c r="AM76" s="917">
        <v>-6364</v>
      </c>
      <c r="AN76" s="922">
        <v>2539023</v>
      </c>
      <c r="AO76" s="917">
        <v>0</v>
      </c>
      <c r="AP76" s="922">
        <v>2539023</v>
      </c>
      <c r="AQ76" s="917">
        <v>1695526</v>
      </c>
      <c r="AR76" s="917">
        <v>843497</v>
      </c>
      <c r="AS76" s="922">
        <v>210874</v>
      </c>
      <c r="AT76" s="1176">
        <v>3990490</v>
      </c>
      <c r="AU76" s="1177">
        <v>323580</v>
      </c>
      <c r="AV76" s="917">
        <v>6364</v>
      </c>
      <c r="AW76" s="917">
        <v>6447</v>
      </c>
      <c r="AX76" s="917">
        <v>-83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32181</v>
      </c>
      <c r="S77" s="860"/>
      <c r="T77" s="860"/>
      <c r="U77" s="860"/>
      <c r="V77" s="861">
        <v>32181</v>
      </c>
      <c r="W77" s="910">
        <v>-80</v>
      </c>
      <c r="X77" s="861">
        <v>32101</v>
      </c>
      <c r="Y77" s="860"/>
      <c r="Z77" s="861">
        <v>32101</v>
      </c>
      <c r="AA77" s="860">
        <v>20840</v>
      </c>
      <c r="AB77" s="860">
        <v>11261</v>
      </c>
      <c r="AC77" s="861">
        <v>2815</v>
      </c>
      <c r="AD77" s="912">
        <v>32101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32101</v>
      </c>
      <c r="AU77" s="1175">
        <v>2815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0</v>
      </c>
      <c r="AA83" s="155">
        <v>0</v>
      </c>
      <c r="AB83" s="709">
        <v>0</v>
      </c>
      <c r="AC83" s="156">
        <v>0</v>
      </c>
      <c r="AD83" s="156">
        <v>0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0</v>
      </c>
      <c r="AU83" s="710">
        <v>0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350</v>
      </c>
      <c r="D84" s="914">
        <v>4268.9653302959669</v>
      </c>
      <c r="E84" s="915">
        <v>1249366.2787241307</v>
      </c>
      <c r="F84" s="916">
        <v>342</v>
      </c>
      <c r="G84" s="917">
        <v>570.35224473434255</v>
      </c>
      <c r="H84" s="918">
        <v>154860.48251031272</v>
      </c>
      <c r="I84" s="1109">
        <v>0</v>
      </c>
      <c r="J84" s="917">
        <v>158.37628411149953</v>
      </c>
      <c r="K84" s="918">
        <v>0</v>
      </c>
      <c r="L84" s="916">
        <v>47</v>
      </c>
      <c r="M84" s="917">
        <v>3936.5780458287281</v>
      </c>
      <c r="N84" s="918">
        <v>145909.00389456318</v>
      </c>
      <c r="O84" s="916">
        <v>0</v>
      </c>
      <c r="P84" s="917">
        <v>1527.9418817790604</v>
      </c>
      <c r="Q84" s="918">
        <v>0</v>
      </c>
      <c r="R84" s="919">
        <v>1582316</v>
      </c>
      <c r="S84" s="917">
        <v>-90831</v>
      </c>
      <c r="T84" s="917">
        <v>-4199</v>
      </c>
      <c r="U84" s="920">
        <v>-95030</v>
      </c>
      <c r="V84" s="919">
        <v>1487286</v>
      </c>
      <c r="W84" s="918">
        <v>-3718</v>
      </c>
      <c r="X84" s="919">
        <v>1483568</v>
      </c>
      <c r="Y84" s="918">
        <v>0</v>
      </c>
      <c r="Z84" s="919">
        <v>1483568</v>
      </c>
      <c r="AA84" s="917">
        <v>1021480</v>
      </c>
      <c r="AB84" s="917">
        <v>462088</v>
      </c>
      <c r="AC84" s="919">
        <v>115521</v>
      </c>
      <c r="AD84" s="921">
        <v>1483568</v>
      </c>
      <c r="AE84" s="917">
        <v>5688</v>
      </c>
      <c r="AF84" s="922">
        <v>2667740</v>
      </c>
      <c r="AG84" s="916">
        <v>-16</v>
      </c>
      <c r="AH84" s="917">
        <v>-149742</v>
      </c>
      <c r="AI84" s="916">
        <v>3</v>
      </c>
      <c r="AJ84" s="917">
        <v>27389</v>
      </c>
      <c r="AK84" s="920">
        <v>-122353</v>
      </c>
      <c r="AL84" s="922">
        <v>2545387</v>
      </c>
      <c r="AM84" s="917">
        <v>-6364</v>
      </c>
      <c r="AN84" s="922">
        <v>2539023</v>
      </c>
      <c r="AO84" s="917">
        <v>0</v>
      </c>
      <c r="AP84" s="922">
        <v>2539023</v>
      </c>
      <c r="AQ84" s="917">
        <v>1695526</v>
      </c>
      <c r="AR84" s="917">
        <v>843497</v>
      </c>
      <c r="AS84" s="922">
        <v>210874</v>
      </c>
      <c r="AT84" s="702">
        <v>4022591</v>
      </c>
      <c r="AU84" s="702">
        <v>326395</v>
      </c>
      <c r="AV84" s="917">
        <v>6364</v>
      </c>
      <c r="AW84" s="917">
        <v>6447</v>
      </c>
      <c r="AX84" s="917">
        <v>-83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C87" s="19"/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W90" s="917"/>
    </row>
    <row r="91" spans="1:51" ht="13.5" thickTop="1" x14ac:dyDescent="0.2">
      <c r="B91" s="752"/>
      <c r="AW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V1:AX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M2:AM3"/>
    <mergeCell ref="Z2:Z3"/>
    <mergeCell ref="A78:B78"/>
    <mergeCell ref="AA2:AA3"/>
    <mergeCell ref="A77:B77"/>
    <mergeCell ref="R2:R3"/>
    <mergeCell ref="S2:U2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7.42578125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3.285156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5" width="17.5703125" customWidth="1"/>
    <col min="46" max="46" width="10.5703125" customWidth="1"/>
    <col min="47" max="47" width="18.7109375" customWidth="1"/>
    <col min="48" max="48" width="9.85546875" customWidth="1"/>
    <col min="49" max="49" width="17" customWidth="1"/>
    <col min="50" max="50" width="10.5703125" customWidth="1"/>
    <col min="51" max="51" width="9.85546875" customWidth="1"/>
    <col min="52" max="52" width="13.85546875" customWidth="1"/>
    <col min="53" max="53" width="18.85546875" customWidth="1"/>
    <col min="54" max="54" width="10.5703125" customWidth="1"/>
    <col min="55" max="55" width="9.85546875" customWidth="1"/>
    <col min="56" max="56" width="6.42578125" customWidth="1"/>
  </cols>
  <sheetData>
    <row r="1" spans="1:55" ht="16.5" customHeight="1" x14ac:dyDescent="0.2">
      <c r="A1" s="1323" t="s">
        <v>79</v>
      </c>
      <c r="B1" s="1324"/>
      <c r="C1" s="1300" t="s">
        <v>1161</v>
      </c>
      <c r="D1" s="1304">
        <v>0.22</v>
      </c>
      <c r="E1" s="1305"/>
      <c r="F1" s="1306">
        <v>0.06</v>
      </c>
      <c r="G1" s="1307"/>
      <c r="H1" s="1306">
        <v>1.5</v>
      </c>
      <c r="I1" s="1307"/>
      <c r="J1" s="1304">
        <v>0.6</v>
      </c>
      <c r="K1" s="1305"/>
      <c r="L1" s="623">
        <v>7500</v>
      </c>
      <c r="M1" s="623">
        <v>37500</v>
      </c>
      <c r="N1" s="623">
        <f>M1</f>
        <v>37500</v>
      </c>
      <c r="O1" s="787"/>
      <c r="P1" s="787"/>
      <c r="Q1" s="622">
        <f>ROUND(3961*1.01375,0)</f>
        <v>4015</v>
      </c>
      <c r="R1" s="787"/>
      <c r="S1" s="787"/>
      <c r="T1" s="789">
        <v>0.75</v>
      </c>
      <c r="U1" s="790"/>
      <c r="V1" s="787"/>
      <c r="W1" s="788"/>
      <c r="X1" s="788"/>
      <c r="Y1" s="787"/>
      <c r="Z1" s="787"/>
      <c r="AA1" s="787"/>
      <c r="AB1" s="791">
        <v>0.34</v>
      </c>
      <c r="AC1" s="788"/>
      <c r="AD1" s="792">
        <v>1.72</v>
      </c>
      <c r="AE1" s="790"/>
      <c r="AF1" s="787"/>
      <c r="AG1" s="787"/>
      <c r="AH1" s="790"/>
      <c r="AI1" s="787"/>
      <c r="AJ1" s="1313" t="s">
        <v>129</v>
      </c>
      <c r="AK1" s="1313"/>
      <c r="AL1" s="1313"/>
      <c r="AM1" s="1313"/>
      <c r="AN1" s="1312" t="s">
        <v>130</v>
      </c>
      <c r="AO1" s="1312"/>
      <c r="AP1" s="1312"/>
      <c r="AQ1" s="1312"/>
      <c r="AR1" s="846"/>
      <c r="AS1" s="846"/>
      <c r="AT1" s="847"/>
      <c r="AU1" s="846"/>
      <c r="AV1" s="846"/>
      <c r="AW1" s="948"/>
      <c r="AX1" s="948"/>
      <c r="AY1" s="948"/>
      <c r="AZ1" s="948"/>
      <c r="BA1" s="949"/>
      <c r="BB1" s="949"/>
      <c r="BC1" s="949"/>
    </row>
    <row r="2" spans="1:55" ht="105.75" customHeight="1" x14ac:dyDescent="0.2">
      <c r="A2" s="1325"/>
      <c r="B2" s="1326"/>
      <c r="C2" s="1301"/>
      <c r="D2" s="542" t="s">
        <v>1012</v>
      </c>
      <c r="E2" s="1300" t="s">
        <v>287</v>
      </c>
      <c r="F2" s="1141" t="s">
        <v>720</v>
      </c>
      <c r="G2" s="1300" t="s">
        <v>287</v>
      </c>
      <c r="H2" s="1141" t="s">
        <v>1013</v>
      </c>
      <c r="I2" s="1300" t="s">
        <v>287</v>
      </c>
      <c r="J2" s="1141" t="s">
        <v>1327</v>
      </c>
      <c r="K2" s="1300" t="s">
        <v>287</v>
      </c>
      <c r="L2" s="1300" t="s">
        <v>1049</v>
      </c>
      <c r="M2" s="1300" t="s">
        <v>1328</v>
      </c>
      <c r="N2" s="1300" t="s">
        <v>287</v>
      </c>
      <c r="O2" s="1301" t="s">
        <v>1329</v>
      </c>
      <c r="P2" s="1301" t="s">
        <v>1330</v>
      </c>
      <c r="Q2" s="1303" t="s">
        <v>80</v>
      </c>
      <c r="R2" s="1302" t="s">
        <v>1333</v>
      </c>
      <c r="S2" s="1302" t="s">
        <v>352</v>
      </c>
      <c r="T2" s="1315" t="s">
        <v>353</v>
      </c>
      <c r="U2" s="1316" t="s">
        <v>1334</v>
      </c>
      <c r="V2" s="1302" t="s">
        <v>1255</v>
      </c>
      <c r="W2" s="1298" t="s">
        <v>1256</v>
      </c>
      <c r="X2" s="1298" t="s">
        <v>1335</v>
      </c>
      <c r="Y2" s="1302" t="s">
        <v>854</v>
      </c>
      <c r="Z2" s="1302" t="s">
        <v>1336</v>
      </c>
      <c r="AA2" s="1302" t="s">
        <v>1337</v>
      </c>
      <c r="AB2" s="1303" t="s">
        <v>1338</v>
      </c>
      <c r="AC2" s="1298" t="s">
        <v>453</v>
      </c>
      <c r="AD2" s="1303" t="s">
        <v>454</v>
      </c>
      <c r="AE2" s="1316" t="s">
        <v>294</v>
      </c>
      <c r="AF2" s="1302" t="s">
        <v>361</v>
      </c>
      <c r="AG2" s="1302" t="s">
        <v>1339</v>
      </c>
      <c r="AH2" s="1316" t="s">
        <v>293</v>
      </c>
      <c r="AI2" s="1302" t="s">
        <v>361</v>
      </c>
      <c r="AJ2" s="1321" t="s">
        <v>1340</v>
      </c>
      <c r="AK2" s="1303" t="s">
        <v>80</v>
      </c>
      <c r="AL2" s="1321" t="s">
        <v>304</v>
      </c>
      <c r="AM2" s="1303" t="s">
        <v>80</v>
      </c>
      <c r="AN2" s="1321" t="s">
        <v>1341</v>
      </c>
      <c r="AO2" s="1303" t="s">
        <v>80</v>
      </c>
      <c r="AP2" s="1321" t="s">
        <v>1342</v>
      </c>
      <c r="AQ2" s="1303" t="s">
        <v>80</v>
      </c>
      <c r="AR2" s="1308" t="s">
        <v>1165</v>
      </c>
      <c r="AS2" s="1319" t="s">
        <v>1343</v>
      </c>
      <c r="AT2" s="1310" t="s">
        <v>80</v>
      </c>
      <c r="AU2" s="1308" t="s">
        <v>1196</v>
      </c>
      <c r="AV2" s="1319" t="s">
        <v>72</v>
      </c>
      <c r="AW2" s="1298" t="s">
        <v>1022</v>
      </c>
      <c r="AX2" s="1298" t="s">
        <v>80</v>
      </c>
      <c r="AY2" s="1298" t="s">
        <v>78</v>
      </c>
      <c r="AZ2" s="1298" t="s">
        <v>455</v>
      </c>
      <c r="BA2" s="1302" t="s">
        <v>1197</v>
      </c>
      <c r="BB2" s="1302" t="s">
        <v>80</v>
      </c>
      <c r="BC2" s="1302" t="s">
        <v>72</v>
      </c>
    </row>
    <row r="3" spans="1:55" ht="27.75" customHeight="1" x14ac:dyDescent="0.2">
      <c r="A3" s="1327"/>
      <c r="B3" s="1328"/>
      <c r="C3" s="726" t="s">
        <v>1331</v>
      </c>
      <c r="D3" s="726" t="s">
        <v>1331</v>
      </c>
      <c r="E3" s="1302"/>
      <c r="F3" s="726" t="s">
        <v>1441</v>
      </c>
      <c r="G3" s="1302"/>
      <c r="H3" s="726" t="s">
        <v>1332</v>
      </c>
      <c r="I3" s="1302"/>
      <c r="J3" s="726" t="s">
        <v>1332</v>
      </c>
      <c r="K3" s="1302"/>
      <c r="L3" s="1302"/>
      <c r="M3" s="1302"/>
      <c r="N3" s="1302"/>
      <c r="O3" s="1302"/>
      <c r="P3" s="1302"/>
      <c r="Q3" s="1303"/>
      <c r="R3" s="1314"/>
      <c r="S3" s="1314"/>
      <c r="T3" s="1315"/>
      <c r="U3" s="1317"/>
      <c r="V3" s="1314"/>
      <c r="W3" s="1318"/>
      <c r="X3" s="1318"/>
      <c r="Y3" s="1314"/>
      <c r="Z3" s="1314"/>
      <c r="AA3" s="1314"/>
      <c r="AB3" s="1303"/>
      <c r="AC3" s="1318"/>
      <c r="AD3" s="1303"/>
      <c r="AE3" s="1317"/>
      <c r="AF3" s="1314"/>
      <c r="AG3" s="1314"/>
      <c r="AH3" s="1317"/>
      <c r="AI3" s="1314"/>
      <c r="AJ3" s="1321"/>
      <c r="AK3" s="1303"/>
      <c r="AL3" s="1321"/>
      <c r="AM3" s="1303"/>
      <c r="AN3" s="1321"/>
      <c r="AO3" s="1303"/>
      <c r="AP3" s="1321"/>
      <c r="AQ3" s="1303"/>
      <c r="AR3" s="1309"/>
      <c r="AS3" s="1320"/>
      <c r="AT3" s="1311"/>
      <c r="AU3" s="1309"/>
      <c r="AV3" s="1320"/>
      <c r="AW3" s="1329"/>
      <c r="AX3" s="1329"/>
      <c r="AY3" s="1329"/>
      <c r="AZ3" s="1299"/>
      <c r="BA3" s="1322"/>
      <c r="BB3" s="1303"/>
      <c r="BC3" s="1322"/>
    </row>
    <row r="4" spans="1:55" ht="13.15" customHeight="1" x14ac:dyDescent="0.2">
      <c r="A4" s="621"/>
      <c r="B4" s="621"/>
      <c r="C4" s="959">
        <v>1</v>
      </c>
      <c r="D4" s="960" t="s">
        <v>255</v>
      </c>
      <c r="E4" s="960">
        <v>2</v>
      </c>
      <c r="F4" s="960" t="s">
        <v>256</v>
      </c>
      <c r="G4" s="960">
        <v>3</v>
      </c>
      <c r="H4" s="960" t="s">
        <v>272</v>
      </c>
      <c r="I4" s="960">
        <v>4</v>
      </c>
      <c r="J4" s="960" t="s">
        <v>318</v>
      </c>
      <c r="K4" s="959">
        <v>5</v>
      </c>
      <c r="L4" s="960" t="s">
        <v>131</v>
      </c>
      <c r="M4" s="960" t="s">
        <v>319</v>
      </c>
      <c r="N4" s="960">
        <v>6</v>
      </c>
      <c r="O4" s="960">
        <f t="shared" ref="O4:BC4" si="0">N4+1</f>
        <v>7</v>
      </c>
      <c r="P4" s="960">
        <f t="shared" si="0"/>
        <v>8</v>
      </c>
      <c r="Q4" s="960">
        <f t="shared" si="0"/>
        <v>9</v>
      </c>
      <c r="R4" s="960">
        <f>Q4+1</f>
        <v>10</v>
      </c>
      <c r="S4" s="960">
        <f>R4+1</f>
        <v>11</v>
      </c>
      <c r="T4" s="960" t="s">
        <v>320</v>
      </c>
      <c r="U4" s="960">
        <v>12</v>
      </c>
      <c r="V4" s="960">
        <f t="shared" si="0"/>
        <v>13</v>
      </c>
      <c r="W4" s="960">
        <f t="shared" si="0"/>
        <v>14</v>
      </c>
      <c r="X4" s="960">
        <f t="shared" si="0"/>
        <v>15</v>
      </c>
      <c r="Y4" s="960">
        <f t="shared" si="0"/>
        <v>16</v>
      </c>
      <c r="Z4" s="960">
        <f t="shared" si="0"/>
        <v>17</v>
      </c>
      <c r="AA4" s="960">
        <f t="shared" si="0"/>
        <v>18</v>
      </c>
      <c r="AB4" s="960">
        <f>AA4+1</f>
        <v>19</v>
      </c>
      <c r="AC4" s="960">
        <f t="shared" si="0"/>
        <v>20</v>
      </c>
      <c r="AD4" s="960">
        <f t="shared" si="0"/>
        <v>21</v>
      </c>
      <c r="AE4" s="960">
        <f t="shared" si="0"/>
        <v>22</v>
      </c>
      <c r="AF4" s="960">
        <f>AE4+1</f>
        <v>23</v>
      </c>
      <c r="AG4" s="960">
        <f>AF4+1</f>
        <v>24</v>
      </c>
      <c r="AH4" s="960">
        <f t="shared" si="0"/>
        <v>25</v>
      </c>
      <c r="AI4" s="960">
        <f t="shared" si="0"/>
        <v>26</v>
      </c>
      <c r="AJ4" s="960">
        <f t="shared" si="0"/>
        <v>27</v>
      </c>
      <c r="AK4" s="960">
        <f t="shared" si="0"/>
        <v>28</v>
      </c>
      <c r="AL4" s="960">
        <f t="shared" si="0"/>
        <v>29</v>
      </c>
      <c r="AM4" s="960">
        <f t="shared" si="0"/>
        <v>30</v>
      </c>
      <c r="AN4" s="960">
        <f t="shared" si="0"/>
        <v>31</v>
      </c>
      <c r="AO4" s="960">
        <f t="shared" si="0"/>
        <v>32</v>
      </c>
      <c r="AP4" s="960">
        <f t="shared" si="0"/>
        <v>33</v>
      </c>
      <c r="AQ4" s="960">
        <f t="shared" si="0"/>
        <v>34</v>
      </c>
      <c r="AR4" s="961">
        <f>AQ4+1</f>
        <v>35</v>
      </c>
      <c r="AS4" s="961">
        <f>AR4+1</f>
        <v>36</v>
      </c>
      <c r="AT4" s="961">
        <f>AS4+1</f>
        <v>37</v>
      </c>
      <c r="AU4" s="961">
        <f>AT4+1</f>
        <v>38</v>
      </c>
      <c r="AV4" s="961">
        <f>AU4+1</f>
        <v>39</v>
      </c>
      <c r="AW4" s="960">
        <f t="shared" si="0"/>
        <v>40</v>
      </c>
      <c r="AX4" s="960">
        <f t="shared" si="0"/>
        <v>41</v>
      </c>
      <c r="AY4" s="960">
        <f t="shared" si="0"/>
        <v>42</v>
      </c>
      <c r="AZ4" s="960">
        <f t="shared" si="0"/>
        <v>43</v>
      </c>
      <c r="BA4" s="960">
        <f t="shared" si="0"/>
        <v>44</v>
      </c>
      <c r="BB4" s="960">
        <f t="shared" si="0"/>
        <v>45</v>
      </c>
      <c r="BC4" s="960">
        <f t="shared" si="0"/>
        <v>46</v>
      </c>
    </row>
    <row r="5" spans="1:55" ht="27" customHeight="1" x14ac:dyDescent="0.2">
      <c r="A5" s="603"/>
      <c r="B5" s="603"/>
      <c r="C5" s="962" t="s">
        <v>721</v>
      </c>
      <c r="D5" s="956" t="s">
        <v>898</v>
      </c>
      <c r="E5" s="963" t="s">
        <v>880</v>
      </c>
      <c r="F5" s="956" t="s">
        <v>897</v>
      </c>
      <c r="G5" s="963" t="s">
        <v>879</v>
      </c>
      <c r="H5" s="963" t="s">
        <v>895</v>
      </c>
      <c r="I5" s="963" t="s">
        <v>878</v>
      </c>
      <c r="J5" s="963" t="s">
        <v>896</v>
      </c>
      <c r="K5" s="963" t="s">
        <v>877</v>
      </c>
      <c r="L5" s="963" t="s">
        <v>953</v>
      </c>
      <c r="M5" s="963" t="s">
        <v>954</v>
      </c>
      <c r="N5" s="963" t="s">
        <v>722</v>
      </c>
      <c r="O5" s="963" t="s">
        <v>723</v>
      </c>
      <c r="P5" s="963" t="s">
        <v>724</v>
      </c>
      <c r="Q5" s="963" t="s">
        <v>746</v>
      </c>
      <c r="R5" s="963" t="s">
        <v>725</v>
      </c>
      <c r="S5" s="963" t="s">
        <v>726</v>
      </c>
      <c r="T5" s="963" t="s">
        <v>952</v>
      </c>
      <c r="U5" s="963" t="s">
        <v>727</v>
      </c>
      <c r="V5" s="963" t="s">
        <v>728</v>
      </c>
      <c r="W5" s="963" t="s">
        <v>729</v>
      </c>
      <c r="X5" s="963" t="s">
        <v>730</v>
      </c>
      <c r="Y5" s="963" t="s">
        <v>1387</v>
      </c>
      <c r="Z5" s="963" t="s">
        <v>731</v>
      </c>
      <c r="AA5" s="963" t="s">
        <v>876</v>
      </c>
      <c r="AB5" s="963" t="s">
        <v>955</v>
      </c>
      <c r="AC5" s="963" t="s">
        <v>732</v>
      </c>
      <c r="AD5" s="963" t="s">
        <v>956</v>
      </c>
      <c r="AE5" s="963" t="s">
        <v>733</v>
      </c>
      <c r="AF5" s="963" t="s">
        <v>734</v>
      </c>
      <c r="AG5" s="963" t="s">
        <v>735</v>
      </c>
      <c r="AH5" s="963" t="s">
        <v>736</v>
      </c>
      <c r="AI5" s="963" t="s">
        <v>737</v>
      </c>
      <c r="AJ5" s="963" t="s">
        <v>1117</v>
      </c>
      <c r="AK5" s="963" t="s">
        <v>738</v>
      </c>
      <c r="AL5" s="963" t="s">
        <v>739</v>
      </c>
      <c r="AM5" s="963" t="s">
        <v>740</v>
      </c>
      <c r="AN5" s="963" t="s">
        <v>1118</v>
      </c>
      <c r="AO5" s="963" t="s">
        <v>741</v>
      </c>
      <c r="AP5" s="963" t="s">
        <v>742</v>
      </c>
      <c r="AQ5" s="963" t="s">
        <v>743</v>
      </c>
      <c r="AR5" s="963" t="s">
        <v>1168</v>
      </c>
      <c r="AS5" s="963" t="s">
        <v>827</v>
      </c>
      <c r="AT5" s="963" t="s">
        <v>1125</v>
      </c>
      <c r="AU5" s="963" t="s">
        <v>1126</v>
      </c>
      <c r="AV5" s="963" t="s">
        <v>744</v>
      </c>
      <c r="AW5" s="963" t="s">
        <v>745</v>
      </c>
      <c r="AX5" s="963" t="s">
        <v>1127</v>
      </c>
      <c r="AY5" s="963" t="s">
        <v>744</v>
      </c>
      <c r="AZ5" s="963" t="s">
        <v>1128</v>
      </c>
      <c r="BA5" s="963" t="s">
        <v>1129</v>
      </c>
      <c r="BB5" s="963" t="s">
        <v>1130</v>
      </c>
      <c r="BC5" s="963" t="s">
        <v>744</v>
      </c>
    </row>
    <row r="6" spans="1:55" ht="22.5" hidden="1" customHeight="1" x14ac:dyDescent="0.2">
      <c r="A6" s="603"/>
      <c r="B6" s="603"/>
      <c r="C6" s="604" t="s">
        <v>554</v>
      </c>
      <c r="D6" s="605" t="s">
        <v>642</v>
      </c>
      <c r="E6" s="605" t="s">
        <v>555</v>
      </c>
      <c r="F6" s="605" t="s">
        <v>642</v>
      </c>
      <c r="G6" s="605" t="s">
        <v>555</v>
      </c>
      <c r="H6" s="605" t="s">
        <v>642</v>
      </c>
      <c r="I6" s="605" t="s">
        <v>555</v>
      </c>
      <c r="J6" s="605" t="s">
        <v>642</v>
      </c>
      <c r="K6" s="605" t="s">
        <v>555</v>
      </c>
      <c r="L6" s="605" t="s">
        <v>555</v>
      </c>
      <c r="M6" s="605" t="s">
        <v>555</v>
      </c>
      <c r="N6" s="605" t="s">
        <v>555</v>
      </c>
      <c r="O6" s="605" t="s">
        <v>555</v>
      </c>
      <c r="P6" s="605" t="s">
        <v>555</v>
      </c>
      <c r="Q6" s="605" t="s">
        <v>746</v>
      </c>
      <c r="R6" s="605" t="s">
        <v>555</v>
      </c>
      <c r="S6" s="605" t="s">
        <v>554</v>
      </c>
      <c r="T6" s="605" t="s">
        <v>555</v>
      </c>
      <c r="U6" s="605" t="s">
        <v>555</v>
      </c>
      <c r="V6" s="605" t="s">
        <v>555</v>
      </c>
      <c r="W6" s="605" t="s">
        <v>555</v>
      </c>
      <c r="X6" s="605" t="s">
        <v>555</v>
      </c>
      <c r="Y6" s="605" t="s">
        <v>554</v>
      </c>
      <c r="Z6" s="605" t="s">
        <v>555</v>
      </c>
      <c r="AA6" s="605" t="s">
        <v>555</v>
      </c>
      <c r="AB6" s="605" t="s">
        <v>555</v>
      </c>
      <c r="AC6" s="605" t="s">
        <v>555</v>
      </c>
      <c r="AD6" s="605" t="s">
        <v>555</v>
      </c>
      <c r="AE6" s="605" t="s">
        <v>555</v>
      </c>
      <c r="AF6" s="605" t="s">
        <v>555</v>
      </c>
      <c r="AG6" s="605" t="s">
        <v>555</v>
      </c>
      <c r="AH6" s="605" t="s">
        <v>555</v>
      </c>
      <c r="AI6" s="605" t="s">
        <v>555</v>
      </c>
      <c r="AJ6" s="605" t="s">
        <v>554</v>
      </c>
      <c r="AK6" s="605" t="s">
        <v>555</v>
      </c>
      <c r="AL6" s="605" t="s">
        <v>555</v>
      </c>
      <c r="AM6" s="605" t="s">
        <v>555</v>
      </c>
      <c r="AN6" s="605" t="s">
        <v>554</v>
      </c>
      <c r="AO6" s="605" t="s">
        <v>555</v>
      </c>
      <c r="AP6" s="605" t="s">
        <v>555</v>
      </c>
      <c r="AQ6" s="605" t="s">
        <v>555</v>
      </c>
      <c r="AR6" s="843"/>
      <c r="AS6" s="843"/>
      <c r="AT6" s="845"/>
      <c r="AU6" s="605" t="s">
        <v>555</v>
      </c>
      <c r="AV6" s="605" t="s">
        <v>555</v>
      </c>
      <c r="AW6" s="605" t="s">
        <v>555</v>
      </c>
      <c r="AX6" s="605" t="s">
        <v>555</v>
      </c>
      <c r="AY6" s="605" t="s">
        <v>555</v>
      </c>
      <c r="AZ6" s="605" t="s">
        <v>555</v>
      </c>
      <c r="BA6" s="605" t="s">
        <v>555</v>
      </c>
      <c r="BB6" s="605" t="s">
        <v>555</v>
      </c>
      <c r="BC6" s="605" t="s">
        <v>555</v>
      </c>
    </row>
    <row r="7" spans="1:55" ht="15.6" customHeight="1" x14ac:dyDescent="0.2">
      <c r="A7" s="606">
        <v>1</v>
      </c>
      <c r="B7" s="269" t="s">
        <v>4</v>
      </c>
      <c r="C7" s="1241">
        <f>'8_2.1.20 SIS'!AV7</f>
        <v>9432</v>
      </c>
      <c r="D7" s="1241">
        <v>6690</v>
      </c>
      <c r="E7" s="1241">
        <f>$D$1*D7</f>
        <v>1471.8</v>
      </c>
      <c r="F7" s="1241">
        <v>4568.5</v>
      </c>
      <c r="G7" s="1241">
        <f>$F$1*F7</f>
        <v>274.11</v>
      </c>
      <c r="H7" s="1241">
        <v>1079</v>
      </c>
      <c r="I7" s="1241">
        <f>$H$1*H7</f>
        <v>1618.5</v>
      </c>
      <c r="J7" s="1241">
        <v>73</v>
      </c>
      <c r="K7" s="1241">
        <f>$J$1*J7</f>
        <v>43.8</v>
      </c>
      <c r="L7" s="1242">
        <f t="shared" ref="L7:L38" si="1">IF(C7&lt;$L$1,$L$1-C7,0)</f>
        <v>0</v>
      </c>
      <c r="M7" s="270">
        <f t="shared" ref="M7:M38" si="2">ROUND(L7/$M$1,5)</f>
        <v>0</v>
      </c>
      <c r="N7" s="1241">
        <f t="shared" ref="N7:N70" si="3">C7*M7</f>
        <v>0</v>
      </c>
      <c r="O7" s="1241">
        <f>E7+G7+I7+K7+N7</f>
        <v>3408.21</v>
      </c>
      <c r="P7" s="1241">
        <f t="shared" ref="P7:P38" si="4">O7+C7</f>
        <v>12840.21</v>
      </c>
      <c r="Q7" s="1248">
        <f>$Q$1</f>
        <v>4015</v>
      </c>
      <c r="R7" s="1248">
        <f t="shared" ref="R7:R38" si="5">ROUND(P7*Q7,0)</f>
        <v>51553443</v>
      </c>
      <c r="S7" s="1248">
        <f>'6_Local Deduct Calc'!J7</f>
        <v>12317006</v>
      </c>
      <c r="T7" s="1248">
        <f>ROUND(IF((S7&gt;R7*$T$1),R7*$T$1,S7),0)</f>
        <v>12317006</v>
      </c>
      <c r="U7" s="1249">
        <f>R7-T7</f>
        <v>39236437</v>
      </c>
      <c r="V7" s="271">
        <f>ROUND(U7/R7,4)</f>
        <v>0.7611</v>
      </c>
      <c r="W7" s="271">
        <f>ROUND(T7/R7,4)</f>
        <v>0.2389</v>
      </c>
      <c r="X7" s="272">
        <f t="shared" ref="X7:X38" si="6">T7/C7</f>
        <v>1305.874257845632</v>
      </c>
      <c r="Y7" s="1248">
        <f>'7_Local Revenue'!AS7</f>
        <v>24614229</v>
      </c>
      <c r="Z7" s="1248">
        <f>IF(Y7-T7&gt;0,Y7-T7,0)</f>
        <v>12297223</v>
      </c>
      <c r="AA7" s="34">
        <f>IF(Y7-T7&lt;0,Y7-T7,0)</f>
        <v>0</v>
      </c>
      <c r="AB7" s="34">
        <f t="shared" ref="AB7:AB38" si="7">R7*$AB$1</f>
        <v>17528170.620000001</v>
      </c>
      <c r="AC7" s="34">
        <f t="shared" ref="AC7:AC38" si="8">IF(Z7&lt;AB7,Z7,AB7)</f>
        <v>12297223</v>
      </c>
      <c r="AD7" s="1248">
        <f t="shared" ref="AD7:AD38" si="9">IF(AC7&gt;0,AC7*(W7*$AD$1),0)</f>
        <v>5053027.3084840002</v>
      </c>
      <c r="AE7" s="1254">
        <f>ROUND(IF(AC7-AD7&gt;AC7*$AE$1,AC7-AD7,AC7*$AE$1),0)</f>
        <v>7244196</v>
      </c>
      <c r="AF7" s="34">
        <f t="shared" ref="AF7:AF38" si="10">ROUND(AE7/C7,0)</f>
        <v>768</v>
      </c>
      <c r="AG7" s="273">
        <f>IF(AC7=0,0,ROUND(AE7/AC7,4))</f>
        <v>0.58909999999999996</v>
      </c>
      <c r="AH7" s="1254">
        <f t="shared" ref="AH7:AH38" si="11">U7+AE7</f>
        <v>46480633</v>
      </c>
      <c r="AI7" s="34">
        <f t="shared" ref="AI7:AI38" si="12">ROUND(AH7/C7,0)</f>
        <v>4928</v>
      </c>
      <c r="AJ7" s="1254">
        <f>'3A_Level 3'!J7</f>
        <v>1599706</v>
      </c>
      <c r="AK7" s="34">
        <f t="shared" ref="AK7:AK38" si="13">AJ7/C7</f>
        <v>169.60411365564036</v>
      </c>
      <c r="AL7" s="1254">
        <f>AJ7+AH7</f>
        <v>48080339</v>
      </c>
      <c r="AM7" s="34">
        <f t="shared" ref="AM7:AM38" si="14">AL7/C7</f>
        <v>5097.5762298558102</v>
      </c>
      <c r="AN7" s="1256">
        <f>'3A_Level 3'!K7</f>
        <v>8932897</v>
      </c>
      <c r="AO7" s="275">
        <f t="shared" ref="AO7:AO38" si="15">AN7/C7</f>
        <v>947.0840754877014</v>
      </c>
      <c r="AP7" s="1254">
        <f>AH7+AN7</f>
        <v>55413530</v>
      </c>
      <c r="AQ7" s="34">
        <f t="shared" ref="AQ7:AQ38" si="16">AP7/C7</f>
        <v>5875.0561916878714</v>
      </c>
      <c r="AR7" s="34">
        <f>'3A_Level 3'!L7</f>
        <v>1236069.2619439741</v>
      </c>
      <c r="AS7" s="1257">
        <f t="shared" ref="AS7:AS38" si="17">AP7+AR7</f>
        <v>56649599.261943974</v>
      </c>
      <c r="AT7" s="34">
        <f t="shared" ref="AT7:AT38" si="18">AS7/C7</f>
        <v>6006.1067919787929</v>
      </c>
      <c r="AU7" s="273">
        <f>AS7/BA7</f>
        <v>0.69710719361314055</v>
      </c>
      <c r="AV7" s="274">
        <f>RANK(AU7,$AU$7:$AU$75)</f>
        <v>18</v>
      </c>
      <c r="AW7" s="34">
        <f t="shared" ref="AW7:AW38" si="19">ROUND(AC7+T7,2)</f>
        <v>24614229</v>
      </c>
      <c r="AX7" s="34">
        <f t="shared" ref="AX7:AX38" si="20">ROUND(AW7/C7,2)</f>
        <v>2609.65</v>
      </c>
      <c r="AY7" s="274">
        <f>RANK(AX7,$AX$7:$AX$75)</f>
        <v>63</v>
      </c>
      <c r="AZ7" s="273">
        <f>AW7/BA7</f>
        <v>0.30289280638685956</v>
      </c>
      <c r="BA7" s="275">
        <f>AS7+AW7</f>
        <v>81263828.261943966</v>
      </c>
      <c r="BB7" s="275">
        <f t="shared" ref="BB7:BB38" si="21">BA7/C7</f>
        <v>8615.7578734037288</v>
      </c>
      <c r="BC7" s="274">
        <f>RANK(BB7,$BB$7:$BB$75)</f>
        <v>68</v>
      </c>
    </row>
    <row r="8" spans="1:55" ht="15.6" customHeight="1" x14ac:dyDescent="0.2">
      <c r="A8" s="606">
        <v>2</v>
      </c>
      <c r="B8" s="269" t="s">
        <v>5</v>
      </c>
      <c r="C8" s="1243">
        <f>'8_2.1.20 SIS'!AV8</f>
        <v>3947</v>
      </c>
      <c r="D8" s="1241">
        <v>2680</v>
      </c>
      <c r="E8" s="1241">
        <f t="shared" ref="E8:E71" si="22">$D$1*D8</f>
        <v>589.6</v>
      </c>
      <c r="F8" s="1241">
        <v>1807.5</v>
      </c>
      <c r="G8" s="1241">
        <f t="shared" ref="G8:G71" si="23">$F$1*F8</f>
        <v>108.45</v>
      </c>
      <c r="H8" s="1241">
        <v>435</v>
      </c>
      <c r="I8" s="1241">
        <f t="shared" ref="I8:I71" si="24">$H$1*H8</f>
        <v>652.5</v>
      </c>
      <c r="J8" s="1241">
        <v>41</v>
      </c>
      <c r="K8" s="1241">
        <f t="shared" ref="K8:K71" si="25">$J$1*J8</f>
        <v>24.599999999999998</v>
      </c>
      <c r="L8" s="1241">
        <f t="shared" si="1"/>
        <v>3553</v>
      </c>
      <c r="M8" s="270">
        <f t="shared" si="2"/>
        <v>9.4750000000000001E-2</v>
      </c>
      <c r="N8" s="1241">
        <f t="shared" si="3"/>
        <v>373.97825</v>
      </c>
      <c r="O8" s="1241">
        <f t="shared" ref="O8:O71" si="26">E8+G8+I8+K8+N8</f>
        <v>1749.1282500000002</v>
      </c>
      <c r="P8" s="1241">
        <f t="shared" si="4"/>
        <v>5696.1282499999998</v>
      </c>
      <c r="Q8" s="1248">
        <f t="shared" ref="Q8:Q71" si="27">$Q$1</f>
        <v>4015</v>
      </c>
      <c r="R8" s="1248">
        <f t="shared" si="5"/>
        <v>22869955</v>
      </c>
      <c r="S8" s="1248">
        <f>'6_Local Deduct Calc'!J8</f>
        <v>3699100</v>
      </c>
      <c r="T8" s="1248">
        <f t="shared" ref="T8:T71" si="28">ROUND(IF((S8&gt;R8*$T$1),R8*$T$1,S8),0)</f>
        <v>3699100</v>
      </c>
      <c r="U8" s="1249">
        <f t="shared" ref="U8:U71" si="29">R8-T8</f>
        <v>19170855</v>
      </c>
      <c r="V8" s="271">
        <f>ROUND(U8/R8,4)</f>
        <v>0.83830000000000005</v>
      </c>
      <c r="W8" s="271">
        <f t="shared" ref="W8:W71" si="30">ROUND(T8/R8,4)</f>
        <v>0.16170000000000001</v>
      </c>
      <c r="X8" s="272">
        <f t="shared" si="6"/>
        <v>937.19280466176838</v>
      </c>
      <c r="Y8" s="1248">
        <f>'7_Local Revenue'!AS8</f>
        <v>12451182</v>
      </c>
      <c r="Z8" s="1248">
        <f t="shared" ref="Z8:Z71" si="31">IF(Y8-T8&gt;0,Y8-T8,0)</f>
        <v>8752082</v>
      </c>
      <c r="AA8" s="34">
        <f t="shared" ref="AA8:AA71" si="32">IF(Y8-T8&lt;0,Y8-T8,0)</f>
        <v>0</v>
      </c>
      <c r="AB8" s="34">
        <f t="shared" si="7"/>
        <v>7775784.7000000002</v>
      </c>
      <c r="AC8" s="34">
        <f t="shared" si="8"/>
        <v>7775784.7000000002</v>
      </c>
      <c r="AD8" s="1248">
        <f t="shared" si="9"/>
        <v>2162632.3439028002</v>
      </c>
      <c r="AE8" s="1254">
        <f t="shared" ref="AE8:AE71" si="33">ROUND(IF(AC8-AD8&gt;AC8*$AE$1,AC8-AD8,AC8*$AE$1),0)</f>
        <v>5613152</v>
      </c>
      <c r="AF8" s="34">
        <f t="shared" si="10"/>
        <v>1422</v>
      </c>
      <c r="AG8" s="273">
        <f t="shared" ref="AG8:AG71" si="34">IF(AC8=0,0,ROUND(AE8/AC8,4))</f>
        <v>0.72189999999999999</v>
      </c>
      <c r="AH8" s="1254">
        <f t="shared" si="11"/>
        <v>24784007</v>
      </c>
      <c r="AI8" s="34">
        <f t="shared" si="12"/>
        <v>6279</v>
      </c>
      <c r="AJ8" s="1254">
        <f>'3A_Level 3'!J8</f>
        <v>669428</v>
      </c>
      <c r="AK8" s="34">
        <f t="shared" si="13"/>
        <v>169.60425639726375</v>
      </c>
      <c r="AL8" s="1254">
        <f t="shared" ref="AL8:AL71" si="35">AJ8+AH8</f>
        <v>25453435</v>
      </c>
      <c r="AM8" s="34">
        <f t="shared" si="14"/>
        <v>6448.8054218393718</v>
      </c>
      <c r="AN8" s="1256">
        <f>'3A_Level 3'!K8</f>
        <v>3994065</v>
      </c>
      <c r="AO8" s="275">
        <f t="shared" si="15"/>
        <v>1011.9242462629845</v>
      </c>
      <c r="AP8" s="1254">
        <f t="shared" ref="AP8:AP71" si="36">AH8+AN8</f>
        <v>28778072</v>
      </c>
      <c r="AQ8" s="34">
        <f t="shared" si="16"/>
        <v>7291.1254117050921</v>
      </c>
      <c r="AR8" s="34">
        <f>'3A_Level 3'!L8</f>
        <v>635782.23758681666</v>
      </c>
      <c r="AS8" s="1257">
        <f t="shared" si="17"/>
        <v>29413854.237586815</v>
      </c>
      <c r="AT8" s="34">
        <f t="shared" si="18"/>
        <v>7452.2052793480652</v>
      </c>
      <c r="AU8" s="273">
        <f t="shared" ref="AU8:AU71" si="37">AS8/BA8</f>
        <v>0.71936320370468176</v>
      </c>
      <c r="AV8" s="274">
        <f t="shared" ref="AV8:AV71" si="38">RANK(AU8,$AU$7:$AU$75)</f>
        <v>9</v>
      </c>
      <c r="AW8" s="34">
        <f t="shared" si="19"/>
        <v>11474884.699999999</v>
      </c>
      <c r="AX8" s="34">
        <f t="shared" si="20"/>
        <v>2907.24</v>
      </c>
      <c r="AY8" s="274">
        <f t="shared" ref="AY8:AY71" si="39">RANK(AX8,$AX$7:$AX$75)</f>
        <v>57</v>
      </c>
      <c r="AZ8" s="273">
        <f t="shared" ref="AZ8:AZ71" si="40">AW8/BA8</f>
        <v>0.28063679629531829</v>
      </c>
      <c r="BA8" s="275">
        <f t="shared" ref="BA8:BA71" si="41">AS8+AW8</f>
        <v>40888738.937586814</v>
      </c>
      <c r="BB8" s="275">
        <f t="shared" si="21"/>
        <v>10359.447412613838</v>
      </c>
      <c r="BC8" s="274">
        <f t="shared" ref="BC8:BC71" si="42">RANK(BB8,$BB$7:$BB$75)</f>
        <v>14</v>
      </c>
    </row>
    <row r="9" spans="1:55" ht="15.6" customHeight="1" x14ac:dyDescent="0.2">
      <c r="A9" s="606">
        <v>3</v>
      </c>
      <c r="B9" s="269" t="s">
        <v>6</v>
      </c>
      <c r="C9" s="1243">
        <f>'8_2.1.20 SIS'!AV9</f>
        <v>22712</v>
      </c>
      <c r="D9" s="1241">
        <v>12628</v>
      </c>
      <c r="E9" s="1241">
        <f t="shared" si="22"/>
        <v>2778.16</v>
      </c>
      <c r="F9" s="1241">
        <v>12127</v>
      </c>
      <c r="G9" s="1241">
        <f t="shared" si="23"/>
        <v>727.62</v>
      </c>
      <c r="H9" s="1241">
        <v>2357</v>
      </c>
      <c r="I9" s="1241">
        <f t="shared" si="24"/>
        <v>3535.5</v>
      </c>
      <c r="J9" s="1241">
        <v>534</v>
      </c>
      <c r="K9" s="1241">
        <f t="shared" si="25"/>
        <v>320.39999999999998</v>
      </c>
      <c r="L9" s="1241">
        <f t="shared" si="1"/>
        <v>0</v>
      </c>
      <c r="M9" s="270">
        <f t="shared" si="2"/>
        <v>0</v>
      </c>
      <c r="N9" s="1241">
        <f t="shared" si="3"/>
        <v>0</v>
      </c>
      <c r="O9" s="1241">
        <f t="shared" si="26"/>
        <v>7361.6799999999994</v>
      </c>
      <c r="P9" s="1241">
        <f t="shared" si="4"/>
        <v>30073.68</v>
      </c>
      <c r="Q9" s="1248">
        <f t="shared" si="27"/>
        <v>4015</v>
      </c>
      <c r="R9" s="1248">
        <f t="shared" si="5"/>
        <v>120745825</v>
      </c>
      <c r="S9" s="1248">
        <f>'6_Local Deduct Calc'!J9</f>
        <v>45175655</v>
      </c>
      <c r="T9" s="1248">
        <f t="shared" si="28"/>
        <v>45175655</v>
      </c>
      <c r="U9" s="1249">
        <f t="shared" si="29"/>
        <v>75570170</v>
      </c>
      <c r="V9" s="271">
        <f t="shared" ref="V9:V71" si="43">ROUND(U9/R9,4)</f>
        <v>0.62590000000000001</v>
      </c>
      <c r="W9" s="271">
        <f t="shared" si="30"/>
        <v>0.37409999999999999</v>
      </c>
      <c r="X9" s="272">
        <f t="shared" si="6"/>
        <v>1989.0654719971822</v>
      </c>
      <c r="Y9" s="1248">
        <f>'7_Local Revenue'!AS9</f>
        <v>151327479</v>
      </c>
      <c r="Z9" s="1248">
        <f t="shared" si="31"/>
        <v>106151824</v>
      </c>
      <c r="AA9" s="34">
        <f t="shared" si="32"/>
        <v>0</v>
      </c>
      <c r="AB9" s="34">
        <f t="shared" si="7"/>
        <v>41053580.5</v>
      </c>
      <c r="AC9" s="34">
        <f t="shared" si="8"/>
        <v>41053580.5</v>
      </c>
      <c r="AD9" s="1248">
        <f t="shared" si="9"/>
        <v>26416008.479886003</v>
      </c>
      <c r="AE9" s="1254">
        <f t="shared" si="33"/>
        <v>14637572</v>
      </c>
      <c r="AF9" s="34">
        <f t="shared" si="10"/>
        <v>644</v>
      </c>
      <c r="AG9" s="273">
        <f t="shared" si="34"/>
        <v>0.35649999999999998</v>
      </c>
      <c r="AH9" s="1254">
        <f t="shared" si="11"/>
        <v>90207742</v>
      </c>
      <c r="AI9" s="34">
        <f t="shared" si="12"/>
        <v>3972</v>
      </c>
      <c r="AJ9" s="1254">
        <f>'3A_Level 3'!J9</f>
        <v>3852049</v>
      </c>
      <c r="AK9" s="34">
        <f t="shared" si="13"/>
        <v>169.60412997534343</v>
      </c>
      <c r="AL9" s="1254">
        <f>AJ9+AH9</f>
        <v>94059791</v>
      </c>
      <c r="AM9" s="34">
        <f t="shared" si="14"/>
        <v>4141.4138340965128</v>
      </c>
      <c r="AN9" s="1256">
        <f>'3A_Level 3'!K9</f>
        <v>17407479</v>
      </c>
      <c r="AO9" s="275">
        <f t="shared" si="15"/>
        <v>766.44412645297643</v>
      </c>
      <c r="AP9" s="1254">
        <f t="shared" si="36"/>
        <v>107615221</v>
      </c>
      <c r="AQ9" s="34">
        <f t="shared" si="16"/>
        <v>4738.2538305741455</v>
      </c>
      <c r="AR9" s="34">
        <f>'3A_Level 3'!L9</f>
        <v>3123069.9401690061</v>
      </c>
      <c r="AS9" s="1257">
        <f t="shared" si="17"/>
        <v>110738290.94016901</v>
      </c>
      <c r="AT9" s="34">
        <f t="shared" si="18"/>
        <v>4875.761312969752</v>
      </c>
      <c r="AU9" s="273">
        <f t="shared" si="37"/>
        <v>0.562215980174818</v>
      </c>
      <c r="AV9" s="274">
        <f t="shared" si="38"/>
        <v>52</v>
      </c>
      <c r="AW9" s="34">
        <f t="shared" si="19"/>
        <v>86229235.5</v>
      </c>
      <c r="AX9" s="34">
        <f t="shared" si="20"/>
        <v>3796.64</v>
      </c>
      <c r="AY9" s="274">
        <f t="shared" si="39"/>
        <v>30</v>
      </c>
      <c r="AZ9" s="273">
        <f t="shared" si="40"/>
        <v>0.43778401982518195</v>
      </c>
      <c r="BA9" s="275">
        <f t="shared" si="41"/>
        <v>196967526.44016901</v>
      </c>
      <c r="BB9" s="275">
        <f t="shared" si="21"/>
        <v>8672.3990155058564</v>
      </c>
      <c r="BC9" s="274">
        <f t="shared" si="42"/>
        <v>66</v>
      </c>
    </row>
    <row r="10" spans="1:55" ht="15.6" customHeight="1" x14ac:dyDescent="0.2">
      <c r="A10" s="606">
        <v>4</v>
      </c>
      <c r="B10" s="269" t="s">
        <v>7</v>
      </c>
      <c r="C10" s="1243">
        <f>'8_2.1.20 SIS'!AV10</f>
        <v>3061</v>
      </c>
      <c r="D10" s="1241">
        <v>2176</v>
      </c>
      <c r="E10" s="1241">
        <f t="shared" si="22"/>
        <v>478.72</v>
      </c>
      <c r="F10" s="1241">
        <v>1292.5</v>
      </c>
      <c r="G10" s="1241">
        <f t="shared" si="23"/>
        <v>77.55</v>
      </c>
      <c r="H10" s="1241">
        <v>450</v>
      </c>
      <c r="I10" s="1241">
        <f t="shared" si="24"/>
        <v>675</v>
      </c>
      <c r="J10" s="1241">
        <v>115</v>
      </c>
      <c r="K10" s="1241">
        <f t="shared" si="25"/>
        <v>69</v>
      </c>
      <c r="L10" s="1241">
        <f t="shared" si="1"/>
        <v>4439</v>
      </c>
      <c r="M10" s="270">
        <f t="shared" si="2"/>
        <v>0.11837</v>
      </c>
      <c r="N10" s="1241">
        <f t="shared" si="3"/>
        <v>362.33057000000002</v>
      </c>
      <c r="O10" s="1241">
        <f t="shared" si="26"/>
        <v>1662.6005700000001</v>
      </c>
      <c r="P10" s="1241">
        <f t="shared" si="4"/>
        <v>4723.6005700000005</v>
      </c>
      <c r="Q10" s="1248">
        <f t="shared" si="27"/>
        <v>4015</v>
      </c>
      <c r="R10" s="1248">
        <f t="shared" si="5"/>
        <v>18965256</v>
      </c>
      <c r="S10" s="1248">
        <f>'6_Local Deduct Calc'!J10</f>
        <v>4841227</v>
      </c>
      <c r="T10" s="1248">
        <f t="shared" si="28"/>
        <v>4841227</v>
      </c>
      <c r="U10" s="1249">
        <f t="shared" si="29"/>
        <v>14124029</v>
      </c>
      <c r="V10" s="271">
        <f t="shared" si="43"/>
        <v>0.74470000000000003</v>
      </c>
      <c r="W10" s="271">
        <f t="shared" si="30"/>
        <v>0.25530000000000003</v>
      </c>
      <c r="X10" s="272">
        <f t="shared" si="6"/>
        <v>1581.5834694544267</v>
      </c>
      <c r="Y10" s="1248">
        <f>'7_Local Revenue'!AS10</f>
        <v>15421120</v>
      </c>
      <c r="Z10" s="1248">
        <f t="shared" si="31"/>
        <v>10579893</v>
      </c>
      <c r="AA10" s="34">
        <f t="shared" si="32"/>
        <v>0</v>
      </c>
      <c r="AB10" s="34">
        <f t="shared" si="7"/>
        <v>6448187.04</v>
      </c>
      <c r="AC10" s="34">
        <f t="shared" si="8"/>
        <v>6448187.04</v>
      </c>
      <c r="AD10" s="1248">
        <f t="shared" si="9"/>
        <v>2831502.1002566405</v>
      </c>
      <c r="AE10" s="1254">
        <f t="shared" si="33"/>
        <v>3616685</v>
      </c>
      <c r="AF10" s="34">
        <f t="shared" si="10"/>
        <v>1182</v>
      </c>
      <c r="AG10" s="273">
        <f t="shared" si="34"/>
        <v>0.56089999999999995</v>
      </c>
      <c r="AH10" s="1254">
        <f t="shared" si="11"/>
        <v>17740714</v>
      </c>
      <c r="AI10" s="34">
        <f t="shared" si="12"/>
        <v>5796</v>
      </c>
      <c r="AJ10" s="1254">
        <f>'3A_Level 3'!J10</f>
        <v>519158</v>
      </c>
      <c r="AK10" s="34">
        <f t="shared" si="13"/>
        <v>169.60405096373734</v>
      </c>
      <c r="AL10" s="1254">
        <f t="shared" si="35"/>
        <v>18259872</v>
      </c>
      <c r="AM10" s="34">
        <f t="shared" si="14"/>
        <v>5965.3289774583473</v>
      </c>
      <c r="AN10" s="1256">
        <f>'3A_Level 3'!K10</f>
        <v>2312169</v>
      </c>
      <c r="AO10" s="275">
        <f t="shared" si="15"/>
        <v>755.36393335511275</v>
      </c>
      <c r="AP10" s="1254">
        <f t="shared" si="36"/>
        <v>20052883</v>
      </c>
      <c r="AQ10" s="34">
        <f t="shared" si="16"/>
        <v>6551.0888598497222</v>
      </c>
      <c r="AR10" s="34">
        <f>'3A_Level 3'!L10</f>
        <v>446827.38370110263</v>
      </c>
      <c r="AS10" s="1257">
        <f t="shared" si="17"/>
        <v>20499710.383701101</v>
      </c>
      <c r="AT10" s="34">
        <f t="shared" si="18"/>
        <v>6697.0631766419801</v>
      </c>
      <c r="AU10" s="273">
        <f t="shared" si="37"/>
        <v>0.64486552414816056</v>
      </c>
      <c r="AV10" s="274">
        <f t="shared" si="38"/>
        <v>34</v>
      </c>
      <c r="AW10" s="34">
        <f t="shared" si="19"/>
        <v>11289414.039999999</v>
      </c>
      <c r="AX10" s="34">
        <f t="shared" si="20"/>
        <v>3688.15</v>
      </c>
      <c r="AY10" s="274">
        <f t="shared" si="39"/>
        <v>32</v>
      </c>
      <c r="AZ10" s="273">
        <f t="shared" si="40"/>
        <v>0.35513447585183949</v>
      </c>
      <c r="BA10" s="275">
        <f t="shared" si="41"/>
        <v>31789124.4237011</v>
      </c>
      <c r="BB10" s="275">
        <f t="shared" si="21"/>
        <v>10385.208893727899</v>
      </c>
      <c r="BC10" s="274">
        <f t="shared" si="42"/>
        <v>13</v>
      </c>
    </row>
    <row r="11" spans="1:55" ht="15.6" customHeight="1" x14ac:dyDescent="0.2">
      <c r="A11" s="607">
        <v>5</v>
      </c>
      <c r="B11" s="608" t="s">
        <v>8</v>
      </c>
      <c r="C11" s="1244">
        <f>'8_2.1.20 SIS'!AV11</f>
        <v>5169</v>
      </c>
      <c r="D11" s="1245">
        <v>4200</v>
      </c>
      <c r="E11" s="1245">
        <f t="shared" si="22"/>
        <v>924</v>
      </c>
      <c r="F11" s="1245">
        <v>3502</v>
      </c>
      <c r="G11" s="1245">
        <f t="shared" si="23"/>
        <v>210.12</v>
      </c>
      <c r="H11" s="1245">
        <v>602</v>
      </c>
      <c r="I11" s="1245">
        <f t="shared" si="24"/>
        <v>903</v>
      </c>
      <c r="J11" s="1245">
        <v>18</v>
      </c>
      <c r="K11" s="1245">
        <f t="shared" si="25"/>
        <v>10.799999999999999</v>
      </c>
      <c r="L11" s="1245">
        <f t="shared" si="1"/>
        <v>2331</v>
      </c>
      <c r="M11" s="609">
        <f t="shared" si="2"/>
        <v>6.216E-2</v>
      </c>
      <c r="N11" s="1245">
        <f t="shared" si="3"/>
        <v>321.30504000000002</v>
      </c>
      <c r="O11" s="1245">
        <f t="shared" si="26"/>
        <v>2369.2250399999998</v>
      </c>
      <c r="P11" s="1247">
        <f t="shared" si="4"/>
        <v>7538.2250399999994</v>
      </c>
      <c r="Q11" s="1250">
        <f t="shared" si="27"/>
        <v>4015</v>
      </c>
      <c r="R11" s="1250">
        <f t="shared" si="5"/>
        <v>30265974</v>
      </c>
      <c r="S11" s="1250">
        <f>'6_Local Deduct Calc'!J11</f>
        <v>5877512</v>
      </c>
      <c r="T11" s="1250">
        <f t="shared" si="28"/>
        <v>5877512</v>
      </c>
      <c r="U11" s="1251">
        <f t="shared" si="29"/>
        <v>24388462</v>
      </c>
      <c r="V11" s="610">
        <f t="shared" si="43"/>
        <v>0.80579999999999996</v>
      </c>
      <c r="W11" s="544">
        <f t="shared" si="30"/>
        <v>0.19420000000000001</v>
      </c>
      <c r="X11" s="545">
        <f t="shared" si="6"/>
        <v>1137.0694525053202</v>
      </c>
      <c r="Y11" s="1250">
        <f>'7_Local Revenue'!AS11</f>
        <v>11807856</v>
      </c>
      <c r="Z11" s="1250">
        <f t="shared" si="31"/>
        <v>5930344</v>
      </c>
      <c r="AA11" s="611">
        <f t="shared" si="32"/>
        <v>0</v>
      </c>
      <c r="AB11" s="611">
        <f t="shared" si="7"/>
        <v>10290431.16</v>
      </c>
      <c r="AC11" s="611">
        <f t="shared" si="8"/>
        <v>5930344</v>
      </c>
      <c r="AD11" s="1250">
        <f t="shared" si="9"/>
        <v>1980877.224256</v>
      </c>
      <c r="AE11" s="1255">
        <f t="shared" si="33"/>
        <v>3949467</v>
      </c>
      <c r="AF11" s="611">
        <f t="shared" si="10"/>
        <v>764</v>
      </c>
      <c r="AG11" s="612">
        <f t="shared" si="34"/>
        <v>0.66600000000000004</v>
      </c>
      <c r="AH11" s="1255">
        <f t="shared" si="11"/>
        <v>28337929</v>
      </c>
      <c r="AI11" s="611">
        <f t="shared" si="12"/>
        <v>5482</v>
      </c>
      <c r="AJ11" s="1255">
        <f>'3A_Level 3'!J11</f>
        <v>876684</v>
      </c>
      <c r="AK11" s="611">
        <f t="shared" si="13"/>
        <v>169.60417875798026</v>
      </c>
      <c r="AL11" s="1255">
        <f t="shared" si="35"/>
        <v>29214613</v>
      </c>
      <c r="AM11" s="611">
        <f t="shared" si="14"/>
        <v>5651.8887599148775</v>
      </c>
      <c r="AN11" s="1258">
        <f>'3A_Level 3'!K11</f>
        <v>3750183</v>
      </c>
      <c r="AO11" s="614">
        <f t="shared" si="15"/>
        <v>725.51421938479393</v>
      </c>
      <c r="AP11" s="1255">
        <f t="shared" si="36"/>
        <v>32088112</v>
      </c>
      <c r="AQ11" s="611">
        <f t="shared" si="16"/>
        <v>6207.798800541691</v>
      </c>
      <c r="AR11" s="1259">
        <f>'3A_Level 3'!L11</f>
        <v>633375.32295821758</v>
      </c>
      <c r="AS11" s="1260">
        <f t="shared" si="17"/>
        <v>32721487.322958216</v>
      </c>
      <c r="AT11" s="1261">
        <f t="shared" si="18"/>
        <v>6330.3322350470526</v>
      </c>
      <c r="AU11" s="612">
        <f t="shared" si="37"/>
        <v>0.73482977473166189</v>
      </c>
      <c r="AV11" s="613">
        <f t="shared" si="38"/>
        <v>4</v>
      </c>
      <c r="AW11" s="611">
        <f t="shared" si="19"/>
        <v>11807856</v>
      </c>
      <c r="AX11" s="611">
        <f t="shared" si="20"/>
        <v>2284.36</v>
      </c>
      <c r="AY11" s="613">
        <f t="shared" si="39"/>
        <v>67</v>
      </c>
      <c r="AZ11" s="612">
        <f t="shared" si="40"/>
        <v>0.26517022526833817</v>
      </c>
      <c r="BA11" s="614">
        <f t="shared" si="41"/>
        <v>44529343.322958216</v>
      </c>
      <c r="BB11" s="614">
        <f t="shared" si="21"/>
        <v>8614.6920725397977</v>
      </c>
      <c r="BC11" s="613">
        <f t="shared" si="42"/>
        <v>69</v>
      </c>
    </row>
    <row r="12" spans="1:55" ht="15.6" customHeight="1" x14ac:dyDescent="0.2">
      <c r="A12" s="606">
        <v>6</v>
      </c>
      <c r="B12" s="269" t="s">
        <v>9</v>
      </c>
      <c r="C12" s="1241">
        <f>'8_2.1.20 SIS'!AV12</f>
        <v>5785</v>
      </c>
      <c r="D12" s="1241">
        <v>3564</v>
      </c>
      <c r="E12" s="1241">
        <f t="shared" si="22"/>
        <v>784.08</v>
      </c>
      <c r="F12" s="1241">
        <v>2096.5</v>
      </c>
      <c r="G12" s="1241">
        <f t="shared" si="23"/>
        <v>125.78999999999999</v>
      </c>
      <c r="H12" s="1241">
        <v>958</v>
      </c>
      <c r="I12" s="1241">
        <f t="shared" si="24"/>
        <v>1437</v>
      </c>
      <c r="J12" s="1241">
        <v>70</v>
      </c>
      <c r="K12" s="1241">
        <f t="shared" si="25"/>
        <v>42</v>
      </c>
      <c r="L12" s="1242">
        <f t="shared" si="1"/>
        <v>1715</v>
      </c>
      <c r="M12" s="270">
        <f t="shared" si="2"/>
        <v>4.573E-2</v>
      </c>
      <c r="N12" s="1241">
        <f t="shared" si="3"/>
        <v>264.54804999999999</v>
      </c>
      <c r="O12" s="1241">
        <f t="shared" si="26"/>
        <v>2653.4180499999998</v>
      </c>
      <c r="P12" s="1241">
        <f t="shared" si="4"/>
        <v>8438.4180500000002</v>
      </c>
      <c r="Q12" s="1248">
        <f t="shared" si="27"/>
        <v>4015</v>
      </c>
      <c r="R12" s="1248">
        <f t="shared" si="5"/>
        <v>33880248</v>
      </c>
      <c r="S12" s="1248">
        <f>'6_Local Deduct Calc'!J12</f>
        <v>8117554</v>
      </c>
      <c r="T12" s="1248">
        <f t="shared" si="28"/>
        <v>8117554</v>
      </c>
      <c r="U12" s="1249">
        <f t="shared" si="29"/>
        <v>25762694</v>
      </c>
      <c r="V12" s="271">
        <f t="shared" si="43"/>
        <v>0.76039999999999996</v>
      </c>
      <c r="W12" s="271">
        <f t="shared" si="30"/>
        <v>0.23960000000000001</v>
      </c>
      <c r="X12" s="272">
        <f t="shared" si="6"/>
        <v>1403.2072601555747</v>
      </c>
      <c r="Y12" s="1248">
        <f>'7_Local Revenue'!AS12</f>
        <v>24913399</v>
      </c>
      <c r="Z12" s="1248">
        <f t="shared" si="31"/>
        <v>16795845</v>
      </c>
      <c r="AA12" s="34">
        <f t="shared" si="32"/>
        <v>0</v>
      </c>
      <c r="AB12" s="34">
        <f t="shared" si="7"/>
        <v>11519284.32</v>
      </c>
      <c r="AC12" s="34">
        <f t="shared" si="8"/>
        <v>11519284.32</v>
      </c>
      <c r="AD12" s="1248">
        <f t="shared" si="9"/>
        <v>4747235.2996838409</v>
      </c>
      <c r="AE12" s="1254">
        <f t="shared" si="33"/>
        <v>6772049</v>
      </c>
      <c r="AF12" s="34">
        <f t="shared" si="10"/>
        <v>1171</v>
      </c>
      <c r="AG12" s="273">
        <f t="shared" si="34"/>
        <v>0.58789999999999998</v>
      </c>
      <c r="AH12" s="1254">
        <f t="shared" si="11"/>
        <v>32534743</v>
      </c>
      <c r="AI12" s="34">
        <f t="shared" si="12"/>
        <v>5624</v>
      </c>
      <c r="AJ12" s="1254">
        <f>'3A_Level 3'!J12</f>
        <v>981160</v>
      </c>
      <c r="AK12" s="34">
        <f t="shared" si="13"/>
        <v>169.60414866032843</v>
      </c>
      <c r="AL12" s="1254">
        <f t="shared" si="35"/>
        <v>33515903</v>
      </c>
      <c r="AM12" s="34">
        <f t="shared" si="14"/>
        <v>5793.5873811581678</v>
      </c>
      <c r="AN12" s="1256">
        <f>'3A_Level 3'!K12</f>
        <v>4136762</v>
      </c>
      <c r="AO12" s="275">
        <f t="shared" si="15"/>
        <v>715.08418323249782</v>
      </c>
      <c r="AP12" s="1254">
        <f t="shared" si="36"/>
        <v>36671505</v>
      </c>
      <c r="AQ12" s="34">
        <f t="shared" si="16"/>
        <v>6339.0674157303374</v>
      </c>
      <c r="AR12" s="34">
        <f>'3A_Level 3'!L12</f>
        <v>801753.66529584129</v>
      </c>
      <c r="AS12" s="1257">
        <f t="shared" si="17"/>
        <v>37473258.665295839</v>
      </c>
      <c r="AT12" s="34">
        <f t="shared" si="18"/>
        <v>6477.6592334132829</v>
      </c>
      <c r="AU12" s="273">
        <f t="shared" si="37"/>
        <v>0.65615820395024183</v>
      </c>
      <c r="AV12" s="274">
        <f t="shared" si="38"/>
        <v>27</v>
      </c>
      <c r="AW12" s="34">
        <f t="shared" si="19"/>
        <v>19636838.32</v>
      </c>
      <c r="AX12" s="34">
        <f t="shared" si="20"/>
        <v>3394.44</v>
      </c>
      <c r="AY12" s="274">
        <f t="shared" si="39"/>
        <v>44</v>
      </c>
      <c r="AZ12" s="273">
        <f t="shared" si="40"/>
        <v>0.34384179604975817</v>
      </c>
      <c r="BA12" s="275">
        <f t="shared" si="41"/>
        <v>57110096.98529584</v>
      </c>
      <c r="BB12" s="275">
        <f t="shared" si="21"/>
        <v>9872.0997381669567</v>
      </c>
      <c r="BC12" s="274">
        <f t="shared" si="42"/>
        <v>31</v>
      </c>
    </row>
    <row r="13" spans="1:55" ht="15.6" customHeight="1" x14ac:dyDescent="0.2">
      <c r="A13" s="606">
        <v>7</v>
      </c>
      <c r="B13" s="269" t="s">
        <v>10</v>
      </c>
      <c r="C13" s="1243">
        <f>'8_2.1.20 SIS'!AV13</f>
        <v>2082</v>
      </c>
      <c r="D13" s="1241">
        <v>1555</v>
      </c>
      <c r="E13" s="1241">
        <f t="shared" si="22"/>
        <v>342.1</v>
      </c>
      <c r="F13" s="1241">
        <v>886</v>
      </c>
      <c r="G13" s="1241">
        <f t="shared" si="23"/>
        <v>53.16</v>
      </c>
      <c r="H13" s="1241">
        <v>288</v>
      </c>
      <c r="I13" s="1241">
        <f t="shared" si="24"/>
        <v>432</v>
      </c>
      <c r="J13" s="1241">
        <v>69</v>
      </c>
      <c r="K13" s="1241">
        <f t="shared" si="25"/>
        <v>41.4</v>
      </c>
      <c r="L13" s="1241">
        <f t="shared" si="1"/>
        <v>5418</v>
      </c>
      <c r="M13" s="270">
        <f t="shared" si="2"/>
        <v>0.14448</v>
      </c>
      <c r="N13" s="1241">
        <f t="shared" si="3"/>
        <v>300.80736000000002</v>
      </c>
      <c r="O13" s="1241">
        <f t="shared" si="26"/>
        <v>1169.4673600000001</v>
      </c>
      <c r="P13" s="1241">
        <f t="shared" si="4"/>
        <v>3251.4673600000001</v>
      </c>
      <c r="Q13" s="1248">
        <f t="shared" si="27"/>
        <v>4015</v>
      </c>
      <c r="R13" s="1248">
        <f t="shared" si="5"/>
        <v>13054641</v>
      </c>
      <c r="S13" s="1248">
        <f>'6_Local Deduct Calc'!J13</f>
        <v>6789587</v>
      </c>
      <c r="T13" s="1248">
        <f t="shared" si="28"/>
        <v>6789587</v>
      </c>
      <c r="U13" s="1249">
        <f t="shared" si="29"/>
        <v>6265054</v>
      </c>
      <c r="V13" s="271">
        <f t="shared" si="43"/>
        <v>0.47989999999999999</v>
      </c>
      <c r="W13" s="271">
        <f t="shared" si="30"/>
        <v>0.52010000000000001</v>
      </c>
      <c r="X13" s="272">
        <f t="shared" si="6"/>
        <v>3261.0888568683959</v>
      </c>
      <c r="Y13" s="1248">
        <f>'7_Local Revenue'!AS13</f>
        <v>27098775</v>
      </c>
      <c r="Z13" s="1248">
        <f t="shared" si="31"/>
        <v>20309188</v>
      </c>
      <c r="AA13" s="34">
        <f t="shared" si="32"/>
        <v>0</v>
      </c>
      <c r="AB13" s="34">
        <f t="shared" si="7"/>
        <v>4438577.9400000004</v>
      </c>
      <c r="AC13" s="34">
        <f t="shared" si="8"/>
        <v>4438577.9400000004</v>
      </c>
      <c r="AD13" s="1248">
        <f t="shared" si="9"/>
        <v>3970627.5449416805</v>
      </c>
      <c r="AE13" s="1254">
        <f t="shared" si="33"/>
        <v>467950</v>
      </c>
      <c r="AF13" s="34">
        <f t="shared" si="10"/>
        <v>225</v>
      </c>
      <c r="AG13" s="273">
        <f t="shared" si="34"/>
        <v>0.10539999999999999</v>
      </c>
      <c r="AH13" s="1254">
        <f t="shared" si="11"/>
        <v>6733004</v>
      </c>
      <c r="AI13" s="34">
        <f t="shared" si="12"/>
        <v>3234</v>
      </c>
      <c r="AJ13" s="1254">
        <f>'3A_Level 3'!J13</f>
        <v>353116</v>
      </c>
      <c r="AK13" s="34">
        <f t="shared" si="13"/>
        <v>169.60422670509126</v>
      </c>
      <c r="AL13" s="1254">
        <f t="shared" si="35"/>
        <v>7086120</v>
      </c>
      <c r="AM13" s="34">
        <f t="shared" si="14"/>
        <v>3403.5158501440924</v>
      </c>
      <c r="AN13" s="1256">
        <f>'3A_Level 3'!K13</f>
        <v>1929023</v>
      </c>
      <c r="AO13" s="275">
        <f t="shared" si="15"/>
        <v>926.52401536983666</v>
      </c>
      <c r="AP13" s="1254">
        <f t="shared" si="36"/>
        <v>8662027</v>
      </c>
      <c r="AQ13" s="34">
        <f t="shared" si="16"/>
        <v>4160.4356388088372</v>
      </c>
      <c r="AR13" s="34">
        <f>'3A_Level 3'!L13</f>
        <v>401872.85314408876</v>
      </c>
      <c r="AS13" s="1257">
        <f t="shared" si="17"/>
        <v>9063899.8531440888</v>
      </c>
      <c r="AT13" s="34">
        <f t="shared" si="18"/>
        <v>4353.4581427205039</v>
      </c>
      <c r="AU13" s="273">
        <f t="shared" si="37"/>
        <v>0.44667213245871529</v>
      </c>
      <c r="AV13" s="274">
        <f t="shared" si="38"/>
        <v>60</v>
      </c>
      <c r="AW13" s="34">
        <f t="shared" si="19"/>
        <v>11228164.939999999</v>
      </c>
      <c r="AX13" s="34">
        <f t="shared" si="20"/>
        <v>5392.97</v>
      </c>
      <c r="AY13" s="274">
        <f t="shared" si="39"/>
        <v>9</v>
      </c>
      <c r="AZ13" s="273">
        <f t="shared" si="40"/>
        <v>0.55332786754128471</v>
      </c>
      <c r="BA13" s="275">
        <f t="shared" si="41"/>
        <v>20292064.793144088</v>
      </c>
      <c r="BB13" s="275">
        <f t="shared" si="21"/>
        <v>9746.428815150859</v>
      </c>
      <c r="BC13" s="274">
        <f t="shared" si="42"/>
        <v>38</v>
      </c>
    </row>
    <row r="14" spans="1:55" ht="15.6" customHeight="1" x14ac:dyDescent="0.2">
      <c r="A14" s="606">
        <v>8</v>
      </c>
      <c r="B14" s="269" t="s">
        <v>11</v>
      </c>
      <c r="C14" s="1243">
        <f>'8_2.1.20 SIS'!AV14</f>
        <v>22373</v>
      </c>
      <c r="D14" s="1241">
        <v>12020</v>
      </c>
      <c r="E14" s="1241">
        <f t="shared" si="22"/>
        <v>2644.4</v>
      </c>
      <c r="F14" s="1241">
        <v>8565.5</v>
      </c>
      <c r="G14" s="1241">
        <f t="shared" si="23"/>
        <v>513.92999999999995</v>
      </c>
      <c r="H14" s="1241">
        <v>3242</v>
      </c>
      <c r="I14" s="1241">
        <f t="shared" si="24"/>
        <v>4863</v>
      </c>
      <c r="J14" s="1241">
        <v>1403</v>
      </c>
      <c r="K14" s="1241">
        <f t="shared" si="25"/>
        <v>841.8</v>
      </c>
      <c r="L14" s="1241">
        <f t="shared" si="1"/>
        <v>0</v>
      </c>
      <c r="M14" s="270">
        <f t="shared" si="2"/>
        <v>0</v>
      </c>
      <c r="N14" s="1241">
        <f t="shared" si="3"/>
        <v>0</v>
      </c>
      <c r="O14" s="1241">
        <f t="shared" si="26"/>
        <v>8863.1299999999992</v>
      </c>
      <c r="P14" s="1241">
        <f t="shared" si="4"/>
        <v>31236.129999999997</v>
      </c>
      <c r="Q14" s="1248">
        <f t="shared" si="27"/>
        <v>4015</v>
      </c>
      <c r="R14" s="1248">
        <f t="shared" si="5"/>
        <v>125413062</v>
      </c>
      <c r="S14" s="1248">
        <f>'6_Local Deduct Calc'!J14</f>
        <v>34906571</v>
      </c>
      <c r="T14" s="1248">
        <f t="shared" si="28"/>
        <v>34906571</v>
      </c>
      <c r="U14" s="1249">
        <f t="shared" si="29"/>
        <v>90506491</v>
      </c>
      <c r="V14" s="271">
        <f t="shared" si="43"/>
        <v>0.72170000000000001</v>
      </c>
      <c r="W14" s="271">
        <f t="shared" si="30"/>
        <v>0.27829999999999999</v>
      </c>
      <c r="X14" s="272">
        <f t="shared" si="6"/>
        <v>1560.2096723729496</v>
      </c>
      <c r="Y14" s="1248">
        <f>'7_Local Revenue'!AS14</f>
        <v>111746932</v>
      </c>
      <c r="Z14" s="1248">
        <f t="shared" si="31"/>
        <v>76840361</v>
      </c>
      <c r="AA14" s="34">
        <f t="shared" si="32"/>
        <v>0</v>
      </c>
      <c r="AB14" s="34">
        <f t="shared" si="7"/>
        <v>42640441.080000006</v>
      </c>
      <c r="AC14" s="34">
        <f t="shared" si="8"/>
        <v>42640441.080000006</v>
      </c>
      <c r="AD14" s="1248">
        <f t="shared" si="9"/>
        <v>20410955.774410084</v>
      </c>
      <c r="AE14" s="1254">
        <f t="shared" si="33"/>
        <v>22229485</v>
      </c>
      <c r="AF14" s="34">
        <f t="shared" si="10"/>
        <v>994</v>
      </c>
      <c r="AG14" s="273">
        <f t="shared" si="34"/>
        <v>0.52129999999999999</v>
      </c>
      <c r="AH14" s="1254">
        <f t="shared" si="11"/>
        <v>112735976</v>
      </c>
      <c r="AI14" s="34">
        <f t="shared" si="12"/>
        <v>5039</v>
      </c>
      <c r="AJ14" s="1254">
        <f>'3A_Level 3'!J14</f>
        <v>3794553</v>
      </c>
      <c r="AK14" s="34">
        <f t="shared" si="13"/>
        <v>169.60412103875206</v>
      </c>
      <c r="AL14" s="1254">
        <f t="shared" si="35"/>
        <v>116530529</v>
      </c>
      <c r="AM14" s="34">
        <f t="shared" si="14"/>
        <v>5208.5339024717296</v>
      </c>
      <c r="AN14" s="1256">
        <f>'3A_Level 3'!K14</f>
        <v>20031981</v>
      </c>
      <c r="AO14" s="275">
        <f t="shared" si="15"/>
        <v>895.36409958432034</v>
      </c>
      <c r="AP14" s="1254">
        <f t="shared" si="36"/>
        <v>132767957</v>
      </c>
      <c r="AQ14" s="34">
        <f t="shared" si="16"/>
        <v>5934.2938810172973</v>
      </c>
      <c r="AR14" s="34">
        <f>'3A_Level 3'!L14</f>
        <v>3239800.5644983905</v>
      </c>
      <c r="AS14" s="1257">
        <f t="shared" si="17"/>
        <v>136007757.56449839</v>
      </c>
      <c r="AT14" s="34">
        <f t="shared" si="18"/>
        <v>6079.1023807490456</v>
      </c>
      <c r="AU14" s="273">
        <f t="shared" si="37"/>
        <v>0.6368752980366984</v>
      </c>
      <c r="AV14" s="274">
        <f t="shared" si="38"/>
        <v>36</v>
      </c>
      <c r="AW14" s="34">
        <f t="shared" si="19"/>
        <v>77547012.079999998</v>
      </c>
      <c r="AX14" s="34">
        <f t="shared" si="20"/>
        <v>3466.1</v>
      </c>
      <c r="AY14" s="274">
        <f t="shared" si="39"/>
        <v>41</v>
      </c>
      <c r="AZ14" s="273">
        <f t="shared" si="40"/>
        <v>0.36312470196330154</v>
      </c>
      <c r="BA14" s="275">
        <f t="shared" si="41"/>
        <v>213554769.64449841</v>
      </c>
      <c r="BB14" s="275">
        <f t="shared" si="21"/>
        <v>9545.2004489562605</v>
      </c>
      <c r="BC14" s="274">
        <f t="shared" si="42"/>
        <v>43</v>
      </c>
    </row>
    <row r="15" spans="1:55" ht="15.6" customHeight="1" x14ac:dyDescent="0.2">
      <c r="A15" s="606">
        <v>9</v>
      </c>
      <c r="B15" s="269" t="s">
        <v>12</v>
      </c>
      <c r="C15" s="1243">
        <f>'8_2.1.20 SIS'!AV15</f>
        <v>37908</v>
      </c>
      <c r="D15" s="1241">
        <v>27195</v>
      </c>
      <c r="E15" s="1241">
        <f t="shared" si="22"/>
        <v>5982.9</v>
      </c>
      <c r="F15" s="1241">
        <v>11683.5</v>
      </c>
      <c r="G15" s="1241">
        <f t="shared" si="23"/>
        <v>701.01</v>
      </c>
      <c r="H15" s="1241">
        <v>4508</v>
      </c>
      <c r="I15" s="1241">
        <f t="shared" si="24"/>
        <v>6762</v>
      </c>
      <c r="J15" s="1241">
        <v>1908</v>
      </c>
      <c r="K15" s="1241">
        <f t="shared" si="25"/>
        <v>1144.8</v>
      </c>
      <c r="L15" s="1241">
        <f t="shared" si="1"/>
        <v>0</v>
      </c>
      <c r="M15" s="270">
        <f t="shared" si="2"/>
        <v>0</v>
      </c>
      <c r="N15" s="1241">
        <f t="shared" si="3"/>
        <v>0</v>
      </c>
      <c r="O15" s="1241">
        <f t="shared" si="26"/>
        <v>14590.71</v>
      </c>
      <c r="P15" s="1241">
        <f t="shared" si="4"/>
        <v>52498.71</v>
      </c>
      <c r="Q15" s="1248">
        <f t="shared" si="27"/>
        <v>4015</v>
      </c>
      <c r="R15" s="1248">
        <f t="shared" si="5"/>
        <v>210782321</v>
      </c>
      <c r="S15" s="1248">
        <f>'6_Local Deduct Calc'!J15</f>
        <v>66911408</v>
      </c>
      <c r="T15" s="1248">
        <f t="shared" si="28"/>
        <v>66911408</v>
      </c>
      <c r="U15" s="1249">
        <f t="shared" si="29"/>
        <v>143870913</v>
      </c>
      <c r="V15" s="271">
        <f t="shared" si="43"/>
        <v>0.68259999999999998</v>
      </c>
      <c r="W15" s="271">
        <f t="shared" si="30"/>
        <v>0.31740000000000002</v>
      </c>
      <c r="X15" s="272">
        <f t="shared" si="6"/>
        <v>1765.0999261369632</v>
      </c>
      <c r="Y15" s="1248">
        <f>'7_Local Revenue'!AS15</f>
        <v>212723005</v>
      </c>
      <c r="Z15" s="1248">
        <f t="shared" si="31"/>
        <v>145811597</v>
      </c>
      <c r="AA15" s="34">
        <f t="shared" si="32"/>
        <v>0</v>
      </c>
      <c r="AB15" s="34">
        <f t="shared" si="7"/>
        <v>71665989.140000001</v>
      </c>
      <c r="AC15" s="34">
        <f t="shared" si="8"/>
        <v>71665989.140000001</v>
      </c>
      <c r="AD15" s="1248">
        <f t="shared" si="9"/>
        <v>39124470.119221918</v>
      </c>
      <c r="AE15" s="1254">
        <f t="shared" si="33"/>
        <v>32541519</v>
      </c>
      <c r="AF15" s="34">
        <f t="shared" si="10"/>
        <v>858</v>
      </c>
      <c r="AG15" s="273">
        <f t="shared" si="34"/>
        <v>0.4541</v>
      </c>
      <c r="AH15" s="1254">
        <f t="shared" si="11"/>
        <v>176412432</v>
      </c>
      <c r="AI15" s="34">
        <f t="shared" si="12"/>
        <v>4654</v>
      </c>
      <c r="AJ15" s="1254">
        <f>'3A_Level 3'!J15</f>
        <v>6429354</v>
      </c>
      <c r="AK15" s="34">
        <f t="shared" si="13"/>
        <v>169.60414688192466</v>
      </c>
      <c r="AL15" s="1254">
        <f t="shared" si="35"/>
        <v>182841786</v>
      </c>
      <c r="AM15" s="34">
        <f t="shared" si="14"/>
        <v>4823.3034188034189</v>
      </c>
      <c r="AN15" s="1256">
        <f>'3A_Level 3'!K15</f>
        <v>34661716</v>
      </c>
      <c r="AO15" s="275">
        <f t="shared" si="15"/>
        <v>914.36414477155222</v>
      </c>
      <c r="AP15" s="1254">
        <f t="shared" si="36"/>
        <v>211074148</v>
      </c>
      <c r="AQ15" s="34">
        <f t="shared" si="16"/>
        <v>5568.0634166930467</v>
      </c>
      <c r="AR15" s="34">
        <f>'3A_Level 3'!L15</f>
        <v>5002569.7756795418</v>
      </c>
      <c r="AS15" s="1257">
        <f t="shared" si="17"/>
        <v>216076717.77567953</v>
      </c>
      <c r="AT15" s="34">
        <f t="shared" si="18"/>
        <v>5700.0294865379219</v>
      </c>
      <c r="AU15" s="273">
        <f t="shared" si="37"/>
        <v>0.60926042780316436</v>
      </c>
      <c r="AV15" s="274">
        <f t="shared" si="38"/>
        <v>40</v>
      </c>
      <c r="AW15" s="34">
        <f t="shared" si="19"/>
        <v>138577397.13999999</v>
      </c>
      <c r="AX15" s="34">
        <f t="shared" si="20"/>
        <v>3655.62</v>
      </c>
      <c r="AY15" s="274">
        <f t="shared" si="39"/>
        <v>34</v>
      </c>
      <c r="AZ15" s="273">
        <f t="shared" si="40"/>
        <v>0.39073957219683558</v>
      </c>
      <c r="BA15" s="275">
        <f t="shared" si="41"/>
        <v>354654114.91567951</v>
      </c>
      <c r="BB15" s="275">
        <f t="shared" si="21"/>
        <v>9355.6535537532855</v>
      </c>
      <c r="BC15" s="274">
        <f t="shared" si="42"/>
        <v>52</v>
      </c>
    </row>
    <row r="16" spans="1:55" ht="15.6" customHeight="1" x14ac:dyDescent="0.2">
      <c r="A16" s="607">
        <v>10</v>
      </c>
      <c r="B16" s="608" t="s">
        <v>13</v>
      </c>
      <c r="C16" s="1244">
        <f>'8_2.1.20 SIS'!AV16</f>
        <v>32719</v>
      </c>
      <c r="D16" s="1245">
        <v>21362</v>
      </c>
      <c r="E16" s="1245">
        <f t="shared" si="22"/>
        <v>4699.6400000000003</v>
      </c>
      <c r="F16" s="1245">
        <v>10971</v>
      </c>
      <c r="G16" s="1245">
        <f t="shared" si="23"/>
        <v>658.26</v>
      </c>
      <c r="H16" s="1245">
        <v>5448</v>
      </c>
      <c r="I16" s="1245">
        <f t="shared" si="24"/>
        <v>8172</v>
      </c>
      <c r="J16" s="1245">
        <v>941</v>
      </c>
      <c r="K16" s="1245">
        <f t="shared" si="25"/>
        <v>564.6</v>
      </c>
      <c r="L16" s="1245">
        <f t="shared" si="1"/>
        <v>0</v>
      </c>
      <c r="M16" s="609">
        <f t="shared" si="2"/>
        <v>0</v>
      </c>
      <c r="N16" s="1245">
        <f t="shared" si="3"/>
        <v>0</v>
      </c>
      <c r="O16" s="1245">
        <f t="shared" si="26"/>
        <v>14094.500000000002</v>
      </c>
      <c r="P16" s="1247">
        <f t="shared" si="4"/>
        <v>46813.5</v>
      </c>
      <c r="Q16" s="1250">
        <f t="shared" si="27"/>
        <v>4015</v>
      </c>
      <c r="R16" s="1250">
        <f t="shared" si="5"/>
        <v>187956203</v>
      </c>
      <c r="S16" s="1250">
        <f>'6_Local Deduct Calc'!J16</f>
        <v>85775735</v>
      </c>
      <c r="T16" s="1250">
        <f t="shared" si="28"/>
        <v>85775735</v>
      </c>
      <c r="U16" s="1251">
        <f t="shared" si="29"/>
        <v>102180468</v>
      </c>
      <c r="V16" s="610">
        <f t="shared" si="43"/>
        <v>0.54359999999999997</v>
      </c>
      <c r="W16" s="544">
        <f t="shared" si="30"/>
        <v>0.45639999999999997</v>
      </c>
      <c r="X16" s="545">
        <f t="shared" si="6"/>
        <v>2621.5879152785842</v>
      </c>
      <c r="Y16" s="1250">
        <f>'7_Local Revenue'!AS16</f>
        <v>239983571</v>
      </c>
      <c r="Z16" s="1250">
        <f>IF(Y16-T16&gt;0,Y16-T16,0)</f>
        <v>154207836</v>
      </c>
      <c r="AA16" s="611">
        <f t="shared" si="32"/>
        <v>0</v>
      </c>
      <c r="AB16" s="611">
        <f t="shared" si="7"/>
        <v>63905109.020000003</v>
      </c>
      <c r="AC16" s="611">
        <f t="shared" si="8"/>
        <v>63905109.020000003</v>
      </c>
      <c r="AD16" s="1250">
        <f t="shared" si="9"/>
        <v>50166021.821572155</v>
      </c>
      <c r="AE16" s="1255">
        <f t="shared" si="33"/>
        <v>13739087</v>
      </c>
      <c r="AF16" s="611">
        <f t="shared" si="10"/>
        <v>420</v>
      </c>
      <c r="AG16" s="612">
        <f t="shared" si="34"/>
        <v>0.215</v>
      </c>
      <c r="AH16" s="1255">
        <f t="shared" si="11"/>
        <v>115919555</v>
      </c>
      <c r="AI16" s="611">
        <f t="shared" si="12"/>
        <v>3543</v>
      </c>
      <c r="AJ16" s="1255">
        <f>'3A_Level 3'!J16</f>
        <v>5549278</v>
      </c>
      <c r="AK16" s="611">
        <f t="shared" si="13"/>
        <v>169.60414438094074</v>
      </c>
      <c r="AL16" s="1255">
        <f t="shared" si="35"/>
        <v>121468833</v>
      </c>
      <c r="AM16" s="611">
        <f t="shared" si="14"/>
        <v>3712.4861089886608</v>
      </c>
      <c r="AN16" s="1258">
        <f>'3A_Level 3'!K16</f>
        <v>25443739</v>
      </c>
      <c r="AO16" s="614">
        <f t="shared" si="15"/>
        <v>777.64415171612825</v>
      </c>
      <c r="AP16" s="1255">
        <f t="shared" si="36"/>
        <v>141363294</v>
      </c>
      <c r="AQ16" s="611">
        <f t="shared" si="16"/>
        <v>4320.5261163238483</v>
      </c>
      <c r="AR16" s="1259">
        <f>'3A_Level 3'!L16</f>
        <v>5139439.2190973526</v>
      </c>
      <c r="AS16" s="1260">
        <f t="shared" si="17"/>
        <v>146502733.21909735</v>
      </c>
      <c r="AT16" s="1261">
        <f t="shared" si="18"/>
        <v>4477.6042427671182</v>
      </c>
      <c r="AU16" s="612">
        <f t="shared" si="37"/>
        <v>0.49463489699441182</v>
      </c>
      <c r="AV16" s="613">
        <f t="shared" si="38"/>
        <v>56</v>
      </c>
      <c r="AW16" s="611">
        <f t="shared" si="19"/>
        <v>149680844.02000001</v>
      </c>
      <c r="AX16" s="611">
        <f t="shared" si="20"/>
        <v>4574.74</v>
      </c>
      <c r="AY16" s="613">
        <f t="shared" si="39"/>
        <v>15</v>
      </c>
      <c r="AZ16" s="612">
        <f t="shared" si="40"/>
        <v>0.50536510300558812</v>
      </c>
      <c r="BA16" s="614">
        <f t="shared" si="41"/>
        <v>296183577.23909736</v>
      </c>
      <c r="BB16" s="614">
        <f t="shared" si="21"/>
        <v>9052.3419798617724</v>
      </c>
      <c r="BC16" s="613">
        <f t="shared" si="42"/>
        <v>59</v>
      </c>
    </row>
    <row r="17" spans="1:55" ht="15.6" customHeight="1" x14ac:dyDescent="0.2">
      <c r="A17" s="606">
        <v>11</v>
      </c>
      <c r="B17" s="269" t="s">
        <v>14</v>
      </c>
      <c r="C17" s="1241">
        <f>'8_2.1.20 SIS'!AV17</f>
        <v>1545</v>
      </c>
      <c r="D17" s="1241">
        <v>1132</v>
      </c>
      <c r="E17" s="1241">
        <f t="shared" si="22"/>
        <v>249.04</v>
      </c>
      <c r="F17" s="1241">
        <v>945</v>
      </c>
      <c r="G17" s="1241">
        <f t="shared" si="23"/>
        <v>56.699999999999996</v>
      </c>
      <c r="H17" s="1241">
        <v>279</v>
      </c>
      <c r="I17" s="1241">
        <f t="shared" si="24"/>
        <v>418.5</v>
      </c>
      <c r="J17" s="1241">
        <v>50</v>
      </c>
      <c r="K17" s="1241">
        <f t="shared" si="25"/>
        <v>30</v>
      </c>
      <c r="L17" s="1242">
        <f t="shared" si="1"/>
        <v>5955</v>
      </c>
      <c r="M17" s="270">
        <f t="shared" si="2"/>
        <v>0.1588</v>
      </c>
      <c r="N17" s="1241">
        <f t="shared" si="3"/>
        <v>245.346</v>
      </c>
      <c r="O17" s="1241">
        <f t="shared" si="26"/>
        <v>999.58600000000001</v>
      </c>
      <c r="P17" s="1241">
        <f t="shared" si="4"/>
        <v>2544.5860000000002</v>
      </c>
      <c r="Q17" s="1248">
        <f t="shared" si="27"/>
        <v>4015</v>
      </c>
      <c r="R17" s="1248">
        <f t="shared" si="5"/>
        <v>10216513</v>
      </c>
      <c r="S17" s="1248">
        <f>'6_Local Deduct Calc'!J17</f>
        <v>1817670</v>
      </c>
      <c r="T17" s="1252">
        <f t="shared" si="28"/>
        <v>1817670</v>
      </c>
      <c r="U17" s="1249">
        <f t="shared" si="29"/>
        <v>8398843</v>
      </c>
      <c r="V17" s="271">
        <f t="shared" si="43"/>
        <v>0.82210000000000005</v>
      </c>
      <c r="W17" s="271">
        <f t="shared" si="30"/>
        <v>0.1779</v>
      </c>
      <c r="X17" s="272">
        <f t="shared" si="6"/>
        <v>1176.485436893204</v>
      </c>
      <c r="Y17" s="1248">
        <f>'7_Local Revenue'!AS17</f>
        <v>5545746</v>
      </c>
      <c r="Z17" s="1248">
        <f t="shared" si="31"/>
        <v>3728076</v>
      </c>
      <c r="AA17" s="34">
        <f t="shared" si="32"/>
        <v>0</v>
      </c>
      <c r="AB17" s="34">
        <f t="shared" si="7"/>
        <v>3473614.4200000004</v>
      </c>
      <c r="AC17" s="34">
        <f t="shared" si="8"/>
        <v>3473614.4200000004</v>
      </c>
      <c r="AD17" s="1248">
        <f t="shared" si="9"/>
        <v>1062884.3291469601</v>
      </c>
      <c r="AE17" s="1254">
        <f t="shared" si="33"/>
        <v>2410730</v>
      </c>
      <c r="AF17" s="34">
        <f t="shared" si="10"/>
        <v>1560</v>
      </c>
      <c r="AG17" s="273">
        <f t="shared" si="34"/>
        <v>0.69399999999999995</v>
      </c>
      <c r="AH17" s="1254">
        <f t="shared" si="11"/>
        <v>10809573</v>
      </c>
      <c r="AI17" s="34">
        <f t="shared" si="12"/>
        <v>6996</v>
      </c>
      <c r="AJ17" s="1254">
        <f>'3A_Level 3'!J17</f>
        <v>262038</v>
      </c>
      <c r="AK17" s="34">
        <f t="shared" si="13"/>
        <v>169.60388349514562</v>
      </c>
      <c r="AL17" s="1254">
        <f t="shared" si="35"/>
        <v>11071611</v>
      </c>
      <c r="AM17" s="34">
        <f t="shared" si="14"/>
        <v>7166.0912621359221</v>
      </c>
      <c r="AN17" s="1256">
        <f>'3A_Level 3'!K17</f>
        <v>1353658</v>
      </c>
      <c r="AO17" s="275">
        <f t="shared" si="15"/>
        <v>876.15404530744331</v>
      </c>
      <c r="AP17" s="1254">
        <f t="shared" si="36"/>
        <v>12163231</v>
      </c>
      <c r="AQ17" s="34">
        <f t="shared" si="16"/>
        <v>7872.6414239482201</v>
      </c>
      <c r="AR17" s="34">
        <f>'3A_Level 3'!L17</f>
        <v>270406.44034334761</v>
      </c>
      <c r="AS17" s="1257">
        <f t="shared" si="17"/>
        <v>12433637.440343348</v>
      </c>
      <c r="AT17" s="34">
        <f t="shared" si="18"/>
        <v>8047.6617736850149</v>
      </c>
      <c r="AU17" s="273">
        <f t="shared" si="37"/>
        <v>0.70147770118872033</v>
      </c>
      <c r="AV17" s="274">
        <f t="shared" si="38"/>
        <v>15</v>
      </c>
      <c r="AW17" s="34">
        <f t="shared" si="19"/>
        <v>5291284.42</v>
      </c>
      <c r="AX17" s="34">
        <f t="shared" si="20"/>
        <v>3424.78</v>
      </c>
      <c r="AY17" s="274">
        <f t="shared" si="39"/>
        <v>42</v>
      </c>
      <c r="AZ17" s="273">
        <f t="shared" si="40"/>
        <v>0.29852229881127967</v>
      </c>
      <c r="BA17" s="275">
        <f t="shared" si="41"/>
        <v>17724921.860343348</v>
      </c>
      <c r="BB17" s="275">
        <f t="shared" si="21"/>
        <v>11472.441333555566</v>
      </c>
      <c r="BC17" s="274">
        <f t="shared" si="42"/>
        <v>4</v>
      </c>
    </row>
    <row r="18" spans="1:55" ht="15.6" customHeight="1" x14ac:dyDescent="0.2">
      <c r="A18" s="606">
        <v>12</v>
      </c>
      <c r="B18" s="269" t="s">
        <v>15</v>
      </c>
      <c r="C18" s="1243">
        <f>'8_2.1.20 SIS'!AV18</f>
        <v>1282</v>
      </c>
      <c r="D18" s="1241">
        <v>687</v>
      </c>
      <c r="E18" s="1241">
        <f t="shared" si="22"/>
        <v>151.14000000000001</v>
      </c>
      <c r="F18" s="1241">
        <v>583</v>
      </c>
      <c r="G18" s="1241">
        <f t="shared" si="23"/>
        <v>34.979999999999997</v>
      </c>
      <c r="H18" s="1241">
        <v>201</v>
      </c>
      <c r="I18" s="1241">
        <f t="shared" si="24"/>
        <v>301.5</v>
      </c>
      <c r="J18" s="1241">
        <v>75</v>
      </c>
      <c r="K18" s="1241">
        <f t="shared" si="25"/>
        <v>45</v>
      </c>
      <c r="L18" s="1241">
        <f t="shared" si="1"/>
        <v>6218</v>
      </c>
      <c r="M18" s="270">
        <f t="shared" si="2"/>
        <v>0.16581000000000001</v>
      </c>
      <c r="N18" s="1241">
        <f t="shared" si="3"/>
        <v>212.56842</v>
      </c>
      <c r="O18" s="1241">
        <f t="shared" si="26"/>
        <v>745.18841999999995</v>
      </c>
      <c r="P18" s="1241">
        <f t="shared" si="4"/>
        <v>2027.18842</v>
      </c>
      <c r="Q18" s="1248">
        <f t="shared" si="27"/>
        <v>4015</v>
      </c>
      <c r="R18" s="1248">
        <f t="shared" si="5"/>
        <v>8139162</v>
      </c>
      <c r="S18" s="1248">
        <f>'6_Local Deduct Calc'!J18</f>
        <v>6054902</v>
      </c>
      <c r="T18" s="1248">
        <f t="shared" si="28"/>
        <v>6054902</v>
      </c>
      <c r="U18" s="1249">
        <f t="shared" si="29"/>
        <v>2084260</v>
      </c>
      <c r="V18" s="271">
        <f t="shared" si="43"/>
        <v>0.25609999999999999</v>
      </c>
      <c r="W18" s="271">
        <f t="shared" si="30"/>
        <v>0.74390000000000001</v>
      </c>
      <c r="X18" s="272">
        <f t="shared" si="6"/>
        <v>4723.0124804992201</v>
      </c>
      <c r="Y18" s="1248">
        <f>'7_Local Revenue'!AS18</f>
        <v>9681650</v>
      </c>
      <c r="Z18" s="1248">
        <f t="shared" si="31"/>
        <v>3626748</v>
      </c>
      <c r="AA18" s="34">
        <f t="shared" si="32"/>
        <v>0</v>
      </c>
      <c r="AB18" s="34">
        <f t="shared" si="7"/>
        <v>2767315.08</v>
      </c>
      <c r="AC18" s="34">
        <f t="shared" si="8"/>
        <v>2767315.08</v>
      </c>
      <c r="AD18" s="1248">
        <f t="shared" si="9"/>
        <v>3540801.7833806402</v>
      </c>
      <c r="AE18" s="1254">
        <f t="shared" si="33"/>
        <v>0</v>
      </c>
      <c r="AF18" s="34">
        <f t="shared" si="10"/>
        <v>0</v>
      </c>
      <c r="AG18" s="273">
        <f t="shared" si="34"/>
        <v>0</v>
      </c>
      <c r="AH18" s="1254">
        <f t="shared" si="11"/>
        <v>2084260</v>
      </c>
      <c r="AI18" s="34">
        <f t="shared" si="12"/>
        <v>1626</v>
      </c>
      <c r="AJ18" s="1254">
        <f>'3A_Level 3'!J18</f>
        <v>217433</v>
      </c>
      <c r="AK18" s="34">
        <f t="shared" si="13"/>
        <v>169.60452418096725</v>
      </c>
      <c r="AL18" s="1254">
        <f t="shared" si="35"/>
        <v>2301693</v>
      </c>
      <c r="AM18" s="34">
        <f t="shared" si="14"/>
        <v>1795.3923556942277</v>
      </c>
      <c r="AN18" s="1256">
        <f>'3A_Level 3'!K18</f>
        <v>1580596</v>
      </c>
      <c r="AO18" s="275">
        <f t="shared" si="15"/>
        <v>1232.9141965678627</v>
      </c>
      <c r="AP18" s="1254">
        <f t="shared" si="36"/>
        <v>3664856</v>
      </c>
      <c r="AQ18" s="34">
        <f t="shared" si="16"/>
        <v>2858.7020280811234</v>
      </c>
      <c r="AR18" s="34">
        <f>'3A_Level 3'!L18</f>
        <v>271201.12056624668</v>
      </c>
      <c r="AS18" s="1257">
        <f t="shared" si="17"/>
        <v>3936057.1205662466</v>
      </c>
      <c r="AT18" s="34">
        <f t="shared" si="18"/>
        <v>3070.2473639362297</v>
      </c>
      <c r="AU18" s="273">
        <f t="shared" si="37"/>
        <v>0.30851015260289305</v>
      </c>
      <c r="AV18" s="274">
        <f t="shared" si="38"/>
        <v>68</v>
      </c>
      <c r="AW18" s="34">
        <f t="shared" si="19"/>
        <v>8822217.0800000001</v>
      </c>
      <c r="AX18" s="34">
        <f t="shared" si="20"/>
        <v>6881.6</v>
      </c>
      <c r="AY18" s="274">
        <f t="shared" si="39"/>
        <v>1</v>
      </c>
      <c r="AZ18" s="273">
        <f t="shared" si="40"/>
        <v>0.69148984739710684</v>
      </c>
      <c r="BA18" s="275">
        <f t="shared" si="41"/>
        <v>12758274.200566247</v>
      </c>
      <c r="BB18" s="275">
        <f t="shared" si="21"/>
        <v>9951.8519505196928</v>
      </c>
      <c r="BC18" s="274">
        <f t="shared" si="42"/>
        <v>28</v>
      </c>
    </row>
    <row r="19" spans="1:55" ht="15.6" customHeight="1" x14ac:dyDescent="0.2">
      <c r="A19" s="606">
        <v>13</v>
      </c>
      <c r="B19" s="269" t="s">
        <v>16</v>
      </c>
      <c r="C19" s="1243">
        <f>'8_2.1.20 SIS'!AV19</f>
        <v>1202</v>
      </c>
      <c r="D19" s="1241">
        <v>958</v>
      </c>
      <c r="E19" s="1241">
        <f t="shared" si="22"/>
        <v>210.76</v>
      </c>
      <c r="F19" s="1241">
        <v>629.5</v>
      </c>
      <c r="G19" s="1241">
        <f t="shared" si="23"/>
        <v>37.769999999999996</v>
      </c>
      <c r="H19" s="1241">
        <v>167</v>
      </c>
      <c r="I19" s="1241">
        <f t="shared" si="24"/>
        <v>250.5</v>
      </c>
      <c r="J19" s="1241">
        <v>5</v>
      </c>
      <c r="K19" s="1241">
        <f t="shared" si="25"/>
        <v>3</v>
      </c>
      <c r="L19" s="1241">
        <f t="shared" si="1"/>
        <v>6298</v>
      </c>
      <c r="M19" s="270">
        <f t="shared" si="2"/>
        <v>0.16794999999999999</v>
      </c>
      <c r="N19" s="1241">
        <f t="shared" si="3"/>
        <v>201.87589999999997</v>
      </c>
      <c r="O19" s="1241">
        <f t="shared" si="26"/>
        <v>703.90589999999997</v>
      </c>
      <c r="P19" s="1241">
        <f t="shared" si="4"/>
        <v>1905.9059</v>
      </c>
      <c r="Q19" s="1248">
        <f t="shared" si="27"/>
        <v>4015</v>
      </c>
      <c r="R19" s="1248">
        <f t="shared" si="5"/>
        <v>7652212</v>
      </c>
      <c r="S19" s="1248">
        <f>'6_Local Deduct Calc'!J19</f>
        <v>1346928</v>
      </c>
      <c r="T19" s="1248">
        <f t="shared" si="28"/>
        <v>1346928</v>
      </c>
      <c r="U19" s="1249">
        <f t="shared" si="29"/>
        <v>6305284</v>
      </c>
      <c r="V19" s="271">
        <f t="shared" si="43"/>
        <v>0.82399999999999995</v>
      </c>
      <c r="W19" s="271">
        <f t="shared" si="30"/>
        <v>0.17599999999999999</v>
      </c>
      <c r="X19" s="272">
        <f t="shared" si="6"/>
        <v>1120.5723793677205</v>
      </c>
      <c r="Y19" s="1248">
        <f>'7_Local Revenue'!AS19</f>
        <v>3670203</v>
      </c>
      <c r="Z19" s="1248">
        <f t="shared" si="31"/>
        <v>2323275</v>
      </c>
      <c r="AA19" s="34">
        <f t="shared" si="32"/>
        <v>0</v>
      </c>
      <c r="AB19" s="34">
        <f t="shared" si="7"/>
        <v>2601752.08</v>
      </c>
      <c r="AC19" s="34">
        <f t="shared" si="8"/>
        <v>2323275</v>
      </c>
      <c r="AD19" s="1248">
        <f t="shared" si="9"/>
        <v>703301.80799999996</v>
      </c>
      <c r="AE19" s="1254">
        <f t="shared" si="33"/>
        <v>1619973</v>
      </c>
      <c r="AF19" s="34">
        <f t="shared" si="10"/>
        <v>1348</v>
      </c>
      <c r="AG19" s="273">
        <f t="shared" si="34"/>
        <v>0.69730000000000003</v>
      </c>
      <c r="AH19" s="1254">
        <f t="shared" si="11"/>
        <v>7925257</v>
      </c>
      <c r="AI19" s="34">
        <f t="shared" si="12"/>
        <v>6593</v>
      </c>
      <c r="AJ19" s="1254">
        <f>'3A_Level 3'!J19</f>
        <v>203864</v>
      </c>
      <c r="AK19" s="34">
        <f t="shared" si="13"/>
        <v>169.60399334442596</v>
      </c>
      <c r="AL19" s="1254">
        <f t="shared" si="35"/>
        <v>8129121</v>
      </c>
      <c r="AM19" s="34">
        <f t="shared" si="14"/>
        <v>6762.9958402662232</v>
      </c>
      <c r="AN19" s="1256">
        <f>'3A_Level 3'!K19</f>
        <v>1104679</v>
      </c>
      <c r="AO19" s="275">
        <f t="shared" si="15"/>
        <v>919.03410981697175</v>
      </c>
      <c r="AP19" s="1254">
        <f t="shared" si="36"/>
        <v>9029936</v>
      </c>
      <c r="AQ19" s="34">
        <f t="shared" si="16"/>
        <v>7512.4259567387689</v>
      </c>
      <c r="AR19" s="34">
        <f>'3A_Level 3'!L19</f>
        <v>188888.10395747004</v>
      </c>
      <c r="AS19" s="1257">
        <f t="shared" si="17"/>
        <v>9218824.1039574705</v>
      </c>
      <c r="AT19" s="34">
        <f t="shared" si="18"/>
        <v>7669.5708019612903</v>
      </c>
      <c r="AU19" s="273">
        <f t="shared" si="37"/>
        <v>0.71524592427359435</v>
      </c>
      <c r="AV19" s="274">
        <f t="shared" si="38"/>
        <v>10</v>
      </c>
      <c r="AW19" s="34">
        <f t="shared" si="19"/>
        <v>3670203</v>
      </c>
      <c r="AX19" s="34">
        <f t="shared" si="20"/>
        <v>3053.41</v>
      </c>
      <c r="AY19" s="274">
        <f t="shared" si="39"/>
        <v>53</v>
      </c>
      <c r="AZ19" s="273">
        <f t="shared" si="40"/>
        <v>0.2847540757264056</v>
      </c>
      <c r="BA19" s="275">
        <f t="shared" si="41"/>
        <v>12889027.103957471</v>
      </c>
      <c r="BB19" s="275">
        <f t="shared" si="21"/>
        <v>10722.984279498727</v>
      </c>
      <c r="BC19" s="274">
        <f t="shared" si="42"/>
        <v>9</v>
      </c>
    </row>
    <row r="20" spans="1:55" ht="15.6" customHeight="1" x14ac:dyDescent="0.2">
      <c r="A20" s="606">
        <v>14</v>
      </c>
      <c r="B20" s="269" t="s">
        <v>17</v>
      </c>
      <c r="C20" s="1243">
        <f>'8_2.1.20 SIS'!AV20</f>
        <v>1708</v>
      </c>
      <c r="D20" s="1241">
        <v>1419</v>
      </c>
      <c r="E20" s="1241">
        <f t="shared" si="22"/>
        <v>312.18</v>
      </c>
      <c r="F20" s="1241">
        <v>786.5</v>
      </c>
      <c r="G20" s="1241">
        <f t="shared" si="23"/>
        <v>47.19</v>
      </c>
      <c r="H20" s="1241">
        <v>402</v>
      </c>
      <c r="I20" s="1241">
        <f t="shared" si="24"/>
        <v>603</v>
      </c>
      <c r="J20" s="1241">
        <v>147</v>
      </c>
      <c r="K20" s="1241">
        <f t="shared" si="25"/>
        <v>88.2</v>
      </c>
      <c r="L20" s="1241">
        <f t="shared" si="1"/>
        <v>5792</v>
      </c>
      <c r="M20" s="270">
        <f t="shared" si="2"/>
        <v>0.15445</v>
      </c>
      <c r="N20" s="1241">
        <f t="shared" si="3"/>
        <v>263.80060000000003</v>
      </c>
      <c r="O20" s="1241">
        <f t="shared" si="26"/>
        <v>1314.3706</v>
      </c>
      <c r="P20" s="1241">
        <f t="shared" si="4"/>
        <v>3022.3706000000002</v>
      </c>
      <c r="Q20" s="1248">
        <f t="shared" si="27"/>
        <v>4015</v>
      </c>
      <c r="R20" s="1248">
        <f t="shared" si="5"/>
        <v>12134818</v>
      </c>
      <c r="S20" s="1248">
        <f>'6_Local Deduct Calc'!J20</f>
        <v>3007267</v>
      </c>
      <c r="T20" s="1248">
        <f t="shared" si="28"/>
        <v>3007267</v>
      </c>
      <c r="U20" s="1249">
        <f t="shared" si="29"/>
        <v>9127551</v>
      </c>
      <c r="V20" s="271">
        <f t="shared" si="43"/>
        <v>0.75219999999999998</v>
      </c>
      <c r="W20" s="271">
        <f t="shared" si="30"/>
        <v>0.24779999999999999</v>
      </c>
      <c r="X20" s="272">
        <f t="shared" si="6"/>
        <v>1760.6949648711943</v>
      </c>
      <c r="Y20" s="1248">
        <f>'7_Local Revenue'!AS20</f>
        <v>7124038</v>
      </c>
      <c r="Z20" s="1248">
        <f t="shared" si="31"/>
        <v>4116771</v>
      </c>
      <c r="AA20" s="34">
        <f t="shared" si="32"/>
        <v>0</v>
      </c>
      <c r="AB20" s="34">
        <f t="shared" si="7"/>
        <v>4125838.12</v>
      </c>
      <c r="AC20" s="34">
        <f t="shared" si="8"/>
        <v>4116771</v>
      </c>
      <c r="AD20" s="1248">
        <f t="shared" si="9"/>
        <v>1754633.668536</v>
      </c>
      <c r="AE20" s="1254">
        <f t="shared" si="33"/>
        <v>2362137</v>
      </c>
      <c r="AF20" s="34">
        <f t="shared" si="10"/>
        <v>1383</v>
      </c>
      <c r="AG20" s="273">
        <f t="shared" si="34"/>
        <v>0.57379999999999998</v>
      </c>
      <c r="AH20" s="1254">
        <f t="shared" si="11"/>
        <v>11489688</v>
      </c>
      <c r="AI20" s="34">
        <f t="shared" si="12"/>
        <v>6727</v>
      </c>
      <c r="AJ20" s="1254">
        <f>'3A_Level 3'!J20</f>
        <v>289684</v>
      </c>
      <c r="AK20" s="34">
        <f t="shared" si="13"/>
        <v>169.60421545667447</v>
      </c>
      <c r="AL20" s="1254">
        <f t="shared" si="35"/>
        <v>11779372</v>
      </c>
      <c r="AM20" s="34">
        <f t="shared" si="14"/>
        <v>6896.5878220140512</v>
      </c>
      <c r="AN20" s="1256">
        <f>'3A_Level 3'!K20</f>
        <v>1673130</v>
      </c>
      <c r="AO20" s="275">
        <f t="shared" si="15"/>
        <v>979.58430913348946</v>
      </c>
      <c r="AP20" s="1254">
        <f t="shared" si="36"/>
        <v>13162818</v>
      </c>
      <c r="AQ20" s="34">
        <f t="shared" si="16"/>
        <v>7706.5679156908664</v>
      </c>
      <c r="AR20" s="34">
        <f>'3A_Level 3'!L20</f>
        <v>272241.35647589137</v>
      </c>
      <c r="AS20" s="1257">
        <f t="shared" si="17"/>
        <v>13435059.356475892</v>
      </c>
      <c r="AT20" s="34">
        <f t="shared" si="18"/>
        <v>7865.9598105830746</v>
      </c>
      <c r="AU20" s="273">
        <f t="shared" si="37"/>
        <v>0.65348488425947338</v>
      </c>
      <c r="AV20" s="274">
        <f t="shared" si="38"/>
        <v>28</v>
      </c>
      <c r="AW20" s="34">
        <f t="shared" si="19"/>
        <v>7124038</v>
      </c>
      <c r="AX20" s="34">
        <f t="shared" si="20"/>
        <v>4170.9799999999996</v>
      </c>
      <c r="AY20" s="274">
        <f t="shared" si="39"/>
        <v>22</v>
      </c>
      <c r="AZ20" s="273">
        <f t="shared" si="40"/>
        <v>0.34651511574052674</v>
      </c>
      <c r="BA20" s="275">
        <f t="shared" si="41"/>
        <v>20559097.35647589</v>
      </c>
      <c r="BB20" s="275">
        <f t="shared" si="21"/>
        <v>12036.942246180262</v>
      </c>
      <c r="BC20" s="274">
        <f t="shared" si="42"/>
        <v>1</v>
      </c>
    </row>
    <row r="21" spans="1:55" ht="15.6" customHeight="1" x14ac:dyDescent="0.2">
      <c r="A21" s="607">
        <v>15</v>
      </c>
      <c r="B21" s="608" t="s">
        <v>18</v>
      </c>
      <c r="C21" s="1244">
        <f>'8_2.1.20 SIS'!AV21</f>
        <v>3522</v>
      </c>
      <c r="D21" s="1245">
        <v>2869</v>
      </c>
      <c r="E21" s="1245">
        <f t="shared" si="22"/>
        <v>631.17999999999995</v>
      </c>
      <c r="F21" s="1245">
        <v>1849.5</v>
      </c>
      <c r="G21" s="1245">
        <f t="shared" si="23"/>
        <v>110.97</v>
      </c>
      <c r="H21" s="1245">
        <v>431</v>
      </c>
      <c r="I21" s="1245">
        <f t="shared" si="24"/>
        <v>646.5</v>
      </c>
      <c r="J21" s="1245">
        <v>123</v>
      </c>
      <c r="K21" s="1245">
        <f t="shared" si="25"/>
        <v>73.8</v>
      </c>
      <c r="L21" s="1245">
        <f t="shared" si="1"/>
        <v>3978</v>
      </c>
      <c r="M21" s="609">
        <f t="shared" si="2"/>
        <v>0.10607999999999999</v>
      </c>
      <c r="N21" s="1245">
        <f t="shared" si="3"/>
        <v>373.61375999999996</v>
      </c>
      <c r="O21" s="1245">
        <f t="shared" si="26"/>
        <v>1836.06376</v>
      </c>
      <c r="P21" s="1247">
        <f t="shared" si="4"/>
        <v>5358.06376</v>
      </c>
      <c r="Q21" s="1250">
        <f t="shared" si="27"/>
        <v>4015</v>
      </c>
      <c r="R21" s="1250">
        <f t="shared" si="5"/>
        <v>21512626</v>
      </c>
      <c r="S21" s="1250">
        <f>'6_Local Deduct Calc'!J21</f>
        <v>4098326</v>
      </c>
      <c r="T21" s="1250">
        <f t="shared" si="28"/>
        <v>4098326</v>
      </c>
      <c r="U21" s="1251">
        <f t="shared" si="29"/>
        <v>17414300</v>
      </c>
      <c r="V21" s="610">
        <f t="shared" si="43"/>
        <v>0.8095</v>
      </c>
      <c r="W21" s="544">
        <f t="shared" si="30"/>
        <v>0.1905</v>
      </c>
      <c r="X21" s="545">
        <f t="shared" si="6"/>
        <v>1163.6360022714366</v>
      </c>
      <c r="Y21" s="1250">
        <f>'7_Local Revenue'!AS21</f>
        <v>10908378</v>
      </c>
      <c r="Z21" s="1250">
        <f t="shared" si="31"/>
        <v>6810052</v>
      </c>
      <c r="AA21" s="611">
        <f t="shared" si="32"/>
        <v>0</v>
      </c>
      <c r="AB21" s="611">
        <f t="shared" si="7"/>
        <v>7314292.8400000008</v>
      </c>
      <c r="AC21" s="611">
        <f t="shared" si="8"/>
        <v>6810052</v>
      </c>
      <c r="AD21" s="1250">
        <f t="shared" si="9"/>
        <v>2231381.6383199999</v>
      </c>
      <c r="AE21" s="1255">
        <f t="shared" si="33"/>
        <v>4578670</v>
      </c>
      <c r="AF21" s="611">
        <f t="shared" si="10"/>
        <v>1300</v>
      </c>
      <c r="AG21" s="612">
        <f t="shared" si="34"/>
        <v>0.67230000000000001</v>
      </c>
      <c r="AH21" s="1255">
        <f t="shared" si="11"/>
        <v>21992970</v>
      </c>
      <c r="AI21" s="611">
        <f t="shared" si="12"/>
        <v>6244</v>
      </c>
      <c r="AJ21" s="1255">
        <f>'3A_Level 3'!J21</f>
        <v>352200</v>
      </c>
      <c r="AK21" s="611">
        <f t="shared" si="13"/>
        <v>100</v>
      </c>
      <c r="AL21" s="1255">
        <f t="shared" si="35"/>
        <v>22345170</v>
      </c>
      <c r="AM21" s="611">
        <f t="shared" si="14"/>
        <v>6344.4548551959115</v>
      </c>
      <c r="AN21" s="1258">
        <f>'3A_Level 3'!K21</f>
        <v>2302684</v>
      </c>
      <c r="AO21" s="614">
        <f t="shared" si="15"/>
        <v>653.80011357183423</v>
      </c>
      <c r="AP21" s="1255">
        <f t="shared" si="36"/>
        <v>24295654</v>
      </c>
      <c r="AQ21" s="611">
        <f t="shared" si="16"/>
        <v>6898.2549687677456</v>
      </c>
      <c r="AR21" s="1259">
        <f>'3A_Level 3'!L21</f>
        <v>548159.21147976175</v>
      </c>
      <c r="AS21" s="1260">
        <f t="shared" si="17"/>
        <v>24843813.211479761</v>
      </c>
      <c r="AT21" s="1261">
        <f t="shared" si="18"/>
        <v>7053.8935864508121</v>
      </c>
      <c r="AU21" s="612">
        <f t="shared" si="37"/>
        <v>0.69488924649470429</v>
      </c>
      <c r="AV21" s="613">
        <f t="shared" si="38"/>
        <v>19</v>
      </c>
      <c r="AW21" s="611">
        <f t="shared" si="19"/>
        <v>10908378</v>
      </c>
      <c r="AX21" s="611">
        <f t="shared" si="20"/>
        <v>3097.21</v>
      </c>
      <c r="AY21" s="613">
        <f t="shared" si="39"/>
        <v>52</v>
      </c>
      <c r="AZ21" s="612">
        <f t="shared" si="40"/>
        <v>0.30511075350529571</v>
      </c>
      <c r="BA21" s="614">
        <f t="shared" si="41"/>
        <v>35752191.211479761</v>
      </c>
      <c r="BB21" s="614">
        <f t="shared" si="21"/>
        <v>10151.104830062397</v>
      </c>
      <c r="BC21" s="613">
        <f t="shared" si="42"/>
        <v>16</v>
      </c>
    </row>
    <row r="22" spans="1:55" ht="15.6" customHeight="1" x14ac:dyDescent="0.2">
      <c r="A22" s="606">
        <v>16</v>
      </c>
      <c r="B22" s="269" t="s">
        <v>19</v>
      </c>
      <c r="C22" s="1243">
        <f>'8_2.1.20 SIS'!AV22</f>
        <v>4807</v>
      </c>
      <c r="D22" s="1241">
        <v>2906</v>
      </c>
      <c r="E22" s="1241">
        <f t="shared" si="22"/>
        <v>639.32000000000005</v>
      </c>
      <c r="F22" s="1241">
        <v>2410</v>
      </c>
      <c r="G22" s="1241">
        <f t="shared" si="23"/>
        <v>144.6</v>
      </c>
      <c r="H22" s="1241">
        <v>509</v>
      </c>
      <c r="I22" s="1241">
        <f t="shared" si="24"/>
        <v>763.5</v>
      </c>
      <c r="J22" s="1241">
        <v>245</v>
      </c>
      <c r="K22" s="1241">
        <f t="shared" si="25"/>
        <v>147</v>
      </c>
      <c r="L22" s="1242">
        <f t="shared" si="1"/>
        <v>2693</v>
      </c>
      <c r="M22" s="270">
        <f t="shared" si="2"/>
        <v>7.1809999999999999E-2</v>
      </c>
      <c r="N22" s="1241">
        <f t="shared" si="3"/>
        <v>345.19067000000001</v>
      </c>
      <c r="O22" s="1241">
        <f t="shared" si="26"/>
        <v>2039.61067</v>
      </c>
      <c r="P22" s="1241">
        <f t="shared" si="4"/>
        <v>6846.61067</v>
      </c>
      <c r="Q22" s="1248">
        <f t="shared" si="27"/>
        <v>4015</v>
      </c>
      <c r="R22" s="1248">
        <f t="shared" si="5"/>
        <v>27489142</v>
      </c>
      <c r="S22" s="1248">
        <f>'6_Local Deduct Calc'!J22</f>
        <v>19039675</v>
      </c>
      <c r="T22" s="1248">
        <f t="shared" si="28"/>
        <v>19039675</v>
      </c>
      <c r="U22" s="1249">
        <f t="shared" si="29"/>
        <v>8449467</v>
      </c>
      <c r="V22" s="271">
        <f t="shared" si="43"/>
        <v>0.30740000000000001</v>
      </c>
      <c r="W22" s="271">
        <f t="shared" si="30"/>
        <v>0.69259999999999999</v>
      </c>
      <c r="X22" s="272">
        <f t="shared" si="6"/>
        <v>3960.8227584772208</v>
      </c>
      <c r="Y22" s="1248">
        <f>'7_Local Revenue'!AS22</f>
        <v>69784366</v>
      </c>
      <c r="Z22" s="1248">
        <f t="shared" si="31"/>
        <v>50744691</v>
      </c>
      <c r="AA22" s="34">
        <f t="shared" si="32"/>
        <v>0</v>
      </c>
      <c r="AB22" s="34">
        <f t="shared" si="7"/>
        <v>9346308.2800000012</v>
      </c>
      <c r="AC22" s="34">
        <f t="shared" si="8"/>
        <v>9346308.2800000012</v>
      </c>
      <c r="AD22" s="1248">
        <f t="shared" si="9"/>
        <v>11133995.357332161</v>
      </c>
      <c r="AE22" s="1254">
        <f t="shared" si="33"/>
        <v>0</v>
      </c>
      <c r="AF22" s="34">
        <f t="shared" si="10"/>
        <v>0</v>
      </c>
      <c r="AG22" s="273">
        <f t="shared" si="34"/>
        <v>0</v>
      </c>
      <c r="AH22" s="1254">
        <f t="shared" si="11"/>
        <v>8449467</v>
      </c>
      <c r="AI22" s="34">
        <f t="shared" si="12"/>
        <v>1758</v>
      </c>
      <c r="AJ22" s="1254">
        <f>'3A_Level 3'!J22</f>
        <v>815287</v>
      </c>
      <c r="AK22" s="34">
        <f t="shared" si="13"/>
        <v>169.60411899313502</v>
      </c>
      <c r="AL22" s="1254">
        <f t="shared" si="35"/>
        <v>9264754</v>
      </c>
      <c r="AM22" s="34">
        <f t="shared" si="14"/>
        <v>1927.3463698772623</v>
      </c>
      <c r="AN22" s="1256">
        <f>'3A_Level 3'!K22</f>
        <v>4116398</v>
      </c>
      <c r="AO22" s="275">
        <f t="shared" si="15"/>
        <v>856.33409610983983</v>
      </c>
      <c r="AP22" s="1254">
        <f t="shared" si="36"/>
        <v>12565865</v>
      </c>
      <c r="AQ22" s="34">
        <f t="shared" si="16"/>
        <v>2614.076346993967</v>
      </c>
      <c r="AR22" s="34">
        <f>'3A_Level 3'!L22</f>
        <v>721880.7569138949</v>
      </c>
      <c r="AS22" s="1257">
        <f t="shared" si="17"/>
        <v>13287745.756913895</v>
      </c>
      <c r="AT22" s="34">
        <f t="shared" si="18"/>
        <v>2764.249169318472</v>
      </c>
      <c r="AU22" s="273">
        <f t="shared" si="37"/>
        <v>0.31885185376964542</v>
      </c>
      <c r="AV22" s="274">
        <f t="shared" si="38"/>
        <v>67</v>
      </c>
      <c r="AW22" s="34">
        <f t="shared" si="19"/>
        <v>28385983.280000001</v>
      </c>
      <c r="AX22" s="34">
        <f t="shared" si="20"/>
        <v>5905.13</v>
      </c>
      <c r="AY22" s="274">
        <f t="shared" si="39"/>
        <v>6</v>
      </c>
      <c r="AZ22" s="273">
        <f t="shared" si="40"/>
        <v>0.68114814623035469</v>
      </c>
      <c r="BA22" s="275">
        <f t="shared" si="41"/>
        <v>41673729.036913894</v>
      </c>
      <c r="BB22" s="275">
        <f t="shared" si="21"/>
        <v>8669.3840309785501</v>
      </c>
      <c r="BC22" s="274">
        <f t="shared" si="42"/>
        <v>67</v>
      </c>
    </row>
    <row r="23" spans="1:55" ht="15.6" customHeight="1" x14ac:dyDescent="0.2">
      <c r="A23" s="606">
        <v>17</v>
      </c>
      <c r="B23" s="269" t="s">
        <v>20</v>
      </c>
      <c r="C23" s="1243">
        <f>'8_2.1.20 SIS'!AV23</f>
        <v>45208</v>
      </c>
      <c r="D23" s="1241">
        <v>36687</v>
      </c>
      <c r="E23" s="1241">
        <f t="shared" si="22"/>
        <v>8071.14</v>
      </c>
      <c r="F23" s="1241">
        <v>20440.5</v>
      </c>
      <c r="G23" s="1241">
        <f t="shared" si="23"/>
        <v>1226.43</v>
      </c>
      <c r="H23" s="1241">
        <v>5209</v>
      </c>
      <c r="I23" s="1241">
        <f t="shared" si="24"/>
        <v>7813.5</v>
      </c>
      <c r="J23" s="1241">
        <v>1557</v>
      </c>
      <c r="K23" s="1241">
        <f t="shared" si="25"/>
        <v>934.19999999999993</v>
      </c>
      <c r="L23" s="1241">
        <f t="shared" si="1"/>
        <v>0</v>
      </c>
      <c r="M23" s="270">
        <f t="shared" si="2"/>
        <v>0</v>
      </c>
      <c r="N23" s="1241">
        <f t="shared" si="3"/>
        <v>0</v>
      </c>
      <c r="O23" s="1241">
        <f t="shared" si="26"/>
        <v>18045.27</v>
      </c>
      <c r="P23" s="1241">
        <f t="shared" si="4"/>
        <v>63253.270000000004</v>
      </c>
      <c r="Q23" s="1248">
        <f t="shared" si="27"/>
        <v>4015</v>
      </c>
      <c r="R23" s="1248">
        <f t="shared" si="5"/>
        <v>253961879</v>
      </c>
      <c r="S23" s="1248">
        <f>'6_Local Deduct Calc'!J23</f>
        <v>126031509</v>
      </c>
      <c r="T23" s="1248">
        <f t="shared" si="28"/>
        <v>126031509</v>
      </c>
      <c r="U23" s="1249">
        <f t="shared" si="29"/>
        <v>127930370</v>
      </c>
      <c r="V23" s="271">
        <f t="shared" si="43"/>
        <v>0.50370000000000004</v>
      </c>
      <c r="W23" s="271">
        <f t="shared" si="30"/>
        <v>0.49630000000000002</v>
      </c>
      <c r="X23" s="272">
        <f t="shared" si="6"/>
        <v>2787.8143027782694</v>
      </c>
      <c r="Y23" s="1248">
        <f>'7_Local Revenue'!AS23</f>
        <v>350515561</v>
      </c>
      <c r="Z23" s="1248">
        <f t="shared" si="31"/>
        <v>224484052</v>
      </c>
      <c r="AA23" s="34">
        <f t="shared" si="32"/>
        <v>0</v>
      </c>
      <c r="AB23" s="34">
        <f t="shared" si="7"/>
        <v>86347038.859999999</v>
      </c>
      <c r="AC23" s="34">
        <f t="shared" si="8"/>
        <v>86347038.859999999</v>
      </c>
      <c r="AD23" s="1248">
        <f t="shared" si="9"/>
        <v>73708940.864294961</v>
      </c>
      <c r="AE23" s="1254">
        <f t="shared" si="33"/>
        <v>12638098</v>
      </c>
      <c r="AF23" s="34">
        <f t="shared" si="10"/>
        <v>280</v>
      </c>
      <c r="AG23" s="273">
        <f t="shared" si="34"/>
        <v>0.1464</v>
      </c>
      <c r="AH23" s="1254">
        <f t="shared" si="11"/>
        <v>140568468</v>
      </c>
      <c r="AI23" s="34">
        <f t="shared" si="12"/>
        <v>3109</v>
      </c>
      <c r="AJ23" s="1254">
        <f>'3A_Level 3'!J23</f>
        <v>18101492</v>
      </c>
      <c r="AK23" s="34">
        <f t="shared" si="13"/>
        <v>400.40461865156607</v>
      </c>
      <c r="AL23" s="1254">
        <f t="shared" si="35"/>
        <v>158669960</v>
      </c>
      <c r="AM23" s="34">
        <f t="shared" si="14"/>
        <v>3509.7761458148998</v>
      </c>
      <c r="AN23" s="1256">
        <f>'3A_Level 3'!K23</f>
        <v>54334800</v>
      </c>
      <c r="AO23" s="275">
        <f t="shared" si="15"/>
        <v>1201.8846221907627</v>
      </c>
      <c r="AP23" s="1254">
        <f t="shared" si="36"/>
        <v>194903268</v>
      </c>
      <c r="AQ23" s="34">
        <f t="shared" si="16"/>
        <v>4311.256149354097</v>
      </c>
      <c r="AR23" s="34">
        <f>'3A_Level 3'!L23</f>
        <v>6888788.3998919819</v>
      </c>
      <c r="AS23" s="1257">
        <f t="shared" si="17"/>
        <v>201792056.39989197</v>
      </c>
      <c r="AT23" s="34">
        <f t="shared" si="18"/>
        <v>4463.6360024750484</v>
      </c>
      <c r="AU23" s="273">
        <f t="shared" si="37"/>
        <v>0.4872196489185589</v>
      </c>
      <c r="AV23" s="274">
        <f t="shared" si="38"/>
        <v>57</v>
      </c>
      <c r="AW23" s="34">
        <f t="shared" si="19"/>
        <v>212378547.86000001</v>
      </c>
      <c r="AX23" s="34">
        <f t="shared" si="20"/>
        <v>4697.8100000000004</v>
      </c>
      <c r="AY23" s="274">
        <f t="shared" si="39"/>
        <v>14</v>
      </c>
      <c r="AZ23" s="273">
        <f t="shared" si="40"/>
        <v>0.51278035108144104</v>
      </c>
      <c r="BA23" s="275">
        <f t="shared" si="41"/>
        <v>414170604.25989199</v>
      </c>
      <c r="BB23" s="275">
        <f t="shared" si="21"/>
        <v>9161.444971241639</v>
      </c>
      <c r="BC23" s="274">
        <f t="shared" si="42"/>
        <v>57</v>
      </c>
    </row>
    <row r="24" spans="1:55" ht="15.6" customHeight="1" x14ac:dyDescent="0.2">
      <c r="A24" s="606">
        <v>18</v>
      </c>
      <c r="B24" s="269" t="s">
        <v>21</v>
      </c>
      <c r="C24" s="1243">
        <f>'8_2.1.20 SIS'!AV24</f>
        <v>879</v>
      </c>
      <c r="D24" s="1241">
        <v>850</v>
      </c>
      <c r="E24" s="1241">
        <f t="shared" si="22"/>
        <v>187</v>
      </c>
      <c r="F24" s="1241">
        <v>540</v>
      </c>
      <c r="G24" s="1241">
        <f t="shared" si="23"/>
        <v>32.4</v>
      </c>
      <c r="H24" s="1241">
        <v>104</v>
      </c>
      <c r="I24" s="1241">
        <f t="shared" si="24"/>
        <v>156</v>
      </c>
      <c r="J24" s="1241">
        <v>0</v>
      </c>
      <c r="K24" s="1241">
        <f t="shared" si="25"/>
        <v>0</v>
      </c>
      <c r="L24" s="1241">
        <f t="shared" si="1"/>
        <v>6621</v>
      </c>
      <c r="M24" s="270">
        <f t="shared" si="2"/>
        <v>0.17655999999999999</v>
      </c>
      <c r="N24" s="1241">
        <f t="shared" si="3"/>
        <v>155.19623999999999</v>
      </c>
      <c r="O24" s="1241">
        <f t="shared" si="26"/>
        <v>530.59623999999997</v>
      </c>
      <c r="P24" s="1241">
        <f t="shared" si="4"/>
        <v>1409.5962399999999</v>
      </c>
      <c r="Q24" s="1248">
        <f t="shared" si="27"/>
        <v>4015</v>
      </c>
      <c r="R24" s="1248">
        <f t="shared" si="5"/>
        <v>5659529</v>
      </c>
      <c r="S24" s="1248">
        <f>'6_Local Deduct Calc'!J24</f>
        <v>1270561</v>
      </c>
      <c r="T24" s="1248">
        <f t="shared" si="28"/>
        <v>1270561</v>
      </c>
      <c r="U24" s="1249">
        <f t="shared" si="29"/>
        <v>4388968</v>
      </c>
      <c r="V24" s="271">
        <f t="shared" si="43"/>
        <v>0.77549999999999997</v>
      </c>
      <c r="W24" s="271">
        <f t="shared" si="30"/>
        <v>0.22450000000000001</v>
      </c>
      <c r="X24" s="272">
        <f t="shared" si="6"/>
        <v>1445.4618885096702</v>
      </c>
      <c r="Y24" s="1248">
        <f>'7_Local Revenue'!AS24</f>
        <v>2652311</v>
      </c>
      <c r="Z24" s="1248">
        <f t="shared" si="31"/>
        <v>1381750</v>
      </c>
      <c r="AA24" s="34">
        <f t="shared" si="32"/>
        <v>0</v>
      </c>
      <c r="AB24" s="34">
        <f t="shared" si="7"/>
        <v>1924239.86</v>
      </c>
      <c r="AC24" s="34">
        <f t="shared" si="8"/>
        <v>1381750</v>
      </c>
      <c r="AD24" s="1248">
        <f t="shared" si="9"/>
        <v>533548.94499999995</v>
      </c>
      <c r="AE24" s="1254">
        <f t="shared" si="33"/>
        <v>848201</v>
      </c>
      <c r="AF24" s="34">
        <f t="shared" si="10"/>
        <v>965</v>
      </c>
      <c r="AG24" s="273">
        <f t="shared" si="34"/>
        <v>0.6139</v>
      </c>
      <c r="AH24" s="1254">
        <f t="shared" si="11"/>
        <v>5237169</v>
      </c>
      <c r="AI24" s="34">
        <f t="shared" si="12"/>
        <v>5958</v>
      </c>
      <c r="AJ24" s="1254">
        <f>'3A_Level 3'!J24</f>
        <v>149082</v>
      </c>
      <c r="AK24" s="34">
        <f t="shared" si="13"/>
        <v>169.60409556313994</v>
      </c>
      <c r="AL24" s="1254">
        <f t="shared" si="35"/>
        <v>5386251</v>
      </c>
      <c r="AM24" s="34">
        <f t="shared" si="14"/>
        <v>6127.7030716723548</v>
      </c>
      <c r="AN24" s="1256">
        <f>'3A_Level 3'!K24</f>
        <v>892672</v>
      </c>
      <c r="AO24" s="275">
        <f t="shared" si="15"/>
        <v>1015.5540386803185</v>
      </c>
      <c r="AP24" s="1254">
        <f t="shared" si="36"/>
        <v>6129841</v>
      </c>
      <c r="AQ24" s="34">
        <f t="shared" si="16"/>
        <v>6973.6530147895337</v>
      </c>
      <c r="AR24" s="34">
        <f>'3A_Level 3'!L24</f>
        <v>138447.59862750358</v>
      </c>
      <c r="AS24" s="1257">
        <f t="shared" si="17"/>
        <v>6268288.598627504</v>
      </c>
      <c r="AT24" s="34">
        <f t="shared" si="18"/>
        <v>7131.1588152758859</v>
      </c>
      <c r="AU24" s="273">
        <f t="shared" si="37"/>
        <v>0.70267570350225372</v>
      </c>
      <c r="AV24" s="274">
        <f t="shared" si="38"/>
        <v>14</v>
      </c>
      <c r="AW24" s="34">
        <f t="shared" si="19"/>
        <v>2652311</v>
      </c>
      <c r="AX24" s="34">
        <f t="shared" si="20"/>
        <v>3017.42</v>
      </c>
      <c r="AY24" s="274">
        <f t="shared" si="39"/>
        <v>55</v>
      </c>
      <c r="AZ24" s="273">
        <f t="shared" si="40"/>
        <v>0.29732429649774622</v>
      </c>
      <c r="BA24" s="275">
        <f t="shared" si="41"/>
        <v>8920599.598627504</v>
      </c>
      <c r="BB24" s="275">
        <f t="shared" si="21"/>
        <v>10148.577472841302</v>
      </c>
      <c r="BC24" s="274">
        <f t="shared" si="42"/>
        <v>17</v>
      </c>
    </row>
    <row r="25" spans="1:55" ht="15.6" customHeight="1" x14ac:dyDescent="0.2">
      <c r="A25" s="606">
        <v>19</v>
      </c>
      <c r="B25" s="269" t="s">
        <v>22</v>
      </c>
      <c r="C25" s="1243">
        <f>'8_2.1.20 SIS'!AV25</f>
        <v>1791</v>
      </c>
      <c r="D25" s="1241">
        <v>1588</v>
      </c>
      <c r="E25" s="1241">
        <f t="shared" si="22"/>
        <v>349.36</v>
      </c>
      <c r="F25" s="1241">
        <v>571</v>
      </c>
      <c r="G25" s="1241">
        <f t="shared" si="23"/>
        <v>34.26</v>
      </c>
      <c r="H25" s="1241">
        <v>228</v>
      </c>
      <c r="I25" s="1241">
        <f t="shared" si="24"/>
        <v>342</v>
      </c>
      <c r="J25" s="1241">
        <v>39</v>
      </c>
      <c r="K25" s="1241">
        <f t="shared" si="25"/>
        <v>23.4</v>
      </c>
      <c r="L25" s="1241">
        <f t="shared" si="1"/>
        <v>5709</v>
      </c>
      <c r="M25" s="270">
        <f t="shared" si="2"/>
        <v>0.15223999999999999</v>
      </c>
      <c r="N25" s="1241">
        <f t="shared" si="3"/>
        <v>272.66183999999998</v>
      </c>
      <c r="O25" s="1241">
        <f t="shared" si="26"/>
        <v>1021.68184</v>
      </c>
      <c r="P25" s="1241">
        <f t="shared" si="4"/>
        <v>2812.6818400000002</v>
      </c>
      <c r="Q25" s="1248">
        <f t="shared" si="27"/>
        <v>4015</v>
      </c>
      <c r="R25" s="1248">
        <f t="shared" si="5"/>
        <v>11292918</v>
      </c>
      <c r="S25" s="1248">
        <f>'6_Local Deduct Calc'!J25</f>
        <v>3910947</v>
      </c>
      <c r="T25" s="1248">
        <f t="shared" si="28"/>
        <v>3910947</v>
      </c>
      <c r="U25" s="1249">
        <f t="shared" si="29"/>
        <v>7381971</v>
      </c>
      <c r="V25" s="271">
        <f t="shared" si="43"/>
        <v>0.65369999999999995</v>
      </c>
      <c r="W25" s="271">
        <f t="shared" si="30"/>
        <v>0.3463</v>
      </c>
      <c r="X25" s="272">
        <f t="shared" si="6"/>
        <v>2183.6666666666665</v>
      </c>
      <c r="Y25" s="1248">
        <f>'7_Local Revenue'!AS25</f>
        <v>7558955</v>
      </c>
      <c r="Z25" s="1248">
        <f t="shared" si="31"/>
        <v>3648008</v>
      </c>
      <c r="AA25" s="34">
        <f t="shared" si="32"/>
        <v>0</v>
      </c>
      <c r="AB25" s="34">
        <f t="shared" si="7"/>
        <v>3839592.12</v>
      </c>
      <c r="AC25" s="34">
        <f t="shared" si="8"/>
        <v>3648008</v>
      </c>
      <c r="AD25" s="1248">
        <f t="shared" si="9"/>
        <v>2172884.8930879999</v>
      </c>
      <c r="AE25" s="1254">
        <f t="shared" si="33"/>
        <v>1475123</v>
      </c>
      <c r="AF25" s="34">
        <f t="shared" si="10"/>
        <v>824</v>
      </c>
      <c r="AG25" s="273">
        <f t="shared" si="34"/>
        <v>0.40439999999999998</v>
      </c>
      <c r="AH25" s="1254">
        <f t="shared" si="11"/>
        <v>8857094</v>
      </c>
      <c r="AI25" s="34">
        <f t="shared" si="12"/>
        <v>4945</v>
      </c>
      <c r="AJ25" s="1254">
        <f>'3A_Level 3'!J25</f>
        <v>303761</v>
      </c>
      <c r="AK25" s="34">
        <f t="shared" si="13"/>
        <v>169.60413176996093</v>
      </c>
      <c r="AL25" s="1254">
        <f t="shared" si="35"/>
        <v>9160855</v>
      </c>
      <c r="AM25" s="34">
        <f t="shared" si="14"/>
        <v>5114.9385817978782</v>
      </c>
      <c r="AN25" s="1256">
        <f>'3A_Level 3'!K25</f>
        <v>1925386</v>
      </c>
      <c r="AO25" s="275">
        <f t="shared" si="15"/>
        <v>1075.034059184813</v>
      </c>
      <c r="AP25" s="1254">
        <f t="shared" si="36"/>
        <v>10782480</v>
      </c>
      <c r="AQ25" s="34">
        <f t="shared" si="16"/>
        <v>6020.3685092127307</v>
      </c>
      <c r="AR25" s="34">
        <f>'3A_Level 3'!L25</f>
        <v>284439.60580476059</v>
      </c>
      <c r="AS25" s="1257">
        <f t="shared" si="17"/>
        <v>11066919.60580476</v>
      </c>
      <c r="AT25" s="34">
        <f t="shared" si="18"/>
        <v>6179.1845928558123</v>
      </c>
      <c r="AU25" s="273">
        <f t="shared" si="37"/>
        <v>0.59416912440480785</v>
      </c>
      <c r="AV25" s="274">
        <f t="shared" si="38"/>
        <v>45</v>
      </c>
      <c r="AW25" s="34">
        <f t="shared" si="19"/>
        <v>7558955</v>
      </c>
      <c r="AX25" s="34">
        <f t="shared" si="20"/>
        <v>4220.5200000000004</v>
      </c>
      <c r="AY25" s="274">
        <f t="shared" si="39"/>
        <v>20</v>
      </c>
      <c r="AZ25" s="273">
        <f t="shared" si="40"/>
        <v>0.40583087559519215</v>
      </c>
      <c r="BA25" s="275">
        <f t="shared" si="41"/>
        <v>18625874.60580476</v>
      </c>
      <c r="BB25" s="275">
        <f t="shared" si="21"/>
        <v>10399.706647573847</v>
      </c>
      <c r="BC25" s="274">
        <f t="shared" si="42"/>
        <v>11</v>
      </c>
    </row>
    <row r="26" spans="1:55" ht="15.6" customHeight="1" x14ac:dyDescent="0.2">
      <c r="A26" s="607">
        <v>20</v>
      </c>
      <c r="B26" s="608" t="s">
        <v>23</v>
      </c>
      <c r="C26" s="1244">
        <f>'8_2.1.20 SIS'!AV26</f>
        <v>5560</v>
      </c>
      <c r="D26" s="1245">
        <v>4139</v>
      </c>
      <c r="E26" s="1245">
        <f t="shared" si="22"/>
        <v>910.58</v>
      </c>
      <c r="F26" s="1245">
        <v>2260</v>
      </c>
      <c r="G26" s="1245">
        <f t="shared" si="23"/>
        <v>135.6</v>
      </c>
      <c r="H26" s="1245">
        <v>867</v>
      </c>
      <c r="I26" s="1245">
        <f t="shared" si="24"/>
        <v>1300.5</v>
      </c>
      <c r="J26" s="1245">
        <v>131</v>
      </c>
      <c r="K26" s="1245">
        <f t="shared" si="25"/>
        <v>78.599999999999994</v>
      </c>
      <c r="L26" s="1245">
        <f t="shared" si="1"/>
        <v>1940</v>
      </c>
      <c r="M26" s="609">
        <f t="shared" si="2"/>
        <v>5.1729999999999998E-2</v>
      </c>
      <c r="N26" s="1245">
        <f t="shared" si="3"/>
        <v>287.61879999999996</v>
      </c>
      <c r="O26" s="1245">
        <f t="shared" si="26"/>
        <v>2712.8987999999999</v>
      </c>
      <c r="P26" s="1247">
        <f t="shared" si="4"/>
        <v>8272.898799999999</v>
      </c>
      <c r="Q26" s="1250">
        <f t="shared" si="27"/>
        <v>4015</v>
      </c>
      <c r="R26" s="1250">
        <f t="shared" si="5"/>
        <v>33215689</v>
      </c>
      <c r="S26" s="1250">
        <f>'6_Local Deduct Calc'!J26</f>
        <v>6705799</v>
      </c>
      <c r="T26" s="1250">
        <f t="shared" si="28"/>
        <v>6705799</v>
      </c>
      <c r="U26" s="1251">
        <f t="shared" si="29"/>
        <v>26509890</v>
      </c>
      <c r="V26" s="610">
        <f t="shared" si="43"/>
        <v>0.79810000000000003</v>
      </c>
      <c r="W26" s="544">
        <f t="shared" si="30"/>
        <v>0.2019</v>
      </c>
      <c r="X26" s="545">
        <f t="shared" si="6"/>
        <v>1206.0789568345324</v>
      </c>
      <c r="Y26" s="1250">
        <f>'7_Local Revenue'!AS26</f>
        <v>15158989</v>
      </c>
      <c r="Z26" s="1250">
        <f t="shared" si="31"/>
        <v>8453190</v>
      </c>
      <c r="AA26" s="611">
        <f t="shared" si="32"/>
        <v>0</v>
      </c>
      <c r="AB26" s="611">
        <f t="shared" si="7"/>
        <v>11293334.260000002</v>
      </c>
      <c r="AC26" s="611">
        <f t="shared" si="8"/>
        <v>8453190</v>
      </c>
      <c r="AD26" s="1250">
        <f t="shared" si="9"/>
        <v>2935522.3849199996</v>
      </c>
      <c r="AE26" s="1255">
        <f t="shared" si="33"/>
        <v>5517668</v>
      </c>
      <c r="AF26" s="611">
        <f t="shared" si="10"/>
        <v>992</v>
      </c>
      <c r="AG26" s="612">
        <f t="shared" si="34"/>
        <v>0.65269999999999995</v>
      </c>
      <c r="AH26" s="1255">
        <f t="shared" si="11"/>
        <v>32027558</v>
      </c>
      <c r="AI26" s="611">
        <f t="shared" si="12"/>
        <v>5760</v>
      </c>
      <c r="AJ26" s="1255">
        <f>'3A_Level 3'!J26</f>
        <v>556000</v>
      </c>
      <c r="AK26" s="611">
        <f t="shared" si="13"/>
        <v>100</v>
      </c>
      <c r="AL26" s="1255">
        <f t="shared" si="35"/>
        <v>32583558</v>
      </c>
      <c r="AM26" s="611">
        <f t="shared" si="14"/>
        <v>5860.3521582733811</v>
      </c>
      <c r="AN26" s="1258">
        <f>'3A_Level 3'!K26</f>
        <v>3815105</v>
      </c>
      <c r="AO26" s="614">
        <f t="shared" si="15"/>
        <v>686.16996402877703</v>
      </c>
      <c r="AP26" s="1255">
        <f t="shared" si="36"/>
        <v>35842663</v>
      </c>
      <c r="AQ26" s="611">
        <f t="shared" si="16"/>
        <v>6446.5221223021581</v>
      </c>
      <c r="AR26" s="1259">
        <f>'3A_Level 3'!L26</f>
        <v>777889.53680812917</v>
      </c>
      <c r="AS26" s="1260">
        <f t="shared" si="17"/>
        <v>36620552.536808126</v>
      </c>
      <c r="AT26" s="1261">
        <f t="shared" si="18"/>
        <v>6586.4303123755626</v>
      </c>
      <c r="AU26" s="612">
        <f t="shared" si="37"/>
        <v>0.70723979876832155</v>
      </c>
      <c r="AV26" s="613">
        <f t="shared" si="38"/>
        <v>12</v>
      </c>
      <c r="AW26" s="611">
        <f t="shared" si="19"/>
        <v>15158989</v>
      </c>
      <c r="AX26" s="611">
        <f t="shared" si="20"/>
        <v>2726.44</v>
      </c>
      <c r="AY26" s="613">
        <f t="shared" si="39"/>
        <v>60</v>
      </c>
      <c r="AZ26" s="612">
        <f t="shared" si="40"/>
        <v>0.29276020123167845</v>
      </c>
      <c r="BA26" s="614">
        <f t="shared" si="41"/>
        <v>51779541.536808126</v>
      </c>
      <c r="BB26" s="614">
        <f t="shared" si="21"/>
        <v>9312.8671828791594</v>
      </c>
      <c r="BC26" s="613">
        <f t="shared" si="42"/>
        <v>54</v>
      </c>
    </row>
    <row r="27" spans="1:55" ht="15.6" customHeight="1" x14ac:dyDescent="0.2">
      <c r="A27" s="606">
        <v>21</v>
      </c>
      <c r="B27" s="269" t="s">
        <v>24</v>
      </c>
      <c r="C27" s="1241">
        <f>'8_2.1.20 SIS'!AV27</f>
        <v>2878</v>
      </c>
      <c r="D27" s="1241">
        <v>2389</v>
      </c>
      <c r="E27" s="1241">
        <f t="shared" si="22"/>
        <v>525.58000000000004</v>
      </c>
      <c r="F27" s="1241">
        <v>1134</v>
      </c>
      <c r="G27" s="1241">
        <f t="shared" si="23"/>
        <v>68.039999999999992</v>
      </c>
      <c r="H27" s="1241">
        <v>532</v>
      </c>
      <c r="I27" s="1241">
        <f t="shared" si="24"/>
        <v>798</v>
      </c>
      <c r="J27" s="1241">
        <v>117</v>
      </c>
      <c r="K27" s="1241">
        <f t="shared" si="25"/>
        <v>70.2</v>
      </c>
      <c r="L27" s="1242">
        <f t="shared" si="1"/>
        <v>4622</v>
      </c>
      <c r="M27" s="270">
        <f t="shared" si="2"/>
        <v>0.12325</v>
      </c>
      <c r="N27" s="1241">
        <f t="shared" si="3"/>
        <v>354.71350000000001</v>
      </c>
      <c r="O27" s="1241">
        <f t="shared" si="26"/>
        <v>1816.5335</v>
      </c>
      <c r="P27" s="1241">
        <f t="shared" si="4"/>
        <v>4694.5334999999995</v>
      </c>
      <c r="Q27" s="1248">
        <f t="shared" si="27"/>
        <v>4015</v>
      </c>
      <c r="R27" s="1248">
        <f t="shared" si="5"/>
        <v>18848552</v>
      </c>
      <c r="S27" s="1248">
        <f>'6_Local Deduct Calc'!J27</f>
        <v>3557822</v>
      </c>
      <c r="T27" s="1248">
        <f t="shared" si="28"/>
        <v>3557822</v>
      </c>
      <c r="U27" s="1249">
        <f t="shared" si="29"/>
        <v>15290730</v>
      </c>
      <c r="V27" s="271">
        <f t="shared" si="43"/>
        <v>0.81120000000000003</v>
      </c>
      <c r="W27" s="271">
        <f t="shared" si="30"/>
        <v>0.1888</v>
      </c>
      <c r="X27" s="272">
        <f t="shared" si="6"/>
        <v>1236.2133425990271</v>
      </c>
      <c r="Y27" s="1248">
        <f>'7_Local Revenue'!AS27</f>
        <v>7854161</v>
      </c>
      <c r="Z27" s="1248">
        <f t="shared" si="31"/>
        <v>4296339</v>
      </c>
      <c r="AA27" s="34">
        <f t="shared" si="32"/>
        <v>0</v>
      </c>
      <c r="AB27" s="34">
        <f t="shared" si="7"/>
        <v>6408507.6800000006</v>
      </c>
      <c r="AC27" s="34">
        <f t="shared" si="8"/>
        <v>4296339</v>
      </c>
      <c r="AD27" s="1248">
        <f t="shared" si="9"/>
        <v>1395175.9415039998</v>
      </c>
      <c r="AE27" s="1254">
        <f t="shared" si="33"/>
        <v>2901163</v>
      </c>
      <c r="AF27" s="34">
        <f t="shared" si="10"/>
        <v>1008</v>
      </c>
      <c r="AG27" s="273">
        <f t="shared" si="34"/>
        <v>0.67530000000000001</v>
      </c>
      <c r="AH27" s="1254">
        <f t="shared" si="11"/>
        <v>18191893</v>
      </c>
      <c r="AI27" s="34">
        <f t="shared" si="12"/>
        <v>6321</v>
      </c>
      <c r="AJ27" s="1254">
        <f>'3A_Level 3'!J27</f>
        <v>488121</v>
      </c>
      <c r="AK27" s="34">
        <f t="shared" si="13"/>
        <v>169.60423905489924</v>
      </c>
      <c r="AL27" s="1254">
        <f t="shared" si="35"/>
        <v>18680014</v>
      </c>
      <c r="AM27" s="34">
        <f t="shared" si="14"/>
        <v>6490.6233495482975</v>
      </c>
      <c r="AN27" s="1256">
        <f>'3A_Level 3'!K27</f>
        <v>2244708</v>
      </c>
      <c r="AO27" s="275">
        <f t="shared" si="15"/>
        <v>779.95413481584433</v>
      </c>
      <c r="AP27" s="1254">
        <f t="shared" si="36"/>
        <v>20436601</v>
      </c>
      <c r="AQ27" s="34">
        <f t="shared" si="16"/>
        <v>7100.9732453092429</v>
      </c>
      <c r="AR27" s="34">
        <f>'3A_Level 3'!L27</f>
        <v>449089.89814482513</v>
      </c>
      <c r="AS27" s="1257">
        <f t="shared" si="17"/>
        <v>20885690.898144826</v>
      </c>
      <c r="AT27" s="34">
        <f t="shared" si="18"/>
        <v>7257.0156004672781</v>
      </c>
      <c r="AU27" s="273">
        <f t="shared" si="37"/>
        <v>0.72671532797609895</v>
      </c>
      <c r="AV27" s="274">
        <f t="shared" si="38"/>
        <v>7</v>
      </c>
      <c r="AW27" s="34">
        <f t="shared" si="19"/>
        <v>7854161</v>
      </c>
      <c r="AX27" s="34">
        <f t="shared" si="20"/>
        <v>2729.03</v>
      </c>
      <c r="AY27" s="274">
        <f t="shared" si="39"/>
        <v>59</v>
      </c>
      <c r="AZ27" s="273">
        <f t="shared" si="40"/>
        <v>0.27328467202390111</v>
      </c>
      <c r="BA27" s="275">
        <f t="shared" si="41"/>
        <v>28739851.898144826</v>
      </c>
      <c r="BB27" s="275">
        <f t="shared" si="21"/>
        <v>9986.0499993553949</v>
      </c>
      <c r="BC27" s="274">
        <f t="shared" si="42"/>
        <v>25</v>
      </c>
    </row>
    <row r="28" spans="1:55" ht="15.6" customHeight="1" x14ac:dyDescent="0.2">
      <c r="A28" s="606">
        <v>22</v>
      </c>
      <c r="B28" s="269" t="s">
        <v>25</v>
      </c>
      <c r="C28" s="1243">
        <f>'8_2.1.20 SIS'!AV28</f>
        <v>2843</v>
      </c>
      <c r="D28" s="1241">
        <v>2147</v>
      </c>
      <c r="E28" s="1241">
        <f t="shared" si="22"/>
        <v>472.34</v>
      </c>
      <c r="F28" s="1241">
        <v>1606.5</v>
      </c>
      <c r="G28" s="1241">
        <f t="shared" si="23"/>
        <v>96.39</v>
      </c>
      <c r="H28" s="1241">
        <v>580</v>
      </c>
      <c r="I28" s="1241">
        <f t="shared" si="24"/>
        <v>870</v>
      </c>
      <c r="J28" s="1241">
        <v>19</v>
      </c>
      <c r="K28" s="1241">
        <f t="shared" si="25"/>
        <v>11.4</v>
      </c>
      <c r="L28" s="1241">
        <f t="shared" si="1"/>
        <v>4657</v>
      </c>
      <c r="M28" s="270">
        <f t="shared" si="2"/>
        <v>0.12418999999999999</v>
      </c>
      <c r="N28" s="1241">
        <f t="shared" si="3"/>
        <v>353.07216999999997</v>
      </c>
      <c r="O28" s="1241">
        <f t="shared" si="26"/>
        <v>1803.20217</v>
      </c>
      <c r="P28" s="1241">
        <f t="shared" si="4"/>
        <v>4646.2021700000005</v>
      </c>
      <c r="Q28" s="1248">
        <f t="shared" si="27"/>
        <v>4015</v>
      </c>
      <c r="R28" s="1248">
        <f t="shared" si="5"/>
        <v>18654502</v>
      </c>
      <c r="S28" s="1248">
        <f>'6_Local Deduct Calc'!J28</f>
        <v>2220656</v>
      </c>
      <c r="T28" s="1248">
        <f t="shared" si="28"/>
        <v>2220656</v>
      </c>
      <c r="U28" s="1249">
        <f t="shared" si="29"/>
        <v>16433846</v>
      </c>
      <c r="V28" s="271">
        <f t="shared" si="43"/>
        <v>0.88100000000000001</v>
      </c>
      <c r="W28" s="271">
        <f t="shared" si="30"/>
        <v>0.11899999999999999</v>
      </c>
      <c r="X28" s="272">
        <f t="shared" si="6"/>
        <v>781.09602532536053</v>
      </c>
      <c r="Y28" s="1248">
        <f>'7_Local Revenue'!AS28</f>
        <v>6341541</v>
      </c>
      <c r="Z28" s="1248">
        <f t="shared" si="31"/>
        <v>4120885</v>
      </c>
      <c r="AA28" s="34">
        <f t="shared" si="32"/>
        <v>0</v>
      </c>
      <c r="AB28" s="34">
        <f t="shared" si="7"/>
        <v>6342530.6800000006</v>
      </c>
      <c r="AC28" s="34">
        <f t="shared" si="8"/>
        <v>4120885</v>
      </c>
      <c r="AD28" s="1248">
        <f t="shared" si="9"/>
        <v>843462.74179999996</v>
      </c>
      <c r="AE28" s="1254">
        <f t="shared" si="33"/>
        <v>3277422</v>
      </c>
      <c r="AF28" s="34">
        <f t="shared" si="10"/>
        <v>1153</v>
      </c>
      <c r="AG28" s="273">
        <f t="shared" si="34"/>
        <v>0.79530000000000001</v>
      </c>
      <c r="AH28" s="1254">
        <f t="shared" si="11"/>
        <v>19711268</v>
      </c>
      <c r="AI28" s="34">
        <f t="shared" si="12"/>
        <v>6933</v>
      </c>
      <c r="AJ28" s="1254">
        <f>'3A_Level 3'!J28</f>
        <v>482185</v>
      </c>
      <c r="AK28" s="34">
        <f t="shared" si="13"/>
        <v>169.60429124164614</v>
      </c>
      <c r="AL28" s="1254">
        <f t="shared" si="35"/>
        <v>20193453</v>
      </c>
      <c r="AM28" s="34">
        <f t="shared" si="14"/>
        <v>7102.8677453394303</v>
      </c>
      <c r="AN28" s="1256">
        <f>'3A_Level 3'!K28</f>
        <v>1893336</v>
      </c>
      <c r="AO28" s="275">
        <f t="shared" si="15"/>
        <v>665.96412240590928</v>
      </c>
      <c r="AP28" s="1254">
        <f t="shared" si="36"/>
        <v>21604604</v>
      </c>
      <c r="AQ28" s="34">
        <f t="shared" si="16"/>
        <v>7599.2275765036929</v>
      </c>
      <c r="AR28" s="34">
        <f>'3A_Level 3'!L28</f>
        <v>427098.82798640913</v>
      </c>
      <c r="AS28" s="1257">
        <f t="shared" si="17"/>
        <v>22031702.827986408</v>
      </c>
      <c r="AT28" s="34">
        <f t="shared" si="18"/>
        <v>7749.4557959853701</v>
      </c>
      <c r="AU28" s="273">
        <f t="shared" si="37"/>
        <v>0.77649573526221494</v>
      </c>
      <c r="AV28" s="274">
        <f t="shared" si="38"/>
        <v>2</v>
      </c>
      <c r="AW28" s="34">
        <f t="shared" si="19"/>
        <v>6341541</v>
      </c>
      <c r="AX28" s="34">
        <f t="shared" si="20"/>
        <v>2230.58</v>
      </c>
      <c r="AY28" s="274">
        <f t="shared" si="39"/>
        <v>68</v>
      </c>
      <c r="AZ28" s="273">
        <f t="shared" si="40"/>
        <v>0.22350426473778506</v>
      </c>
      <c r="BA28" s="275">
        <f t="shared" si="41"/>
        <v>28373243.827986408</v>
      </c>
      <c r="BB28" s="275">
        <f t="shared" si="21"/>
        <v>9980.0365205720755</v>
      </c>
      <c r="BC28" s="274">
        <f t="shared" si="42"/>
        <v>26</v>
      </c>
    </row>
    <row r="29" spans="1:55" ht="15.6" customHeight="1" x14ac:dyDescent="0.2">
      <c r="A29" s="606">
        <v>23</v>
      </c>
      <c r="B29" s="269" t="s">
        <v>26</v>
      </c>
      <c r="C29" s="1243">
        <f>'8_2.1.20 SIS'!AV29</f>
        <v>12047</v>
      </c>
      <c r="D29" s="1241">
        <v>8955</v>
      </c>
      <c r="E29" s="1241">
        <f t="shared" si="22"/>
        <v>1970.1</v>
      </c>
      <c r="F29" s="1241">
        <v>6521</v>
      </c>
      <c r="G29" s="1241">
        <f t="shared" si="23"/>
        <v>391.26</v>
      </c>
      <c r="H29" s="1241">
        <v>1758</v>
      </c>
      <c r="I29" s="1241">
        <f t="shared" si="24"/>
        <v>2637</v>
      </c>
      <c r="J29" s="1241">
        <v>397</v>
      </c>
      <c r="K29" s="1241">
        <f t="shared" si="25"/>
        <v>238.2</v>
      </c>
      <c r="L29" s="1241">
        <f t="shared" si="1"/>
        <v>0</v>
      </c>
      <c r="M29" s="270">
        <f t="shared" si="2"/>
        <v>0</v>
      </c>
      <c r="N29" s="1241">
        <f t="shared" si="3"/>
        <v>0</v>
      </c>
      <c r="O29" s="1241">
        <f t="shared" si="26"/>
        <v>5236.5599999999995</v>
      </c>
      <c r="P29" s="1241">
        <f t="shared" si="4"/>
        <v>17283.559999999998</v>
      </c>
      <c r="Q29" s="1248">
        <f t="shared" si="27"/>
        <v>4015</v>
      </c>
      <c r="R29" s="1248">
        <f t="shared" si="5"/>
        <v>69393493</v>
      </c>
      <c r="S29" s="1248">
        <f>'6_Local Deduct Calc'!J29</f>
        <v>18915286</v>
      </c>
      <c r="T29" s="1248">
        <f t="shared" si="28"/>
        <v>18915286</v>
      </c>
      <c r="U29" s="1249">
        <f t="shared" si="29"/>
        <v>50478207</v>
      </c>
      <c r="V29" s="271">
        <f t="shared" si="43"/>
        <v>0.72740000000000005</v>
      </c>
      <c r="W29" s="271">
        <f t="shared" si="30"/>
        <v>0.27260000000000001</v>
      </c>
      <c r="X29" s="272">
        <f t="shared" si="6"/>
        <v>1570.1241802938491</v>
      </c>
      <c r="Y29" s="1248">
        <f>'7_Local Revenue'!AS29</f>
        <v>45913153</v>
      </c>
      <c r="Z29" s="1248">
        <f t="shared" si="31"/>
        <v>26997867</v>
      </c>
      <c r="AA29" s="34">
        <f t="shared" si="32"/>
        <v>0</v>
      </c>
      <c r="AB29" s="34">
        <f t="shared" si="7"/>
        <v>23593787.620000001</v>
      </c>
      <c r="AC29" s="34">
        <f t="shared" si="8"/>
        <v>23593787.620000001</v>
      </c>
      <c r="AD29" s="1248">
        <f t="shared" si="9"/>
        <v>11062466.38896464</v>
      </c>
      <c r="AE29" s="1254">
        <f t="shared" si="33"/>
        <v>12531321</v>
      </c>
      <c r="AF29" s="34">
        <f t="shared" si="10"/>
        <v>1040</v>
      </c>
      <c r="AG29" s="273">
        <f t="shared" si="34"/>
        <v>0.53110000000000002</v>
      </c>
      <c r="AH29" s="1254">
        <f t="shared" si="11"/>
        <v>63009528</v>
      </c>
      <c r="AI29" s="34">
        <f t="shared" si="12"/>
        <v>5230</v>
      </c>
      <c r="AJ29" s="1254">
        <f>'3A_Level 3'!J29</f>
        <v>2043221</v>
      </c>
      <c r="AK29" s="34">
        <f t="shared" si="13"/>
        <v>169.60413380924712</v>
      </c>
      <c r="AL29" s="1254">
        <f t="shared" si="35"/>
        <v>65052749</v>
      </c>
      <c r="AM29" s="34">
        <f t="shared" si="14"/>
        <v>5399.912758363078</v>
      </c>
      <c r="AN29" s="1256">
        <f>'3A_Level 3'!K29</f>
        <v>10338544</v>
      </c>
      <c r="AO29" s="275">
        <f t="shared" si="15"/>
        <v>858.18411222711052</v>
      </c>
      <c r="AP29" s="1254">
        <f t="shared" si="36"/>
        <v>73348072</v>
      </c>
      <c r="AQ29" s="34">
        <f t="shared" si="16"/>
        <v>6088.4927367809414</v>
      </c>
      <c r="AR29" s="34">
        <f>'3A_Level 3'!L29</f>
        <v>1686430.2242927244</v>
      </c>
      <c r="AS29" s="1257">
        <f t="shared" si="17"/>
        <v>75034502.224292725</v>
      </c>
      <c r="AT29" s="34">
        <f t="shared" si="18"/>
        <v>6228.480304166409</v>
      </c>
      <c r="AU29" s="273">
        <f t="shared" si="37"/>
        <v>0.63835476915973022</v>
      </c>
      <c r="AV29" s="274">
        <f t="shared" si="38"/>
        <v>35</v>
      </c>
      <c r="AW29" s="34">
        <f t="shared" si="19"/>
        <v>42509073.619999997</v>
      </c>
      <c r="AX29" s="34">
        <f t="shared" si="20"/>
        <v>3528.6</v>
      </c>
      <c r="AY29" s="274">
        <f t="shared" si="39"/>
        <v>38</v>
      </c>
      <c r="AZ29" s="273">
        <f t="shared" si="40"/>
        <v>0.36164523084026973</v>
      </c>
      <c r="BA29" s="275">
        <f t="shared" si="41"/>
        <v>117543575.84429273</v>
      </c>
      <c r="BB29" s="275">
        <f t="shared" si="21"/>
        <v>9757.0827462681773</v>
      </c>
      <c r="BC29" s="274">
        <f t="shared" si="42"/>
        <v>37</v>
      </c>
    </row>
    <row r="30" spans="1:55" ht="15.6" customHeight="1" x14ac:dyDescent="0.2">
      <c r="A30" s="606">
        <v>24</v>
      </c>
      <c r="B30" s="269" t="s">
        <v>27</v>
      </c>
      <c r="C30" s="1243">
        <f>'8_2.1.20 SIS'!AV30</f>
        <v>4363</v>
      </c>
      <c r="D30" s="1241">
        <v>3449</v>
      </c>
      <c r="E30" s="1241">
        <f t="shared" si="22"/>
        <v>758.78</v>
      </c>
      <c r="F30" s="1241">
        <v>1824</v>
      </c>
      <c r="G30" s="1241">
        <f t="shared" si="23"/>
        <v>109.44</v>
      </c>
      <c r="H30" s="1241">
        <v>491</v>
      </c>
      <c r="I30" s="1241">
        <f t="shared" si="24"/>
        <v>736.5</v>
      </c>
      <c r="J30" s="1241">
        <v>149</v>
      </c>
      <c r="K30" s="1241">
        <f t="shared" si="25"/>
        <v>89.399999999999991</v>
      </c>
      <c r="L30" s="1241">
        <f t="shared" si="1"/>
        <v>3137</v>
      </c>
      <c r="M30" s="270">
        <f t="shared" si="2"/>
        <v>8.3650000000000002E-2</v>
      </c>
      <c r="N30" s="1241">
        <f t="shared" si="3"/>
        <v>364.96494999999999</v>
      </c>
      <c r="O30" s="1241">
        <f t="shared" si="26"/>
        <v>2059.0849499999999</v>
      </c>
      <c r="P30" s="1241">
        <f t="shared" si="4"/>
        <v>6422.0849500000004</v>
      </c>
      <c r="Q30" s="1248">
        <f t="shared" si="27"/>
        <v>4015</v>
      </c>
      <c r="R30" s="1248">
        <f t="shared" si="5"/>
        <v>25784671</v>
      </c>
      <c r="S30" s="1248">
        <f>'6_Local Deduct Calc'!J30</f>
        <v>18414340</v>
      </c>
      <c r="T30" s="1248">
        <f t="shared" si="28"/>
        <v>18414340</v>
      </c>
      <c r="U30" s="1249">
        <f t="shared" si="29"/>
        <v>7370331</v>
      </c>
      <c r="V30" s="271">
        <f t="shared" si="43"/>
        <v>0.2858</v>
      </c>
      <c r="W30" s="271">
        <f t="shared" si="30"/>
        <v>0.71419999999999995</v>
      </c>
      <c r="X30" s="272">
        <f t="shared" si="6"/>
        <v>4220.5684162273665</v>
      </c>
      <c r="Y30" s="1248">
        <f>'7_Local Revenue'!AS30</f>
        <v>60371390</v>
      </c>
      <c r="Z30" s="1248">
        <f t="shared" si="31"/>
        <v>41957050</v>
      </c>
      <c r="AA30" s="34">
        <f t="shared" si="32"/>
        <v>0</v>
      </c>
      <c r="AB30" s="34">
        <f t="shared" si="7"/>
        <v>8766788.1400000006</v>
      </c>
      <c r="AC30" s="34">
        <f t="shared" si="8"/>
        <v>8766788.1400000006</v>
      </c>
      <c r="AD30" s="1248">
        <f t="shared" si="9"/>
        <v>10769332.954091361</v>
      </c>
      <c r="AE30" s="1254">
        <f t="shared" si="33"/>
        <v>0</v>
      </c>
      <c r="AF30" s="34">
        <f t="shared" si="10"/>
        <v>0</v>
      </c>
      <c r="AG30" s="273">
        <f t="shared" si="34"/>
        <v>0</v>
      </c>
      <c r="AH30" s="1254">
        <f t="shared" si="11"/>
        <v>7370331</v>
      </c>
      <c r="AI30" s="34">
        <f t="shared" si="12"/>
        <v>1689</v>
      </c>
      <c r="AJ30" s="1254">
        <f>'3A_Level 3'!J30</f>
        <v>2091034</v>
      </c>
      <c r="AK30" s="34">
        <f t="shared" si="13"/>
        <v>479.26518450607381</v>
      </c>
      <c r="AL30" s="1254">
        <f t="shared" si="35"/>
        <v>9461365</v>
      </c>
      <c r="AM30" s="34">
        <f t="shared" si="14"/>
        <v>2168.5457254182902</v>
      </c>
      <c r="AN30" s="1256">
        <f>'3A_Level 3'!K30</f>
        <v>5818127</v>
      </c>
      <c r="AO30" s="275">
        <f t="shared" si="15"/>
        <v>1333.5152418060968</v>
      </c>
      <c r="AP30" s="1254">
        <f t="shared" si="36"/>
        <v>13188458</v>
      </c>
      <c r="AQ30" s="34">
        <f t="shared" si="16"/>
        <v>3022.7957827183131</v>
      </c>
      <c r="AR30" s="34">
        <f>'3A_Level 3'!L30</f>
        <v>801630.98046860669</v>
      </c>
      <c r="AS30" s="1257">
        <f t="shared" si="17"/>
        <v>13990088.980468607</v>
      </c>
      <c r="AT30" s="34">
        <f t="shared" si="18"/>
        <v>3206.5296769352753</v>
      </c>
      <c r="AU30" s="273">
        <f t="shared" si="37"/>
        <v>0.33980265726740733</v>
      </c>
      <c r="AV30" s="274">
        <f t="shared" si="38"/>
        <v>65</v>
      </c>
      <c r="AW30" s="34">
        <f t="shared" si="19"/>
        <v>27181128.140000001</v>
      </c>
      <c r="AX30" s="34">
        <f t="shared" si="20"/>
        <v>6229.92</v>
      </c>
      <c r="AY30" s="274">
        <f t="shared" si="39"/>
        <v>5</v>
      </c>
      <c r="AZ30" s="273">
        <f t="shared" si="40"/>
        <v>0.66019734273259267</v>
      </c>
      <c r="BA30" s="275">
        <f t="shared" si="41"/>
        <v>41171217.120468609</v>
      </c>
      <c r="BB30" s="275">
        <f t="shared" si="21"/>
        <v>9436.4467385901007</v>
      </c>
      <c r="BC30" s="274">
        <f t="shared" si="42"/>
        <v>49</v>
      </c>
    </row>
    <row r="31" spans="1:55" ht="15.6" customHeight="1" x14ac:dyDescent="0.2">
      <c r="A31" s="607">
        <v>25</v>
      </c>
      <c r="B31" s="608" t="s">
        <v>28</v>
      </c>
      <c r="C31" s="1244">
        <f>'8_2.1.20 SIS'!AV31</f>
        <v>2209</v>
      </c>
      <c r="D31" s="1245">
        <v>1586</v>
      </c>
      <c r="E31" s="1245">
        <f t="shared" si="22"/>
        <v>348.92</v>
      </c>
      <c r="F31" s="1245">
        <v>1643.5</v>
      </c>
      <c r="G31" s="1245">
        <f t="shared" si="23"/>
        <v>98.61</v>
      </c>
      <c r="H31" s="1245">
        <v>217</v>
      </c>
      <c r="I31" s="1245">
        <f t="shared" si="24"/>
        <v>325.5</v>
      </c>
      <c r="J31" s="1245">
        <v>84</v>
      </c>
      <c r="K31" s="1245">
        <f t="shared" si="25"/>
        <v>50.4</v>
      </c>
      <c r="L31" s="1245">
        <f t="shared" si="1"/>
        <v>5291</v>
      </c>
      <c r="M31" s="609">
        <f t="shared" si="2"/>
        <v>0.14108999999999999</v>
      </c>
      <c r="N31" s="1245">
        <f t="shared" si="3"/>
        <v>311.66780999999997</v>
      </c>
      <c r="O31" s="1245">
        <f t="shared" si="26"/>
        <v>1135.09781</v>
      </c>
      <c r="P31" s="1247">
        <f t="shared" si="4"/>
        <v>3344.0978100000002</v>
      </c>
      <c r="Q31" s="1250">
        <f t="shared" si="27"/>
        <v>4015</v>
      </c>
      <c r="R31" s="1250">
        <f t="shared" si="5"/>
        <v>13426553</v>
      </c>
      <c r="S31" s="1250">
        <f>'6_Local Deduct Calc'!J31</f>
        <v>4483722</v>
      </c>
      <c r="T31" s="1250">
        <f t="shared" si="28"/>
        <v>4483722</v>
      </c>
      <c r="U31" s="1251">
        <f t="shared" si="29"/>
        <v>8942831</v>
      </c>
      <c r="V31" s="610">
        <f t="shared" si="43"/>
        <v>0.66610000000000003</v>
      </c>
      <c r="W31" s="544">
        <f t="shared" si="30"/>
        <v>0.33389999999999997</v>
      </c>
      <c r="X31" s="545">
        <f t="shared" si="6"/>
        <v>2029.7519239474875</v>
      </c>
      <c r="Y31" s="1250">
        <f>'7_Local Revenue'!AS31</f>
        <v>10760225</v>
      </c>
      <c r="Z31" s="1250">
        <f t="shared" si="31"/>
        <v>6276503</v>
      </c>
      <c r="AA31" s="611">
        <f t="shared" si="32"/>
        <v>0</v>
      </c>
      <c r="AB31" s="611">
        <f t="shared" si="7"/>
        <v>4565028.0200000005</v>
      </c>
      <c r="AC31" s="611">
        <f t="shared" si="8"/>
        <v>4565028.0200000005</v>
      </c>
      <c r="AD31" s="1250">
        <f t="shared" si="9"/>
        <v>2621732.1121101598</v>
      </c>
      <c r="AE31" s="1255">
        <f t="shared" si="33"/>
        <v>1943296</v>
      </c>
      <c r="AF31" s="611">
        <f t="shared" si="10"/>
        <v>880</v>
      </c>
      <c r="AG31" s="612">
        <f t="shared" si="34"/>
        <v>0.42570000000000002</v>
      </c>
      <c r="AH31" s="1255">
        <f t="shared" si="11"/>
        <v>10886127</v>
      </c>
      <c r="AI31" s="611">
        <f t="shared" si="12"/>
        <v>4928</v>
      </c>
      <c r="AJ31" s="1255">
        <f>'3A_Level 3'!J31</f>
        <v>374656</v>
      </c>
      <c r="AK31" s="611">
        <f t="shared" si="13"/>
        <v>169.60434585785424</v>
      </c>
      <c r="AL31" s="1255">
        <f t="shared" si="35"/>
        <v>11260783</v>
      </c>
      <c r="AM31" s="611">
        <f t="shared" si="14"/>
        <v>5097.683567224989</v>
      </c>
      <c r="AN31" s="1258">
        <f>'3A_Level 3'!K31</f>
        <v>1818746</v>
      </c>
      <c r="AO31" s="614">
        <f t="shared" si="15"/>
        <v>823.33454051607066</v>
      </c>
      <c r="AP31" s="1255">
        <f t="shared" si="36"/>
        <v>12704873</v>
      </c>
      <c r="AQ31" s="611">
        <f t="shared" si="16"/>
        <v>5751.4137618832046</v>
      </c>
      <c r="AR31" s="1259">
        <f>'3A_Level 3'!L31</f>
        <v>341675.93370564963</v>
      </c>
      <c r="AS31" s="1260">
        <f t="shared" si="17"/>
        <v>13046548.93370565</v>
      </c>
      <c r="AT31" s="1261">
        <f t="shared" si="18"/>
        <v>5906.0882452266414</v>
      </c>
      <c r="AU31" s="612">
        <f t="shared" si="37"/>
        <v>0.59046718313433755</v>
      </c>
      <c r="AV31" s="613">
        <f t="shared" si="38"/>
        <v>48</v>
      </c>
      <c r="AW31" s="611">
        <f t="shared" si="19"/>
        <v>9048750.0199999996</v>
      </c>
      <c r="AX31" s="611">
        <f t="shared" si="20"/>
        <v>4096.3100000000004</v>
      </c>
      <c r="AY31" s="613">
        <f t="shared" si="39"/>
        <v>25</v>
      </c>
      <c r="AZ31" s="612">
        <f t="shared" si="40"/>
        <v>0.40953281686566245</v>
      </c>
      <c r="BA31" s="614">
        <f t="shared" si="41"/>
        <v>22095298.95370565</v>
      </c>
      <c r="BB31" s="614">
        <f t="shared" si="21"/>
        <v>10002.398802039679</v>
      </c>
      <c r="BC31" s="613">
        <f t="shared" si="42"/>
        <v>24</v>
      </c>
    </row>
    <row r="32" spans="1:55" ht="15.6" customHeight="1" x14ac:dyDescent="0.2">
      <c r="A32" s="606">
        <v>26</v>
      </c>
      <c r="B32" s="269" t="s">
        <v>29</v>
      </c>
      <c r="C32" s="1241">
        <f>'8_2.1.20 SIS'!AV32</f>
        <v>50879</v>
      </c>
      <c r="D32" s="1241">
        <v>41252</v>
      </c>
      <c r="E32" s="1241">
        <f t="shared" si="22"/>
        <v>9075.44</v>
      </c>
      <c r="F32" s="1241">
        <v>17818.5</v>
      </c>
      <c r="G32" s="1241">
        <f t="shared" si="23"/>
        <v>1069.1099999999999</v>
      </c>
      <c r="H32" s="1241">
        <v>6794</v>
      </c>
      <c r="I32" s="1241">
        <f t="shared" si="24"/>
        <v>10191</v>
      </c>
      <c r="J32" s="1241">
        <v>3023</v>
      </c>
      <c r="K32" s="1241">
        <f t="shared" si="25"/>
        <v>1813.8</v>
      </c>
      <c r="L32" s="1242">
        <f t="shared" si="1"/>
        <v>0</v>
      </c>
      <c r="M32" s="270">
        <f t="shared" si="2"/>
        <v>0</v>
      </c>
      <c r="N32" s="1241">
        <f t="shared" si="3"/>
        <v>0</v>
      </c>
      <c r="O32" s="1241">
        <f t="shared" si="26"/>
        <v>22149.350000000002</v>
      </c>
      <c r="P32" s="1241">
        <f t="shared" si="4"/>
        <v>73028.350000000006</v>
      </c>
      <c r="Q32" s="1248">
        <f t="shared" si="27"/>
        <v>4015</v>
      </c>
      <c r="R32" s="1248">
        <f t="shared" si="5"/>
        <v>293208825</v>
      </c>
      <c r="S32" s="1248">
        <f>'6_Local Deduct Calc'!J32</f>
        <v>131314008</v>
      </c>
      <c r="T32" s="1248">
        <f t="shared" si="28"/>
        <v>131314008</v>
      </c>
      <c r="U32" s="1249">
        <f t="shared" si="29"/>
        <v>161894817</v>
      </c>
      <c r="V32" s="271">
        <f t="shared" si="43"/>
        <v>0.55210000000000004</v>
      </c>
      <c r="W32" s="271">
        <f t="shared" si="30"/>
        <v>0.44790000000000002</v>
      </c>
      <c r="X32" s="272">
        <f t="shared" si="6"/>
        <v>2580.9078008608658</v>
      </c>
      <c r="Y32" s="1248">
        <f>'7_Local Revenue'!AS32</f>
        <v>291611521</v>
      </c>
      <c r="Z32" s="1248">
        <f t="shared" si="31"/>
        <v>160297513</v>
      </c>
      <c r="AA32" s="34">
        <f t="shared" si="32"/>
        <v>0</v>
      </c>
      <c r="AB32" s="34">
        <f t="shared" si="7"/>
        <v>99691000.5</v>
      </c>
      <c r="AC32" s="34">
        <f t="shared" si="8"/>
        <v>99691000.5</v>
      </c>
      <c r="AD32" s="1248">
        <f t="shared" si="9"/>
        <v>76800750.493194014</v>
      </c>
      <c r="AE32" s="1254">
        <f t="shared" si="33"/>
        <v>22890250</v>
      </c>
      <c r="AF32" s="34">
        <f t="shared" si="10"/>
        <v>450</v>
      </c>
      <c r="AG32" s="273">
        <f t="shared" si="34"/>
        <v>0.2296</v>
      </c>
      <c r="AH32" s="1254">
        <f t="shared" si="11"/>
        <v>184785067</v>
      </c>
      <c r="AI32" s="34">
        <f t="shared" si="12"/>
        <v>3632</v>
      </c>
      <c r="AJ32" s="1254">
        <f>'3A_Level 3'!J32</f>
        <v>19985647</v>
      </c>
      <c r="AK32" s="34">
        <f t="shared" si="13"/>
        <v>392.80738615145737</v>
      </c>
      <c r="AL32" s="1254">
        <f t="shared" si="35"/>
        <v>204770714</v>
      </c>
      <c r="AM32" s="34">
        <f t="shared" si="14"/>
        <v>4024.6607441183987</v>
      </c>
      <c r="AN32" s="1256">
        <f>'3A_Level 3'!K32</f>
        <v>62562721</v>
      </c>
      <c r="AO32" s="275">
        <f t="shared" si="15"/>
        <v>1229.6373946028814</v>
      </c>
      <c r="AP32" s="1254">
        <f t="shared" si="36"/>
        <v>247347788</v>
      </c>
      <c r="AQ32" s="34">
        <f t="shared" si="16"/>
        <v>4861.4907525698227</v>
      </c>
      <c r="AR32" s="34">
        <f>'3A_Level 3'!L32</f>
        <v>6992363.4827537294</v>
      </c>
      <c r="AS32" s="1257">
        <f t="shared" si="17"/>
        <v>254340151.48275372</v>
      </c>
      <c r="AT32" s="34">
        <f t="shared" si="18"/>
        <v>4998.9219812251367</v>
      </c>
      <c r="AU32" s="273">
        <f t="shared" si="37"/>
        <v>0.52403974007238774</v>
      </c>
      <c r="AV32" s="274">
        <f t="shared" si="38"/>
        <v>54</v>
      </c>
      <c r="AW32" s="34">
        <f t="shared" si="19"/>
        <v>231005008.5</v>
      </c>
      <c r="AX32" s="34">
        <f t="shared" si="20"/>
        <v>4540.28</v>
      </c>
      <c r="AY32" s="274">
        <f t="shared" si="39"/>
        <v>16</v>
      </c>
      <c r="AZ32" s="273">
        <f t="shared" si="40"/>
        <v>0.47596025992761221</v>
      </c>
      <c r="BA32" s="275">
        <f t="shared" si="41"/>
        <v>485345159.98275375</v>
      </c>
      <c r="BB32" s="275">
        <f t="shared" si="21"/>
        <v>9539.2039934502209</v>
      </c>
      <c r="BC32" s="274">
        <f t="shared" si="42"/>
        <v>44</v>
      </c>
    </row>
    <row r="33" spans="1:55" ht="15.6" customHeight="1" x14ac:dyDescent="0.2">
      <c r="A33" s="606">
        <v>27</v>
      </c>
      <c r="B33" s="269" t="s">
        <v>30</v>
      </c>
      <c r="C33" s="1243">
        <f>'8_2.1.20 SIS'!AV33</f>
        <v>5489</v>
      </c>
      <c r="D33" s="1241">
        <v>3562</v>
      </c>
      <c r="E33" s="1241">
        <f t="shared" si="22"/>
        <v>783.64</v>
      </c>
      <c r="F33" s="1241">
        <v>3100</v>
      </c>
      <c r="G33" s="1241">
        <f t="shared" si="23"/>
        <v>186</v>
      </c>
      <c r="H33" s="1241">
        <v>775</v>
      </c>
      <c r="I33" s="1241">
        <f t="shared" si="24"/>
        <v>1162.5</v>
      </c>
      <c r="J33" s="1241">
        <v>133</v>
      </c>
      <c r="K33" s="1241">
        <f t="shared" si="25"/>
        <v>79.8</v>
      </c>
      <c r="L33" s="1241">
        <f t="shared" si="1"/>
        <v>2011</v>
      </c>
      <c r="M33" s="270">
        <f t="shared" si="2"/>
        <v>5.3629999999999997E-2</v>
      </c>
      <c r="N33" s="1241">
        <f t="shared" si="3"/>
        <v>294.37506999999999</v>
      </c>
      <c r="O33" s="1241">
        <f t="shared" si="26"/>
        <v>2506.3150700000001</v>
      </c>
      <c r="P33" s="1241">
        <f t="shared" si="4"/>
        <v>7995.3150700000006</v>
      </c>
      <c r="Q33" s="1248">
        <f t="shared" si="27"/>
        <v>4015</v>
      </c>
      <c r="R33" s="1248">
        <f t="shared" si="5"/>
        <v>32101190</v>
      </c>
      <c r="S33" s="1248">
        <f>'6_Local Deduct Calc'!J33</f>
        <v>6892772</v>
      </c>
      <c r="T33" s="1248">
        <f t="shared" si="28"/>
        <v>6892772</v>
      </c>
      <c r="U33" s="1249">
        <f t="shared" si="29"/>
        <v>25208418</v>
      </c>
      <c r="V33" s="271">
        <f t="shared" si="43"/>
        <v>0.7853</v>
      </c>
      <c r="W33" s="271">
        <f t="shared" si="30"/>
        <v>0.2147</v>
      </c>
      <c r="X33" s="272">
        <f t="shared" si="6"/>
        <v>1255.7427582437601</v>
      </c>
      <c r="Y33" s="1248">
        <f>'7_Local Revenue'!AS33</f>
        <v>20283638</v>
      </c>
      <c r="Z33" s="1248">
        <f t="shared" si="31"/>
        <v>13390866</v>
      </c>
      <c r="AA33" s="34">
        <f t="shared" si="32"/>
        <v>0</v>
      </c>
      <c r="AB33" s="34">
        <f t="shared" si="7"/>
        <v>10914404.600000001</v>
      </c>
      <c r="AC33" s="34">
        <f t="shared" si="8"/>
        <v>10914404.600000001</v>
      </c>
      <c r="AD33" s="1248">
        <f t="shared" si="9"/>
        <v>4030514.9883064004</v>
      </c>
      <c r="AE33" s="1254">
        <f t="shared" si="33"/>
        <v>6883890</v>
      </c>
      <c r="AF33" s="34">
        <f t="shared" si="10"/>
        <v>1254</v>
      </c>
      <c r="AG33" s="273">
        <f t="shared" si="34"/>
        <v>0.63070000000000004</v>
      </c>
      <c r="AH33" s="1254">
        <f t="shared" si="11"/>
        <v>32092308</v>
      </c>
      <c r="AI33" s="34">
        <f t="shared" si="12"/>
        <v>5847</v>
      </c>
      <c r="AJ33" s="1254">
        <f>'3A_Level 3'!J33</f>
        <v>930957</v>
      </c>
      <c r="AK33" s="34">
        <f t="shared" si="13"/>
        <v>169.60411732556022</v>
      </c>
      <c r="AL33" s="1254">
        <f t="shared" si="35"/>
        <v>33023265</v>
      </c>
      <c r="AM33" s="34">
        <f t="shared" si="14"/>
        <v>6016.2625250501005</v>
      </c>
      <c r="AN33" s="1256">
        <f>'3A_Level 3'!K33</f>
        <v>4735163</v>
      </c>
      <c r="AO33" s="275">
        <f t="shared" si="15"/>
        <v>862.66405538349431</v>
      </c>
      <c r="AP33" s="1254">
        <f t="shared" si="36"/>
        <v>36827471</v>
      </c>
      <c r="AQ33" s="34">
        <f t="shared" si="16"/>
        <v>6709.3224631080338</v>
      </c>
      <c r="AR33" s="34">
        <f>'3A_Level 3'!L33</f>
        <v>766273.72029098216</v>
      </c>
      <c r="AS33" s="1257">
        <f t="shared" si="17"/>
        <v>37593744.720290981</v>
      </c>
      <c r="AT33" s="34">
        <f t="shared" si="18"/>
        <v>6848.9241611023836</v>
      </c>
      <c r="AU33" s="273">
        <f t="shared" si="37"/>
        <v>0.6785761648790849</v>
      </c>
      <c r="AV33" s="274">
        <f t="shared" si="38"/>
        <v>23</v>
      </c>
      <c r="AW33" s="34">
        <f t="shared" si="19"/>
        <v>17807176.600000001</v>
      </c>
      <c r="AX33" s="34">
        <f t="shared" si="20"/>
        <v>3244.16</v>
      </c>
      <c r="AY33" s="274">
        <f t="shared" si="39"/>
        <v>49</v>
      </c>
      <c r="AZ33" s="273">
        <f t="shared" si="40"/>
        <v>0.32142383512091516</v>
      </c>
      <c r="BA33" s="275">
        <f t="shared" si="41"/>
        <v>55400921.320290983</v>
      </c>
      <c r="BB33" s="275">
        <f t="shared" si="21"/>
        <v>10093.080947402255</v>
      </c>
      <c r="BC33" s="274">
        <f t="shared" si="42"/>
        <v>21</v>
      </c>
    </row>
    <row r="34" spans="1:55" ht="15.6" customHeight="1" x14ac:dyDescent="0.2">
      <c r="A34" s="606">
        <v>28</v>
      </c>
      <c r="B34" s="269" t="s">
        <v>31</v>
      </c>
      <c r="C34" s="1243">
        <f>'8_2.1.20 SIS'!AV34</f>
        <v>33329</v>
      </c>
      <c r="D34" s="1241">
        <v>21724</v>
      </c>
      <c r="E34" s="1241">
        <f t="shared" si="22"/>
        <v>4779.28</v>
      </c>
      <c r="F34" s="1241">
        <v>13986</v>
      </c>
      <c r="G34" s="1241">
        <f t="shared" si="23"/>
        <v>839.16</v>
      </c>
      <c r="H34" s="1241">
        <v>3296</v>
      </c>
      <c r="I34" s="1241">
        <f t="shared" si="24"/>
        <v>4944</v>
      </c>
      <c r="J34" s="1241">
        <v>1470</v>
      </c>
      <c r="K34" s="1241">
        <f t="shared" si="25"/>
        <v>882</v>
      </c>
      <c r="L34" s="1241">
        <f t="shared" si="1"/>
        <v>0</v>
      </c>
      <c r="M34" s="270">
        <f t="shared" si="2"/>
        <v>0</v>
      </c>
      <c r="N34" s="1241">
        <f t="shared" si="3"/>
        <v>0</v>
      </c>
      <c r="O34" s="1241">
        <f t="shared" si="26"/>
        <v>11444.439999999999</v>
      </c>
      <c r="P34" s="1241">
        <f t="shared" si="4"/>
        <v>44773.440000000002</v>
      </c>
      <c r="Q34" s="1248">
        <f t="shared" si="27"/>
        <v>4015</v>
      </c>
      <c r="R34" s="1248">
        <f t="shared" si="5"/>
        <v>179765362</v>
      </c>
      <c r="S34" s="1248">
        <f>'6_Local Deduct Calc'!J34</f>
        <v>79106551</v>
      </c>
      <c r="T34" s="1248">
        <f t="shared" si="28"/>
        <v>79106551</v>
      </c>
      <c r="U34" s="1249">
        <f t="shared" si="29"/>
        <v>100658811</v>
      </c>
      <c r="V34" s="271">
        <f t="shared" si="43"/>
        <v>0.55989999999999995</v>
      </c>
      <c r="W34" s="271">
        <f t="shared" si="30"/>
        <v>0.44009999999999999</v>
      </c>
      <c r="X34" s="272">
        <f t="shared" si="6"/>
        <v>2373.505085661136</v>
      </c>
      <c r="Y34" s="1248">
        <f>'7_Local Revenue'!AS34</f>
        <v>194228331</v>
      </c>
      <c r="Z34" s="1248">
        <f t="shared" si="31"/>
        <v>115121780</v>
      </c>
      <c r="AA34" s="34">
        <f t="shared" si="32"/>
        <v>0</v>
      </c>
      <c r="AB34" s="34">
        <f t="shared" si="7"/>
        <v>61120223.080000006</v>
      </c>
      <c r="AC34" s="34">
        <f t="shared" si="8"/>
        <v>61120223.080000006</v>
      </c>
      <c r="AD34" s="1248">
        <f t="shared" si="9"/>
        <v>46266297.505313762</v>
      </c>
      <c r="AE34" s="1254">
        <f t="shared" si="33"/>
        <v>14853926</v>
      </c>
      <c r="AF34" s="34">
        <f t="shared" si="10"/>
        <v>446</v>
      </c>
      <c r="AG34" s="273">
        <f t="shared" si="34"/>
        <v>0.24299999999999999</v>
      </c>
      <c r="AH34" s="1254">
        <f t="shared" si="11"/>
        <v>115512737</v>
      </c>
      <c r="AI34" s="34">
        <f t="shared" si="12"/>
        <v>3466</v>
      </c>
      <c r="AJ34" s="1254">
        <f>'3A_Level 3'!J34</f>
        <v>7649113</v>
      </c>
      <c r="AK34" s="34">
        <f t="shared" si="13"/>
        <v>229.5032254193045</v>
      </c>
      <c r="AL34" s="1254">
        <f t="shared" si="35"/>
        <v>123161850</v>
      </c>
      <c r="AM34" s="34">
        <f t="shared" si="14"/>
        <v>3695.3358936661766</v>
      </c>
      <c r="AN34" s="1256">
        <f>'3A_Level 3'!K34</f>
        <v>30792771</v>
      </c>
      <c r="AO34" s="275">
        <f t="shared" si="15"/>
        <v>923.90323742086468</v>
      </c>
      <c r="AP34" s="1254">
        <f t="shared" si="36"/>
        <v>146305508</v>
      </c>
      <c r="AQ34" s="34">
        <f t="shared" si="16"/>
        <v>4389.7359056677369</v>
      </c>
      <c r="AR34" s="34">
        <f>'3A_Level 3'!L34</f>
        <v>4542280.9368145242</v>
      </c>
      <c r="AS34" s="1257">
        <f t="shared" si="17"/>
        <v>150847788.93681452</v>
      </c>
      <c r="AT34" s="34">
        <f t="shared" si="18"/>
        <v>4526.0220509710616</v>
      </c>
      <c r="AU34" s="273">
        <f t="shared" si="37"/>
        <v>0.51824449162911046</v>
      </c>
      <c r="AV34" s="274">
        <f t="shared" si="38"/>
        <v>55</v>
      </c>
      <c r="AW34" s="34">
        <f t="shared" si="19"/>
        <v>140226774.08000001</v>
      </c>
      <c r="AX34" s="34">
        <f t="shared" si="20"/>
        <v>4207.3500000000004</v>
      </c>
      <c r="AY34" s="274">
        <f t="shared" si="39"/>
        <v>21</v>
      </c>
      <c r="AZ34" s="273">
        <f t="shared" si="40"/>
        <v>0.48175550837088954</v>
      </c>
      <c r="BA34" s="275">
        <f t="shared" si="41"/>
        <v>291074563.01681453</v>
      </c>
      <c r="BB34" s="275">
        <f t="shared" si="21"/>
        <v>8733.3722288941917</v>
      </c>
      <c r="BC34" s="274">
        <f t="shared" si="42"/>
        <v>65</v>
      </c>
    </row>
    <row r="35" spans="1:55" ht="15.6" customHeight="1" x14ac:dyDescent="0.2">
      <c r="A35" s="606">
        <v>29</v>
      </c>
      <c r="B35" s="269" t="s">
        <v>32</v>
      </c>
      <c r="C35" s="1243">
        <f>'8_2.1.20 SIS'!AV35</f>
        <v>14106</v>
      </c>
      <c r="D35" s="1241">
        <v>9394</v>
      </c>
      <c r="E35" s="1241">
        <f t="shared" si="22"/>
        <v>2066.6799999999998</v>
      </c>
      <c r="F35" s="1241">
        <v>8872.5</v>
      </c>
      <c r="G35" s="1241">
        <f t="shared" si="23"/>
        <v>532.35</v>
      </c>
      <c r="H35" s="1241">
        <v>1361</v>
      </c>
      <c r="I35" s="1241">
        <f t="shared" si="24"/>
        <v>2041.5</v>
      </c>
      <c r="J35" s="1241">
        <v>302</v>
      </c>
      <c r="K35" s="1241">
        <f t="shared" si="25"/>
        <v>181.2</v>
      </c>
      <c r="L35" s="1241">
        <f t="shared" si="1"/>
        <v>0</v>
      </c>
      <c r="M35" s="270">
        <f t="shared" si="2"/>
        <v>0</v>
      </c>
      <c r="N35" s="1241">
        <f t="shared" si="3"/>
        <v>0</v>
      </c>
      <c r="O35" s="1241">
        <f t="shared" si="26"/>
        <v>4821.7299999999996</v>
      </c>
      <c r="P35" s="1241">
        <f t="shared" si="4"/>
        <v>18927.73</v>
      </c>
      <c r="Q35" s="1248">
        <f t="shared" si="27"/>
        <v>4015</v>
      </c>
      <c r="R35" s="1248">
        <f t="shared" si="5"/>
        <v>75994836</v>
      </c>
      <c r="S35" s="1248">
        <f>'6_Local Deduct Calc'!J35</f>
        <v>25910836</v>
      </c>
      <c r="T35" s="1248">
        <f t="shared" si="28"/>
        <v>25910836</v>
      </c>
      <c r="U35" s="1249">
        <f t="shared" si="29"/>
        <v>50084000</v>
      </c>
      <c r="V35" s="271">
        <f t="shared" si="43"/>
        <v>0.65900000000000003</v>
      </c>
      <c r="W35" s="271">
        <f t="shared" si="30"/>
        <v>0.34100000000000003</v>
      </c>
      <c r="X35" s="272">
        <f t="shared" si="6"/>
        <v>1836.8662980292074</v>
      </c>
      <c r="Y35" s="1248">
        <f>'7_Local Revenue'!AS35</f>
        <v>71927013</v>
      </c>
      <c r="Z35" s="1248">
        <f t="shared" si="31"/>
        <v>46016177</v>
      </c>
      <c r="AA35" s="34">
        <f t="shared" si="32"/>
        <v>0</v>
      </c>
      <c r="AB35" s="34">
        <f t="shared" si="7"/>
        <v>25838244.240000002</v>
      </c>
      <c r="AC35" s="34">
        <f t="shared" si="8"/>
        <v>25838244.240000002</v>
      </c>
      <c r="AD35" s="1248">
        <f t="shared" si="9"/>
        <v>15154647.011644803</v>
      </c>
      <c r="AE35" s="1254">
        <f t="shared" si="33"/>
        <v>10683597</v>
      </c>
      <c r="AF35" s="34">
        <f t="shared" si="10"/>
        <v>757</v>
      </c>
      <c r="AG35" s="273">
        <f t="shared" si="34"/>
        <v>0.41349999999999998</v>
      </c>
      <c r="AH35" s="1254">
        <f t="shared" si="11"/>
        <v>60767597</v>
      </c>
      <c r="AI35" s="34">
        <f t="shared" si="12"/>
        <v>4308</v>
      </c>
      <c r="AJ35" s="1254">
        <f>'3A_Level 3'!J35</f>
        <v>2392436</v>
      </c>
      <c r="AK35" s="34">
        <f t="shared" si="13"/>
        <v>169.60414008223452</v>
      </c>
      <c r="AL35" s="1254">
        <f t="shared" si="35"/>
        <v>63160033</v>
      </c>
      <c r="AM35" s="34">
        <f t="shared" si="14"/>
        <v>4477.5296327803771</v>
      </c>
      <c r="AN35" s="1256">
        <f>'3A_Level 3'!K35</f>
        <v>13041761</v>
      </c>
      <c r="AO35" s="275">
        <f t="shared" si="15"/>
        <v>924.5541613497802</v>
      </c>
      <c r="AP35" s="1254">
        <f t="shared" si="36"/>
        <v>73809358</v>
      </c>
      <c r="AQ35" s="34">
        <f t="shared" si="16"/>
        <v>5232.4796540479228</v>
      </c>
      <c r="AR35" s="34">
        <f>'3A_Level 3'!L35</f>
        <v>1876796.6625128065</v>
      </c>
      <c r="AS35" s="1257">
        <f t="shared" si="17"/>
        <v>75686154.662512809</v>
      </c>
      <c r="AT35" s="34">
        <f t="shared" si="18"/>
        <v>5365.5291835043818</v>
      </c>
      <c r="AU35" s="273">
        <f t="shared" si="37"/>
        <v>0.59391858711927092</v>
      </c>
      <c r="AV35" s="274">
        <f t="shared" si="38"/>
        <v>46</v>
      </c>
      <c r="AW35" s="34">
        <f t="shared" si="19"/>
        <v>51749080.240000002</v>
      </c>
      <c r="AX35" s="34">
        <f t="shared" si="20"/>
        <v>3668.59</v>
      </c>
      <c r="AY35" s="274">
        <f t="shared" si="39"/>
        <v>33</v>
      </c>
      <c r="AZ35" s="273">
        <f t="shared" si="40"/>
        <v>0.40608141288072908</v>
      </c>
      <c r="BA35" s="275">
        <f t="shared" si="41"/>
        <v>127435234.90251282</v>
      </c>
      <c r="BB35" s="275">
        <f t="shared" si="21"/>
        <v>9034.1156176458826</v>
      </c>
      <c r="BC35" s="274">
        <f t="shared" si="42"/>
        <v>60</v>
      </c>
    </row>
    <row r="36" spans="1:55" ht="15.6" customHeight="1" x14ac:dyDescent="0.2">
      <c r="A36" s="607">
        <v>30</v>
      </c>
      <c r="B36" s="608" t="s">
        <v>33</v>
      </c>
      <c r="C36" s="1244">
        <f>'8_2.1.20 SIS'!AV36</f>
        <v>2512</v>
      </c>
      <c r="D36" s="1245">
        <v>1473</v>
      </c>
      <c r="E36" s="1245">
        <f t="shared" si="22"/>
        <v>324.06</v>
      </c>
      <c r="F36" s="1245">
        <v>825</v>
      </c>
      <c r="G36" s="1245">
        <f t="shared" si="23"/>
        <v>49.5</v>
      </c>
      <c r="H36" s="1245">
        <v>281</v>
      </c>
      <c r="I36" s="1245">
        <f t="shared" si="24"/>
        <v>421.5</v>
      </c>
      <c r="J36" s="1245">
        <v>44</v>
      </c>
      <c r="K36" s="1245">
        <f t="shared" si="25"/>
        <v>26.4</v>
      </c>
      <c r="L36" s="1245">
        <f t="shared" si="1"/>
        <v>4988</v>
      </c>
      <c r="M36" s="609">
        <f t="shared" si="2"/>
        <v>0.13300999999999999</v>
      </c>
      <c r="N36" s="1245">
        <f t="shared" si="3"/>
        <v>334.12111999999996</v>
      </c>
      <c r="O36" s="1245">
        <f t="shared" si="26"/>
        <v>1155.5811199999998</v>
      </c>
      <c r="P36" s="1247">
        <f t="shared" si="4"/>
        <v>3667.5811199999998</v>
      </c>
      <c r="Q36" s="1250">
        <f t="shared" si="27"/>
        <v>4015</v>
      </c>
      <c r="R36" s="1250">
        <f t="shared" si="5"/>
        <v>14725338</v>
      </c>
      <c r="S36" s="1250">
        <f>'6_Local Deduct Calc'!J36</f>
        <v>3241314</v>
      </c>
      <c r="T36" s="1250">
        <f t="shared" si="28"/>
        <v>3241314</v>
      </c>
      <c r="U36" s="1251">
        <f t="shared" si="29"/>
        <v>11484024</v>
      </c>
      <c r="V36" s="610">
        <f t="shared" si="43"/>
        <v>0.77990000000000004</v>
      </c>
      <c r="W36" s="544">
        <f t="shared" si="30"/>
        <v>0.22009999999999999</v>
      </c>
      <c r="X36" s="545">
        <f t="shared" si="6"/>
        <v>1290.3320063694268</v>
      </c>
      <c r="Y36" s="1250">
        <f>'7_Local Revenue'!AS36</f>
        <v>12687667</v>
      </c>
      <c r="Z36" s="1250">
        <f t="shared" si="31"/>
        <v>9446353</v>
      </c>
      <c r="AA36" s="611">
        <f t="shared" si="32"/>
        <v>0</v>
      </c>
      <c r="AB36" s="611">
        <f t="shared" si="7"/>
        <v>5006614.92</v>
      </c>
      <c r="AC36" s="611">
        <f t="shared" si="8"/>
        <v>5006614.92</v>
      </c>
      <c r="AD36" s="1250">
        <f t="shared" si="9"/>
        <v>1895364.2234942398</v>
      </c>
      <c r="AE36" s="1255">
        <f t="shared" si="33"/>
        <v>3111251</v>
      </c>
      <c r="AF36" s="611">
        <f t="shared" si="10"/>
        <v>1239</v>
      </c>
      <c r="AG36" s="612">
        <f t="shared" si="34"/>
        <v>0.62139999999999995</v>
      </c>
      <c r="AH36" s="1255">
        <f t="shared" si="11"/>
        <v>14595275</v>
      </c>
      <c r="AI36" s="611">
        <f t="shared" si="12"/>
        <v>5810</v>
      </c>
      <c r="AJ36" s="1255">
        <f>'3A_Level 3'!J36</f>
        <v>426046</v>
      </c>
      <c r="AK36" s="611">
        <f t="shared" si="13"/>
        <v>169.60429936305732</v>
      </c>
      <c r="AL36" s="1255">
        <f t="shared" si="35"/>
        <v>15021321</v>
      </c>
      <c r="AM36" s="611">
        <f t="shared" si="14"/>
        <v>5979.8252388535029</v>
      </c>
      <c r="AN36" s="1258">
        <f>'3A_Level 3'!K36</f>
        <v>2252697</v>
      </c>
      <c r="AO36" s="614">
        <f t="shared" si="15"/>
        <v>896.77428343949043</v>
      </c>
      <c r="AP36" s="1255">
        <f t="shared" si="36"/>
        <v>16847972</v>
      </c>
      <c r="AQ36" s="611">
        <f t="shared" si="16"/>
        <v>6706.9952229299361</v>
      </c>
      <c r="AR36" s="1259">
        <f>'3A_Level 3'!L36</f>
        <v>382301.09630945994</v>
      </c>
      <c r="AS36" s="1260">
        <f t="shared" si="17"/>
        <v>17230273.096309461</v>
      </c>
      <c r="AT36" s="1261">
        <f t="shared" si="18"/>
        <v>6859.1851498047217</v>
      </c>
      <c r="AU36" s="612">
        <f t="shared" si="37"/>
        <v>0.67627507958684752</v>
      </c>
      <c r="AV36" s="613">
        <f t="shared" si="38"/>
        <v>24</v>
      </c>
      <c r="AW36" s="611">
        <f t="shared" si="19"/>
        <v>8247928.9199999999</v>
      </c>
      <c r="AX36" s="611">
        <f t="shared" si="20"/>
        <v>3283.41</v>
      </c>
      <c r="AY36" s="613">
        <f t="shared" si="39"/>
        <v>48</v>
      </c>
      <c r="AZ36" s="612">
        <f t="shared" si="40"/>
        <v>0.32372492041315243</v>
      </c>
      <c r="BA36" s="614">
        <f t="shared" si="41"/>
        <v>25478202.016309462</v>
      </c>
      <c r="BB36" s="614">
        <f t="shared" si="21"/>
        <v>10142.596344072239</v>
      </c>
      <c r="BC36" s="613">
        <f t="shared" si="42"/>
        <v>19</v>
      </c>
    </row>
    <row r="37" spans="1:55" ht="15.6" customHeight="1" x14ac:dyDescent="0.2">
      <c r="A37" s="606">
        <v>31</v>
      </c>
      <c r="B37" s="269" t="s">
        <v>34</v>
      </c>
      <c r="C37" s="1241">
        <f>'8_2.1.20 SIS'!AV37</f>
        <v>6173</v>
      </c>
      <c r="D37" s="1241">
        <v>3940</v>
      </c>
      <c r="E37" s="1241">
        <f t="shared" si="22"/>
        <v>866.8</v>
      </c>
      <c r="F37" s="1241">
        <v>2936.5</v>
      </c>
      <c r="G37" s="1241">
        <f t="shared" si="23"/>
        <v>176.19</v>
      </c>
      <c r="H37" s="1241">
        <v>1116</v>
      </c>
      <c r="I37" s="1241">
        <f t="shared" si="24"/>
        <v>1674</v>
      </c>
      <c r="J37" s="1241">
        <v>273</v>
      </c>
      <c r="K37" s="1241">
        <f t="shared" si="25"/>
        <v>163.79999999999998</v>
      </c>
      <c r="L37" s="1242">
        <f t="shared" si="1"/>
        <v>1327</v>
      </c>
      <c r="M37" s="270">
        <f t="shared" si="2"/>
        <v>3.5389999999999998E-2</v>
      </c>
      <c r="N37" s="1241">
        <f t="shared" si="3"/>
        <v>218.46247</v>
      </c>
      <c r="O37" s="1241">
        <f t="shared" si="26"/>
        <v>3099.2524699999999</v>
      </c>
      <c r="P37" s="1241">
        <f t="shared" si="4"/>
        <v>9272.2524699999994</v>
      </c>
      <c r="Q37" s="1248">
        <f t="shared" si="27"/>
        <v>4015</v>
      </c>
      <c r="R37" s="1248">
        <f t="shared" si="5"/>
        <v>37228094</v>
      </c>
      <c r="S37" s="1248">
        <f>'6_Local Deduct Calc'!J37</f>
        <v>13762631</v>
      </c>
      <c r="T37" s="1248">
        <f t="shared" si="28"/>
        <v>13762631</v>
      </c>
      <c r="U37" s="1249">
        <f t="shared" si="29"/>
        <v>23465463</v>
      </c>
      <c r="V37" s="271">
        <f t="shared" si="43"/>
        <v>0.63029999999999997</v>
      </c>
      <c r="W37" s="271">
        <f t="shared" si="30"/>
        <v>0.36969999999999997</v>
      </c>
      <c r="X37" s="272">
        <f t="shared" si="6"/>
        <v>2229.4882553053621</v>
      </c>
      <c r="Y37" s="1248">
        <f>'7_Local Revenue'!AS37</f>
        <v>38242568</v>
      </c>
      <c r="Z37" s="1248">
        <f t="shared" si="31"/>
        <v>24479937</v>
      </c>
      <c r="AA37" s="34">
        <f t="shared" si="32"/>
        <v>0</v>
      </c>
      <c r="AB37" s="34">
        <f t="shared" si="7"/>
        <v>12657551.960000001</v>
      </c>
      <c r="AC37" s="34">
        <f t="shared" si="8"/>
        <v>12657551.960000001</v>
      </c>
      <c r="AD37" s="1248">
        <f t="shared" si="9"/>
        <v>8048734.7705326388</v>
      </c>
      <c r="AE37" s="1254">
        <f t="shared" si="33"/>
        <v>4608817</v>
      </c>
      <c r="AF37" s="34">
        <f t="shared" si="10"/>
        <v>747</v>
      </c>
      <c r="AG37" s="273">
        <f t="shared" si="34"/>
        <v>0.36409999999999998</v>
      </c>
      <c r="AH37" s="1254">
        <f t="shared" si="11"/>
        <v>28074280</v>
      </c>
      <c r="AI37" s="34">
        <f t="shared" si="12"/>
        <v>4548</v>
      </c>
      <c r="AJ37" s="1254">
        <f>'3A_Level 3'!J37</f>
        <v>1046966</v>
      </c>
      <c r="AK37" s="34">
        <f t="shared" si="13"/>
        <v>169.60408229386036</v>
      </c>
      <c r="AL37" s="1254">
        <f t="shared" si="35"/>
        <v>29121246</v>
      </c>
      <c r="AM37" s="34">
        <f t="shared" si="14"/>
        <v>4717.5191965008908</v>
      </c>
      <c r="AN37" s="1256">
        <f>'3A_Level 3'!K37</f>
        <v>4879350</v>
      </c>
      <c r="AO37" s="275">
        <f t="shared" si="15"/>
        <v>790.43414871213349</v>
      </c>
      <c r="AP37" s="1254">
        <f t="shared" si="36"/>
        <v>32953630</v>
      </c>
      <c r="AQ37" s="34">
        <f t="shared" si="16"/>
        <v>5338.3492629191642</v>
      </c>
      <c r="AR37" s="34">
        <f>'3A_Level 3'!L37</f>
        <v>984960.18628908077</v>
      </c>
      <c r="AS37" s="1257">
        <f t="shared" si="17"/>
        <v>33938590.186289079</v>
      </c>
      <c r="AT37" s="34">
        <f t="shared" si="18"/>
        <v>5497.9086645535526</v>
      </c>
      <c r="AU37" s="273">
        <f t="shared" si="37"/>
        <v>0.56228098115966529</v>
      </c>
      <c r="AV37" s="274">
        <f t="shared" si="38"/>
        <v>51</v>
      </c>
      <c r="AW37" s="34">
        <f t="shared" si="19"/>
        <v>26420182.960000001</v>
      </c>
      <c r="AX37" s="34">
        <f t="shared" si="20"/>
        <v>4279.96</v>
      </c>
      <c r="AY37" s="274">
        <f t="shared" si="39"/>
        <v>19</v>
      </c>
      <c r="AZ37" s="273">
        <f t="shared" si="40"/>
        <v>0.43771901884033476</v>
      </c>
      <c r="BA37" s="275">
        <f t="shared" si="41"/>
        <v>60358773.14628908</v>
      </c>
      <c r="BB37" s="275">
        <f t="shared" si="21"/>
        <v>9777.8670251561762</v>
      </c>
      <c r="BC37" s="274">
        <f t="shared" si="42"/>
        <v>35</v>
      </c>
    </row>
    <row r="38" spans="1:55" ht="15.6" customHeight="1" x14ac:dyDescent="0.2">
      <c r="A38" s="606">
        <v>32</v>
      </c>
      <c r="B38" s="269" t="s">
        <v>35</v>
      </c>
      <c r="C38" s="1243">
        <f>'8_2.1.20 SIS'!AV38</f>
        <v>25922</v>
      </c>
      <c r="D38" s="1241">
        <v>14515</v>
      </c>
      <c r="E38" s="1241">
        <f t="shared" si="22"/>
        <v>3193.3</v>
      </c>
      <c r="F38" s="1241">
        <v>13059.5</v>
      </c>
      <c r="G38" s="1241">
        <f t="shared" si="23"/>
        <v>783.56999999999994</v>
      </c>
      <c r="H38" s="1241">
        <v>3483</v>
      </c>
      <c r="I38" s="1241">
        <f t="shared" si="24"/>
        <v>5224.5</v>
      </c>
      <c r="J38" s="1241">
        <v>1025</v>
      </c>
      <c r="K38" s="1241">
        <f t="shared" si="25"/>
        <v>615</v>
      </c>
      <c r="L38" s="1241">
        <f t="shared" si="1"/>
        <v>0</v>
      </c>
      <c r="M38" s="270">
        <f t="shared" si="2"/>
        <v>0</v>
      </c>
      <c r="N38" s="1241">
        <f t="shared" si="3"/>
        <v>0</v>
      </c>
      <c r="O38" s="1241">
        <f t="shared" si="26"/>
        <v>9816.369999999999</v>
      </c>
      <c r="P38" s="1241">
        <f t="shared" si="4"/>
        <v>35738.369999999995</v>
      </c>
      <c r="Q38" s="1248">
        <f t="shared" si="27"/>
        <v>4015</v>
      </c>
      <c r="R38" s="1248">
        <f t="shared" si="5"/>
        <v>143489556</v>
      </c>
      <c r="S38" s="1248">
        <f>'6_Local Deduct Calc'!J38</f>
        <v>23611062</v>
      </c>
      <c r="T38" s="1248">
        <f t="shared" si="28"/>
        <v>23611062</v>
      </c>
      <c r="U38" s="1249">
        <f t="shared" si="29"/>
        <v>119878494</v>
      </c>
      <c r="V38" s="271">
        <f t="shared" si="43"/>
        <v>0.83550000000000002</v>
      </c>
      <c r="W38" s="271">
        <f t="shared" si="30"/>
        <v>0.16450000000000001</v>
      </c>
      <c r="X38" s="272">
        <f t="shared" si="6"/>
        <v>910.85032019134326</v>
      </c>
      <c r="Y38" s="1248">
        <f>'7_Local Revenue'!AS38</f>
        <v>69539920</v>
      </c>
      <c r="Z38" s="1252">
        <f>IF(Y38-T38&gt;0,Y38-T38,0)-Z78</f>
        <v>44219589</v>
      </c>
      <c r="AA38" s="34">
        <f t="shared" si="32"/>
        <v>0</v>
      </c>
      <c r="AB38" s="34">
        <f t="shared" si="7"/>
        <v>48786449.040000007</v>
      </c>
      <c r="AC38" s="34">
        <f t="shared" si="8"/>
        <v>44219589</v>
      </c>
      <c r="AD38" s="1248">
        <f t="shared" si="9"/>
        <v>12511490.51166</v>
      </c>
      <c r="AE38" s="1254">
        <f t="shared" si="33"/>
        <v>31708098</v>
      </c>
      <c r="AF38" s="34">
        <f t="shared" si="10"/>
        <v>1223</v>
      </c>
      <c r="AG38" s="273">
        <f t="shared" si="34"/>
        <v>0.71709999999999996</v>
      </c>
      <c r="AH38" s="1254">
        <f t="shared" si="11"/>
        <v>151586592</v>
      </c>
      <c r="AI38" s="34">
        <f t="shared" si="12"/>
        <v>5848</v>
      </c>
      <c r="AJ38" s="1254">
        <f>'3A_Level 3'!J38</f>
        <v>4396479</v>
      </c>
      <c r="AK38" s="34">
        <f t="shared" si="13"/>
        <v>169.60415862973537</v>
      </c>
      <c r="AL38" s="1254">
        <f t="shared" si="35"/>
        <v>155983071</v>
      </c>
      <c r="AM38" s="34">
        <f t="shared" si="14"/>
        <v>6017.4010878790214</v>
      </c>
      <c r="AN38" s="1256">
        <f>'3A_Level 3'!K38</f>
        <v>18906837</v>
      </c>
      <c r="AO38" s="275">
        <f t="shared" si="15"/>
        <v>729.37416094437162</v>
      </c>
      <c r="AP38" s="1254">
        <f t="shared" si="36"/>
        <v>170493429</v>
      </c>
      <c r="AQ38" s="34">
        <f t="shared" si="16"/>
        <v>6577.1710901936576</v>
      </c>
      <c r="AR38" s="34">
        <f>'3A_Level 3'!L38</f>
        <v>3653497.4297805349</v>
      </c>
      <c r="AS38" s="1257">
        <f t="shared" si="17"/>
        <v>174146926.42978054</v>
      </c>
      <c r="AT38" s="34">
        <f t="shared" si="18"/>
        <v>6718.1130479816584</v>
      </c>
      <c r="AU38" s="273">
        <f t="shared" si="37"/>
        <v>0.71968208079244955</v>
      </c>
      <c r="AV38" s="274">
        <f t="shared" si="38"/>
        <v>8</v>
      </c>
      <c r="AW38" s="34">
        <f t="shared" si="19"/>
        <v>67830651</v>
      </c>
      <c r="AX38" s="34">
        <f t="shared" si="20"/>
        <v>2616.7199999999998</v>
      </c>
      <c r="AY38" s="274">
        <f t="shared" si="39"/>
        <v>62</v>
      </c>
      <c r="AZ38" s="273">
        <f t="shared" si="40"/>
        <v>0.28031791920755045</v>
      </c>
      <c r="BA38" s="275">
        <f t="shared" si="41"/>
        <v>241977577.42978054</v>
      </c>
      <c r="BB38" s="275">
        <f t="shared" si="21"/>
        <v>9334.8344043584802</v>
      </c>
      <c r="BC38" s="274">
        <f t="shared" si="42"/>
        <v>53</v>
      </c>
    </row>
    <row r="39" spans="1:55" ht="15.6" customHeight="1" x14ac:dyDescent="0.2">
      <c r="A39" s="606">
        <v>33</v>
      </c>
      <c r="B39" s="269" t="s">
        <v>36</v>
      </c>
      <c r="C39" s="1243">
        <f>'8_2.1.20 SIS'!AV39</f>
        <v>1412</v>
      </c>
      <c r="D39" s="1241">
        <v>1385</v>
      </c>
      <c r="E39" s="1241">
        <f t="shared" si="22"/>
        <v>304.7</v>
      </c>
      <c r="F39" s="1241">
        <v>947</v>
      </c>
      <c r="G39" s="1241">
        <f t="shared" si="23"/>
        <v>56.82</v>
      </c>
      <c r="H39" s="1241">
        <v>200</v>
      </c>
      <c r="I39" s="1241">
        <f t="shared" si="24"/>
        <v>300</v>
      </c>
      <c r="J39" s="1241">
        <v>9</v>
      </c>
      <c r="K39" s="1241">
        <f t="shared" si="25"/>
        <v>5.3999999999999995</v>
      </c>
      <c r="L39" s="1241">
        <f t="shared" ref="L39:L75" si="44">IF(C39&lt;$L$1,$L$1-C39,0)</f>
        <v>6088</v>
      </c>
      <c r="M39" s="270">
        <f t="shared" ref="M39:M70" si="45">ROUND(L39/$M$1,5)</f>
        <v>0.16234999999999999</v>
      </c>
      <c r="N39" s="1241">
        <f t="shared" si="3"/>
        <v>229.23820000000001</v>
      </c>
      <c r="O39" s="1241">
        <f t="shared" si="26"/>
        <v>896.15819999999997</v>
      </c>
      <c r="P39" s="1241">
        <f t="shared" ref="P39:P70" si="46">O39+C39</f>
        <v>2308.1581999999999</v>
      </c>
      <c r="Q39" s="1248">
        <f t="shared" si="27"/>
        <v>4015</v>
      </c>
      <c r="R39" s="1248">
        <f t="shared" ref="R39:R70" si="47">ROUND(P39*Q39,0)</f>
        <v>9267255</v>
      </c>
      <c r="S39" s="1248">
        <f>'6_Local Deduct Calc'!J39</f>
        <v>2628767</v>
      </c>
      <c r="T39" s="1248">
        <f t="shared" si="28"/>
        <v>2628767</v>
      </c>
      <c r="U39" s="1249">
        <f t="shared" si="29"/>
        <v>6638488</v>
      </c>
      <c r="V39" s="271">
        <f t="shared" si="43"/>
        <v>0.71630000000000005</v>
      </c>
      <c r="W39" s="271">
        <f t="shared" si="30"/>
        <v>0.28370000000000001</v>
      </c>
      <c r="X39" s="272">
        <f t="shared" ref="X39:X70" si="48">T39/C39</f>
        <v>1861.7330028328613</v>
      </c>
      <c r="Y39" s="1248">
        <f>'7_Local Revenue'!AS39</f>
        <v>5718661</v>
      </c>
      <c r="Z39" s="1248">
        <f t="shared" si="31"/>
        <v>3089894</v>
      </c>
      <c r="AA39" s="34">
        <f t="shared" si="32"/>
        <v>0</v>
      </c>
      <c r="AB39" s="34">
        <f t="shared" ref="AB39:AB75" si="49">R39*$AB$1</f>
        <v>3150866.7</v>
      </c>
      <c r="AC39" s="34">
        <f t="shared" ref="AC39:AC70" si="50">IF(Z39&lt;AB39,Z39,AB39)</f>
        <v>3089894</v>
      </c>
      <c r="AD39" s="1248">
        <f t="shared" ref="AD39:AD70" si="51">IF(AC39&gt;0,AC39*(W39*$AD$1),0)</f>
        <v>1507757.0358160001</v>
      </c>
      <c r="AE39" s="1254">
        <f t="shared" si="33"/>
        <v>1582137</v>
      </c>
      <c r="AF39" s="34">
        <f t="shared" ref="AF39:AF70" si="52">ROUND(AE39/C39,0)</f>
        <v>1120</v>
      </c>
      <c r="AG39" s="273">
        <f t="shared" si="34"/>
        <v>0.51200000000000001</v>
      </c>
      <c r="AH39" s="1254">
        <f t="shared" ref="AH39:AH75" si="53">U39+AE39</f>
        <v>8220625</v>
      </c>
      <c r="AI39" s="34">
        <f t="shared" ref="AI39:AI70" si="54">ROUND(AH39/C39,0)</f>
        <v>5822</v>
      </c>
      <c r="AJ39" s="1254">
        <f>'3A_Level 3'!J39</f>
        <v>239481</v>
      </c>
      <c r="AK39" s="34">
        <f t="shared" ref="AK39:AK70" si="55">AJ39/C39</f>
        <v>169.6041076487252</v>
      </c>
      <c r="AL39" s="1254">
        <f t="shared" si="35"/>
        <v>8460106</v>
      </c>
      <c r="AM39" s="34">
        <f t="shared" ref="AM39:AM70" si="56">AL39/C39</f>
        <v>5991.5764872521249</v>
      </c>
      <c r="AN39" s="1256">
        <f>'3A_Level 3'!K39</f>
        <v>1164779</v>
      </c>
      <c r="AO39" s="275">
        <f t="shared" ref="AO39:AO70" si="57">AN39/C39</f>
        <v>824.91430594900851</v>
      </c>
      <c r="AP39" s="1254">
        <f t="shared" si="36"/>
        <v>9385404</v>
      </c>
      <c r="AQ39" s="34">
        <f t="shared" ref="AQ39:AQ70" si="58">AP39/C39</f>
        <v>6646.8866855524084</v>
      </c>
      <c r="AR39" s="34">
        <f>'3A_Level 3'!L39</f>
        <v>218702.65768285049</v>
      </c>
      <c r="AS39" s="1257">
        <f t="shared" ref="AS39:AS70" si="59">AP39+AR39</f>
        <v>9604106.657682851</v>
      </c>
      <c r="AT39" s="34">
        <f t="shared" ref="AT39:AT70" si="60">AS39/C39</f>
        <v>6801.7752533164667</v>
      </c>
      <c r="AU39" s="273">
        <f t="shared" si="37"/>
        <v>0.6267866792894522</v>
      </c>
      <c r="AV39" s="274">
        <f t="shared" si="38"/>
        <v>39</v>
      </c>
      <c r="AW39" s="34">
        <f t="shared" ref="AW39:AW75" si="61">ROUND(AC39+T39,2)</f>
        <v>5718661</v>
      </c>
      <c r="AX39" s="34">
        <f t="shared" ref="AX39:AX70" si="62">ROUND(AW39/C39,2)</f>
        <v>4050.04</v>
      </c>
      <c r="AY39" s="274">
        <f t="shared" si="39"/>
        <v>26</v>
      </c>
      <c r="AZ39" s="273">
        <f t="shared" si="40"/>
        <v>0.37321332071054786</v>
      </c>
      <c r="BA39" s="275">
        <f t="shared" si="41"/>
        <v>15322767.657682851</v>
      </c>
      <c r="BB39" s="275">
        <f t="shared" ref="BB39:BB70" si="63">BA39/C39</f>
        <v>10851.818454449611</v>
      </c>
      <c r="BC39" s="274">
        <f t="shared" si="42"/>
        <v>8</v>
      </c>
    </row>
    <row r="40" spans="1:55" ht="15.6" customHeight="1" x14ac:dyDescent="0.2">
      <c r="A40" s="606">
        <v>34</v>
      </c>
      <c r="B40" s="269" t="s">
        <v>37</v>
      </c>
      <c r="C40" s="1243">
        <f>'8_2.1.20 SIS'!AV40</f>
        <v>3591</v>
      </c>
      <c r="D40" s="1241">
        <v>3018</v>
      </c>
      <c r="E40" s="1241">
        <f t="shared" si="22"/>
        <v>663.96</v>
      </c>
      <c r="F40" s="1241">
        <v>2018.5</v>
      </c>
      <c r="G40" s="1241">
        <f t="shared" si="23"/>
        <v>121.11</v>
      </c>
      <c r="H40" s="1241">
        <v>614</v>
      </c>
      <c r="I40" s="1241">
        <f t="shared" si="24"/>
        <v>921</v>
      </c>
      <c r="J40" s="1241">
        <v>20</v>
      </c>
      <c r="K40" s="1241">
        <f t="shared" si="25"/>
        <v>12</v>
      </c>
      <c r="L40" s="1241">
        <f t="shared" si="44"/>
        <v>3909</v>
      </c>
      <c r="M40" s="270">
        <f t="shared" si="45"/>
        <v>0.10424</v>
      </c>
      <c r="N40" s="1241">
        <f t="shared" si="3"/>
        <v>374.32583999999997</v>
      </c>
      <c r="O40" s="1241">
        <f t="shared" si="26"/>
        <v>2092.3958400000001</v>
      </c>
      <c r="P40" s="1241">
        <f t="shared" si="46"/>
        <v>5683.3958400000001</v>
      </c>
      <c r="Q40" s="1248">
        <f t="shared" si="27"/>
        <v>4015</v>
      </c>
      <c r="R40" s="1248">
        <f t="shared" si="47"/>
        <v>22818834</v>
      </c>
      <c r="S40" s="1248">
        <f>'6_Local Deduct Calc'!J40</f>
        <v>4551363</v>
      </c>
      <c r="T40" s="1248">
        <f t="shared" si="28"/>
        <v>4551363</v>
      </c>
      <c r="U40" s="1249">
        <f t="shared" si="29"/>
        <v>18267471</v>
      </c>
      <c r="V40" s="271">
        <f t="shared" si="43"/>
        <v>0.80049999999999999</v>
      </c>
      <c r="W40" s="271">
        <f t="shared" si="30"/>
        <v>0.19950000000000001</v>
      </c>
      <c r="X40" s="272">
        <f t="shared" si="48"/>
        <v>1267.4360902255639</v>
      </c>
      <c r="Y40" s="1248">
        <f>'7_Local Revenue'!AS40</f>
        <v>11804207</v>
      </c>
      <c r="Z40" s="1248">
        <f t="shared" si="31"/>
        <v>7252844</v>
      </c>
      <c r="AA40" s="34">
        <f t="shared" si="32"/>
        <v>0</v>
      </c>
      <c r="AB40" s="34">
        <f t="shared" si="49"/>
        <v>7758403.5600000005</v>
      </c>
      <c r="AC40" s="34">
        <f t="shared" si="50"/>
        <v>7252844</v>
      </c>
      <c r="AD40" s="1248">
        <f t="shared" si="51"/>
        <v>2488740.89016</v>
      </c>
      <c r="AE40" s="1254">
        <f t="shared" si="33"/>
        <v>4764103</v>
      </c>
      <c r="AF40" s="34">
        <f t="shared" si="52"/>
        <v>1327</v>
      </c>
      <c r="AG40" s="273">
        <f t="shared" si="34"/>
        <v>0.65690000000000004</v>
      </c>
      <c r="AH40" s="1254">
        <f t="shared" si="53"/>
        <v>23031574</v>
      </c>
      <c r="AI40" s="34">
        <f t="shared" si="54"/>
        <v>6414</v>
      </c>
      <c r="AJ40" s="1254">
        <f>'3A_Level 3'!J40</f>
        <v>609048</v>
      </c>
      <c r="AK40" s="34">
        <f t="shared" si="55"/>
        <v>169.60401002506265</v>
      </c>
      <c r="AL40" s="1254">
        <f t="shared" si="35"/>
        <v>23640622</v>
      </c>
      <c r="AM40" s="34">
        <f t="shared" si="56"/>
        <v>6583.2976886661099</v>
      </c>
      <c r="AN40" s="1256">
        <f>'3A_Level 3'!K40</f>
        <v>2922047</v>
      </c>
      <c r="AO40" s="275">
        <f t="shared" si="57"/>
        <v>813.71400724032299</v>
      </c>
      <c r="AP40" s="1254">
        <f t="shared" si="36"/>
        <v>25953621</v>
      </c>
      <c r="AQ40" s="34">
        <f t="shared" si="58"/>
        <v>7227.4076858813705</v>
      </c>
      <c r="AR40" s="34">
        <f>'3A_Level 3'!L40</f>
        <v>475470.07494720339</v>
      </c>
      <c r="AS40" s="1257">
        <f t="shared" si="59"/>
        <v>26429091.074947204</v>
      </c>
      <c r="AT40" s="34">
        <f t="shared" si="60"/>
        <v>7359.8137217898093</v>
      </c>
      <c r="AU40" s="273">
        <f t="shared" si="37"/>
        <v>0.69125846855113859</v>
      </c>
      <c r="AV40" s="274">
        <f t="shared" si="38"/>
        <v>20</v>
      </c>
      <c r="AW40" s="34">
        <f t="shared" si="61"/>
        <v>11804207</v>
      </c>
      <c r="AX40" s="34">
        <f t="shared" si="62"/>
        <v>3287.16</v>
      </c>
      <c r="AY40" s="274">
        <f t="shared" si="39"/>
        <v>47</v>
      </c>
      <c r="AZ40" s="273">
        <f t="shared" si="40"/>
        <v>0.30874153144886124</v>
      </c>
      <c r="BA40" s="275">
        <f t="shared" si="41"/>
        <v>38233298.074947208</v>
      </c>
      <c r="BB40" s="275">
        <f t="shared" si="63"/>
        <v>10646.978021427794</v>
      </c>
      <c r="BC40" s="274">
        <f t="shared" si="42"/>
        <v>10</v>
      </c>
    </row>
    <row r="41" spans="1:55" ht="15.6" customHeight="1" x14ac:dyDescent="0.2">
      <c r="A41" s="607">
        <v>35</v>
      </c>
      <c r="B41" s="608" t="s">
        <v>38</v>
      </c>
      <c r="C41" s="1244">
        <f>'8_2.1.20 SIS'!AV41</f>
        <v>5611</v>
      </c>
      <c r="D41" s="1245">
        <v>4127</v>
      </c>
      <c r="E41" s="1245">
        <f t="shared" si="22"/>
        <v>907.94</v>
      </c>
      <c r="F41" s="1245">
        <v>2844.5</v>
      </c>
      <c r="G41" s="1245">
        <f t="shared" si="23"/>
        <v>170.67</v>
      </c>
      <c r="H41" s="1245">
        <v>681</v>
      </c>
      <c r="I41" s="1245">
        <f t="shared" si="24"/>
        <v>1021.5</v>
      </c>
      <c r="J41" s="1245">
        <v>219</v>
      </c>
      <c r="K41" s="1245">
        <f t="shared" si="25"/>
        <v>131.4</v>
      </c>
      <c r="L41" s="1245">
        <f t="shared" si="44"/>
        <v>1889</v>
      </c>
      <c r="M41" s="609">
        <f t="shared" si="45"/>
        <v>5.0369999999999998E-2</v>
      </c>
      <c r="N41" s="1245">
        <f t="shared" si="3"/>
        <v>282.62606999999997</v>
      </c>
      <c r="O41" s="1245">
        <f t="shared" si="26"/>
        <v>2514.13607</v>
      </c>
      <c r="P41" s="1247">
        <f t="shared" si="46"/>
        <v>8125.1360700000005</v>
      </c>
      <c r="Q41" s="1250">
        <f t="shared" si="27"/>
        <v>4015</v>
      </c>
      <c r="R41" s="1250">
        <f t="shared" si="47"/>
        <v>32622421</v>
      </c>
      <c r="S41" s="1250">
        <f>'6_Local Deduct Calc'!J41</f>
        <v>10480463</v>
      </c>
      <c r="T41" s="1250">
        <f t="shared" si="28"/>
        <v>10480463</v>
      </c>
      <c r="U41" s="1251">
        <f t="shared" si="29"/>
        <v>22141958</v>
      </c>
      <c r="V41" s="610">
        <f t="shared" si="43"/>
        <v>0.67869999999999997</v>
      </c>
      <c r="W41" s="544">
        <f t="shared" si="30"/>
        <v>0.32129999999999997</v>
      </c>
      <c r="X41" s="545">
        <f t="shared" si="48"/>
        <v>1867.8422741044378</v>
      </c>
      <c r="Y41" s="1250">
        <f>'7_Local Revenue'!AS41</f>
        <v>25786185</v>
      </c>
      <c r="Z41" s="1250">
        <f t="shared" si="31"/>
        <v>15305722</v>
      </c>
      <c r="AA41" s="611">
        <f t="shared" si="32"/>
        <v>0</v>
      </c>
      <c r="AB41" s="611">
        <f t="shared" si="49"/>
        <v>11091623.140000001</v>
      </c>
      <c r="AC41" s="611">
        <f t="shared" si="50"/>
        <v>11091623.140000001</v>
      </c>
      <c r="AD41" s="1250">
        <f t="shared" si="51"/>
        <v>6129630.2455970393</v>
      </c>
      <c r="AE41" s="1255">
        <f t="shared" si="33"/>
        <v>4961993</v>
      </c>
      <c r="AF41" s="611">
        <f t="shared" si="52"/>
        <v>884</v>
      </c>
      <c r="AG41" s="612">
        <f t="shared" si="34"/>
        <v>0.44740000000000002</v>
      </c>
      <c r="AH41" s="1255">
        <f t="shared" si="53"/>
        <v>27103951</v>
      </c>
      <c r="AI41" s="611">
        <f t="shared" si="54"/>
        <v>4831</v>
      </c>
      <c r="AJ41" s="1255">
        <f>'3A_Level 3'!J41</f>
        <v>951649</v>
      </c>
      <c r="AK41" s="611">
        <f t="shared" si="55"/>
        <v>169.60417037961147</v>
      </c>
      <c r="AL41" s="1255">
        <f t="shared" si="35"/>
        <v>28055600</v>
      </c>
      <c r="AM41" s="611">
        <f t="shared" si="56"/>
        <v>5000.1069328105505</v>
      </c>
      <c r="AN41" s="1258">
        <f>'3A_Level 3'!K41</f>
        <v>3970143</v>
      </c>
      <c r="AO41" s="614">
        <f t="shared" si="57"/>
        <v>707.56424879700592</v>
      </c>
      <c r="AP41" s="1255">
        <f t="shared" si="36"/>
        <v>31074094</v>
      </c>
      <c r="AQ41" s="611">
        <f t="shared" si="58"/>
        <v>5538.0670112279449</v>
      </c>
      <c r="AR41" s="1259">
        <f>'3A_Level 3'!L41</f>
        <v>835772.96567417739</v>
      </c>
      <c r="AS41" s="1260">
        <f t="shared" si="59"/>
        <v>31909866.965674177</v>
      </c>
      <c r="AT41" s="1261">
        <f t="shared" si="60"/>
        <v>5687.0195982310061</v>
      </c>
      <c r="AU41" s="612">
        <f t="shared" si="37"/>
        <v>0.59664737566004655</v>
      </c>
      <c r="AV41" s="613">
        <f t="shared" si="38"/>
        <v>44</v>
      </c>
      <c r="AW41" s="611">
        <f t="shared" si="61"/>
        <v>21572086.140000001</v>
      </c>
      <c r="AX41" s="611">
        <f t="shared" si="62"/>
        <v>3844.61</v>
      </c>
      <c r="AY41" s="613">
        <f t="shared" si="39"/>
        <v>29</v>
      </c>
      <c r="AZ41" s="612">
        <f t="shared" si="40"/>
        <v>0.40335262433995339</v>
      </c>
      <c r="BA41" s="614">
        <f t="shared" si="41"/>
        <v>53481953.105674177</v>
      </c>
      <c r="BB41" s="614">
        <f t="shared" si="63"/>
        <v>9531.6259322178175</v>
      </c>
      <c r="BC41" s="613">
        <f t="shared" si="42"/>
        <v>45</v>
      </c>
    </row>
    <row r="42" spans="1:55" ht="15.6" customHeight="1" x14ac:dyDescent="0.2">
      <c r="A42" s="606">
        <v>36</v>
      </c>
      <c r="B42" s="269" t="s">
        <v>39</v>
      </c>
      <c r="C42" s="1241">
        <f>'8_2.1.20 SIS'!AV42</f>
        <v>46775</v>
      </c>
      <c r="D42" s="1241">
        <v>38988</v>
      </c>
      <c r="E42" s="1241">
        <f t="shared" si="22"/>
        <v>8577.36</v>
      </c>
      <c r="F42" s="1241">
        <v>13336.5</v>
      </c>
      <c r="G42" s="1241">
        <f t="shared" si="23"/>
        <v>800.18999999999994</v>
      </c>
      <c r="H42" s="1241">
        <v>7020</v>
      </c>
      <c r="I42" s="1241">
        <f t="shared" si="24"/>
        <v>10530</v>
      </c>
      <c r="J42" s="1241">
        <v>2725</v>
      </c>
      <c r="K42" s="1241">
        <f t="shared" si="25"/>
        <v>1635</v>
      </c>
      <c r="L42" s="1242">
        <f t="shared" si="44"/>
        <v>0</v>
      </c>
      <c r="M42" s="270">
        <f t="shared" si="45"/>
        <v>0</v>
      </c>
      <c r="N42" s="1241">
        <f t="shared" si="3"/>
        <v>0</v>
      </c>
      <c r="O42" s="1241">
        <f t="shared" si="26"/>
        <v>21542.550000000003</v>
      </c>
      <c r="P42" s="1241">
        <f t="shared" si="46"/>
        <v>68317.55</v>
      </c>
      <c r="Q42" s="1248">
        <f t="shared" si="27"/>
        <v>4015</v>
      </c>
      <c r="R42" s="1248">
        <f t="shared" si="47"/>
        <v>274294963</v>
      </c>
      <c r="S42" s="1248">
        <f>'6_Local Deduct Calc'!J42</f>
        <v>131848043</v>
      </c>
      <c r="T42" s="1248">
        <f t="shared" si="28"/>
        <v>131848043</v>
      </c>
      <c r="U42" s="1249">
        <f t="shared" si="29"/>
        <v>142446920</v>
      </c>
      <c r="V42" s="271">
        <f t="shared" si="43"/>
        <v>0.51929999999999998</v>
      </c>
      <c r="W42" s="271">
        <f t="shared" si="30"/>
        <v>0.48070000000000002</v>
      </c>
      <c r="X42" s="272">
        <f t="shared" si="48"/>
        <v>2818.7716301443079</v>
      </c>
      <c r="Y42" s="1248">
        <f>'7_Local Revenue'!AS42</f>
        <v>324357057</v>
      </c>
      <c r="Z42" s="1248">
        <f t="shared" si="31"/>
        <v>192509014</v>
      </c>
      <c r="AA42" s="34">
        <f t="shared" si="32"/>
        <v>0</v>
      </c>
      <c r="AB42" s="34">
        <f t="shared" si="49"/>
        <v>93260287.420000002</v>
      </c>
      <c r="AC42" s="34">
        <f t="shared" si="50"/>
        <v>93260287.420000002</v>
      </c>
      <c r="AD42" s="1248">
        <f t="shared" si="51"/>
        <v>77107978.680005684</v>
      </c>
      <c r="AE42" s="1254">
        <f t="shared" si="33"/>
        <v>16152309</v>
      </c>
      <c r="AF42" s="34">
        <f t="shared" si="52"/>
        <v>345</v>
      </c>
      <c r="AG42" s="273">
        <f t="shared" si="34"/>
        <v>0.17319999999999999</v>
      </c>
      <c r="AH42" s="1254">
        <f t="shared" si="53"/>
        <v>158599229</v>
      </c>
      <c r="AI42" s="34">
        <f t="shared" si="54"/>
        <v>3391</v>
      </c>
      <c r="AJ42" s="1254">
        <f>'3A_Level 3'!J42</f>
        <v>7933234</v>
      </c>
      <c r="AK42" s="34">
        <f t="shared" si="55"/>
        <v>169.60414751469801</v>
      </c>
      <c r="AL42" s="1254">
        <f t="shared" si="35"/>
        <v>166532463</v>
      </c>
      <c r="AM42" s="34">
        <f t="shared" si="56"/>
        <v>3560.2878246926775</v>
      </c>
      <c r="AN42" s="1256">
        <f>'3A_Level 3'!K42</f>
        <v>42218124</v>
      </c>
      <c r="AO42" s="275">
        <f t="shared" si="57"/>
        <v>902.5788134687333</v>
      </c>
      <c r="AP42" s="1254">
        <f t="shared" si="36"/>
        <v>200817353</v>
      </c>
      <c r="AQ42" s="34">
        <f t="shared" si="58"/>
        <v>4293.2624906467126</v>
      </c>
      <c r="AR42" s="34">
        <f>'3A_Level 3'!L42</f>
        <v>6691959.3656563396</v>
      </c>
      <c r="AS42" s="1257">
        <f t="shared" si="59"/>
        <v>207509312.36565635</v>
      </c>
      <c r="AT42" s="34">
        <f t="shared" si="60"/>
        <v>4436.3295000674798</v>
      </c>
      <c r="AU42" s="273">
        <f t="shared" si="37"/>
        <v>0.47965984704065434</v>
      </c>
      <c r="AV42" s="274">
        <f t="shared" si="38"/>
        <v>58</v>
      </c>
      <c r="AW42" s="34">
        <f t="shared" si="61"/>
        <v>225108330.41999999</v>
      </c>
      <c r="AX42" s="34">
        <f t="shared" si="62"/>
        <v>4812.58</v>
      </c>
      <c r="AY42" s="274">
        <f t="shared" si="39"/>
        <v>13</v>
      </c>
      <c r="AZ42" s="273">
        <f t="shared" si="40"/>
        <v>0.52034015295934566</v>
      </c>
      <c r="BA42" s="275">
        <f t="shared" si="41"/>
        <v>432617642.78565633</v>
      </c>
      <c r="BB42" s="275">
        <f t="shared" si="63"/>
        <v>9248.9073818419311</v>
      </c>
      <c r="BC42" s="274">
        <f t="shared" si="42"/>
        <v>56</v>
      </c>
    </row>
    <row r="43" spans="1:55" ht="15.6" customHeight="1" x14ac:dyDescent="0.2">
      <c r="A43" s="606">
        <v>37</v>
      </c>
      <c r="B43" s="269" t="s">
        <v>40</v>
      </c>
      <c r="C43" s="1243">
        <f>'8_2.1.20 SIS'!AV43</f>
        <v>18614</v>
      </c>
      <c r="D43" s="1241">
        <v>12383</v>
      </c>
      <c r="E43" s="1241">
        <f t="shared" si="22"/>
        <v>2724.26</v>
      </c>
      <c r="F43" s="1241">
        <v>7384.5</v>
      </c>
      <c r="G43" s="1241">
        <f t="shared" si="23"/>
        <v>443.07</v>
      </c>
      <c r="H43" s="1241">
        <v>2623</v>
      </c>
      <c r="I43" s="1241">
        <f t="shared" si="24"/>
        <v>3934.5</v>
      </c>
      <c r="J43" s="1241">
        <v>850</v>
      </c>
      <c r="K43" s="1241">
        <f t="shared" si="25"/>
        <v>510</v>
      </c>
      <c r="L43" s="1241">
        <f t="shared" si="44"/>
        <v>0</v>
      </c>
      <c r="M43" s="270">
        <f t="shared" si="45"/>
        <v>0</v>
      </c>
      <c r="N43" s="1241">
        <f t="shared" si="3"/>
        <v>0</v>
      </c>
      <c r="O43" s="1241">
        <f t="shared" si="26"/>
        <v>7611.83</v>
      </c>
      <c r="P43" s="1241">
        <f t="shared" si="46"/>
        <v>26225.83</v>
      </c>
      <c r="Q43" s="1248">
        <f t="shared" si="27"/>
        <v>4015</v>
      </c>
      <c r="R43" s="1248">
        <f t="shared" si="47"/>
        <v>105296707</v>
      </c>
      <c r="S43" s="1248">
        <f>'6_Local Deduct Calc'!J43</f>
        <v>22522858</v>
      </c>
      <c r="T43" s="1248">
        <f t="shared" si="28"/>
        <v>22522858</v>
      </c>
      <c r="U43" s="1249">
        <f t="shared" si="29"/>
        <v>82773849</v>
      </c>
      <c r="V43" s="271">
        <f t="shared" si="43"/>
        <v>0.78610000000000002</v>
      </c>
      <c r="W43" s="271">
        <f t="shared" si="30"/>
        <v>0.21390000000000001</v>
      </c>
      <c r="X43" s="272">
        <f t="shared" si="48"/>
        <v>1209.9955947136564</v>
      </c>
      <c r="Y43" s="1248">
        <f>'7_Local Revenue'!AS43</f>
        <v>75571104</v>
      </c>
      <c r="Z43" s="1248">
        <f t="shared" si="31"/>
        <v>53048246</v>
      </c>
      <c r="AA43" s="34">
        <f t="shared" si="32"/>
        <v>0</v>
      </c>
      <c r="AB43" s="34">
        <f t="shared" si="49"/>
        <v>35800880.380000003</v>
      </c>
      <c r="AC43" s="34">
        <f t="shared" si="50"/>
        <v>35800880.380000003</v>
      </c>
      <c r="AD43" s="1248">
        <f t="shared" si="51"/>
        <v>13171430.298845042</v>
      </c>
      <c r="AE43" s="1254">
        <f t="shared" si="33"/>
        <v>22629450</v>
      </c>
      <c r="AF43" s="34">
        <f t="shared" si="52"/>
        <v>1216</v>
      </c>
      <c r="AG43" s="273">
        <f t="shared" si="34"/>
        <v>0.6321</v>
      </c>
      <c r="AH43" s="1254">
        <f t="shared" si="53"/>
        <v>105403299</v>
      </c>
      <c r="AI43" s="34">
        <f t="shared" si="54"/>
        <v>5663</v>
      </c>
      <c r="AJ43" s="1254">
        <f>'3A_Level 3'!J43</f>
        <v>3157012</v>
      </c>
      <c r="AK43" s="34">
        <f t="shared" si="55"/>
        <v>169.60416890512516</v>
      </c>
      <c r="AL43" s="1254">
        <f t="shared" si="35"/>
        <v>108560311</v>
      </c>
      <c r="AM43" s="34">
        <f t="shared" si="56"/>
        <v>5832.1860427635111</v>
      </c>
      <c r="AN43" s="1256">
        <f>'3A_Level 3'!K43</f>
        <v>15323309</v>
      </c>
      <c r="AO43" s="275">
        <f t="shared" si="57"/>
        <v>823.21419361770711</v>
      </c>
      <c r="AP43" s="1254">
        <f t="shared" si="36"/>
        <v>120726608</v>
      </c>
      <c r="AQ43" s="34">
        <f t="shared" si="58"/>
        <v>6485.7960674760934</v>
      </c>
      <c r="AR43" s="34">
        <f>'3A_Level 3'!L43</f>
        <v>2829394.6178921065</v>
      </c>
      <c r="AS43" s="1257">
        <f t="shared" si="59"/>
        <v>123556002.6178921</v>
      </c>
      <c r="AT43" s="34">
        <f t="shared" si="60"/>
        <v>6637.7996463893896</v>
      </c>
      <c r="AU43" s="273">
        <f t="shared" si="37"/>
        <v>0.67932801058543435</v>
      </c>
      <c r="AV43" s="274">
        <f t="shared" si="38"/>
        <v>22</v>
      </c>
      <c r="AW43" s="34">
        <f t="shared" si="61"/>
        <v>58323738.380000003</v>
      </c>
      <c r="AX43" s="34">
        <f t="shared" si="62"/>
        <v>3133.33</v>
      </c>
      <c r="AY43" s="274">
        <f t="shared" si="39"/>
        <v>51</v>
      </c>
      <c r="AZ43" s="273">
        <f t="shared" si="40"/>
        <v>0.32067198941456565</v>
      </c>
      <c r="BA43" s="275">
        <f t="shared" si="41"/>
        <v>181879740.99789211</v>
      </c>
      <c r="BB43" s="275">
        <f t="shared" si="63"/>
        <v>9771.1260877775931</v>
      </c>
      <c r="BC43" s="274">
        <f t="shared" si="42"/>
        <v>36</v>
      </c>
    </row>
    <row r="44" spans="1:55" ht="15.6" customHeight="1" x14ac:dyDescent="0.2">
      <c r="A44" s="606">
        <v>38</v>
      </c>
      <c r="B44" s="269" t="s">
        <v>41</v>
      </c>
      <c r="C44" s="1243">
        <f>'8_2.1.20 SIS'!AV44</f>
        <v>3879</v>
      </c>
      <c r="D44" s="1241">
        <v>2750</v>
      </c>
      <c r="E44" s="1241">
        <f t="shared" si="22"/>
        <v>605</v>
      </c>
      <c r="F44" s="1241">
        <v>2101.5</v>
      </c>
      <c r="G44" s="1241">
        <f t="shared" si="23"/>
        <v>126.08999999999999</v>
      </c>
      <c r="H44" s="1241">
        <v>603</v>
      </c>
      <c r="I44" s="1241">
        <f t="shared" si="24"/>
        <v>904.5</v>
      </c>
      <c r="J44" s="1241">
        <v>260</v>
      </c>
      <c r="K44" s="1241">
        <f t="shared" si="25"/>
        <v>156</v>
      </c>
      <c r="L44" s="1241">
        <f t="shared" si="44"/>
        <v>3621</v>
      </c>
      <c r="M44" s="270">
        <f t="shared" si="45"/>
        <v>9.6560000000000007E-2</v>
      </c>
      <c r="N44" s="1241">
        <f t="shared" si="3"/>
        <v>374.55624</v>
      </c>
      <c r="O44" s="1241">
        <f t="shared" si="26"/>
        <v>2166.14624</v>
      </c>
      <c r="P44" s="1241">
        <f t="shared" si="46"/>
        <v>6045.14624</v>
      </c>
      <c r="Q44" s="1248">
        <f t="shared" si="27"/>
        <v>4015</v>
      </c>
      <c r="R44" s="1248">
        <f t="shared" si="47"/>
        <v>24271262</v>
      </c>
      <c r="S44" s="1248">
        <f>'6_Local Deduct Calc'!J44</f>
        <v>19556550</v>
      </c>
      <c r="T44" s="1248">
        <f t="shared" si="28"/>
        <v>18203447</v>
      </c>
      <c r="U44" s="1249">
        <f t="shared" si="29"/>
        <v>6067815</v>
      </c>
      <c r="V44" s="271">
        <f t="shared" si="43"/>
        <v>0.25</v>
      </c>
      <c r="W44" s="271">
        <f t="shared" si="30"/>
        <v>0.75</v>
      </c>
      <c r="X44" s="272">
        <f t="shared" si="48"/>
        <v>4692.8195411188453</v>
      </c>
      <c r="Y44" s="1248">
        <f>'7_Local Revenue'!AS44</f>
        <v>42958148</v>
      </c>
      <c r="Z44" s="1248">
        <f t="shared" si="31"/>
        <v>24754701</v>
      </c>
      <c r="AA44" s="34">
        <f t="shared" si="32"/>
        <v>0</v>
      </c>
      <c r="AB44" s="34">
        <f t="shared" si="49"/>
        <v>8252229.080000001</v>
      </c>
      <c r="AC44" s="34">
        <f t="shared" si="50"/>
        <v>8252229.080000001</v>
      </c>
      <c r="AD44" s="1248">
        <f t="shared" si="51"/>
        <v>10645375.513200002</v>
      </c>
      <c r="AE44" s="1254">
        <f t="shared" si="33"/>
        <v>0</v>
      </c>
      <c r="AF44" s="34">
        <f t="shared" si="52"/>
        <v>0</v>
      </c>
      <c r="AG44" s="273">
        <f t="shared" si="34"/>
        <v>0</v>
      </c>
      <c r="AH44" s="1254">
        <f t="shared" si="53"/>
        <v>6067815</v>
      </c>
      <c r="AI44" s="34">
        <f t="shared" si="54"/>
        <v>1564</v>
      </c>
      <c r="AJ44" s="1254">
        <f>'3A_Level 3'!J44</f>
        <v>1645924</v>
      </c>
      <c r="AK44" s="34">
        <f t="shared" si="55"/>
        <v>424.3165764372261</v>
      </c>
      <c r="AL44" s="1254">
        <f t="shared" si="35"/>
        <v>7713739</v>
      </c>
      <c r="AM44" s="34">
        <f t="shared" si="56"/>
        <v>1988.5895849445733</v>
      </c>
      <c r="AN44" s="1256">
        <f>'3A_Level 3'!K44</f>
        <v>4865184</v>
      </c>
      <c r="AO44" s="275">
        <f t="shared" si="57"/>
        <v>1254.2366589327146</v>
      </c>
      <c r="AP44" s="1254">
        <f t="shared" si="36"/>
        <v>10932999</v>
      </c>
      <c r="AQ44" s="34">
        <f t="shared" si="58"/>
        <v>2818.509667440062</v>
      </c>
      <c r="AR44" s="34">
        <f>'3A_Level 3'!L44</f>
        <v>642046.30920598691</v>
      </c>
      <c r="AS44" s="1257">
        <f t="shared" si="59"/>
        <v>11575045.309205987</v>
      </c>
      <c r="AT44" s="34">
        <f t="shared" si="60"/>
        <v>2984.0281797385887</v>
      </c>
      <c r="AU44" s="273">
        <f t="shared" si="37"/>
        <v>0.30436039302928547</v>
      </c>
      <c r="AV44" s="274">
        <f t="shared" si="38"/>
        <v>69</v>
      </c>
      <c r="AW44" s="34">
        <f t="shared" si="61"/>
        <v>26455676.079999998</v>
      </c>
      <c r="AX44" s="34">
        <f t="shared" si="62"/>
        <v>6820.23</v>
      </c>
      <c r="AY44" s="274">
        <f t="shared" si="39"/>
        <v>2</v>
      </c>
      <c r="AZ44" s="273">
        <f t="shared" si="40"/>
        <v>0.69563960697071459</v>
      </c>
      <c r="BA44" s="275">
        <f t="shared" si="41"/>
        <v>38030721.389205985</v>
      </c>
      <c r="BB44" s="275">
        <f t="shared" si="63"/>
        <v>9804.2591877303385</v>
      </c>
      <c r="BC44" s="274">
        <f t="shared" si="42"/>
        <v>34</v>
      </c>
    </row>
    <row r="45" spans="1:55" ht="15.6" customHeight="1" x14ac:dyDescent="0.2">
      <c r="A45" s="606">
        <v>39</v>
      </c>
      <c r="B45" s="269" t="s">
        <v>42</v>
      </c>
      <c r="C45" s="1243">
        <f>'8_2.1.20 SIS'!AV45</f>
        <v>2641</v>
      </c>
      <c r="D45" s="1241">
        <v>2000</v>
      </c>
      <c r="E45" s="1241">
        <f t="shared" si="22"/>
        <v>440</v>
      </c>
      <c r="F45" s="1241">
        <v>1096</v>
      </c>
      <c r="G45" s="1241">
        <f t="shared" si="23"/>
        <v>65.759999999999991</v>
      </c>
      <c r="H45" s="1241">
        <v>476</v>
      </c>
      <c r="I45" s="1241">
        <f t="shared" si="24"/>
        <v>714</v>
      </c>
      <c r="J45" s="1241">
        <v>49</v>
      </c>
      <c r="K45" s="1241">
        <f t="shared" si="25"/>
        <v>29.4</v>
      </c>
      <c r="L45" s="1241">
        <f t="shared" si="44"/>
        <v>4859</v>
      </c>
      <c r="M45" s="270">
        <f t="shared" si="45"/>
        <v>0.12956999999999999</v>
      </c>
      <c r="N45" s="1241">
        <f t="shared" si="3"/>
        <v>342.19436999999999</v>
      </c>
      <c r="O45" s="1241">
        <f t="shared" si="26"/>
        <v>1591.35437</v>
      </c>
      <c r="P45" s="1241">
        <f t="shared" si="46"/>
        <v>4232.35437</v>
      </c>
      <c r="Q45" s="1248">
        <f t="shared" si="27"/>
        <v>4015</v>
      </c>
      <c r="R45" s="1248">
        <f t="shared" si="47"/>
        <v>16992903</v>
      </c>
      <c r="S45" s="1248">
        <f>'6_Local Deduct Calc'!J45</f>
        <v>9980212</v>
      </c>
      <c r="T45" s="1248">
        <f t="shared" si="28"/>
        <v>9980212</v>
      </c>
      <c r="U45" s="1249">
        <f t="shared" si="29"/>
        <v>7012691</v>
      </c>
      <c r="V45" s="271">
        <f t="shared" si="43"/>
        <v>0.41270000000000001</v>
      </c>
      <c r="W45" s="271">
        <f t="shared" si="30"/>
        <v>0.58730000000000004</v>
      </c>
      <c r="X45" s="272">
        <f t="shared" si="48"/>
        <v>3778.9519121544868</v>
      </c>
      <c r="Y45" s="1248">
        <f>'7_Local Revenue'!AS45</f>
        <v>15277010</v>
      </c>
      <c r="Z45" s="1248">
        <f t="shared" si="31"/>
        <v>5296798</v>
      </c>
      <c r="AA45" s="34">
        <f t="shared" si="32"/>
        <v>0</v>
      </c>
      <c r="AB45" s="34">
        <f t="shared" si="49"/>
        <v>5777587.0200000005</v>
      </c>
      <c r="AC45" s="34">
        <f t="shared" si="50"/>
        <v>5296798</v>
      </c>
      <c r="AD45" s="1248">
        <f t="shared" si="51"/>
        <v>5350592.2804880003</v>
      </c>
      <c r="AE45" s="1254">
        <f t="shared" si="33"/>
        <v>0</v>
      </c>
      <c r="AF45" s="34">
        <f t="shared" si="52"/>
        <v>0</v>
      </c>
      <c r="AG45" s="273">
        <f t="shared" si="34"/>
        <v>0</v>
      </c>
      <c r="AH45" s="1254">
        <f t="shared" si="53"/>
        <v>7012691</v>
      </c>
      <c r="AI45" s="34">
        <f t="shared" si="54"/>
        <v>2655</v>
      </c>
      <c r="AJ45" s="1254">
        <f>'3A_Level 3'!J45</f>
        <v>772613</v>
      </c>
      <c r="AK45" s="34">
        <f t="shared" si="55"/>
        <v>292.54562665656948</v>
      </c>
      <c r="AL45" s="1254">
        <f t="shared" si="35"/>
        <v>7785304</v>
      </c>
      <c r="AM45" s="34">
        <f t="shared" si="56"/>
        <v>2947.8621734191593</v>
      </c>
      <c r="AN45" s="1256">
        <f>'3A_Level 3'!K45</f>
        <v>2831695</v>
      </c>
      <c r="AO45" s="275">
        <f t="shared" si="57"/>
        <v>1072.2056039379022</v>
      </c>
      <c r="AP45" s="1254">
        <f t="shared" si="36"/>
        <v>9844386</v>
      </c>
      <c r="AQ45" s="34">
        <f t="shared" si="58"/>
        <v>3727.5221507004921</v>
      </c>
      <c r="AR45" s="34">
        <f>'3A_Level 3'!L45</f>
        <v>281953.00363011891</v>
      </c>
      <c r="AS45" s="1257">
        <f t="shared" si="59"/>
        <v>10126339.003630118</v>
      </c>
      <c r="AT45" s="34">
        <f t="shared" si="60"/>
        <v>3834.2820914919039</v>
      </c>
      <c r="AU45" s="273">
        <f t="shared" si="37"/>
        <v>0.39862220537075932</v>
      </c>
      <c r="AV45" s="274">
        <f t="shared" si="38"/>
        <v>62</v>
      </c>
      <c r="AW45" s="34">
        <f t="shared" si="61"/>
        <v>15277010</v>
      </c>
      <c r="AX45" s="34">
        <f t="shared" si="62"/>
        <v>5784.56</v>
      </c>
      <c r="AY45" s="274">
        <f t="shared" si="39"/>
        <v>7</v>
      </c>
      <c r="AZ45" s="273">
        <f t="shared" si="40"/>
        <v>0.60137779462924079</v>
      </c>
      <c r="BA45" s="275">
        <f t="shared" si="41"/>
        <v>25403349.003630117</v>
      </c>
      <c r="BB45" s="275">
        <f t="shared" si="63"/>
        <v>9618.8371842597935</v>
      </c>
      <c r="BC45" s="274">
        <f t="shared" si="42"/>
        <v>41</v>
      </c>
    </row>
    <row r="46" spans="1:55" ht="15.6" customHeight="1" x14ac:dyDescent="0.2">
      <c r="A46" s="607">
        <v>40</v>
      </c>
      <c r="B46" s="608" t="s">
        <v>43</v>
      </c>
      <c r="C46" s="1244">
        <f>'8_2.1.20 SIS'!AV46</f>
        <v>21834</v>
      </c>
      <c r="D46" s="1245">
        <v>15462</v>
      </c>
      <c r="E46" s="1245">
        <f t="shared" si="22"/>
        <v>3401.64</v>
      </c>
      <c r="F46" s="1245">
        <v>11182</v>
      </c>
      <c r="G46" s="1245">
        <f t="shared" si="23"/>
        <v>670.92</v>
      </c>
      <c r="H46" s="1245">
        <v>3065</v>
      </c>
      <c r="I46" s="1245">
        <f t="shared" si="24"/>
        <v>4597.5</v>
      </c>
      <c r="J46" s="1245">
        <v>462</v>
      </c>
      <c r="K46" s="1245">
        <f t="shared" si="25"/>
        <v>277.2</v>
      </c>
      <c r="L46" s="1245">
        <f t="shared" si="44"/>
        <v>0</v>
      </c>
      <c r="M46" s="609">
        <f t="shared" si="45"/>
        <v>0</v>
      </c>
      <c r="N46" s="1245">
        <f t="shared" si="3"/>
        <v>0</v>
      </c>
      <c r="O46" s="1245">
        <f t="shared" si="26"/>
        <v>8947.26</v>
      </c>
      <c r="P46" s="1247">
        <f t="shared" si="46"/>
        <v>30781.260000000002</v>
      </c>
      <c r="Q46" s="1250">
        <f t="shared" si="27"/>
        <v>4015</v>
      </c>
      <c r="R46" s="1250">
        <f t="shared" si="47"/>
        <v>123586759</v>
      </c>
      <c r="S46" s="1250">
        <f>'6_Local Deduct Calc'!J46</f>
        <v>32394012</v>
      </c>
      <c r="T46" s="1250">
        <f t="shared" si="28"/>
        <v>32394012</v>
      </c>
      <c r="U46" s="1251">
        <f t="shared" si="29"/>
        <v>91192747</v>
      </c>
      <c r="V46" s="610">
        <f t="shared" si="43"/>
        <v>0.7379</v>
      </c>
      <c r="W46" s="544">
        <f t="shared" si="30"/>
        <v>0.2621</v>
      </c>
      <c r="X46" s="545">
        <f t="shared" si="48"/>
        <v>1483.6499038197308</v>
      </c>
      <c r="Y46" s="1250">
        <f>'7_Local Revenue'!AS46</f>
        <v>93277806</v>
      </c>
      <c r="Z46" s="1250">
        <f t="shared" si="31"/>
        <v>60883794</v>
      </c>
      <c r="AA46" s="611">
        <f t="shared" si="32"/>
        <v>0</v>
      </c>
      <c r="AB46" s="611">
        <f t="shared" si="49"/>
        <v>42019498.060000002</v>
      </c>
      <c r="AC46" s="611">
        <f t="shared" si="50"/>
        <v>42019498.060000002</v>
      </c>
      <c r="AD46" s="1250">
        <f t="shared" si="51"/>
        <v>18942893.959424719</v>
      </c>
      <c r="AE46" s="1255">
        <f t="shared" si="33"/>
        <v>23076604</v>
      </c>
      <c r="AF46" s="611">
        <f t="shared" si="52"/>
        <v>1057</v>
      </c>
      <c r="AG46" s="612">
        <f t="shared" si="34"/>
        <v>0.54920000000000002</v>
      </c>
      <c r="AH46" s="1255">
        <f t="shared" si="53"/>
        <v>114269351</v>
      </c>
      <c r="AI46" s="611">
        <f t="shared" si="54"/>
        <v>5234</v>
      </c>
      <c r="AJ46" s="1255">
        <f>'3A_Level 3'!J46</f>
        <v>3703137</v>
      </c>
      <c r="AK46" s="611">
        <f t="shared" si="55"/>
        <v>169.60414949161859</v>
      </c>
      <c r="AL46" s="1255">
        <f t="shared" si="35"/>
        <v>117972488</v>
      </c>
      <c r="AM46" s="611">
        <f t="shared" si="56"/>
        <v>5403.1550792342223</v>
      </c>
      <c r="AN46" s="1258">
        <f>'3A_Level 3'!K46</f>
        <v>18992832</v>
      </c>
      <c r="AO46" s="614">
        <f t="shared" si="57"/>
        <v>869.8741412475955</v>
      </c>
      <c r="AP46" s="1255">
        <f t="shared" si="36"/>
        <v>133262183</v>
      </c>
      <c r="AQ46" s="611">
        <f t="shared" si="58"/>
        <v>6103.4250709901989</v>
      </c>
      <c r="AR46" s="1259">
        <f>'3A_Level 3'!L46</f>
        <v>3250785.8904649764</v>
      </c>
      <c r="AS46" s="1260">
        <f t="shared" si="59"/>
        <v>136512968.89046496</v>
      </c>
      <c r="AT46" s="1261">
        <f t="shared" si="60"/>
        <v>6252.3114816554435</v>
      </c>
      <c r="AU46" s="612">
        <f t="shared" si="37"/>
        <v>0.64720640845915012</v>
      </c>
      <c r="AV46" s="613">
        <f t="shared" si="38"/>
        <v>33</v>
      </c>
      <c r="AW46" s="611">
        <f t="shared" si="61"/>
        <v>74413510.060000002</v>
      </c>
      <c r="AX46" s="611">
        <f t="shared" si="62"/>
        <v>3408.15</v>
      </c>
      <c r="AY46" s="613">
        <f t="shared" si="39"/>
        <v>43</v>
      </c>
      <c r="AZ46" s="612">
        <f t="shared" si="40"/>
        <v>0.35279359154084988</v>
      </c>
      <c r="BA46" s="614">
        <f t="shared" si="41"/>
        <v>210926478.95046496</v>
      </c>
      <c r="BB46" s="614">
        <f t="shared" si="63"/>
        <v>9660.4597852186944</v>
      </c>
      <c r="BC46" s="613">
        <f t="shared" si="42"/>
        <v>40</v>
      </c>
    </row>
    <row r="47" spans="1:55" ht="15.6" customHeight="1" x14ac:dyDescent="0.2">
      <c r="A47" s="606">
        <v>41</v>
      </c>
      <c r="B47" s="269" t="s">
        <v>44</v>
      </c>
      <c r="C47" s="1241">
        <f>'8_2.1.20 SIS'!AV47</f>
        <v>1295</v>
      </c>
      <c r="D47" s="1241">
        <v>1108</v>
      </c>
      <c r="E47" s="1241">
        <f t="shared" si="22"/>
        <v>243.76</v>
      </c>
      <c r="F47" s="1241">
        <v>1086</v>
      </c>
      <c r="G47" s="1241">
        <f t="shared" si="23"/>
        <v>65.16</v>
      </c>
      <c r="H47" s="1241">
        <v>182</v>
      </c>
      <c r="I47" s="1241">
        <f t="shared" si="24"/>
        <v>273</v>
      </c>
      <c r="J47" s="1241">
        <v>20</v>
      </c>
      <c r="K47" s="1241">
        <f t="shared" si="25"/>
        <v>12</v>
      </c>
      <c r="L47" s="1242">
        <f t="shared" si="44"/>
        <v>6205</v>
      </c>
      <c r="M47" s="270">
        <f t="shared" si="45"/>
        <v>0.16547000000000001</v>
      </c>
      <c r="N47" s="1241">
        <f t="shared" si="3"/>
        <v>214.28364999999999</v>
      </c>
      <c r="O47" s="1241">
        <f t="shared" si="26"/>
        <v>808.20364999999993</v>
      </c>
      <c r="P47" s="1241">
        <f t="shared" si="46"/>
        <v>2103.2036499999999</v>
      </c>
      <c r="Q47" s="1248">
        <f t="shared" si="27"/>
        <v>4015</v>
      </c>
      <c r="R47" s="1248">
        <f t="shared" si="47"/>
        <v>8444363</v>
      </c>
      <c r="S47" s="1248">
        <f>'6_Local Deduct Calc'!J47</f>
        <v>5245839</v>
      </c>
      <c r="T47" s="1248">
        <f t="shared" si="28"/>
        <v>5245839</v>
      </c>
      <c r="U47" s="1249">
        <f t="shared" si="29"/>
        <v>3198524</v>
      </c>
      <c r="V47" s="271">
        <f t="shared" si="43"/>
        <v>0.37880000000000003</v>
      </c>
      <c r="W47" s="271">
        <f t="shared" si="30"/>
        <v>0.62119999999999997</v>
      </c>
      <c r="X47" s="272">
        <f t="shared" si="48"/>
        <v>4050.8409266409267</v>
      </c>
      <c r="Y47" s="1248">
        <f>'7_Local Revenue'!AS47</f>
        <v>17070214</v>
      </c>
      <c r="Z47" s="1248">
        <f t="shared" si="31"/>
        <v>11824375</v>
      </c>
      <c r="AA47" s="34">
        <f t="shared" si="32"/>
        <v>0</v>
      </c>
      <c r="AB47" s="34">
        <f t="shared" si="49"/>
        <v>2871083.4200000004</v>
      </c>
      <c r="AC47" s="34">
        <f t="shared" si="50"/>
        <v>2871083.4200000004</v>
      </c>
      <c r="AD47" s="1248">
        <f t="shared" si="51"/>
        <v>3067649.2752668802</v>
      </c>
      <c r="AE47" s="1254">
        <f t="shared" si="33"/>
        <v>0</v>
      </c>
      <c r="AF47" s="34">
        <f t="shared" si="52"/>
        <v>0</v>
      </c>
      <c r="AG47" s="273">
        <f t="shared" si="34"/>
        <v>0</v>
      </c>
      <c r="AH47" s="1254">
        <f t="shared" si="53"/>
        <v>3198524</v>
      </c>
      <c r="AI47" s="34">
        <f t="shared" si="54"/>
        <v>2470</v>
      </c>
      <c r="AJ47" s="1254">
        <f>'3A_Level 3'!J47</f>
        <v>219637</v>
      </c>
      <c r="AK47" s="34">
        <f t="shared" si="55"/>
        <v>169.603861003861</v>
      </c>
      <c r="AL47" s="1254">
        <f t="shared" si="35"/>
        <v>3418161</v>
      </c>
      <c r="AM47" s="34">
        <f t="shared" si="56"/>
        <v>2639.5065637065636</v>
      </c>
      <c r="AN47" s="1256">
        <f>'3A_Level 3'!K47</f>
        <v>1367292</v>
      </c>
      <c r="AO47" s="275">
        <f t="shared" si="57"/>
        <v>1055.8239382239383</v>
      </c>
      <c r="AP47" s="1254">
        <f t="shared" si="36"/>
        <v>4565816</v>
      </c>
      <c r="AQ47" s="34">
        <f t="shared" si="58"/>
        <v>3525.7266409266408</v>
      </c>
      <c r="AR47" s="34">
        <f>'3A_Level 3'!L47</f>
        <v>232224.96789833691</v>
      </c>
      <c r="AS47" s="1257">
        <f t="shared" si="59"/>
        <v>4798040.9678983372</v>
      </c>
      <c r="AT47" s="34">
        <f t="shared" si="60"/>
        <v>3705.0509404620366</v>
      </c>
      <c r="AU47" s="273">
        <f t="shared" si="37"/>
        <v>0.37151022606802192</v>
      </c>
      <c r="AV47" s="274">
        <f t="shared" si="38"/>
        <v>63</v>
      </c>
      <c r="AW47" s="34">
        <f t="shared" si="61"/>
        <v>8116922.4199999999</v>
      </c>
      <c r="AX47" s="34">
        <f t="shared" si="62"/>
        <v>6267.89</v>
      </c>
      <c r="AY47" s="274">
        <f t="shared" si="39"/>
        <v>4</v>
      </c>
      <c r="AZ47" s="273">
        <f t="shared" si="40"/>
        <v>0.62848977393197814</v>
      </c>
      <c r="BA47" s="275">
        <f t="shared" si="41"/>
        <v>12914963.387898337</v>
      </c>
      <c r="BB47" s="275">
        <f t="shared" si="63"/>
        <v>9972.9447010797976</v>
      </c>
      <c r="BC47" s="274">
        <f t="shared" si="42"/>
        <v>27</v>
      </c>
    </row>
    <row r="48" spans="1:55" ht="15.6" customHeight="1" x14ac:dyDescent="0.2">
      <c r="A48" s="606">
        <v>42</v>
      </c>
      <c r="B48" s="269" t="s">
        <v>45</v>
      </c>
      <c r="C48" s="1243">
        <f>'8_2.1.20 SIS'!AV48</f>
        <v>2727</v>
      </c>
      <c r="D48" s="1241">
        <v>2219</v>
      </c>
      <c r="E48" s="1241">
        <f t="shared" si="22"/>
        <v>488.18</v>
      </c>
      <c r="F48" s="1241">
        <v>1147</v>
      </c>
      <c r="G48" s="1241">
        <f t="shared" si="23"/>
        <v>68.819999999999993</v>
      </c>
      <c r="H48" s="1241">
        <v>355</v>
      </c>
      <c r="I48" s="1241">
        <f t="shared" si="24"/>
        <v>532.5</v>
      </c>
      <c r="J48" s="1241">
        <v>64</v>
      </c>
      <c r="K48" s="1241">
        <f t="shared" si="25"/>
        <v>38.4</v>
      </c>
      <c r="L48" s="1241">
        <f t="shared" si="44"/>
        <v>4773</v>
      </c>
      <c r="M48" s="270">
        <f t="shared" si="45"/>
        <v>0.12728</v>
      </c>
      <c r="N48" s="1241">
        <f t="shared" si="3"/>
        <v>347.09255999999999</v>
      </c>
      <c r="O48" s="1241">
        <f t="shared" si="26"/>
        <v>1474.9925600000001</v>
      </c>
      <c r="P48" s="1241">
        <f t="shared" si="46"/>
        <v>4201.9925600000006</v>
      </c>
      <c r="Q48" s="1248">
        <f t="shared" si="27"/>
        <v>4015</v>
      </c>
      <c r="R48" s="1248">
        <f t="shared" si="47"/>
        <v>16871000</v>
      </c>
      <c r="S48" s="1248">
        <f>'6_Local Deduct Calc'!J48</f>
        <v>5574326</v>
      </c>
      <c r="T48" s="1248">
        <f t="shared" si="28"/>
        <v>5574326</v>
      </c>
      <c r="U48" s="1249">
        <f t="shared" si="29"/>
        <v>11296674</v>
      </c>
      <c r="V48" s="271">
        <f t="shared" si="43"/>
        <v>0.66959999999999997</v>
      </c>
      <c r="W48" s="271">
        <f t="shared" si="30"/>
        <v>0.33040000000000003</v>
      </c>
      <c r="X48" s="272">
        <f t="shared" si="48"/>
        <v>2044.1239457279062</v>
      </c>
      <c r="Y48" s="1248">
        <f>'7_Local Revenue'!AS48</f>
        <v>13211043</v>
      </c>
      <c r="Z48" s="1248">
        <f t="shared" si="31"/>
        <v>7636717</v>
      </c>
      <c r="AA48" s="34">
        <f t="shared" si="32"/>
        <v>0</v>
      </c>
      <c r="AB48" s="34">
        <f t="shared" si="49"/>
        <v>5736140</v>
      </c>
      <c r="AC48" s="34">
        <f t="shared" si="50"/>
        <v>5736140</v>
      </c>
      <c r="AD48" s="1248">
        <f t="shared" si="51"/>
        <v>3259779.52832</v>
      </c>
      <c r="AE48" s="1254">
        <f t="shared" si="33"/>
        <v>2476360</v>
      </c>
      <c r="AF48" s="34">
        <f t="shared" si="52"/>
        <v>908</v>
      </c>
      <c r="AG48" s="273">
        <f t="shared" si="34"/>
        <v>0.43169999999999997</v>
      </c>
      <c r="AH48" s="1254">
        <f t="shared" si="53"/>
        <v>13773034</v>
      </c>
      <c r="AI48" s="34">
        <f t="shared" si="54"/>
        <v>5051</v>
      </c>
      <c r="AJ48" s="1254">
        <f>'3A_Level 3'!J48</f>
        <v>462510</v>
      </c>
      <c r="AK48" s="34">
        <f t="shared" si="55"/>
        <v>169.60396039603961</v>
      </c>
      <c r="AL48" s="1254">
        <f t="shared" si="35"/>
        <v>14235544</v>
      </c>
      <c r="AM48" s="34">
        <f t="shared" si="56"/>
        <v>5220.2214888155486</v>
      </c>
      <c r="AN48" s="1256">
        <f>'3A_Level 3'!K48</f>
        <v>1919492</v>
      </c>
      <c r="AO48" s="275">
        <f t="shared" si="57"/>
        <v>703.88412174550785</v>
      </c>
      <c r="AP48" s="1254">
        <f t="shared" si="36"/>
        <v>15692526</v>
      </c>
      <c r="AQ48" s="34">
        <f t="shared" si="58"/>
        <v>5754.5016501650161</v>
      </c>
      <c r="AR48" s="34">
        <f>'3A_Level 3'!L48</f>
        <v>384289.17202029686</v>
      </c>
      <c r="AS48" s="1257">
        <f t="shared" si="59"/>
        <v>16076815.172020297</v>
      </c>
      <c r="AT48" s="34">
        <f t="shared" si="60"/>
        <v>5895.4217719179678</v>
      </c>
      <c r="AU48" s="273">
        <f t="shared" si="37"/>
        <v>0.58701756742633049</v>
      </c>
      <c r="AV48" s="274">
        <f t="shared" si="38"/>
        <v>49</v>
      </c>
      <c r="AW48" s="34">
        <f t="shared" si="61"/>
        <v>11310466</v>
      </c>
      <c r="AX48" s="34">
        <f t="shared" si="62"/>
        <v>4147.59</v>
      </c>
      <c r="AY48" s="274">
        <f t="shared" si="39"/>
        <v>23</v>
      </c>
      <c r="AZ48" s="273">
        <f t="shared" si="40"/>
        <v>0.41298243257366946</v>
      </c>
      <c r="BA48" s="275">
        <f t="shared" si="41"/>
        <v>27387281.172020297</v>
      </c>
      <c r="BB48" s="275">
        <f t="shared" si="63"/>
        <v>10043.007397147157</v>
      </c>
      <c r="BC48" s="274">
        <f t="shared" si="42"/>
        <v>22</v>
      </c>
    </row>
    <row r="49" spans="1:55" ht="15.6" customHeight="1" x14ac:dyDescent="0.2">
      <c r="A49" s="606">
        <v>43</v>
      </c>
      <c r="B49" s="269" t="s">
        <v>46</v>
      </c>
      <c r="C49" s="1243">
        <f>'8_2.1.20 SIS'!AV49</f>
        <v>4017</v>
      </c>
      <c r="D49" s="1241">
        <v>3057</v>
      </c>
      <c r="E49" s="1241">
        <f t="shared" si="22"/>
        <v>672.54</v>
      </c>
      <c r="F49" s="1241">
        <v>2537</v>
      </c>
      <c r="G49" s="1241">
        <f t="shared" si="23"/>
        <v>152.22</v>
      </c>
      <c r="H49" s="1241">
        <v>538</v>
      </c>
      <c r="I49" s="1241">
        <f t="shared" si="24"/>
        <v>807</v>
      </c>
      <c r="J49" s="1241">
        <v>89</v>
      </c>
      <c r="K49" s="1241">
        <f t="shared" si="25"/>
        <v>53.4</v>
      </c>
      <c r="L49" s="1241">
        <f t="shared" si="44"/>
        <v>3483</v>
      </c>
      <c r="M49" s="270">
        <f t="shared" si="45"/>
        <v>9.2880000000000004E-2</v>
      </c>
      <c r="N49" s="1241">
        <f t="shared" si="3"/>
        <v>373.09896000000003</v>
      </c>
      <c r="O49" s="1241">
        <f t="shared" si="26"/>
        <v>2058.2589600000001</v>
      </c>
      <c r="P49" s="1241">
        <f t="shared" si="46"/>
        <v>6075.2589600000001</v>
      </c>
      <c r="Q49" s="1248">
        <f t="shared" si="27"/>
        <v>4015</v>
      </c>
      <c r="R49" s="1248">
        <f t="shared" si="47"/>
        <v>24392165</v>
      </c>
      <c r="S49" s="1248">
        <f>'6_Local Deduct Calc'!J49</f>
        <v>6059776</v>
      </c>
      <c r="T49" s="1248">
        <f t="shared" si="28"/>
        <v>6059776</v>
      </c>
      <c r="U49" s="1249">
        <f t="shared" si="29"/>
        <v>18332389</v>
      </c>
      <c r="V49" s="271">
        <f t="shared" si="43"/>
        <v>0.75160000000000005</v>
      </c>
      <c r="W49" s="271">
        <f t="shared" si="30"/>
        <v>0.24840000000000001</v>
      </c>
      <c r="X49" s="272">
        <f t="shared" si="48"/>
        <v>1508.5327358725417</v>
      </c>
      <c r="Y49" s="1248">
        <f>'7_Local Revenue'!AS49</f>
        <v>18154791</v>
      </c>
      <c r="Z49" s="1248">
        <f t="shared" si="31"/>
        <v>12095015</v>
      </c>
      <c r="AA49" s="34">
        <f t="shared" si="32"/>
        <v>0</v>
      </c>
      <c r="AB49" s="34">
        <f t="shared" si="49"/>
        <v>8293336.1000000006</v>
      </c>
      <c r="AC49" s="34">
        <f t="shared" si="50"/>
        <v>8293336.1000000006</v>
      </c>
      <c r="AD49" s="1248">
        <f t="shared" si="51"/>
        <v>3543311.2620528005</v>
      </c>
      <c r="AE49" s="1254">
        <f t="shared" si="33"/>
        <v>4750025</v>
      </c>
      <c r="AF49" s="34">
        <f t="shared" si="52"/>
        <v>1182</v>
      </c>
      <c r="AG49" s="273">
        <f t="shared" si="34"/>
        <v>0.57279999999999998</v>
      </c>
      <c r="AH49" s="1254">
        <f t="shared" si="53"/>
        <v>23082414</v>
      </c>
      <c r="AI49" s="34">
        <f t="shared" si="54"/>
        <v>5746</v>
      </c>
      <c r="AJ49" s="1254">
        <f>'3A_Level 3'!J49</f>
        <v>681300</v>
      </c>
      <c r="AK49" s="34">
        <f t="shared" si="55"/>
        <v>169.60418222554145</v>
      </c>
      <c r="AL49" s="1254">
        <f t="shared" si="35"/>
        <v>23763714</v>
      </c>
      <c r="AM49" s="34">
        <f t="shared" si="56"/>
        <v>5915.7864077669901</v>
      </c>
      <c r="AN49" s="1256">
        <f>'3A_Level 3'!K49</f>
        <v>2989508</v>
      </c>
      <c r="AO49" s="275">
        <f t="shared" si="57"/>
        <v>744.21409011700268</v>
      </c>
      <c r="AP49" s="1254">
        <f t="shared" si="36"/>
        <v>26071922</v>
      </c>
      <c r="AQ49" s="34">
        <f t="shared" si="58"/>
        <v>6490.3963156584514</v>
      </c>
      <c r="AR49" s="34">
        <f>'3A_Level 3'!L49</f>
        <v>604842.01282204257</v>
      </c>
      <c r="AS49" s="1257">
        <f t="shared" si="59"/>
        <v>26676764.012822043</v>
      </c>
      <c r="AT49" s="34">
        <f t="shared" si="60"/>
        <v>6640.9668939064086</v>
      </c>
      <c r="AU49" s="273">
        <f t="shared" si="37"/>
        <v>0.65017900467131606</v>
      </c>
      <c r="AV49" s="274">
        <f t="shared" si="38"/>
        <v>30</v>
      </c>
      <c r="AW49" s="34">
        <f t="shared" si="61"/>
        <v>14353112.1</v>
      </c>
      <c r="AX49" s="34">
        <f t="shared" si="62"/>
        <v>3573.09</v>
      </c>
      <c r="AY49" s="274">
        <f t="shared" si="39"/>
        <v>36</v>
      </c>
      <c r="AZ49" s="273">
        <f t="shared" si="40"/>
        <v>0.34982099532868394</v>
      </c>
      <c r="BA49" s="275">
        <f t="shared" si="41"/>
        <v>41029876.112822041</v>
      </c>
      <c r="BB49" s="275">
        <f t="shared" si="63"/>
        <v>10214.059276281314</v>
      </c>
      <c r="BC49" s="274">
        <f t="shared" si="42"/>
        <v>15</v>
      </c>
    </row>
    <row r="50" spans="1:55" ht="15.6" customHeight="1" x14ac:dyDescent="0.2">
      <c r="A50" s="606">
        <v>44</v>
      </c>
      <c r="B50" s="269" t="s">
        <v>47</v>
      </c>
      <c r="C50" s="1243">
        <f>'8_2.1.20 SIS'!AV50</f>
        <v>7458</v>
      </c>
      <c r="D50" s="1241">
        <v>5963</v>
      </c>
      <c r="E50" s="1241">
        <f t="shared" si="22"/>
        <v>1311.86</v>
      </c>
      <c r="F50" s="1241">
        <v>3125.5</v>
      </c>
      <c r="G50" s="1241">
        <f t="shared" si="23"/>
        <v>187.53</v>
      </c>
      <c r="H50" s="1241">
        <v>852</v>
      </c>
      <c r="I50" s="1241">
        <f t="shared" si="24"/>
        <v>1278</v>
      </c>
      <c r="J50" s="1241">
        <v>134</v>
      </c>
      <c r="K50" s="1241">
        <f t="shared" si="25"/>
        <v>80.399999999999991</v>
      </c>
      <c r="L50" s="1241">
        <f t="shared" si="44"/>
        <v>42</v>
      </c>
      <c r="M50" s="270">
        <f t="shared" si="45"/>
        <v>1.1199999999999999E-3</v>
      </c>
      <c r="N50" s="1241">
        <f t="shared" si="3"/>
        <v>8.3529599999999995</v>
      </c>
      <c r="O50" s="1241">
        <f t="shared" si="26"/>
        <v>2866.1429600000001</v>
      </c>
      <c r="P50" s="1241">
        <f t="shared" si="46"/>
        <v>10324.142960000001</v>
      </c>
      <c r="Q50" s="1248">
        <f t="shared" si="27"/>
        <v>4015</v>
      </c>
      <c r="R50" s="1248">
        <f t="shared" si="47"/>
        <v>41451434</v>
      </c>
      <c r="S50" s="1248">
        <f>'6_Local Deduct Calc'!J50</f>
        <v>10774161</v>
      </c>
      <c r="T50" s="1248">
        <f t="shared" si="28"/>
        <v>10774161</v>
      </c>
      <c r="U50" s="1249">
        <f t="shared" si="29"/>
        <v>30677273</v>
      </c>
      <c r="V50" s="271">
        <f t="shared" si="43"/>
        <v>0.74009999999999998</v>
      </c>
      <c r="W50" s="271">
        <f t="shared" si="30"/>
        <v>0.25990000000000002</v>
      </c>
      <c r="X50" s="272">
        <f t="shared" si="48"/>
        <v>1444.6448109412711</v>
      </c>
      <c r="Y50" s="1248">
        <f>'7_Local Revenue'!AS50</f>
        <v>29756820</v>
      </c>
      <c r="Z50" s="1248">
        <f t="shared" si="31"/>
        <v>18982659</v>
      </c>
      <c r="AA50" s="34">
        <f t="shared" si="32"/>
        <v>0</v>
      </c>
      <c r="AB50" s="34">
        <f t="shared" si="49"/>
        <v>14093487.560000001</v>
      </c>
      <c r="AC50" s="34">
        <f t="shared" si="50"/>
        <v>14093487.560000001</v>
      </c>
      <c r="AD50" s="1248">
        <f t="shared" si="51"/>
        <v>6300183.5569716804</v>
      </c>
      <c r="AE50" s="1254">
        <f t="shared" si="33"/>
        <v>7793304</v>
      </c>
      <c r="AF50" s="34">
        <f t="shared" si="52"/>
        <v>1045</v>
      </c>
      <c r="AG50" s="273">
        <f t="shared" si="34"/>
        <v>0.55300000000000005</v>
      </c>
      <c r="AH50" s="1254">
        <f t="shared" si="53"/>
        <v>38470577</v>
      </c>
      <c r="AI50" s="34">
        <f t="shared" si="54"/>
        <v>5158</v>
      </c>
      <c r="AJ50" s="1254">
        <f>'3A_Level 3'!J50</f>
        <v>1264908</v>
      </c>
      <c r="AK50" s="34">
        <f t="shared" si="55"/>
        <v>169.60418342719228</v>
      </c>
      <c r="AL50" s="1254">
        <f t="shared" si="35"/>
        <v>39735485</v>
      </c>
      <c r="AM50" s="34">
        <f t="shared" si="56"/>
        <v>5327.9009117725927</v>
      </c>
      <c r="AN50" s="1256">
        <f>'3A_Level 3'!K50</f>
        <v>6210755</v>
      </c>
      <c r="AO50" s="275">
        <f t="shared" si="57"/>
        <v>832.7641458836149</v>
      </c>
      <c r="AP50" s="1254">
        <f t="shared" si="36"/>
        <v>44681332</v>
      </c>
      <c r="AQ50" s="34">
        <f t="shared" si="58"/>
        <v>5991.060874229016</v>
      </c>
      <c r="AR50" s="34">
        <f>'3A_Level 3'!L50</f>
        <v>977233.54283188377</v>
      </c>
      <c r="AS50" s="1257">
        <f t="shared" si="59"/>
        <v>45658565.542831883</v>
      </c>
      <c r="AT50" s="34">
        <f t="shared" si="60"/>
        <v>6122.0924568023438</v>
      </c>
      <c r="AU50" s="273">
        <f t="shared" si="37"/>
        <v>0.64739850456539005</v>
      </c>
      <c r="AV50" s="274">
        <f t="shared" si="38"/>
        <v>32</v>
      </c>
      <c r="AW50" s="34">
        <f t="shared" si="61"/>
        <v>24867648.559999999</v>
      </c>
      <c r="AX50" s="34">
        <f t="shared" si="62"/>
        <v>3334.36</v>
      </c>
      <c r="AY50" s="274">
        <f t="shared" si="39"/>
        <v>46</v>
      </c>
      <c r="AZ50" s="273">
        <f t="shared" si="40"/>
        <v>0.35260149543460995</v>
      </c>
      <c r="BA50" s="275">
        <f t="shared" si="41"/>
        <v>70526214.102831885</v>
      </c>
      <c r="BB50" s="275">
        <f t="shared" si="63"/>
        <v>9456.4513412217602</v>
      </c>
      <c r="BC50" s="274">
        <f t="shared" si="42"/>
        <v>48</v>
      </c>
    </row>
    <row r="51" spans="1:55" ht="15.6" customHeight="1" x14ac:dyDescent="0.2">
      <c r="A51" s="607">
        <v>45</v>
      </c>
      <c r="B51" s="608" t="s">
        <v>48</v>
      </c>
      <c r="C51" s="1244">
        <f>'8_2.1.20 SIS'!AV51</f>
        <v>9473</v>
      </c>
      <c r="D51" s="1245">
        <v>5547</v>
      </c>
      <c r="E51" s="1245">
        <f t="shared" si="22"/>
        <v>1220.3399999999999</v>
      </c>
      <c r="F51" s="1245">
        <v>4973.5</v>
      </c>
      <c r="G51" s="1245">
        <f t="shared" si="23"/>
        <v>298.40999999999997</v>
      </c>
      <c r="H51" s="1245">
        <v>1114</v>
      </c>
      <c r="I51" s="1245">
        <f t="shared" si="24"/>
        <v>1671</v>
      </c>
      <c r="J51" s="1245">
        <v>754</v>
      </c>
      <c r="K51" s="1245">
        <f t="shared" si="25"/>
        <v>452.4</v>
      </c>
      <c r="L51" s="1245">
        <f t="shared" si="44"/>
        <v>0</v>
      </c>
      <c r="M51" s="609">
        <f t="shared" si="45"/>
        <v>0</v>
      </c>
      <c r="N51" s="1245">
        <f t="shared" si="3"/>
        <v>0</v>
      </c>
      <c r="O51" s="1245">
        <f t="shared" si="26"/>
        <v>3642.15</v>
      </c>
      <c r="P51" s="1247">
        <f t="shared" si="46"/>
        <v>13115.15</v>
      </c>
      <c r="Q51" s="1250">
        <f t="shared" si="27"/>
        <v>4015</v>
      </c>
      <c r="R51" s="1250">
        <f t="shared" si="47"/>
        <v>52657327</v>
      </c>
      <c r="S51" s="1250">
        <f>'6_Local Deduct Calc'!J51</f>
        <v>34649101</v>
      </c>
      <c r="T51" s="1250">
        <f t="shared" si="28"/>
        <v>34649101</v>
      </c>
      <c r="U51" s="1251">
        <f t="shared" si="29"/>
        <v>18008226</v>
      </c>
      <c r="V51" s="610">
        <f t="shared" si="43"/>
        <v>0.34200000000000003</v>
      </c>
      <c r="W51" s="544">
        <f t="shared" si="30"/>
        <v>0.65800000000000003</v>
      </c>
      <c r="X51" s="545">
        <f t="shared" si="48"/>
        <v>3657.6692705584292</v>
      </c>
      <c r="Y51" s="1250">
        <f>'7_Local Revenue'!AS51</f>
        <v>135128176</v>
      </c>
      <c r="Z51" s="1250">
        <f t="shared" si="31"/>
        <v>100479075</v>
      </c>
      <c r="AA51" s="611">
        <f t="shared" si="32"/>
        <v>0</v>
      </c>
      <c r="AB51" s="611">
        <f t="shared" si="49"/>
        <v>17903491.18</v>
      </c>
      <c r="AC51" s="611">
        <f t="shared" si="50"/>
        <v>17903491.18</v>
      </c>
      <c r="AD51" s="1250">
        <f t="shared" si="51"/>
        <v>20262455.1778768</v>
      </c>
      <c r="AE51" s="1255">
        <f t="shared" si="33"/>
        <v>0</v>
      </c>
      <c r="AF51" s="611">
        <f t="shared" si="52"/>
        <v>0</v>
      </c>
      <c r="AG51" s="612">
        <f t="shared" si="34"/>
        <v>0</v>
      </c>
      <c r="AH51" s="1255">
        <f t="shared" si="53"/>
        <v>18008226</v>
      </c>
      <c r="AI51" s="611">
        <f t="shared" si="54"/>
        <v>1901</v>
      </c>
      <c r="AJ51" s="1255">
        <f>'3A_Level 3'!J51</f>
        <v>3830982</v>
      </c>
      <c r="AK51" s="611">
        <f t="shared" si="55"/>
        <v>404.41064076849995</v>
      </c>
      <c r="AL51" s="1255">
        <f t="shared" si="35"/>
        <v>21839208</v>
      </c>
      <c r="AM51" s="611">
        <f t="shared" si="56"/>
        <v>2305.4162356170168</v>
      </c>
      <c r="AN51" s="1258">
        <f>'3A_Level 3'!K51</f>
        <v>10973245</v>
      </c>
      <c r="AO51" s="614">
        <f t="shared" si="57"/>
        <v>1158.3706323234455</v>
      </c>
      <c r="AP51" s="1255">
        <f t="shared" si="36"/>
        <v>28981471</v>
      </c>
      <c r="AQ51" s="611">
        <f t="shared" si="58"/>
        <v>3059.3762271719625</v>
      </c>
      <c r="AR51" s="1259">
        <f>'3A_Level 3'!L51</f>
        <v>1727049.3252987326</v>
      </c>
      <c r="AS51" s="1260">
        <f t="shared" si="59"/>
        <v>30708520.325298734</v>
      </c>
      <c r="AT51" s="1261">
        <f t="shared" si="60"/>
        <v>3241.6890452125763</v>
      </c>
      <c r="AU51" s="612">
        <f t="shared" si="37"/>
        <v>0.36882188336535193</v>
      </c>
      <c r="AV51" s="613">
        <f t="shared" si="38"/>
        <v>64</v>
      </c>
      <c r="AW51" s="611">
        <f t="shared" si="61"/>
        <v>52552592.18</v>
      </c>
      <c r="AX51" s="611">
        <f t="shared" si="62"/>
        <v>5547.62</v>
      </c>
      <c r="AY51" s="613">
        <f t="shared" si="39"/>
        <v>8</v>
      </c>
      <c r="AZ51" s="612">
        <f t="shared" si="40"/>
        <v>0.63117811663464807</v>
      </c>
      <c r="BA51" s="614">
        <f t="shared" si="41"/>
        <v>83261112.505298734</v>
      </c>
      <c r="BB51" s="614">
        <f t="shared" si="63"/>
        <v>8789.3077700093672</v>
      </c>
      <c r="BC51" s="613">
        <f t="shared" si="42"/>
        <v>64</v>
      </c>
    </row>
    <row r="52" spans="1:55" ht="15.6" customHeight="1" x14ac:dyDescent="0.2">
      <c r="A52" s="606">
        <v>46</v>
      </c>
      <c r="B52" s="269" t="s">
        <v>49</v>
      </c>
      <c r="C52" s="1241">
        <f>'8_2.1.20 SIS'!AV52</f>
        <v>1185</v>
      </c>
      <c r="D52" s="1241">
        <v>1131</v>
      </c>
      <c r="E52" s="1241">
        <f t="shared" si="22"/>
        <v>248.82</v>
      </c>
      <c r="F52" s="1241">
        <v>285</v>
      </c>
      <c r="G52" s="1241">
        <f t="shared" si="23"/>
        <v>17.099999999999998</v>
      </c>
      <c r="H52" s="1241">
        <v>204</v>
      </c>
      <c r="I52" s="1241">
        <f t="shared" si="24"/>
        <v>306</v>
      </c>
      <c r="J52" s="1241">
        <v>67</v>
      </c>
      <c r="K52" s="1241">
        <f t="shared" si="25"/>
        <v>40.199999999999996</v>
      </c>
      <c r="L52" s="1242">
        <f t="shared" si="44"/>
        <v>6315</v>
      </c>
      <c r="M52" s="270">
        <f t="shared" si="45"/>
        <v>0.16839999999999999</v>
      </c>
      <c r="N52" s="1241">
        <f t="shared" si="3"/>
        <v>199.554</v>
      </c>
      <c r="O52" s="1241">
        <f t="shared" si="26"/>
        <v>811.67400000000009</v>
      </c>
      <c r="P52" s="1241">
        <f t="shared" si="46"/>
        <v>1996.674</v>
      </c>
      <c r="Q52" s="1248">
        <f t="shared" si="27"/>
        <v>4015</v>
      </c>
      <c r="R52" s="1248">
        <f t="shared" si="47"/>
        <v>8016646</v>
      </c>
      <c r="S52" s="1248">
        <f>'6_Local Deduct Calc'!J52</f>
        <v>1289899</v>
      </c>
      <c r="T52" s="1248">
        <f t="shared" si="28"/>
        <v>1289899</v>
      </c>
      <c r="U52" s="1249">
        <f t="shared" si="29"/>
        <v>6726747</v>
      </c>
      <c r="V52" s="271">
        <f t="shared" si="43"/>
        <v>0.83909999999999996</v>
      </c>
      <c r="W52" s="271">
        <f t="shared" si="30"/>
        <v>0.16089999999999999</v>
      </c>
      <c r="X52" s="272">
        <f t="shared" si="48"/>
        <v>1088.5223628691983</v>
      </c>
      <c r="Y52" s="1248">
        <f>'7_Local Revenue'!AS52</f>
        <v>3604274</v>
      </c>
      <c r="Z52" s="1248">
        <f t="shared" si="31"/>
        <v>2314375</v>
      </c>
      <c r="AA52" s="34">
        <f t="shared" si="32"/>
        <v>0</v>
      </c>
      <c r="AB52" s="34">
        <f t="shared" si="49"/>
        <v>2725659.64</v>
      </c>
      <c r="AC52" s="34">
        <f t="shared" si="50"/>
        <v>2314375</v>
      </c>
      <c r="AD52" s="1248">
        <f t="shared" si="51"/>
        <v>640498.65249999997</v>
      </c>
      <c r="AE52" s="1254">
        <f t="shared" si="33"/>
        <v>1673876</v>
      </c>
      <c r="AF52" s="34">
        <f t="shared" si="52"/>
        <v>1413</v>
      </c>
      <c r="AG52" s="273">
        <f t="shared" si="34"/>
        <v>0.72330000000000005</v>
      </c>
      <c r="AH52" s="1254">
        <f t="shared" si="53"/>
        <v>8400623</v>
      </c>
      <c r="AI52" s="34">
        <f t="shared" si="54"/>
        <v>7089</v>
      </c>
      <c r="AJ52" s="1254">
        <f>'3A_Level 3'!J52</f>
        <v>200981</v>
      </c>
      <c r="AK52" s="34">
        <f t="shared" si="55"/>
        <v>169.60421940928271</v>
      </c>
      <c r="AL52" s="1254">
        <f t="shared" si="35"/>
        <v>8601604</v>
      </c>
      <c r="AM52" s="34">
        <f t="shared" si="56"/>
        <v>7258.7375527426157</v>
      </c>
      <c r="AN52" s="1256">
        <f>'3A_Level 3'!K52</f>
        <v>1063732</v>
      </c>
      <c r="AO52" s="275">
        <f t="shared" si="57"/>
        <v>897.66413502109708</v>
      </c>
      <c r="AP52" s="1254">
        <f t="shared" si="36"/>
        <v>9464355</v>
      </c>
      <c r="AQ52" s="34">
        <f t="shared" si="58"/>
        <v>7986.7974683544307</v>
      </c>
      <c r="AR52" s="34">
        <f>'3A_Level 3'!L52</f>
        <v>163792.36305283057</v>
      </c>
      <c r="AS52" s="1257">
        <f t="shared" si="59"/>
        <v>9628147.3630528301</v>
      </c>
      <c r="AT52" s="34">
        <f t="shared" si="60"/>
        <v>8125.0188717745405</v>
      </c>
      <c r="AU52" s="273">
        <f t="shared" si="37"/>
        <v>0.72761795433270093</v>
      </c>
      <c r="AV52" s="274">
        <f t="shared" si="38"/>
        <v>6</v>
      </c>
      <c r="AW52" s="34">
        <f t="shared" si="61"/>
        <v>3604274</v>
      </c>
      <c r="AX52" s="34">
        <f t="shared" si="62"/>
        <v>3041.58</v>
      </c>
      <c r="AY52" s="274">
        <f t="shared" si="39"/>
        <v>54</v>
      </c>
      <c r="AZ52" s="273">
        <f t="shared" si="40"/>
        <v>0.27238204566729907</v>
      </c>
      <c r="BA52" s="275">
        <f t="shared" si="41"/>
        <v>13232421.36305283</v>
      </c>
      <c r="BB52" s="275">
        <f t="shared" si="63"/>
        <v>11166.600306373697</v>
      </c>
      <c r="BC52" s="274">
        <f t="shared" si="42"/>
        <v>5</v>
      </c>
    </row>
    <row r="53" spans="1:55" ht="15.6" customHeight="1" x14ac:dyDescent="0.2">
      <c r="A53" s="606">
        <v>47</v>
      </c>
      <c r="B53" s="269" t="s">
        <v>50</v>
      </c>
      <c r="C53" s="1243">
        <f>'8_2.1.20 SIS'!AV53</f>
        <v>3505</v>
      </c>
      <c r="D53" s="1241">
        <v>2155</v>
      </c>
      <c r="E53" s="1241">
        <f t="shared" si="22"/>
        <v>474.1</v>
      </c>
      <c r="F53" s="1241">
        <v>2152</v>
      </c>
      <c r="G53" s="1241">
        <f t="shared" si="23"/>
        <v>129.12</v>
      </c>
      <c r="H53" s="1241">
        <v>535</v>
      </c>
      <c r="I53" s="1241">
        <f t="shared" si="24"/>
        <v>802.5</v>
      </c>
      <c r="J53" s="1241">
        <v>121</v>
      </c>
      <c r="K53" s="1241">
        <f t="shared" si="25"/>
        <v>72.599999999999994</v>
      </c>
      <c r="L53" s="1241">
        <f t="shared" si="44"/>
        <v>3995</v>
      </c>
      <c r="M53" s="270">
        <f t="shared" si="45"/>
        <v>0.10653</v>
      </c>
      <c r="N53" s="1241">
        <f t="shared" si="3"/>
        <v>373.38765000000001</v>
      </c>
      <c r="O53" s="1241">
        <f t="shared" si="26"/>
        <v>1851.7076499999998</v>
      </c>
      <c r="P53" s="1241">
        <f t="shared" si="46"/>
        <v>5356.7076500000003</v>
      </c>
      <c r="Q53" s="1248">
        <f t="shared" si="27"/>
        <v>4015</v>
      </c>
      <c r="R53" s="1248">
        <f t="shared" si="47"/>
        <v>21507181</v>
      </c>
      <c r="S53" s="1248">
        <f>'6_Local Deduct Calc'!J53</f>
        <v>15516191</v>
      </c>
      <c r="T53" s="1248">
        <f t="shared" si="28"/>
        <v>15516191</v>
      </c>
      <c r="U53" s="1249">
        <f t="shared" si="29"/>
        <v>5990990</v>
      </c>
      <c r="V53" s="271">
        <f t="shared" si="43"/>
        <v>0.27860000000000001</v>
      </c>
      <c r="W53" s="271">
        <f t="shared" si="30"/>
        <v>0.72140000000000004</v>
      </c>
      <c r="X53" s="272">
        <f t="shared" si="48"/>
        <v>4426.8733238231098</v>
      </c>
      <c r="Y53" s="1248">
        <f>'7_Local Revenue'!AS53</f>
        <v>53192331</v>
      </c>
      <c r="Z53" s="1248">
        <f t="shared" si="31"/>
        <v>37676140</v>
      </c>
      <c r="AA53" s="34">
        <f t="shared" si="32"/>
        <v>0</v>
      </c>
      <c r="AB53" s="34">
        <f t="shared" si="49"/>
        <v>7312441.540000001</v>
      </c>
      <c r="AC53" s="34">
        <f t="shared" si="50"/>
        <v>7312441.540000001</v>
      </c>
      <c r="AD53" s="1248">
        <f t="shared" si="51"/>
        <v>9073335.9623643216</v>
      </c>
      <c r="AE53" s="1254">
        <f t="shared" si="33"/>
        <v>0</v>
      </c>
      <c r="AF53" s="34">
        <f t="shared" si="52"/>
        <v>0</v>
      </c>
      <c r="AG53" s="273">
        <f t="shared" si="34"/>
        <v>0</v>
      </c>
      <c r="AH53" s="1254">
        <f t="shared" si="53"/>
        <v>5990990</v>
      </c>
      <c r="AI53" s="34">
        <f t="shared" si="54"/>
        <v>1709</v>
      </c>
      <c r="AJ53" s="1254">
        <f>'3A_Level 3'!J53</f>
        <v>1411114</v>
      </c>
      <c r="AK53" s="34">
        <f t="shared" si="55"/>
        <v>402.60028530670473</v>
      </c>
      <c r="AL53" s="1254">
        <f t="shared" si="35"/>
        <v>7402104</v>
      </c>
      <c r="AM53" s="34">
        <f t="shared" si="56"/>
        <v>2111.8699001426535</v>
      </c>
      <c r="AN53" s="1256">
        <f>'3A_Level 3'!K53</f>
        <v>4603328</v>
      </c>
      <c r="AO53" s="275">
        <f t="shared" si="57"/>
        <v>1313.3603423680456</v>
      </c>
      <c r="AP53" s="1254">
        <f t="shared" si="36"/>
        <v>10594318</v>
      </c>
      <c r="AQ53" s="34">
        <f t="shared" si="58"/>
        <v>3022.6299572039943</v>
      </c>
      <c r="AR53" s="34">
        <f>'3A_Level 3'!L53</f>
        <v>574124.7454086194</v>
      </c>
      <c r="AS53" s="1257">
        <f t="shared" si="59"/>
        <v>11168442.745408619</v>
      </c>
      <c r="AT53" s="34">
        <f t="shared" si="60"/>
        <v>3186.4315964075945</v>
      </c>
      <c r="AU53" s="273">
        <f t="shared" si="37"/>
        <v>0.32851186908428154</v>
      </c>
      <c r="AV53" s="274">
        <f t="shared" si="38"/>
        <v>66</v>
      </c>
      <c r="AW53" s="34">
        <f t="shared" si="61"/>
        <v>22828632.539999999</v>
      </c>
      <c r="AX53" s="34">
        <f t="shared" si="62"/>
        <v>6513.16</v>
      </c>
      <c r="AY53" s="274">
        <f t="shared" si="39"/>
        <v>3</v>
      </c>
      <c r="AZ53" s="273">
        <f t="shared" si="40"/>
        <v>0.67148813091571846</v>
      </c>
      <c r="BA53" s="275">
        <f t="shared" si="41"/>
        <v>33997075.285408616</v>
      </c>
      <c r="BB53" s="275">
        <f t="shared" si="63"/>
        <v>9699.5935193747828</v>
      </c>
      <c r="BC53" s="274">
        <f t="shared" si="42"/>
        <v>39</v>
      </c>
    </row>
    <row r="54" spans="1:55" ht="15.6" customHeight="1" x14ac:dyDescent="0.2">
      <c r="A54" s="606">
        <v>48</v>
      </c>
      <c r="B54" s="269" t="s">
        <v>73</v>
      </c>
      <c r="C54" s="1243">
        <f>'8_2.1.20 SIS'!AV54</f>
        <v>5805</v>
      </c>
      <c r="D54" s="1241">
        <v>4676</v>
      </c>
      <c r="E54" s="1241">
        <f t="shared" si="22"/>
        <v>1028.72</v>
      </c>
      <c r="F54" s="1241">
        <v>3255.5</v>
      </c>
      <c r="G54" s="1241">
        <f t="shared" si="23"/>
        <v>195.32999999999998</v>
      </c>
      <c r="H54" s="1241">
        <v>863</v>
      </c>
      <c r="I54" s="1241">
        <f t="shared" si="24"/>
        <v>1294.5</v>
      </c>
      <c r="J54" s="1241">
        <v>137</v>
      </c>
      <c r="K54" s="1241">
        <f t="shared" si="25"/>
        <v>82.2</v>
      </c>
      <c r="L54" s="1241">
        <f t="shared" si="44"/>
        <v>1695</v>
      </c>
      <c r="M54" s="270">
        <f t="shared" si="45"/>
        <v>4.5199999999999997E-2</v>
      </c>
      <c r="N54" s="1241">
        <f t="shared" si="3"/>
        <v>262.38599999999997</v>
      </c>
      <c r="O54" s="1241">
        <f t="shared" si="26"/>
        <v>2863.136</v>
      </c>
      <c r="P54" s="1241">
        <f t="shared" si="46"/>
        <v>8668.1360000000004</v>
      </c>
      <c r="Q54" s="1248">
        <f t="shared" si="27"/>
        <v>4015</v>
      </c>
      <c r="R54" s="1248">
        <f t="shared" si="47"/>
        <v>34802566</v>
      </c>
      <c r="S54" s="1248">
        <f>'6_Local Deduct Calc'!J54</f>
        <v>14475040</v>
      </c>
      <c r="T54" s="1248">
        <f t="shared" si="28"/>
        <v>14475040</v>
      </c>
      <c r="U54" s="1249">
        <f t="shared" si="29"/>
        <v>20327526</v>
      </c>
      <c r="V54" s="271">
        <f t="shared" si="43"/>
        <v>0.58409999999999995</v>
      </c>
      <c r="W54" s="271">
        <f t="shared" si="30"/>
        <v>0.41589999999999999</v>
      </c>
      <c r="X54" s="272">
        <f t="shared" si="48"/>
        <v>2493.5469422911283</v>
      </c>
      <c r="Y54" s="1248">
        <f>'7_Local Revenue'!AS54</f>
        <v>41958384</v>
      </c>
      <c r="Z54" s="1248">
        <f t="shared" si="31"/>
        <v>27483344</v>
      </c>
      <c r="AA54" s="34">
        <f t="shared" si="32"/>
        <v>0</v>
      </c>
      <c r="AB54" s="34">
        <f t="shared" si="49"/>
        <v>11832872.440000001</v>
      </c>
      <c r="AC54" s="34">
        <f t="shared" si="50"/>
        <v>11832872.440000001</v>
      </c>
      <c r="AD54" s="1248">
        <f t="shared" si="51"/>
        <v>8464621.6342091206</v>
      </c>
      <c r="AE54" s="1254">
        <f t="shared" si="33"/>
        <v>3368251</v>
      </c>
      <c r="AF54" s="34">
        <f t="shared" si="52"/>
        <v>580</v>
      </c>
      <c r="AG54" s="273">
        <f t="shared" si="34"/>
        <v>0.28470000000000001</v>
      </c>
      <c r="AH54" s="1254">
        <f t="shared" si="53"/>
        <v>23695777</v>
      </c>
      <c r="AI54" s="34">
        <f t="shared" si="54"/>
        <v>4082</v>
      </c>
      <c r="AJ54" s="1254">
        <f>'3A_Level 3'!J54</f>
        <v>984552</v>
      </c>
      <c r="AK54" s="34">
        <f t="shared" si="55"/>
        <v>169.60413436692505</v>
      </c>
      <c r="AL54" s="1254">
        <f t="shared" si="35"/>
        <v>24680329</v>
      </c>
      <c r="AM54" s="34">
        <f t="shared" si="56"/>
        <v>4251.5639965546943</v>
      </c>
      <c r="AN54" s="1256">
        <f>'3A_Level 3'!K54</f>
        <v>6041113</v>
      </c>
      <c r="AO54" s="275">
        <f t="shared" si="57"/>
        <v>1040.674074074074</v>
      </c>
      <c r="AP54" s="1254">
        <f t="shared" si="36"/>
        <v>29736890</v>
      </c>
      <c r="AQ54" s="34">
        <f t="shared" si="58"/>
        <v>5122.6339362618428</v>
      </c>
      <c r="AR54" s="34">
        <f>'3A_Level 3'!L54</f>
        <v>969365.60008988844</v>
      </c>
      <c r="AS54" s="1257">
        <f t="shared" si="59"/>
        <v>30706255.600089889</v>
      </c>
      <c r="AT54" s="34">
        <f t="shared" si="60"/>
        <v>5289.6219810663033</v>
      </c>
      <c r="AU54" s="273">
        <f t="shared" si="37"/>
        <v>0.53857236991511626</v>
      </c>
      <c r="AV54" s="274">
        <f t="shared" si="38"/>
        <v>53</v>
      </c>
      <c r="AW54" s="34">
        <f t="shared" si="61"/>
        <v>26307912.440000001</v>
      </c>
      <c r="AX54" s="34">
        <f t="shared" si="62"/>
        <v>4531.9399999999996</v>
      </c>
      <c r="AY54" s="274">
        <f t="shared" si="39"/>
        <v>17</v>
      </c>
      <c r="AZ54" s="273">
        <f t="shared" si="40"/>
        <v>0.4614276300848838</v>
      </c>
      <c r="BA54" s="275">
        <f t="shared" si="41"/>
        <v>57014168.04008989</v>
      </c>
      <c r="BB54" s="275">
        <f t="shared" si="63"/>
        <v>9821.5621085426174</v>
      </c>
      <c r="BC54" s="274">
        <f t="shared" si="42"/>
        <v>33</v>
      </c>
    </row>
    <row r="55" spans="1:55" ht="15.6" customHeight="1" x14ac:dyDescent="0.2">
      <c r="A55" s="606">
        <v>49</v>
      </c>
      <c r="B55" s="269" t="s">
        <v>51</v>
      </c>
      <c r="C55" s="1243">
        <f>'8_2.1.20 SIS'!AV55</f>
        <v>12955</v>
      </c>
      <c r="D55" s="1241">
        <v>10196</v>
      </c>
      <c r="E55" s="1241">
        <f t="shared" si="22"/>
        <v>2243.12</v>
      </c>
      <c r="F55" s="1241">
        <v>8270.5</v>
      </c>
      <c r="G55" s="1241">
        <f t="shared" si="23"/>
        <v>496.22999999999996</v>
      </c>
      <c r="H55" s="1241">
        <v>1993</v>
      </c>
      <c r="I55" s="1241">
        <f t="shared" si="24"/>
        <v>2989.5</v>
      </c>
      <c r="J55" s="1241">
        <v>255</v>
      </c>
      <c r="K55" s="1241">
        <f t="shared" si="25"/>
        <v>153</v>
      </c>
      <c r="L55" s="1241">
        <f t="shared" si="44"/>
        <v>0</v>
      </c>
      <c r="M55" s="270">
        <f t="shared" si="45"/>
        <v>0</v>
      </c>
      <c r="N55" s="1241">
        <f t="shared" si="3"/>
        <v>0</v>
      </c>
      <c r="O55" s="1241">
        <f t="shared" si="26"/>
        <v>5881.85</v>
      </c>
      <c r="P55" s="1241">
        <f t="shared" si="46"/>
        <v>18836.849999999999</v>
      </c>
      <c r="Q55" s="1248">
        <f t="shared" si="27"/>
        <v>4015</v>
      </c>
      <c r="R55" s="1248">
        <f t="shared" si="47"/>
        <v>75629953</v>
      </c>
      <c r="S55" s="1248">
        <f>'6_Local Deduct Calc'!J55</f>
        <v>18720099</v>
      </c>
      <c r="T55" s="1248">
        <f t="shared" si="28"/>
        <v>18720099</v>
      </c>
      <c r="U55" s="1249">
        <f t="shared" si="29"/>
        <v>56909854</v>
      </c>
      <c r="V55" s="271">
        <f t="shared" si="43"/>
        <v>0.75249999999999995</v>
      </c>
      <c r="W55" s="271">
        <f t="shared" si="30"/>
        <v>0.2475</v>
      </c>
      <c r="X55" s="272">
        <f t="shared" si="48"/>
        <v>1445.0095715939792</v>
      </c>
      <c r="Y55" s="1248">
        <f>'7_Local Revenue'!AS55</f>
        <v>37320622</v>
      </c>
      <c r="Z55" s="1248">
        <f t="shared" si="31"/>
        <v>18600523</v>
      </c>
      <c r="AA55" s="34">
        <f t="shared" si="32"/>
        <v>0</v>
      </c>
      <c r="AB55" s="34">
        <f t="shared" si="49"/>
        <v>25714184.020000003</v>
      </c>
      <c r="AC55" s="34">
        <f t="shared" si="50"/>
        <v>18600523</v>
      </c>
      <c r="AD55" s="1248">
        <f t="shared" si="51"/>
        <v>7918242.6410999997</v>
      </c>
      <c r="AE55" s="1254">
        <f t="shared" si="33"/>
        <v>10682280</v>
      </c>
      <c r="AF55" s="34">
        <f t="shared" si="52"/>
        <v>825</v>
      </c>
      <c r="AG55" s="273">
        <f t="shared" si="34"/>
        <v>0.57430000000000003</v>
      </c>
      <c r="AH55" s="1254">
        <f t="shared" si="53"/>
        <v>67592134</v>
      </c>
      <c r="AI55" s="34">
        <f t="shared" si="54"/>
        <v>5217</v>
      </c>
      <c r="AJ55" s="1254">
        <f>'3A_Level 3'!J55</f>
        <v>2197222</v>
      </c>
      <c r="AK55" s="34">
        <f t="shared" si="55"/>
        <v>169.60416827479739</v>
      </c>
      <c r="AL55" s="1254">
        <f t="shared" si="35"/>
        <v>69789356</v>
      </c>
      <c r="AM55" s="34">
        <f t="shared" si="56"/>
        <v>5387.0595137012733</v>
      </c>
      <c r="AN55" s="1256">
        <f>'3A_Level 3'!K55</f>
        <v>9639092</v>
      </c>
      <c r="AO55" s="275">
        <f t="shared" si="57"/>
        <v>744.04415283674257</v>
      </c>
      <c r="AP55" s="1254">
        <f t="shared" si="36"/>
        <v>77231226</v>
      </c>
      <c r="AQ55" s="34">
        <f t="shared" si="58"/>
        <v>5961.4994982632188</v>
      </c>
      <c r="AR55" s="34">
        <f>'3A_Level 3'!L55</f>
        <v>1927082.2227943675</v>
      </c>
      <c r="AS55" s="1257">
        <f t="shared" si="59"/>
        <v>79158308.222794369</v>
      </c>
      <c r="AT55" s="34">
        <f t="shared" si="60"/>
        <v>6110.251503110333</v>
      </c>
      <c r="AU55" s="273">
        <f t="shared" si="37"/>
        <v>0.67959336569613749</v>
      </c>
      <c r="AV55" s="274">
        <f t="shared" si="38"/>
        <v>21</v>
      </c>
      <c r="AW55" s="34">
        <f t="shared" si="61"/>
        <v>37320622</v>
      </c>
      <c r="AX55" s="34">
        <f t="shared" si="62"/>
        <v>2880.79</v>
      </c>
      <c r="AY55" s="274">
        <f t="shared" si="39"/>
        <v>58</v>
      </c>
      <c r="AZ55" s="273">
        <f t="shared" si="40"/>
        <v>0.32040663430386257</v>
      </c>
      <c r="BA55" s="275">
        <f t="shared" si="41"/>
        <v>116478930.22279437</v>
      </c>
      <c r="BB55" s="275">
        <f t="shared" si="63"/>
        <v>8991.0405420914212</v>
      </c>
      <c r="BC55" s="274">
        <f t="shared" si="42"/>
        <v>61</v>
      </c>
    </row>
    <row r="56" spans="1:55" ht="15.6" customHeight="1" x14ac:dyDescent="0.2">
      <c r="A56" s="607">
        <v>50</v>
      </c>
      <c r="B56" s="608" t="s">
        <v>52</v>
      </c>
      <c r="C56" s="1244">
        <f>'8_2.1.20 SIS'!AV56</f>
        <v>7388</v>
      </c>
      <c r="D56" s="1245">
        <v>5480</v>
      </c>
      <c r="E56" s="1245">
        <f t="shared" si="22"/>
        <v>1205.5999999999999</v>
      </c>
      <c r="F56" s="1245">
        <v>4347</v>
      </c>
      <c r="G56" s="1245">
        <f t="shared" si="23"/>
        <v>260.82</v>
      </c>
      <c r="H56" s="1245">
        <v>860</v>
      </c>
      <c r="I56" s="1245">
        <f t="shared" si="24"/>
        <v>1290</v>
      </c>
      <c r="J56" s="1245">
        <v>364</v>
      </c>
      <c r="K56" s="1245">
        <f t="shared" si="25"/>
        <v>218.4</v>
      </c>
      <c r="L56" s="1245">
        <f t="shared" si="44"/>
        <v>112</v>
      </c>
      <c r="M56" s="609">
        <f t="shared" si="45"/>
        <v>2.99E-3</v>
      </c>
      <c r="N56" s="1245">
        <f t="shared" si="3"/>
        <v>22.090119999999999</v>
      </c>
      <c r="O56" s="1245">
        <f t="shared" si="26"/>
        <v>2996.91012</v>
      </c>
      <c r="P56" s="1247">
        <f t="shared" si="46"/>
        <v>10384.91012</v>
      </c>
      <c r="Q56" s="1250">
        <f t="shared" si="27"/>
        <v>4015</v>
      </c>
      <c r="R56" s="1250">
        <f t="shared" si="47"/>
        <v>41695414</v>
      </c>
      <c r="S56" s="1250">
        <f>'6_Local Deduct Calc'!J56</f>
        <v>11873289</v>
      </c>
      <c r="T56" s="1250">
        <f t="shared" si="28"/>
        <v>11873289</v>
      </c>
      <c r="U56" s="1251">
        <f t="shared" si="29"/>
        <v>29822125</v>
      </c>
      <c r="V56" s="610">
        <f t="shared" si="43"/>
        <v>0.71519999999999995</v>
      </c>
      <c r="W56" s="544">
        <f t="shared" si="30"/>
        <v>0.2848</v>
      </c>
      <c r="X56" s="545">
        <f t="shared" si="48"/>
        <v>1607.1046291283162</v>
      </c>
      <c r="Y56" s="1250">
        <f>'7_Local Revenue'!AS56</f>
        <v>29202460</v>
      </c>
      <c r="Z56" s="1250">
        <f t="shared" si="31"/>
        <v>17329171</v>
      </c>
      <c r="AA56" s="611">
        <f t="shared" si="32"/>
        <v>0</v>
      </c>
      <c r="AB56" s="611">
        <f t="shared" si="49"/>
        <v>14176440.760000002</v>
      </c>
      <c r="AC56" s="611">
        <f t="shared" si="50"/>
        <v>14176440.760000002</v>
      </c>
      <c r="AD56" s="1250">
        <f t="shared" si="51"/>
        <v>6944414.564930561</v>
      </c>
      <c r="AE56" s="1255">
        <f t="shared" si="33"/>
        <v>7232026</v>
      </c>
      <c r="AF56" s="611">
        <f t="shared" si="52"/>
        <v>979</v>
      </c>
      <c r="AG56" s="612">
        <f t="shared" si="34"/>
        <v>0.5101</v>
      </c>
      <c r="AH56" s="1255">
        <f t="shared" si="53"/>
        <v>37054151</v>
      </c>
      <c r="AI56" s="611">
        <f t="shared" si="54"/>
        <v>5015</v>
      </c>
      <c r="AJ56" s="1255">
        <f>'3A_Level 3'!J56</f>
        <v>1253035</v>
      </c>
      <c r="AK56" s="611">
        <f t="shared" si="55"/>
        <v>169.60408770979967</v>
      </c>
      <c r="AL56" s="1255">
        <f t="shared" si="35"/>
        <v>38307186</v>
      </c>
      <c r="AM56" s="611">
        <f t="shared" si="56"/>
        <v>5185.0549539794265</v>
      </c>
      <c r="AN56" s="1258">
        <f>'3A_Level 3'!K56</f>
        <v>5940425</v>
      </c>
      <c r="AO56" s="614">
        <f t="shared" si="57"/>
        <v>804.06402273957769</v>
      </c>
      <c r="AP56" s="1255">
        <f t="shared" si="36"/>
        <v>42994576</v>
      </c>
      <c r="AQ56" s="611">
        <f t="shared" si="58"/>
        <v>5819.5148890092041</v>
      </c>
      <c r="AR56" s="1259">
        <f>'3A_Level 3'!L56</f>
        <v>979862.09648946067</v>
      </c>
      <c r="AS56" s="1260">
        <f t="shared" si="59"/>
        <v>43974438.096489459</v>
      </c>
      <c r="AT56" s="1261">
        <f t="shared" si="60"/>
        <v>5952.143759676429</v>
      </c>
      <c r="AU56" s="612">
        <f t="shared" si="37"/>
        <v>0.62798944196827244</v>
      </c>
      <c r="AV56" s="613">
        <f t="shared" si="38"/>
        <v>38</v>
      </c>
      <c r="AW56" s="611">
        <f t="shared" si="61"/>
        <v>26049729.760000002</v>
      </c>
      <c r="AX56" s="611">
        <f t="shared" si="62"/>
        <v>3525.95</v>
      </c>
      <c r="AY56" s="613">
        <f t="shared" si="39"/>
        <v>39</v>
      </c>
      <c r="AZ56" s="612">
        <f t="shared" si="40"/>
        <v>0.3720105580317275</v>
      </c>
      <c r="BA56" s="614">
        <f t="shared" si="41"/>
        <v>70024167.856489465</v>
      </c>
      <c r="BB56" s="614">
        <f t="shared" si="63"/>
        <v>9478.095270234091</v>
      </c>
      <c r="BC56" s="613">
        <f t="shared" si="42"/>
        <v>46</v>
      </c>
    </row>
    <row r="57" spans="1:55" ht="15.6" customHeight="1" x14ac:dyDescent="0.2">
      <c r="A57" s="606">
        <v>51</v>
      </c>
      <c r="B57" s="269" t="s">
        <v>53</v>
      </c>
      <c r="C57" s="1241">
        <f>'8_2.1.20 SIS'!AV57</f>
        <v>8178</v>
      </c>
      <c r="D57" s="1241">
        <v>6467</v>
      </c>
      <c r="E57" s="1241">
        <f t="shared" si="22"/>
        <v>1422.74</v>
      </c>
      <c r="F57" s="1241">
        <v>4115.5</v>
      </c>
      <c r="G57" s="1241">
        <f t="shared" si="23"/>
        <v>246.92999999999998</v>
      </c>
      <c r="H57" s="1241">
        <v>1380</v>
      </c>
      <c r="I57" s="1241">
        <f t="shared" si="24"/>
        <v>2070</v>
      </c>
      <c r="J57" s="1241">
        <v>548</v>
      </c>
      <c r="K57" s="1241">
        <f t="shared" si="25"/>
        <v>328.8</v>
      </c>
      <c r="L57" s="1242">
        <f t="shared" si="44"/>
        <v>0</v>
      </c>
      <c r="M57" s="270">
        <f t="shared" si="45"/>
        <v>0</v>
      </c>
      <c r="N57" s="1241">
        <f t="shared" si="3"/>
        <v>0</v>
      </c>
      <c r="O57" s="1241">
        <f t="shared" si="26"/>
        <v>4068.4700000000003</v>
      </c>
      <c r="P57" s="1241">
        <f t="shared" si="46"/>
        <v>12246.470000000001</v>
      </c>
      <c r="Q57" s="1248">
        <f t="shared" si="27"/>
        <v>4015</v>
      </c>
      <c r="R57" s="1248">
        <f t="shared" si="47"/>
        <v>49169577</v>
      </c>
      <c r="S57" s="1248">
        <f>'6_Local Deduct Calc'!J57</f>
        <v>15550651</v>
      </c>
      <c r="T57" s="1248">
        <f t="shared" si="28"/>
        <v>15550651</v>
      </c>
      <c r="U57" s="1249">
        <f t="shared" si="29"/>
        <v>33618926</v>
      </c>
      <c r="V57" s="271">
        <f t="shared" si="43"/>
        <v>0.68369999999999997</v>
      </c>
      <c r="W57" s="271">
        <f t="shared" si="30"/>
        <v>0.31630000000000003</v>
      </c>
      <c r="X57" s="272">
        <f t="shared" si="48"/>
        <v>1901.5224993886036</v>
      </c>
      <c r="Y57" s="1248">
        <f>'7_Local Revenue'!AS57</f>
        <v>37629036</v>
      </c>
      <c r="Z57" s="1248">
        <f t="shared" si="31"/>
        <v>22078385</v>
      </c>
      <c r="AA57" s="34">
        <f t="shared" si="32"/>
        <v>0</v>
      </c>
      <c r="AB57" s="34">
        <f t="shared" si="49"/>
        <v>16717656.180000002</v>
      </c>
      <c r="AC57" s="34">
        <f t="shared" si="50"/>
        <v>16717656.180000002</v>
      </c>
      <c r="AD57" s="1248">
        <f t="shared" si="51"/>
        <v>9095006.7975424826</v>
      </c>
      <c r="AE57" s="1254">
        <f t="shared" si="33"/>
        <v>7622649</v>
      </c>
      <c r="AF57" s="34">
        <f t="shared" si="52"/>
        <v>932</v>
      </c>
      <c r="AG57" s="273">
        <f t="shared" si="34"/>
        <v>0.45600000000000002</v>
      </c>
      <c r="AH57" s="1254">
        <f t="shared" si="53"/>
        <v>41241575</v>
      </c>
      <c r="AI57" s="34">
        <f t="shared" si="54"/>
        <v>5043</v>
      </c>
      <c r="AJ57" s="1254">
        <f>'3A_Level 3'!J57</f>
        <v>1387023</v>
      </c>
      <c r="AK57" s="34">
        <f t="shared" si="55"/>
        <v>169.6041819515774</v>
      </c>
      <c r="AL57" s="1254">
        <f t="shared" si="35"/>
        <v>42628598</v>
      </c>
      <c r="AM57" s="34">
        <f t="shared" si="56"/>
        <v>5212.5945218879924</v>
      </c>
      <c r="AN57" s="1256">
        <f>'3A_Level 3'!K57</f>
        <v>7166088</v>
      </c>
      <c r="AO57" s="275">
        <f t="shared" si="57"/>
        <v>876.26412325752017</v>
      </c>
      <c r="AP57" s="1254">
        <f t="shared" si="36"/>
        <v>48407663</v>
      </c>
      <c r="AQ57" s="34">
        <f t="shared" si="58"/>
        <v>5919.2544631939345</v>
      </c>
      <c r="AR57" s="34">
        <f>'3A_Level 3'!L57</f>
        <v>1234265.289195722</v>
      </c>
      <c r="AS57" s="1257">
        <f t="shared" si="59"/>
        <v>49641928.289195724</v>
      </c>
      <c r="AT57" s="34">
        <f t="shared" si="60"/>
        <v>6070.1795413543314</v>
      </c>
      <c r="AU57" s="273">
        <f t="shared" si="37"/>
        <v>0.60605280896628289</v>
      </c>
      <c r="AV57" s="274">
        <f t="shared" si="38"/>
        <v>42</v>
      </c>
      <c r="AW57" s="34">
        <f t="shared" si="61"/>
        <v>32268307.18</v>
      </c>
      <c r="AX57" s="34">
        <f t="shared" si="62"/>
        <v>3945.75</v>
      </c>
      <c r="AY57" s="274">
        <f t="shared" si="39"/>
        <v>27</v>
      </c>
      <c r="AZ57" s="273">
        <f t="shared" si="40"/>
        <v>0.39394719103371711</v>
      </c>
      <c r="BA57" s="275">
        <f t="shared" si="41"/>
        <v>81910235.469195724</v>
      </c>
      <c r="BB57" s="275">
        <f t="shared" si="63"/>
        <v>10015.925100170669</v>
      </c>
      <c r="BC57" s="274">
        <f t="shared" si="42"/>
        <v>23</v>
      </c>
    </row>
    <row r="58" spans="1:55" ht="15.6" customHeight="1" x14ac:dyDescent="0.2">
      <c r="A58" s="606">
        <v>52</v>
      </c>
      <c r="B58" s="269" t="s">
        <v>54</v>
      </c>
      <c r="C58" s="1243">
        <f>'8_2.1.20 SIS'!AV58</f>
        <v>38048</v>
      </c>
      <c r="D58" s="1241">
        <v>20173</v>
      </c>
      <c r="E58" s="1241">
        <f t="shared" si="22"/>
        <v>4438.0600000000004</v>
      </c>
      <c r="F58" s="1241">
        <v>14716.5</v>
      </c>
      <c r="G58" s="1241">
        <f t="shared" si="23"/>
        <v>882.99</v>
      </c>
      <c r="H58" s="1241">
        <v>7396</v>
      </c>
      <c r="I58" s="1241">
        <f t="shared" si="24"/>
        <v>11094</v>
      </c>
      <c r="J58" s="1241">
        <v>2779</v>
      </c>
      <c r="K58" s="1241">
        <f t="shared" si="25"/>
        <v>1667.3999999999999</v>
      </c>
      <c r="L58" s="1241">
        <f t="shared" si="44"/>
        <v>0</v>
      </c>
      <c r="M58" s="270">
        <f t="shared" si="45"/>
        <v>0</v>
      </c>
      <c r="N58" s="1241">
        <f t="shared" si="3"/>
        <v>0</v>
      </c>
      <c r="O58" s="1241">
        <f t="shared" si="26"/>
        <v>18082.45</v>
      </c>
      <c r="P58" s="1241">
        <f t="shared" si="46"/>
        <v>56130.45</v>
      </c>
      <c r="Q58" s="1248">
        <f t="shared" si="27"/>
        <v>4015</v>
      </c>
      <c r="R58" s="1248">
        <f t="shared" si="47"/>
        <v>225363757</v>
      </c>
      <c r="S58" s="1248">
        <f>'6_Local Deduct Calc'!J58</f>
        <v>69953538</v>
      </c>
      <c r="T58" s="1248">
        <f t="shared" si="28"/>
        <v>69953538</v>
      </c>
      <c r="U58" s="1249">
        <f t="shared" si="29"/>
        <v>155410219</v>
      </c>
      <c r="V58" s="271">
        <f t="shared" si="43"/>
        <v>0.68959999999999999</v>
      </c>
      <c r="W58" s="271">
        <f t="shared" si="30"/>
        <v>0.31040000000000001</v>
      </c>
      <c r="X58" s="272">
        <f t="shared" si="48"/>
        <v>1838.5601871320437</v>
      </c>
      <c r="Y58" s="1248">
        <f>'7_Local Revenue'!AS58</f>
        <v>236971812</v>
      </c>
      <c r="Z58" s="1248">
        <f t="shared" si="31"/>
        <v>167018274</v>
      </c>
      <c r="AA58" s="34">
        <f t="shared" si="32"/>
        <v>0</v>
      </c>
      <c r="AB58" s="34">
        <f t="shared" si="49"/>
        <v>76623677.38000001</v>
      </c>
      <c r="AC58" s="34">
        <f t="shared" si="50"/>
        <v>76623677.38000001</v>
      </c>
      <c r="AD58" s="1248">
        <f t="shared" si="51"/>
        <v>40908461.869053446</v>
      </c>
      <c r="AE58" s="1254">
        <f t="shared" si="33"/>
        <v>35715216</v>
      </c>
      <c r="AF58" s="34">
        <f t="shared" si="52"/>
        <v>939</v>
      </c>
      <c r="AG58" s="273">
        <f t="shared" si="34"/>
        <v>0.46610000000000001</v>
      </c>
      <c r="AH58" s="1254">
        <f t="shared" si="53"/>
        <v>191125435</v>
      </c>
      <c r="AI58" s="34">
        <f t="shared" si="54"/>
        <v>5023</v>
      </c>
      <c r="AJ58" s="1254">
        <f>'3A_Level 3'!J58</f>
        <v>6453098</v>
      </c>
      <c r="AK58" s="34">
        <f t="shared" si="55"/>
        <v>169.60413162321279</v>
      </c>
      <c r="AL58" s="1254">
        <f t="shared" si="35"/>
        <v>197578533</v>
      </c>
      <c r="AM58" s="34">
        <f t="shared" si="56"/>
        <v>5192.8756570647602</v>
      </c>
      <c r="AN58" s="1256">
        <f>'3A_Level 3'!K58</f>
        <v>31502760</v>
      </c>
      <c r="AO58" s="275">
        <f t="shared" si="57"/>
        <v>827.97413793103453</v>
      </c>
      <c r="AP58" s="1254">
        <f t="shared" si="36"/>
        <v>222628195</v>
      </c>
      <c r="AQ58" s="34">
        <f t="shared" si="58"/>
        <v>5851.2456633725824</v>
      </c>
      <c r="AR58" s="34">
        <f>'3A_Level 3'!L58</f>
        <v>5905914.5582009517</v>
      </c>
      <c r="AS58" s="1257">
        <f t="shared" si="59"/>
        <v>228534109.55820096</v>
      </c>
      <c r="AT58" s="34">
        <f t="shared" si="60"/>
        <v>6006.4683967147012</v>
      </c>
      <c r="AU58" s="273">
        <f t="shared" si="37"/>
        <v>0.60924342818988897</v>
      </c>
      <c r="AV58" s="274">
        <f t="shared" si="38"/>
        <v>41</v>
      </c>
      <c r="AW58" s="34">
        <f t="shared" si="61"/>
        <v>146577215.38</v>
      </c>
      <c r="AX58" s="34">
        <f t="shared" si="62"/>
        <v>3852.43</v>
      </c>
      <c r="AY58" s="274">
        <f t="shared" si="39"/>
        <v>28</v>
      </c>
      <c r="AZ58" s="273">
        <f t="shared" si="40"/>
        <v>0.39075657181011098</v>
      </c>
      <c r="BA58" s="275">
        <f t="shared" si="41"/>
        <v>375111324.93820095</v>
      </c>
      <c r="BB58" s="275">
        <f t="shared" si="63"/>
        <v>9858.897312295021</v>
      </c>
      <c r="BC58" s="274">
        <f t="shared" si="42"/>
        <v>32</v>
      </c>
    </row>
    <row r="59" spans="1:55" ht="15.6" customHeight="1" x14ac:dyDescent="0.2">
      <c r="A59" s="606">
        <v>53</v>
      </c>
      <c r="B59" s="269" t="s">
        <v>55</v>
      </c>
      <c r="C59" s="1243">
        <f>'8_2.1.20 SIS'!AV59</f>
        <v>19306</v>
      </c>
      <c r="D59" s="1241">
        <v>14225</v>
      </c>
      <c r="E59" s="1241">
        <f t="shared" si="22"/>
        <v>3129.5</v>
      </c>
      <c r="F59" s="1241">
        <v>10702.5</v>
      </c>
      <c r="G59" s="1241">
        <f t="shared" si="23"/>
        <v>642.15</v>
      </c>
      <c r="H59" s="1241">
        <v>2633</v>
      </c>
      <c r="I59" s="1241">
        <f t="shared" si="24"/>
        <v>3949.5</v>
      </c>
      <c r="J59" s="1241">
        <v>472</v>
      </c>
      <c r="K59" s="1241">
        <f t="shared" si="25"/>
        <v>283.2</v>
      </c>
      <c r="L59" s="1241">
        <f t="shared" si="44"/>
        <v>0</v>
      </c>
      <c r="M59" s="270">
        <f t="shared" si="45"/>
        <v>0</v>
      </c>
      <c r="N59" s="1241">
        <f t="shared" si="3"/>
        <v>0</v>
      </c>
      <c r="O59" s="1241">
        <f t="shared" si="26"/>
        <v>8004.3499999999995</v>
      </c>
      <c r="P59" s="1241">
        <f t="shared" si="46"/>
        <v>27310.35</v>
      </c>
      <c r="Q59" s="1248">
        <f t="shared" si="27"/>
        <v>4015</v>
      </c>
      <c r="R59" s="1248">
        <f t="shared" si="47"/>
        <v>109651055</v>
      </c>
      <c r="S59" s="1248">
        <f>'6_Local Deduct Calc'!J59</f>
        <v>25142701</v>
      </c>
      <c r="T59" s="1248">
        <f t="shared" si="28"/>
        <v>25142701</v>
      </c>
      <c r="U59" s="1249">
        <f t="shared" si="29"/>
        <v>84508354</v>
      </c>
      <c r="V59" s="271">
        <f t="shared" si="43"/>
        <v>0.77070000000000005</v>
      </c>
      <c r="W59" s="271">
        <f t="shared" si="30"/>
        <v>0.2293</v>
      </c>
      <c r="X59" s="272">
        <f t="shared" si="48"/>
        <v>1302.3257536517144</v>
      </c>
      <c r="Y59" s="1248">
        <f>'7_Local Revenue'!AS59</f>
        <v>52238918</v>
      </c>
      <c r="Z59" s="1248">
        <f t="shared" si="31"/>
        <v>27096217</v>
      </c>
      <c r="AA59" s="34">
        <f t="shared" si="32"/>
        <v>0</v>
      </c>
      <c r="AB59" s="34">
        <f t="shared" si="49"/>
        <v>37281358.700000003</v>
      </c>
      <c r="AC59" s="34">
        <f t="shared" si="50"/>
        <v>27096217</v>
      </c>
      <c r="AD59" s="1248">
        <f t="shared" si="51"/>
        <v>10686639.599932</v>
      </c>
      <c r="AE59" s="1254">
        <f t="shared" si="33"/>
        <v>16409577</v>
      </c>
      <c r="AF59" s="34">
        <f t="shared" si="52"/>
        <v>850</v>
      </c>
      <c r="AG59" s="273">
        <f t="shared" si="34"/>
        <v>0.60560000000000003</v>
      </c>
      <c r="AH59" s="1254">
        <f t="shared" si="53"/>
        <v>100917931</v>
      </c>
      <c r="AI59" s="34">
        <f t="shared" si="54"/>
        <v>5227</v>
      </c>
      <c r="AJ59" s="1254">
        <f>'3A_Level 3'!J59</f>
        <v>3274378</v>
      </c>
      <c r="AK59" s="34">
        <f t="shared" si="55"/>
        <v>169.60416450844298</v>
      </c>
      <c r="AL59" s="1254">
        <f t="shared" si="35"/>
        <v>104192309</v>
      </c>
      <c r="AM59" s="34">
        <f t="shared" si="56"/>
        <v>5396.8874443178283</v>
      </c>
      <c r="AN59" s="1256">
        <f>'3A_Level 3'!K59</f>
        <v>16590498</v>
      </c>
      <c r="AO59" s="275">
        <f t="shared" si="57"/>
        <v>859.34414171760079</v>
      </c>
      <c r="AP59" s="1254">
        <f t="shared" si="36"/>
        <v>117508429</v>
      </c>
      <c r="AQ59" s="34">
        <f t="shared" si="58"/>
        <v>6086.6274215269868</v>
      </c>
      <c r="AR59" s="34">
        <f>'3A_Level 3'!L59</f>
        <v>2838773.5796880359</v>
      </c>
      <c r="AS59" s="1257">
        <f t="shared" si="59"/>
        <v>120347202.57968804</v>
      </c>
      <c r="AT59" s="34">
        <f t="shared" si="60"/>
        <v>6233.6684232719381</v>
      </c>
      <c r="AU59" s="273">
        <f t="shared" si="37"/>
        <v>0.69731680725809142</v>
      </c>
      <c r="AV59" s="274">
        <f t="shared" si="38"/>
        <v>17</v>
      </c>
      <c r="AW59" s="34">
        <f t="shared" si="61"/>
        <v>52238918</v>
      </c>
      <c r="AX59" s="34">
        <f t="shared" si="62"/>
        <v>2705.84</v>
      </c>
      <c r="AY59" s="274">
        <f t="shared" si="39"/>
        <v>61</v>
      </c>
      <c r="AZ59" s="273">
        <f t="shared" si="40"/>
        <v>0.30268319274190864</v>
      </c>
      <c r="BA59" s="275">
        <f t="shared" si="41"/>
        <v>172586120.57968804</v>
      </c>
      <c r="BB59" s="275">
        <f t="shared" si="63"/>
        <v>8939.5069190763516</v>
      </c>
      <c r="BC59" s="274">
        <f t="shared" si="42"/>
        <v>62</v>
      </c>
    </row>
    <row r="60" spans="1:55" ht="15.6" customHeight="1" x14ac:dyDescent="0.2">
      <c r="A60" s="606">
        <v>54</v>
      </c>
      <c r="B60" s="269" t="s">
        <v>56</v>
      </c>
      <c r="C60" s="1243">
        <f>'8_2.1.20 SIS'!AV60</f>
        <v>458</v>
      </c>
      <c r="D60" s="1241">
        <v>430</v>
      </c>
      <c r="E60" s="1241">
        <f t="shared" si="22"/>
        <v>94.6</v>
      </c>
      <c r="F60" s="1241">
        <v>283.5</v>
      </c>
      <c r="G60" s="1241">
        <f t="shared" si="23"/>
        <v>17.009999999999998</v>
      </c>
      <c r="H60" s="1241">
        <v>88</v>
      </c>
      <c r="I60" s="1241">
        <f t="shared" si="24"/>
        <v>132</v>
      </c>
      <c r="J60" s="1241">
        <v>16</v>
      </c>
      <c r="K60" s="1241">
        <f t="shared" si="25"/>
        <v>9.6</v>
      </c>
      <c r="L60" s="1241">
        <f t="shared" si="44"/>
        <v>7042</v>
      </c>
      <c r="M60" s="270">
        <f t="shared" si="45"/>
        <v>0.18779000000000001</v>
      </c>
      <c r="N60" s="1241">
        <f t="shared" si="3"/>
        <v>86.007820000000009</v>
      </c>
      <c r="O60" s="1241">
        <f t="shared" si="26"/>
        <v>339.21781999999996</v>
      </c>
      <c r="P60" s="1241">
        <f t="shared" si="46"/>
        <v>797.21781999999996</v>
      </c>
      <c r="Q60" s="1248">
        <f t="shared" si="27"/>
        <v>4015</v>
      </c>
      <c r="R60" s="1248">
        <f t="shared" si="47"/>
        <v>3200830</v>
      </c>
      <c r="S60" s="1248">
        <f>'6_Local Deduct Calc'!J60</f>
        <v>1204324</v>
      </c>
      <c r="T60" s="1248">
        <f t="shared" si="28"/>
        <v>1204324</v>
      </c>
      <c r="U60" s="1249">
        <f t="shared" si="29"/>
        <v>1996506</v>
      </c>
      <c r="V60" s="271">
        <f t="shared" si="43"/>
        <v>0.62370000000000003</v>
      </c>
      <c r="W60" s="271">
        <f t="shared" si="30"/>
        <v>0.37630000000000002</v>
      </c>
      <c r="X60" s="272">
        <f t="shared" si="48"/>
        <v>2629.5283842794761</v>
      </c>
      <c r="Y60" s="1248">
        <f>'7_Local Revenue'!AS60</f>
        <v>2876957.75</v>
      </c>
      <c r="Z60" s="1248">
        <f t="shared" si="31"/>
        <v>1672633.75</v>
      </c>
      <c r="AA60" s="34">
        <f t="shared" si="32"/>
        <v>0</v>
      </c>
      <c r="AB60" s="34">
        <f t="shared" si="49"/>
        <v>1088282.2000000002</v>
      </c>
      <c r="AC60" s="34">
        <f t="shared" si="50"/>
        <v>1088282.2000000002</v>
      </c>
      <c r="AD60" s="1248">
        <f t="shared" si="51"/>
        <v>704375.41799920017</v>
      </c>
      <c r="AE60" s="1254">
        <f t="shared" si="33"/>
        <v>383907</v>
      </c>
      <c r="AF60" s="34">
        <f t="shared" si="52"/>
        <v>838</v>
      </c>
      <c r="AG60" s="273">
        <f t="shared" si="34"/>
        <v>0.3528</v>
      </c>
      <c r="AH60" s="1254">
        <f t="shared" si="53"/>
        <v>2380413</v>
      </c>
      <c r="AI60" s="34">
        <f t="shared" si="54"/>
        <v>5197</v>
      </c>
      <c r="AJ60" s="1254">
        <f>'3A_Level 3'!J60</f>
        <v>77679</v>
      </c>
      <c r="AK60" s="34">
        <f t="shared" si="55"/>
        <v>169.60480349344979</v>
      </c>
      <c r="AL60" s="1254">
        <f t="shared" si="35"/>
        <v>2458092</v>
      </c>
      <c r="AM60" s="34">
        <f t="shared" si="56"/>
        <v>5367.0131004366813</v>
      </c>
      <c r="AN60" s="1256">
        <f>'3A_Level 3'!K60</f>
        <v>513443</v>
      </c>
      <c r="AO60" s="275">
        <f t="shared" si="57"/>
        <v>1121.0545851528384</v>
      </c>
      <c r="AP60" s="1254">
        <f t="shared" si="36"/>
        <v>2893856</v>
      </c>
      <c r="AQ60" s="34">
        <f t="shared" si="58"/>
        <v>6318.4628820960697</v>
      </c>
      <c r="AR60" s="34">
        <f>'3A_Level 3'!L60</f>
        <v>93166.658522720274</v>
      </c>
      <c r="AS60" s="1257">
        <f t="shared" si="59"/>
        <v>2987022.6585227204</v>
      </c>
      <c r="AT60" s="34">
        <f t="shared" si="60"/>
        <v>6521.8835338924027</v>
      </c>
      <c r="AU60" s="273">
        <f t="shared" si="37"/>
        <v>0.5657637569922882</v>
      </c>
      <c r="AV60" s="274">
        <f t="shared" si="38"/>
        <v>50</v>
      </c>
      <c r="AW60" s="34">
        <f t="shared" si="61"/>
        <v>2292606.2000000002</v>
      </c>
      <c r="AX60" s="34">
        <f t="shared" si="62"/>
        <v>5005.6899999999996</v>
      </c>
      <c r="AY60" s="274">
        <f t="shared" si="39"/>
        <v>12</v>
      </c>
      <c r="AZ60" s="273">
        <f t="shared" si="40"/>
        <v>0.4342362430077118</v>
      </c>
      <c r="BA60" s="275">
        <f t="shared" si="41"/>
        <v>5279628.8585227206</v>
      </c>
      <c r="BB60" s="275">
        <f t="shared" si="63"/>
        <v>11527.573926905503</v>
      </c>
      <c r="BC60" s="274">
        <f t="shared" si="42"/>
        <v>3</v>
      </c>
    </row>
    <row r="61" spans="1:55" ht="15.6" customHeight="1" x14ac:dyDescent="0.2">
      <c r="A61" s="607">
        <v>55</v>
      </c>
      <c r="B61" s="608" t="s">
        <v>57</v>
      </c>
      <c r="C61" s="1244">
        <f>'8_2.1.20 SIS'!AV61</f>
        <v>16575</v>
      </c>
      <c r="D61" s="1245">
        <v>12270</v>
      </c>
      <c r="E61" s="1245">
        <f t="shared" si="22"/>
        <v>2699.4</v>
      </c>
      <c r="F61" s="1245">
        <v>7402</v>
      </c>
      <c r="G61" s="1245">
        <f t="shared" si="23"/>
        <v>444.12</v>
      </c>
      <c r="H61" s="1245">
        <v>2013</v>
      </c>
      <c r="I61" s="1245">
        <f t="shared" si="24"/>
        <v>3019.5</v>
      </c>
      <c r="J61" s="1245">
        <v>622</v>
      </c>
      <c r="K61" s="1245">
        <f t="shared" si="25"/>
        <v>373.2</v>
      </c>
      <c r="L61" s="1245">
        <f t="shared" si="44"/>
        <v>0</v>
      </c>
      <c r="M61" s="609">
        <f t="shared" si="45"/>
        <v>0</v>
      </c>
      <c r="N61" s="1245">
        <f t="shared" si="3"/>
        <v>0</v>
      </c>
      <c r="O61" s="1245">
        <f t="shared" si="26"/>
        <v>6536.22</v>
      </c>
      <c r="P61" s="1247">
        <f t="shared" si="46"/>
        <v>23111.22</v>
      </c>
      <c r="Q61" s="1250">
        <f t="shared" si="27"/>
        <v>4015</v>
      </c>
      <c r="R61" s="1250">
        <f t="shared" si="47"/>
        <v>92791548</v>
      </c>
      <c r="S61" s="1250">
        <f>'6_Local Deduct Calc'!J61</f>
        <v>30343558</v>
      </c>
      <c r="T61" s="1250">
        <f t="shared" si="28"/>
        <v>30343558</v>
      </c>
      <c r="U61" s="1251">
        <f t="shared" si="29"/>
        <v>62447990</v>
      </c>
      <c r="V61" s="610">
        <f t="shared" si="43"/>
        <v>0.67300000000000004</v>
      </c>
      <c r="W61" s="544">
        <f t="shared" si="30"/>
        <v>0.32700000000000001</v>
      </c>
      <c r="X61" s="545">
        <f t="shared" si="48"/>
        <v>1830.6822322775263</v>
      </c>
      <c r="Y61" s="1250">
        <f>'7_Local Revenue'!AS61</f>
        <v>65696482</v>
      </c>
      <c r="Z61" s="1250">
        <f t="shared" si="31"/>
        <v>35352924</v>
      </c>
      <c r="AA61" s="611">
        <f t="shared" si="32"/>
        <v>0</v>
      </c>
      <c r="AB61" s="611">
        <f t="shared" si="49"/>
        <v>31549126.320000004</v>
      </c>
      <c r="AC61" s="611">
        <f t="shared" si="50"/>
        <v>31549126.320000004</v>
      </c>
      <c r="AD61" s="1250">
        <f t="shared" si="51"/>
        <v>17744490.607420802</v>
      </c>
      <c r="AE61" s="1255">
        <f t="shared" si="33"/>
        <v>13804636</v>
      </c>
      <c r="AF61" s="611">
        <f t="shared" si="52"/>
        <v>833</v>
      </c>
      <c r="AG61" s="612">
        <f t="shared" si="34"/>
        <v>0.43759999999999999</v>
      </c>
      <c r="AH61" s="1255">
        <f t="shared" si="53"/>
        <v>76252626</v>
      </c>
      <c r="AI61" s="611">
        <f t="shared" si="54"/>
        <v>4600</v>
      </c>
      <c r="AJ61" s="1255">
        <f>'3A_Level 3'!J61</f>
        <v>2811189</v>
      </c>
      <c r="AK61" s="611">
        <f t="shared" si="55"/>
        <v>169.6041628959276</v>
      </c>
      <c r="AL61" s="1255">
        <f t="shared" si="35"/>
        <v>79063815</v>
      </c>
      <c r="AM61" s="611">
        <f t="shared" si="56"/>
        <v>4770.0642533936652</v>
      </c>
      <c r="AN61" s="1258">
        <f>'3A_Level 3'!K61</f>
        <v>15990635</v>
      </c>
      <c r="AO61" s="614">
        <f t="shared" si="57"/>
        <v>964.74419306184006</v>
      </c>
      <c r="AP61" s="1255">
        <f t="shared" si="36"/>
        <v>92243261</v>
      </c>
      <c r="AQ61" s="611">
        <f t="shared" si="58"/>
        <v>5565.2042835595776</v>
      </c>
      <c r="AR61" s="1259">
        <f>'3A_Level 3'!L61</f>
        <v>2231335.303513051</v>
      </c>
      <c r="AS61" s="1260">
        <f t="shared" si="59"/>
        <v>94474596.30351305</v>
      </c>
      <c r="AT61" s="1261">
        <f t="shared" si="60"/>
        <v>5699.8248146915867</v>
      </c>
      <c r="AU61" s="612">
        <f t="shared" si="37"/>
        <v>0.60418391831588103</v>
      </c>
      <c r="AV61" s="613">
        <f t="shared" si="38"/>
        <v>43</v>
      </c>
      <c r="AW61" s="611">
        <f t="shared" si="61"/>
        <v>61892684.32</v>
      </c>
      <c r="AX61" s="611">
        <f t="shared" si="62"/>
        <v>3734.1</v>
      </c>
      <c r="AY61" s="613">
        <f t="shared" si="39"/>
        <v>31</v>
      </c>
      <c r="AZ61" s="612">
        <f t="shared" si="40"/>
        <v>0.39581608168411903</v>
      </c>
      <c r="BA61" s="614">
        <f t="shared" si="41"/>
        <v>156367280.62351304</v>
      </c>
      <c r="BB61" s="614">
        <f t="shared" si="63"/>
        <v>9433.9234161998811</v>
      </c>
      <c r="BC61" s="613">
        <f t="shared" si="42"/>
        <v>51</v>
      </c>
    </row>
    <row r="62" spans="1:55" ht="15.6" customHeight="1" x14ac:dyDescent="0.2">
      <c r="A62" s="606">
        <v>56</v>
      </c>
      <c r="B62" s="269" t="s">
        <v>58</v>
      </c>
      <c r="C62" s="1243">
        <f>'8_2.1.20 SIS'!AV62</f>
        <v>2995</v>
      </c>
      <c r="D62" s="1241">
        <v>2275</v>
      </c>
      <c r="E62" s="1241">
        <f t="shared" si="22"/>
        <v>500.5</v>
      </c>
      <c r="F62" s="1241">
        <v>1688.5</v>
      </c>
      <c r="G62" s="1241">
        <f t="shared" si="23"/>
        <v>101.31</v>
      </c>
      <c r="H62" s="1241">
        <v>393</v>
      </c>
      <c r="I62" s="1241">
        <f t="shared" si="24"/>
        <v>589.5</v>
      </c>
      <c r="J62" s="1241">
        <v>37</v>
      </c>
      <c r="K62" s="1241">
        <f t="shared" si="25"/>
        <v>22.2</v>
      </c>
      <c r="L62" s="1242">
        <f t="shared" si="44"/>
        <v>4505</v>
      </c>
      <c r="M62" s="270">
        <f t="shared" si="45"/>
        <v>0.12013</v>
      </c>
      <c r="N62" s="1241">
        <f t="shared" si="3"/>
        <v>359.78935000000001</v>
      </c>
      <c r="O62" s="1241">
        <f t="shared" si="26"/>
        <v>1573.29935</v>
      </c>
      <c r="P62" s="1241">
        <f t="shared" si="46"/>
        <v>4568.2993500000002</v>
      </c>
      <c r="Q62" s="1248">
        <f t="shared" si="27"/>
        <v>4015</v>
      </c>
      <c r="R62" s="1248">
        <f t="shared" si="47"/>
        <v>18341722</v>
      </c>
      <c r="S62" s="1248">
        <f>'6_Local Deduct Calc'!J62</f>
        <v>4176221</v>
      </c>
      <c r="T62" s="1248">
        <f t="shared" si="28"/>
        <v>4176221</v>
      </c>
      <c r="U62" s="1249">
        <f t="shared" si="29"/>
        <v>14165501</v>
      </c>
      <c r="V62" s="271">
        <f t="shared" si="43"/>
        <v>0.77229999999999999</v>
      </c>
      <c r="W62" s="271">
        <f t="shared" si="30"/>
        <v>0.22770000000000001</v>
      </c>
      <c r="X62" s="272">
        <f t="shared" si="48"/>
        <v>1394.3976627712855</v>
      </c>
      <c r="Y62" s="1248">
        <f>'7_Local Revenue'!AS62</f>
        <v>12807866</v>
      </c>
      <c r="Z62" s="1248">
        <f t="shared" si="31"/>
        <v>8631645</v>
      </c>
      <c r="AA62" s="34">
        <f t="shared" si="32"/>
        <v>0</v>
      </c>
      <c r="AB62" s="34">
        <f t="shared" si="49"/>
        <v>6236185.4800000004</v>
      </c>
      <c r="AC62" s="34">
        <f t="shared" si="50"/>
        <v>6236185.4800000004</v>
      </c>
      <c r="AD62" s="1248">
        <f t="shared" si="51"/>
        <v>2442364.6261291201</v>
      </c>
      <c r="AE62" s="1254">
        <f t="shared" si="33"/>
        <v>3793821</v>
      </c>
      <c r="AF62" s="34">
        <f t="shared" si="52"/>
        <v>1267</v>
      </c>
      <c r="AG62" s="273">
        <f t="shared" si="34"/>
        <v>0.60840000000000005</v>
      </c>
      <c r="AH62" s="1254">
        <f t="shared" si="53"/>
        <v>17959322</v>
      </c>
      <c r="AI62" s="34">
        <f t="shared" si="54"/>
        <v>5996</v>
      </c>
      <c r="AJ62" s="1254">
        <f>'3A_Level 3'!J62</f>
        <v>507964</v>
      </c>
      <c r="AK62" s="34">
        <f t="shared" si="55"/>
        <v>169.60400667779632</v>
      </c>
      <c r="AL62" s="1254">
        <f t="shared" si="35"/>
        <v>18467286</v>
      </c>
      <c r="AM62" s="34">
        <f t="shared" si="56"/>
        <v>6166.0387312186976</v>
      </c>
      <c r="AN62" s="1256">
        <f>'3A_Level 3'!K62</f>
        <v>2348871</v>
      </c>
      <c r="AO62" s="275">
        <f t="shared" si="57"/>
        <v>784.26410684474126</v>
      </c>
      <c r="AP62" s="1254">
        <f t="shared" si="36"/>
        <v>20308193</v>
      </c>
      <c r="AQ62" s="34">
        <f t="shared" si="58"/>
        <v>6780.6988313856427</v>
      </c>
      <c r="AR62" s="34">
        <f>'3A_Level 3'!L62</f>
        <v>387051.35734467552</v>
      </c>
      <c r="AS62" s="1257">
        <f t="shared" si="59"/>
        <v>20695244.357344676</v>
      </c>
      <c r="AT62" s="34">
        <f t="shared" si="60"/>
        <v>6909.9313380115782</v>
      </c>
      <c r="AU62" s="273">
        <f t="shared" si="37"/>
        <v>0.66527827721725852</v>
      </c>
      <c r="AV62" s="274">
        <f t="shared" si="38"/>
        <v>26</v>
      </c>
      <c r="AW62" s="34">
        <f t="shared" si="61"/>
        <v>10412406.48</v>
      </c>
      <c r="AX62" s="34">
        <f t="shared" si="62"/>
        <v>3476.6</v>
      </c>
      <c r="AY62" s="274">
        <f t="shared" si="39"/>
        <v>40</v>
      </c>
      <c r="AZ62" s="273">
        <f t="shared" si="40"/>
        <v>0.33472172278274148</v>
      </c>
      <c r="BA62" s="275">
        <f t="shared" si="41"/>
        <v>31107650.837344676</v>
      </c>
      <c r="BB62" s="275">
        <f t="shared" si="63"/>
        <v>10386.52782549071</v>
      </c>
      <c r="BC62" s="274">
        <f t="shared" si="42"/>
        <v>12</v>
      </c>
    </row>
    <row r="63" spans="1:55" ht="15.6" customHeight="1" x14ac:dyDescent="0.2">
      <c r="A63" s="606">
        <v>57</v>
      </c>
      <c r="B63" s="269" t="s">
        <v>59</v>
      </c>
      <c r="C63" s="1243">
        <f>'8_2.1.20 SIS'!AV63</f>
        <v>9320</v>
      </c>
      <c r="D63" s="1241">
        <v>5734</v>
      </c>
      <c r="E63" s="1241">
        <f t="shared" si="22"/>
        <v>1261.48</v>
      </c>
      <c r="F63" s="1241">
        <v>4301.5</v>
      </c>
      <c r="G63" s="1241">
        <f t="shared" si="23"/>
        <v>258.08999999999997</v>
      </c>
      <c r="H63" s="1241">
        <v>1248</v>
      </c>
      <c r="I63" s="1241">
        <f t="shared" si="24"/>
        <v>1872</v>
      </c>
      <c r="J63" s="1241">
        <v>251</v>
      </c>
      <c r="K63" s="1241">
        <f t="shared" si="25"/>
        <v>150.6</v>
      </c>
      <c r="L63" s="1241">
        <f t="shared" si="44"/>
        <v>0</v>
      </c>
      <c r="M63" s="270">
        <f t="shared" si="45"/>
        <v>0</v>
      </c>
      <c r="N63" s="1241">
        <f t="shared" si="3"/>
        <v>0</v>
      </c>
      <c r="O63" s="1241">
        <f t="shared" si="26"/>
        <v>3542.1699999999996</v>
      </c>
      <c r="P63" s="1241">
        <f t="shared" si="46"/>
        <v>12862.17</v>
      </c>
      <c r="Q63" s="1248">
        <f t="shared" si="27"/>
        <v>4015</v>
      </c>
      <c r="R63" s="1248">
        <f t="shared" si="47"/>
        <v>51641613</v>
      </c>
      <c r="S63" s="1248">
        <f>'6_Local Deduct Calc'!J63</f>
        <v>10972581</v>
      </c>
      <c r="T63" s="1248">
        <f t="shared" si="28"/>
        <v>10972581</v>
      </c>
      <c r="U63" s="1249">
        <f t="shared" si="29"/>
        <v>40669032</v>
      </c>
      <c r="V63" s="271">
        <f t="shared" si="43"/>
        <v>0.78749999999999998</v>
      </c>
      <c r="W63" s="271">
        <f t="shared" si="30"/>
        <v>0.21249999999999999</v>
      </c>
      <c r="X63" s="272">
        <f t="shared" si="48"/>
        <v>1177.3155579399142</v>
      </c>
      <c r="Y63" s="1248">
        <f>'7_Local Revenue'!AS63</f>
        <v>24230039</v>
      </c>
      <c r="Z63" s="1248">
        <f t="shared" si="31"/>
        <v>13257458</v>
      </c>
      <c r="AA63" s="34">
        <f t="shared" si="32"/>
        <v>0</v>
      </c>
      <c r="AB63" s="34">
        <f t="shared" si="49"/>
        <v>17558148.420000002</v>
      </c>
      <c r="AC63" s="34">
        <f t="shared" si="50"/>
        <v>13257458</v>
      </c>
      <c r="AD63" s="1248">
        <f t="shared" si="51"/>
        <v>4845600.8990000002</v>
      </c>
      <c r="AE63" s="1254">
        <f t="shared" si="33"/>
        <v>8411857</v>
      </c>
      <c r="AF63" s="34">
        <f t="shared" si="52"/>
        <v>903</v>
      </c>
      <c r="AG63" s="273">
        <f t="shared" si="34"/>
        <v>0.63449999999999995</v>
      </c>
      <c r="AH63" s="1254">
        <f t="shared" si="53"/>
        <v>49080889</v>
      </c>
      <c r="AI63" s="34">
        <f t="shared" si="54"/>
        <v>5266</v>
      </c>
      <c r="AJ63" s="1254">
        <f>'3A_Level 3'!J63</f>
        <v>1580711</v>
      </c>
      <c r="AK63" s="34">
        <f t="shared" si="55"/>
        <v>169.60418454935623</v>
      </c>
      <c r="AL63" s="1254">
        <f t="shared" si="35"/>
        <v>50661600</v>
      </c>
      <c r="AM63" s="34">
        <f t="shared" si="56"/>
        <v>5435.7939914163089</v>
      </c>
      <c r="AN63" s="1256">
        <f>'3A_Level 3'!K63</f>
        <v>8705944</v>
      </c>
      <c r="AO63" s="275">
        <f t="shared" si="57"/>
        <v>934.11416309012873</v>
      </c>
      <c r="AP63" s="1254">
        <f t="shared" si="36"/>
        <v>57786833</v>
      </c>
      <c r="AQ63" s="34">
        <f t="shared" si="58"/>
        <v>6200.3039699570818</v>
      </c>
      <c r="AR63" s="34">
        <f>'3A_Level 3'!L63</f>
        <v>1293807.0603758174</v>
      </c>
      <c r="AS63" s="1257">
        <f t="shared" si="59"/>
        <v>59080640.060375817</v>
      </c>
      <c r="AT63" s="34">
        <f t="shared" si="60"/>
        <v>6339.124469997405</v>
      </c>
      <c r="AU63" s="273">
        <f t="shared" si="37"/>
        <v>0.70916046690196444</v>
      </c>
      <c r="AV63" s="274">
        <f t="shared" si="38"/>
        <v>11</v>
      </c>
      <c r="AW63" s="34">
        <f t="shared" si="61"/>
        <v>24230039</v>
      </c>
      <c r="AX63" s="34">
        <f t="shared" si="62"/>
        <v>2599.79</v>
      </c>
      <c r="AY63" s="274">
        <f t="shared" si="39"/>
        <v>64</v>
      </c>
      <c r="AZ63" s="273">
        <f t="shared" si="40"/>
        <v>0.29083953309803567</v>
      </c>
      <c r="BA63" s="275">
        <f t="shared" si="41"/>
        <v>83310679.06037581</v>
      </c>
      <c r="BB63" s="275">
        <f t="shared" si="63"/>
        <v>8938.9140622720824</v>
      </c>
      <c r="BC63" s="274">
        <f t="shared" si="42"/>
        <v>63</v>
      </c>
    </row>
    <row r="64" spans="1:55" ht="15.6" customHeight="1" x14ac:dyDescent="0.2">
      <c r="A64" s="606">
        <v>58</v>
      </c>
      <c r="B64" s="269" t="s">
        <v>60</v>
      </c>
      <c r="C64" s="1243">
        <f>'8_2.1.20 SIS'!AV64</f>
        <v>8017</v>
      </c>
      <c r="D64" s="1241">
        <v>5231</v>
      </c>
      <c r="E64" s="1241">
        <f t="shared" si="22"/>
        <v>1150.82</v>
      </c>
      <c r="F64" s="1241">
        <v>3208</v>
      </c>
      <c r="G64" s="1241">
        <f t="shared" si="23"/>
        <v>192.48</v>
      </c>
      <c r="H64" s="1241">
        <v>1073</v>
      </c>
      <c r="I64" s="1241">
        <f t="shared" si="24"/>
        <v>1609.5</v>
      </c>
      <c r="J64" s="1241">
        <v>151</v>
      </c>
      <c r="K64" s="1241">
        <f t="shared" si="25"/>
        <v>90.6</v>
      </c>
      <c r="L64" s="1241">
        <f t="shared" si="44"/>
        <v>0</v>
      </c>
      <c r="M64" s="270">
        <f t="shared" si="45"/>
        <v>0</v>
      </c>
      <c r="N64" s="1241">
        <f t="shared" si="3"/>
        <v>0</v>
      </c>
      <c r="O64" s="1241">
        <f t="shared" si="26"/>
        <v>3043.4</v>
      </c>
      <c r="P64" s="1241">
        <f t="shared" si="46"/>
        <v>11060.4</v>
      </c>
      <c r="Q64" s="1248">
        <f t="shared" si="27"/>
        <v>4015</v>
      </c>
      <c r="R64" s="1248">
        <f t="shared" si="47"/>
        <v>44407506</v>
      </c>
      <c r="S64" s="1248">
        <f>'6_Local Deduct Calc'!J64</f>
        <v>6806406</v>
      </c>
      <c r="T64" s="1248">
        <f t="shared" si="28"/>
        <v>6806406</v>
      </c>
      <c r="U64" s="1249">
        <f t="shared" si="29"/>
        <v>37601100</v>
      </c>
      <c r="V64" s="271">
        <f t="shared" si="43"/>
        <v>0.84670000000000001</v>
      </c>
      <c r="W64" s="271">
        <f t="shared" si="30"/>
        <v>0.15329999999999999</v>
      </c>
      <c r="X64" s="272">
        <f t="shared" si="48"/>
        <v>848.99663215666703</v>
      </c>
      <c r="Y64" s="1248">
        <f>'7_Local Revenue'!AS64</f>
        <v>20160668</v>
      </c>
      <c r="Z64" s="1248">
        <f t="shared" si="31"/>
        <v>13354262</v>
      </c>
      <c r="AA64" s="34">
        <f t="shared" si="32"/>
        <v>0</v>
      </c>
      <c r="AB64" s="34">
        <f t="shared" si="49"/>
        <v>15098552.040000001</v>
      </c>
      <c r="AC64" s="34">
        <f t="shared" si="50"/>
        <v>13354262</v>
      </c>
      <c r="AD64" s="1248">
        <f t="shared" si="51"/>
        <v>3521198.3871119996</v>
      </c>
      <c r="AE64" s="1254">
        <f t="shared" si="33"/>
        <v>9833064</v>
      </c>
      <c r="AF64" s="34">
        <f t="shared" si="52"/>
        <v>1227</v>
      </c>
      <c r="AG64" s="273">
        <f t="shared" si="34"/>
        <v>0.73629999999999995</v>
      </c>
      <c r="AH64" s="1254">
        <f t="shared" si="53"/>
        <v>47434164</v>
      </c>
      <c r="AI64" s="34">
        <f t="shared" si="54"/>
        <v>5917</v>
      </c>
      <c r="AJ64" s="1254">
        <f>'3A_Level 3'!J64</f>
        <v>1359716</v>
      </c>
      <c r="AK64" s="34">
        <f t="shared" si="55"/>
        <v>169.6040913059748</v>
      </c>
      <c r="AL64" s="1254">
        <f t="shared" si="35"/>
        <v>48793880</v>
      </c>
      <c r="AM64" s="34">
        <f t="shared" si="56"/>
        <v>6086.3016090807032</v>
      </c>
      <c r="AN64" s="1256">
        <f>'3A_Level 3'!K64</f>
        <v>6947886</v>
      </c>
      <c r="AO64" s="275">
        <f t="shared" si="57"/>
        <v>866.64413122115502</v>
      </c>
      <c r="AP64" s="1254">
        <f t="shared" si="36"/>
        <v>54382050</v>
      </c>
      <c r="AQ64" s="34">
        <f t="shared" si="58"/>
        <v>6783.3416489958836</v>
      </c>
      <c r="AR64" s="34">
        <f>'3A_Level 3'!L64</f>
        <v>1095245.0276555794</v>
      </c>
      <c r="AS64" s="1257">
        <f t="shared" si="59"/>
        <v>55477295.027655579</v>
      </c>
      <c r="AT64" s="34">
        <f t="shared" si="60"/>
        <v>6919.9569698959185</v>
      </c>
      <c r="AU64" s="273">
        <f t="shared" si="37"/>
        <v>0.73345834296689572</v>
      </c>
      <c r="AV64" s="274">
        <f t="shared" si="38"/>
        <v>5</v>
      </c>
      <c r="AW64" s="34">
        <f t="shared" si="61"/>
        <v>20160668</v>
      </c>
      <c r="AX64" s="34">
        <f t="shared" si="62"/>
        <v>2514.7399999999998</v>
      </c>
      <c r="AY64" s="274">
        <f t="shared" si="39"/>
        <v>65</v>
      </c>
      <c r="AZ64" s="273">
        <f t="shared" si="40"/>
        <v>0.2665416570331044</v>
      </c>
      <c r="BA64" s="275">
        <f t="shared" si="41"/>
        <v>75637963.027655572</v>
      </c>
      <c r="BB64" s="275">
        <f t="shared" si="63"/>
        <v>9434.6966480797764</v>
      </c>
      <c r="BC64" s="274">
        <f t="shared" si="42"/>
        <v>50</v>
      </c>
    </row>
    <row r="65" spans="1:55" ht="15.6" customHeight="1" x14ac:dyDescent="0.2">
      <c r="A65" s="606">
        <v>59</v>
      </c>
      <c r="B65" s="269" t="s">
        <v>61</v>
      </c>
      <c r="C65" s="1243">
        <f>'8_2.1.20 SIS'!AV65</f>
        <v>4995</v>
      </c>
      <c r="D65" s="1241">
        <v>3616</v>
      </c>
      <c r="E65" s="1241">
        <f t="shared" si="22"/>
        <v>795.52</v>
      </c>
      <c r="F65" s="1241">
        <v>2856.5</v>
      </c>
      <c r="G65" s="1241">
        <f t="shared" si="23"/>
        <v>171.39</v>
      </c>
      <c r="H65" s="1241">
        <v>1009</v>
      </c>
      <c r="I65" s="1241">
        <f t="shared" si="24"/>
        <v>1513.5</v>
      </c>
      <c r="J65" s="1241">
        <v>368</v>
      </c>
      <c r="K65" s="1241">
        <f t="shared" si="25"/>
        <v>220.79999999999998</v>
      </c>
      <c r="L65" s="1241">
        <f t="shared" si="44"/>
        <v>2505</v>
      </c>
      <c r="M65" s="270">
        <f t="shared" si="45"/>
        <v>6.6799999999999998E-2</v>
      </c>
      <c r="N65" s="1241">
        <f t="shared" si="3"/>
        <v>333.666</v>
      </c>
      <c r="O65" s="1241">
        <f t="shared" si="26"/>
        <v>3034.8760000000002</v>
      </c>
      <c r="P65" s="1241">
        <f t="shared" si="46"/>
        <v>8029.8760000000002</v>
      </c>
      <c r="Q65" s="1248">
        <f t="shared" si="27"/>
        <v>4015</v>
      </c>
      <c r="R65" s="1248">
        <f t="shared" si="47"/>
        <v>32239952</v>
      </c>
      <c r="S65" s="1248">
        <f>'6_Local Deduct Calc'!J65</f>
        <v>3410641</v>
      </c>
      <c r="T65" s="1248">
        <f t="shared" si="28"/>
        <v>3410641</v>
      </c>
      <c r="U65" s="1249">
        <f t="shared" si="29"/>
        <v>28829311</v>
      </c>
      <c r="V65" s="271">
        <f t="shared" si="43"/>
        <v>0.89419999999999999</v>
      </c>
      <c r="W65" s="271">
        <f t="shared" si="30"/>
        <v>0.10580000000000001</v>
      </c>
      <c r="X65" s="272">
        <f t="shared" si="48"/>
        <v>682.81101101101103</v>
      </c>
      <c r="Y65" s="1248">
        <f>'7_Local Revenue'!AS65</f>
        <v>8011466</v>
      </c>
      <c r="Z65" s="1248">
        <f t="shared" si="31"/>
        <v>4600825</v>
      </c>
      <c r="AA65" s="34">
        <f t="shared" si="32"/>
        <v>0</v>
      </c>
      <c r="AB65" s="34">
        <f t="shared" si="49"/>
        <v>10961583.680000002</v>
      </c>
      <c r="AC65" s="34">
        <f t="shared" si="50"/>
        <v>4600825</v>
      </c>
      <c r="AD65" s="1248">
        <f t="shared" si="51"/>
        <v>837239.73019999999</v>
      </c>
      <c r="AE65" s="1254">
        <f t="shared" si="33"/>
        <v>3763585</v>
      </c>
      <c r="AF65" s="34">
        <f t="shared" si="52"/>
        <v>753</v>
      </c>
      <c r="AG65" s="273">
        <f t="shared" si="34"/>
        <v>0.81799999999999995</v>
      </c>
      <c r="AH65" s="1254">
        <f t="shared" si="53"/>
        <v>32592896</v>
      </c>
      <c r="AI65" s="34">
        <f t="shared" si="54"/>
        <v>6525</v>
      </c>
      <c r="AJ65" s="1254">
        <f>'3A_Level 3'!J65</f>
        <v>847173</v>
      </c>
      <c r="AK65" s="34">
        <f t="shared" si="55"/>
        <v>169.60420420420419</v>
      </c>
      <c r="AL65" s="1254">
        <f t="shared" si="35"/>
        <v>33440069</v>
      </c>
      <c r="AM65" s="34">
        <f t="shared" si="56"/>
        <v>6694.7085085085082</v>
      </c>
      <c r="AN65" s="1256">
        <f>'3A_Level 3'!K65</f>
        <v>4291325</v>
      </c>
      <c r="AO65" s="275">
        <f t="shared" si="57"/>
        <v>859.12412412412414</v>
      </c>
      <c r="AP65" s="1254">
        <f t="shared" si="36"/>
        <v>36884221</v>
      </c>
      <c r="AQ65" s="34">
        <f t="shared" si="58"/>
        <v>7384.2284284284287</v>
      </c>
      <c r="AR65" s="34">
        <f>'3A_Level 3'!L65</f>
        <v>734404.88532948855</v>
      </c>
      <c r="AS65" s="1257">
        <f t="shared" si="59"/>
        <v>37618625.885329485</v>
      </c>
      <c r="AT65" s="34">
        <f t="shared" si="60"/>
        <v>7531.2564334993967</v>
      </c>
      <c r="AU65" s="273">
        <f t="shared" si="37"/>
        <v>0.8244258192568803</v>
      </c>
      <c r="AV65" s="274">
        <f t="shared" si="38"/>
        <v>1</v>
      </c>
      <c r="AW65" s="34">
        <f t="shared" si="61"/>
        <v>8011466</v>
      </c>
      <c r="AX65" s="34">
        <f t="shared" si="62"/>
        <v>1603.9</v>
      </c>
      <c r="AY65" s="274">
        <f t="shared" si="39"/>
        <v>69</v>
      </c>
      <c r="AZ65" s="273">
        <f t="shared" si="40"/>
        <v>0.17557418074311973</v>
      </c>
      <c r="BA65" s="275">
        <f t="shared" si="41"/>
        <v>45630091.885329485</v>
      </c>
      <c r="BB65" s="275">
        <f t="shared" si="63"/>
        <v>9135.1535305964935</v>
      </c>
      <c r="BC65" s="274">
        <f t="shared" si="42"/>
        <v>58</v>
      </c>
    </row>
    <row r="66" spans="1:55" ht="15.6" customHeight="1" x14ac:dyDescent="0.2">
      <c r="A66" s="607">
        <v>60</v>
      </c>
      <c r="B66" s="608" t="s">
        <v>62</v>
      </c>
      <c r="C66" s="1244">
        <f>'8_2.1.20 SIS'!AV66</f>
        <v>5841</v>
      </c>
      <c r="D66" s="1245">
        <v>4119</v>
      </c>
      <c r="E66" s="1245">
        <f t="shared" si="22"/>
        <v>906.18</v>
      </c>
      <c r="F66" s="1245">
        <v>3095.5</v>
      </c>
      <c r="G66" s="1245">
        <f t="shared" si="23"/>
        <v>185.73</v>
      </c>
      <c r="H66" s="1245">
        <v>877</v>
      </c>
      <c r="I66" s="1245">
        <f t="shared" si="24"/>
        <v>1315.5</v>
      </c>
      <c r="J66" s="1245">
        <v>367</v>
      </c>
      <c r="K66" s="1245">
        <f t="shared" si="25"/>
        <v>220.2</v>
      </c>
      <c r="L66" s="1245">
        <f t="shared" si="44"/>
        <v>1659</v>
      </c>
      <c r="M66" s="609">
        <f t="shared" si="45"/>
        <v>4.4240000000000002E-2</v>
      </c>
      <c r="N66" s="1245">
        <f t="shared" si="3"/>
        <v>258.40584000000001</v>
      </c>
      <c r="O66" s="1245">
        <f t="shared" si="26"/>
        <v>2886.0158399999996</v>
      </c>
      <c r="P66" s="1247">
        <f t="shared" si="46"/>
        <v>8727.01584</v>
      </c>
      <c r="Q66" s="1250">
        <f t="shared" si="27"/>
        <v>4015</v>
      </c>
      <c r="R66" s="1250">
        <f t="shared" si="47"/>
        <v>35038969</v>
      </c>
      <c r="S66" s="1250">
        <f>'6_Local Deduct Calc'!J66</f>
        <v>8739386</v>
      </c>
      <c r="T66" s="1250">
        <f t="shared" si="28"/>
        <v>8739386</v>
      </c>
      <c r="U66" s="1251">
        <f t="shared" si="29"/>
        <v>26299583</v>
      </c>
      <c r="V66" s="610">
        <f t="shared" si="43"/>
        <v>0.75060000000000004</v>
      </c>
      <c r="W66" s="544">
        <f t="shared" si="30"/>
        <v>0.24940000000000001</v>
      </c>
      <c r="X66" s="545">
        <f t="shared" si="48"/>
        <v>1496.2140044512926</v>
      </c>
      <c r="Y66" s="1250">
        <f>'7_Local Revenue'!AS66</f>
        <v>25420611</v>
      </c>
      <c r="Z66" s="1250">
        <f t="shared" si="31"/>
        <v>16681225</v>
      </c>
      <c r="AA66" s="611">
        <f t="shared" si="32"/>
        <v>0</v>
      </c>
      <c r="AB66" s="611">
        <f t="shared" si="49"/>
        <v>11913249.460000001</v>
      </c>
      <c r="AC66" s="611">
        <f t="shared" si="50"/>
        <v>11913249.460000001</v>
      </c>
      <c r="AD66" s="1250">
        <f t="shared" si="51"/>
        <v>5110402.7943572802</v>
      </c>
      <c r="AE66" s="1255">
        <f t="shared" si="33"/>
        <v>6802847</v>
      </c>
      <c r="AF66" s="611">
        <f t="shared" si="52"/>
        <v>1165</v>
      </c>
      <c r="AG66" s="612">
        <f t="shared" si="34"/>
        <v>0.57099999999999995</v>
      </c>
      <c r="AH66" s="1255">
        <f t="shared" si="53"/>
        <v>33102430</v>
      </c>
      <c r="AI66" s="611">
        <f t="shared" si="54"/>
        <v>5667</v>
      </c>
      <c r="AJ66" s="1255">
        <f>'3A_Level 3'!J66</f>
        <v>990658</v>
      </c>
      <c r="AK66" s="611">
        <f t="shared" si="55"/>
        <v>169.60417736688922</v>
      </c>
      <c r="AL66" s="1255">
        <f t="shared" si="35"/>
        <v>34093088</v>
      </c>
      <c r="AM66" s="611">
        <f t="shared" si="56"/>
        <v>5836.8580722479028</v>
      </c>
      <c r="AN66" s="1258">
        <f>'3A_Level 3'!K66</f>
        <v>4460446</v>
      </c>
      <c r="AO66" s="614">
        <f t="shared" si="57"/>
        <v>763.64423900017118</v>
      </c>
      <c r="AP66" s="1255">
        <f t="shared" si="36"/>
        <v>37562876</v>
      </c>
      <c r="AQ66" s="611">
        <f t="shared" si="58"/>
        <v>6430.8981338811845</v>
      </c>
      <c r="AR66" s="1259">
        <f>'3A_Level 3'!L66</f>
        <v>765630.68259339023</v>
      </c>
      <c r="AS66" s="1260">
        <f t="shared" si="59"/>
        <v>38328506.68259339</v>
      </c>
      <c r="AT66" s="1261">
        <f t="shared" si="60"/>
        <v>6561.9768331781188</v>
      </c>
      <c r="AU66" s="612">
        <f t="shared" si="37"/>
        <v>0.64984341249157251</v>
      </c>
      <c r="AV66" s="613">
        <f t="shared" si="38"/>
        <v>31</v>
      </c>
      <c r="AW66" s="611">
        <f t="shared" si="61"/>
        <v>20652635.460000001</v>
      </c>
      <c r="AX66" s="611">
        <f t="shared" si="62"/>
        <v>3535.8</v>
      </c>
      <c r="AY66" s="613">
        <f t="shared" si="39"/>
        <v>37</v>
      </c>
      <c r="AZ66" s="612">
        <f t="shared" si="40"/>
        <v>0.35015658750842743</v>
      </c>
      <c r="BA66" s="614">
        <f t="shared" si="41"/>
        <v>58981142.142593391</v>
      </c>
      <c r="BB66" s="614">
        <f t="shared" si="63"/>
        <v>10097.781568668617</v>
      </c>
      <c r="BC66" s="613">
        <f t="shared" si="42"/>
        <v>20</v>
      </c>
    </row>
    <row r="67" spans="1:55" ht="15.6" customHeight="1" x14ac:dyDescent="0.2">
      <c r="A67" s="606">
        <v>61</v>
      </c>
      <c r="B67" s="269" t="s">
        <v>63</v>
      </c>
      <c r="C67" s="1241">
        <f>'8_2.1.20 SIS'!AV67</f>
        <v>3759</v>
      </c>
      <c r="D67" s="1241">
        <v>2597</v>
      </c>
      <c r="E67" s="1241">
        <f t="shared" si="22"/>
        <v>571.34</v>
      </c>
      <c r="F67" s="1241">
        <v>2019</v>
      </c>
      <c r="G67" s="1241">
        <f t="shared" si="23"/>
        <v>121.14</v>
      </c>
      <c r="H67" s="1241">
        <v>478</v>
      </c>
      <c r="I67" s="1241">
        <f t="shared" si="24"/>
        <v>717</v>
      </c>
      <c r="J67" s="1241">
        <v>221</v>
      </c>
      <c r="K67" s="1241">
        <f t="shared" si="25"/>
        <v>132.6</v>
      </c>
      <c r="L67" s="1242">
        <f t="shared" si="44"/>
        <v>3741</v>
      </c>
      <c r="M67" s="270">
        <f t="shared" si="45"/>
        <v>9.9760000000000001E-2</v>
      </c>
      <c r="N67" s="1241">
        <f t="shared" si="3"/>
        <v>374.99784</v>
      </c>
      <c r="O67" s="1241">
        <f t="shared" si="26"/>
        <v>1917.0778399999999</v>
      </c>
      <c r="P67" s="1241">
        <f t="shared" si="46"/>
        <v>5676.0778399999999</v>
      </c>
      <c r="Q67" s="1248">
        <f t="shared" si="27"/>
        <v>4015</v>
      </c>
      <c r="R67" s="1248">
        <f t="shared" si="47"/>
        <v>22789453</v>
      </c>
      <c r="S67" s="1248">
        <f>'6_Local Deduct Calc'!J67</f>
        <v>12183752</v>
      </c>
      <c r="T67" s="1248">
        <f t="shared" si="28"/>
        <v>12183752</v>
      </c>
      <c r="U67" s="1253">
        <f t="shared" si="29"/>
        <v>10605701</v>
      </c>
      <c r="V67" s="271">
        <f t="shared" si="43"/>
        <v>0.46539999999999998</v>
      </c>
      <c r="W67" s="271">
        <f t="shared" si="30"/>
        <v>0.53459999999999996</v>
      </c>
      <c r="X67" s="272">
        <f t="shared" si="48"/>
        <v>3241.2216014897581</v>
      </c>
      <c r="Y67" s="1248">
        <f>'7_Local Revenue'!AS67</f>
        <v>41385054</v>
      </c>
      <c r="Z67" s="1248">
        <f t="shared" si="31"/>
        <v>29201302</v>
      </c>
      <c r="AA67" s="34">
        <f t="shared" si="32"/>
        <v>0</v>
      </c>
      <c r="AB67" s="34">
        <f t="shared" si="49"/>
        <v>7748414.0200000005</v>
      </c>
      <c r="AC67" s="34">
        <f t="shared" si="50"/>
        <v>7748414.0200000005</v>
      </c>
      <c r="AD67" s="1248">
        <f t="shared" si="51"/>
        <v>7124759.67235824</v>
      </c>
      <c r="AE67" s="1254">
        <f t="shared" si="33"/>
        <v>623654</v>
      </c>
      <c r="AF67" s="34">
        <f t="shared" si="52"/>
        <v>166</v>
      </c>
      <c r="AG67" s="273">
        <f t="shared" si="34"/>
        <v>8.0500000000000002E-2</v>
      </c>
      <c r="AH67" s="1254">
        <f t="shared" si="53"/>
        <v>11229355</v>
      </c>
      <c r="AI67" s="34">
        <f t="shared" si="54"/>
        <v>2987</v>
      </c>
      <c r="AJ67" s="1254">
        <f>'3A_Level 3'!J67</f>
        <v>637542</v>
      </c>
      <c r="AK67" s="34">
        <f t="shared" si="55"/>
        <v>169.60415003990423</v>
      </c>
      <c r="AL67" s="1254">
        <f t="shared" si="35"/>
        <v>11866897</v>
      </c>
      <c r="AM67" s="34">
        <f t="shared" si="56"/>
        <v>3156.9292364990688</v>
      </c>
      <c r="AN67" s="1256">
        <f>'3A_Level 3'!K67</f>
        <v>3771458</v>
      </c>
      <c r="AO67" s="275">
        <f t="shared" si="57"/>
        <v>1003.3141793030061</v>
      </c>
      <c r="AP67" s="1254">
        <f t="shared" si="36"/>
        <v>15000813</v>
      </c>
      <c r="AQ67" s="34">
        <f t="shared" si="58"/>
        <v>3990.6392657621709</v>
      </c>
      <c r="AR67" s="34">
        <f>'3A_Level 3'!L67</f>
        <v>655737.15884420276</v>
      </c>
      <c r="AS67" s="1257">
        <f t="shared" si="59"/>
        <v>15656550.158844203</v>
      </c>
      <c r="AT67" s="34">
        <f t="shared" si="60"/>
        <v>4165.083841139719</v>
      </c>
      <c r="AU67" s="273">
        <f t="shared" si="37"/>
        <v>0.43993017562547754</v>
      </c>
      <c r="AV67" s="274">
        <f t="shared" si="38"/>
        <v>61</v>
      </c>
      <c r="AW67" s="34">
        <f t="shared" si="61"/>
        <v>19932166.02</v>
      </c>
      <c r="AX67" s="34">
        <f t="shared" si="62"/>
        <v>5302.52</v>
      </c>
      <c r="AY67" s="274">
        <f t="shared" si="39"/>
        <v>10</v>
      </c>
      <c r="AZ67" s="273">
        <f t="shared" si="40"/>
        <v>0.56006982437452257</v>
      </c>
      <c r="BA67" s="275">
        <f t="shared" si="41"/>
        <v>35588716.178844199</v>
      </c>
      <c r="BB67" s="275">
        <f t="shared" si="63"/>
        <v>9467.6020693919127</v>
      </c>
      <c r="BC67" s="274">
        <f t="shared" si="42"/>
        <v>47</v>
      </c>
    </row>
    <row r="68" spans="1:55" ht="15.6" customHeight="1" x14ac:dyDescent="0.2">
      <c r="A68" s="606">
        <v>62</v>
      </c>
      <c r="B68" s="269" t="s">
        <v>64</v>
      </c>
      <c r="C68" s="1243">
        <f>'8_2.1.20 SIS'!AV68</f>
        <v>1908</v>
      </c>
      <c r="D68" s="1241">
        <v>1367</v>
      </c>
      <c r="E68" s="1241">
        <f t="shared" si="22"/>
        <v>300.74</v>
      </c>
      <c r="F68" s="1241">
        <v>894</v>
      </c>
      <c r="G68" s="1241">
        <f t="shared" si="23"/>
        <v>53.64</v>
      </c>
      <c r="H68" s="1241">
        <v>279</v>
      </c>
      <c r="I68" s="1241">
        <f t="shared" si="24"/>
        <v>418.5</v>
      </c>
      <c r="J68" s="1241">
        <v>2</v>
      </c>
      <c r="K68" s="1241">
        <f t="shared" si="25"/>
        <v>1.2</v>
      </c>
      <c r="L68" s="1241">
        <f t="shared" si="44"/>
        <v>5592</v>
      </c>
      <c r="M68" s="270">
        <f t="shared" si="45"/>
        <v>0.14912</v>
      </c>
      <c r="N68" s="1241">
        <f t="shared" si="3"/>
        <v>284.52096</v>
      </c>
      <c r="O68" s="1241">
        <f t="shared" si="26"/>
        <v>1058.60096</v>
      </c>
      <c r="P68" s="1241">
        <f t="shared" si="46"/>
        <v>2966.6009599999998</v>
      </c>
      <c r="Q68" s="1248">
        <f t="shared" si="27"/>
        <v>4015</v>
      </c>
      <c r="R68" s="1248">
        <f t="shared" si="47"/>
        <v>11910903</v>
      </c>
      <c r="S68" s="1248">
        <f>'6_Local Deduct Calc'!J68</f>
        <v>1995129</v>
      </c>
      <c r="T68" s="1248">
        <f t="shared" si="28"/>
        <v>1995129</v>
      </c>
      <c r="U68" s="1249">
        <f t="shared" si="29"/>
        <v>9915774</v>
      </c>
      <c r="V68" s="271">
        <f t="shared" si="43"/>
        <v>0.83250000000000002</v>
      </c>
      <c r="W68" s="271">
        <f t="shared" si="30"/>
        <v>0.16750000000000001</v>
      </c>
      <c r="X68" s="272">
        <f t="shared" si="48"/>
        <v>1045.6650943396226</v>
      </c>
      <c r="Y68" s="1248">
        <f>'7_Local Revenue'!AS68</f>
        <v>4493926</v>
      </c>
      <c r="Z68" s="1248">
        <f t="shared" si="31"/>
        <v>2498797</v>
      </c>
      <c r="AA68" s="34">
        <f t="shared" si="32"/>
        <v>0</v>
      </c>
      <c r="AB68" s="34">
        <f t="shared" si="49"/>
        <v>4049707.0200000005</v>
      </c>
      <c r="AC68" s="34">
        <f t="shared" si="50"/>
        <v>2498797</v>
      </c>
      <c r="AD68" s="1248">
        <f t="shared" si="51"/>
        <v>719903.41570000001</v>
      </c>
      <c r="AE68" s="1254">
        <f t="shared" si="33"/>
        <v>1778894</v>
      </c>
      <c r="AF68" s="34">
        <f t="shared" si="52"/>
        <v>932</v>
      </c>
      <c r="AG68" s="273">
        <f t="shared" si="34"/>
        <v>0.71189999999999998</v>
      </c>
      <c r="AH68" s="1254">
        <f t="shared" si="53"/>
        <v>11694668</v>
      </c>
      <c r="AI68" s="34">
        <f t="shared" si="54"/>
        <v>6129</v>
      </c>
      <c r="AJ68" s="1254">
        <f>'3A_Level 3'!J68</f>
        <v>323605</v>
      </c>
      <c r="AK68" s="34">
        <f t="shared" si="55"/>
        <v>169.60429769392033</v>
      </c>
      <c r="AL68" s="1254">
        <f t="shared" si="35"/>
        <v>12018273</v>
      </c>
      <c r="AM68" s="34">
        <f t="shared" si="56"/>
        <v>6298.885220125786</v>
      </c>
      <c r="AN68" s="1256">
        <f>'3A_Level 3'!K68</f>
        <v>1308286</v>
      </c>
      <c r="AO68" s="275">
        <f t="shared" si="57"/>
        <v>685.68448637316567</v>
      </c>
      <c r="AP68" s="1254">
        <f t="shared" si="36"/>
        <v>13002954</v>
      </c>
      <c r="AQ68" s="34">
        <f t="shared" si="58"/>
        <v>6814.9654088050311</v>
      </c>
      <c r="AR68" s="34">
        <f>'3A_Level 3'!L68</f>
        <v>263039.9816322425</v>
      </c>
      <c r="AS68" s="1257">
        <f t="shared" si="59"/>
        <v>13265993.981632242</v>
      </c>
      <c r="AT68" s="34">
        <f t="shared" si="60"/>
        <v>6952.8270343984495</v>
      </c>
      <c r="AU68" s="273">
        <f t="shared" si="37"/>
        <v>0.74696248605580817</v>
      </c>
      <c r="AV68" s="274">
        <f t="shared" si="38"/>
        <v>3</v>
      </c>
      <c r="AW68" s="34">
        <f t="shared" si="61"/>
        <v>4493926</v>
      </c>
      <c r="AX68" s="34">
        <f t="shared" si="62"/>
        <v>2355.31</v>
      </c>
      <c r="AY68" s="274">
        <f t="shared" si="39"/>
        <v>66</v>
      </c>
      <c r="AZ68" s="273">
        <f t="shared" si="40"/>
        <v>0.25303751394419188</v>
      </c>
      <c r="BA68" s="275">
        <f t="shared" si="41"/>
        <v>17759919.98163224</v>
      </c>
      <c r="BB68" s="275">
        <f t="shared" si="63"/>
        <v>9308.1341622810487</v>
      </c>
      <c r="BC68" s="274">
        <f t="shared" si="42"/>
        <v>55</v>
      </c>
    </row>
    <row r="69" spans="1:55" ht="15.6" customHeight="1" x14ac:dyDescent="0.2">
      <c r="A69" s="606">
        <v>63</v>
      </c>
      <c r="B69" s="269" t="s">
        <v>65</v>
      </c>
      <c r="C69" s="1243">
        <f>'8_2.1.20 SIS'!AV69</f>
        <v>2111</v>
      </c>
      <c r="D69" s="1241">
        <v>986</v>
      </c>
      <c r="E69" s="1241">
        <f t="shared" si="22"/>
        <v>216.92</v>
      </c>
      <c r="F69" s="1241">
        <v>1325.5</v>
      </c>
      <c r="G69" s="1241">
        <f t="shared" si="23"/>
        <v>79.53</v>
      </c>
      <c r="H69" s="1241">
        <v>304</v>
      </c>
      <c r="I69" s="1241">
        <f t="shared" si="24"/>
        <v>456</v>
      </c>
      <c r="J69" s="1241">
        <v>136</v>
      </c>
      <c r="K69" s="1241">
        <f t="shared" si="25"/>
        <v>81.599999999999994</v>
      </c>
      <c r="L69" s="1241">
        <f t="shared" si="44"/>
        <v>5389</v>
      </c>
      <c r="M69" s="270">
        <f t="shared" si="45"/>
        <v>0.14371</v>
      </c>
      <c r="N69" s="1241">
        <f t="shared" si="3"/>
        <v>303.37180999999998</v>
      </c>
      <c r="O69" s="1241">
        <f t="shared" si="26"/>
        <v>1137.4218100000001</v>
      </c>
      <c r="P69" s="1241">
        <f t="shared" si="46"/>
        <v>3248.4218099999998</v>
      </c>
      <c r="Q69" s="1248">
        <f t="shared" si="27"/>
        <v>4015</v>
      </c>
      <c r="R69" s="1248">
        <f t="shared" si="47"/>
        <v>13042414</v>
      </c>
      <c r="S69" s="1248">
        <f>'6_Local Deduct Calc'!J69</f>
        <v>6716653</v>
      </c>
      <c r="T69" s="1248">
        <f t="shared" si="28"/>
        <v>6716653</v>
      </c>
      <c r="U69" s="1249">
        <f t="shared" si="29"/>
        <v>6325761</v>
      </c>
      <c r="V69" s="271">
        <f t="shared" si="43"/>
        <v>0.48499999999999999</v>
      </c>
      <c r="W69" s="271">
        <f t="shared" si="30"/>
        <v>0.51500000000000001</v>
      </c>
      <c r="X69" s="272">
        <f t="shared" si="48"/>
        <v>3181.7399336807202</v>
      </c>
      <c r="Y69" s="1248">
        <f>'7_Local Revenue'!AS69</f>
        <v>20467725</v>
      </c>
      <c r="Z69" s="1248">
        <f t="shared" si="31"/>
        <v>13751072</v>
      </c>
      <c r="AA69" s="34">
        <f t="shared" si="32"/>
        <v>0</v>
      </c>
      <c r="AB69" s="34">
        <f t="shared" si="49"/>
        <v>4434420.7600000007</v>
      </c>
      <c r="AC69" s="34">
        <f t="shared" si="50"/>
        <v>4434420.7600000007</v>
      </c>
      <c r="AD69" s="1248">
        <f t="shared" si="51"/>
        <v>3928009.9092080006</v>
      </c>
      <c r="AE69" s="1254">
        <f t="shared" si="33"/>
        <v>506411</v>
      </c>
      <c r="AF69" s="34">
        <f t="shared" si="52"/>
        <v>240</v>
      </c>
      <c r="AG69" s="273">
        <f t="shared" si="34"/>
        <v>0.1142</v>
      </c>
      <c r="AH69" s="1254">
        <f t="shared" si="53"/>
        <v>6832172</v>
      </c>
      <c r="AI69" s="34">
        <f t="shared" si="54"/>
        <v>3236</v>
      </c>
      <c r="AJ69" s="1254">
        <f>'3A_Level 3'!J69</f>
        <v>891256</v>
      </c>
      <c r="AK69" s="34">
        <f t="shared" si="55"/>
        <v>422.19611558503078</v>
      </c>
      <c r="AL69" s="1254">
        <f t="shared" si="35"/>
        <v>7723428</v>
      </c>
      <c r="AM69" s="34">
        <f t="shared" si="56"/>
        <v>3658.6584557081951</v>
      </c>
      <c r="AN69" s="1256">
        <f>'3A_Level 3'!K69</f>
        <v>2488840</v>
      </c>
      <c r="AO69" s="275">
        <f t="shared" si="57"/>
        <v>1178.986262434865</v>
      </c>
      <c r="AP69" s="1254">
        <f t="shared" si="36"/>
        <v>9321012</v>
      </c>
      <c r="AQ69" s="34">
        <f t="shared" si="58"/>
        <v>4415.4486025580291</v>
      </c>
      <c r="AR69" s="34">
        <f>'3A_Level 3'!L69</f>
        <v>370963.5269984348</v>
      </c>
      <c r="AS69" s="1257">
        <f t="shared" si="59"/>
        <v>9691975.5269984342</v>
      </c>
      <c r="AT69" s="34">
        <f t="shared" si="60"/>
        <v>4591.1774168633037</v>
      </c>
      <c r="AU69" s="273">
        <f t="shared" si="37"/>
        <v>0.46499796615863376</v>
      </c>
      <c r="AV69" s="274">
        <f t="shared" si="38"/>
        <v>59</v>
      </c>
      <c r="AW69" s="34">
        <f t="shared" si="61"/>
        <v>11151073.76</v>
      </c>
      <c r="AX69" s="34">
        <f t="shared" si="62"/>
        <v>5282.37</v>
      </c>
      <c r="AY69" s="274">
        <f t="shared" si="39"/>
        <v>11</v>
      </c>
      <c r="AZ69" s="273">
        <f t="shared" si="40"/>
        <v>0.53500203384136613</v>
      </c>
      <c r="BA69" s="275">
        <f t="shared" si="41"/>
        <v>20843049.286998436</v>
      </c>
      <c r="BB69" s="275">
        <f t="shared" si="63"/>
        <v>9873.5430066311874</v>
      </c>
      <c r="BC69" s="274">
        <f t="shared" si="42"/>
        <v>30</v>
      </c>
    </row>
    <row r="70" spans="1:55" ht="15.6" customHeight="1" x14ac:dyDescent="0.2">
      <c r="A70" s="606">
        <v>64</v>
      </c>
      <c r="B70" s="269" t="s">
        <v>66</v>
      </c>
      <c r="C70" s="1243">
        <f>'8_2.1.20 SIS'!AV70</f>
        <v>2030</v>
      </c>
      <c r="D70" s="1241">
        <v>1509</v>
      </c>
      <c r="E70" s="1241">
        <f t="shared" si="22"/>
        <v>331.98</v>
      </c>
      <c r="F70" s="1241">
        <v>1762</v>
      </c>
      <c r="G70" s="1241">
        <f t="shared" si="23"/>
        <v>105.72</v>
      </c>
      <c r="H70" s="1241">
        <v>329</v>
      </c>
      <c r="I70" s="1241">
        <f t="shared" si="24"/>
        <v>493.5</v>
      </c>
      <c r="J70" s="1241">
        <v>54</v>
      </c>
      <c r="K70" s="1241">
        <f t="shared" si="25"/>
        <v>32.4</v>
      </c>
      <c r="L70" s="1241">
        <f t="shared" si="44"/>
        <v>5470</v>
      </c>
      <c r="M70" s="270">
        <f t="shared" si="45"/>
        <v>0.14587</v>
      </c>
      <c r="N70" s="1241">
        <f t="shared" si="3"/>
        <v>296.11610000000002</v>
      </c>
      <c r="O70" s="1241">
        <f t="shared" si="26"/>
        <v>1259.7161000000001</v>
      </c>
      <c r="P70" s="1241">
        <f t="shared" si="46"/>
        <v>3289.7161000000001</v>
      </c>
      <c r="Q70" s="1248">
        <f t="shared" si="27"/>
        <v>4015</v>
      </c>
      <c r="R70" s="1248">
        <f t="shared" si="47"/>
        <v>13208210</v>
      </c>
      <c r="S70" s="1248">
        <f>'6_Local Deduct Calc'!J70</f>
        <v>2882696</v>
      </c>
      <c r="T70" s="1248">
        <f t="shared" si="28"/>
        <v>2882696</v>
      </c>
      <c r="U70" s="1249">
        <f t="shared" si="29"/>
        <v>10325514</v>
      </c>
      <c r="V70" s="271">
        <f t="shared" si="43"/>
        <v>0.78169999999999995</v>
      </c>
      <c r="W70" s="271">
        <f t="shared" si="30"/>
        <v>0.21829999999999999</v>
      </c>
      <c r="X70" s="272">
        <f t="shared" si="48"/>
        <v>1420.0472906403941</v>
      </c>
      <c r="Y70" s="1248">
        <f>'7_Local Revenue'!AS70</f>
        <v>7388299</v>
      </c>
      <c r="Z70" s="1248">
        <f t="shared" si="31"/>
        <v>4505603</v>
      </c>
      <c r="AA70" s="34">
        <f t="shared" si="32"/>
        <v>0</v>
      </c>
      <c r="AB70" s="34">
        <f t="shared" si="49"/>
        <v>4490791.4000000004</v>
      </c>
      <c r="AC70" s="34">
        <f t="shared" si="50"/>
        <v>4490791.4000000004</v>
      </c>
      <c r="AD70" s="1248">
        <f t="shared" si="51"/>
        <v>1686184.3917064001</v>
      </c>
      <c r="AE70" s="1254">
        <f t="shared" si="33"/>
        <v>2804607</v>
      </c>
      <c r="AF70" s="34">
        <f t="shared" si="52"/>
        <v>1382</v>
      </c>
      <c r="AG70" s="273">
        <f t="shared" si="34"/>
        <v>0.62450000000000006</v>
      </c>
      <c r="AH70" s="1254">
        <f t="shared" si="53"/>
        <v>13130121</v>
      </c>
      <c r="AI70" s="34">
        <f t="shared" si="54"/>
        <v>6468</v>
      </c>
      <c r="AJ70" s="1254">
        <f>'3A_Level 3'!J70</f>
        <v>344296</v>
      </c>
      <c r="AK70" s="34">
        <f t="shared" si="55"/>
        <v>169.60394088669952</v>
      </c>
      <c r="AL70" s="1254">
        <f t="shared" si="35"/>
        <v>13474417</v>
      </c>
      <c r="AM70" s="34">
        <f t="shared" si="56"/>
        <v>6637.6438423645322</v>
      </c>
      <c r="AN70" s="1256">
        <f>'3A_Level 3'!K70</f>
        <v>1547396</v>
      </c>
      <c r="AO70" s="275">
        <f t="shared" si="57"/>
        <v>762.26403940886701</v>
      </c>
      <c r="AP70" s="1254">
        <f t="shared" si="36"/>
        <v>14677517</v>
      </c>
      <c r="AQ70" s="34">
        <f t="shared" si="58"/>
        <v>7230.3039408866998</v>
      </c>
      <c r="AR70" s="34">
        <f>'3A_Level 3'!L70</f>
        <v>322545.62988863332</v>
      </c>
      <c r="AS70" s="1257">
        <f t="shared" si="59"/>
        <v>15000062.629888633</v>
      </c>
      <c r="AT70" s="34">
        <f t="shared" si="60"/>
        <v>7389.1934137382432</v>
      </c>
      <c r="AU70" s="273">
        <f t="shared" si="37"/>
        <v>0.67043730699196946</v>
      </c>
      <c r="AV70" s="274">
        <f t="shared" si="38"/>
        <v>25</v>
      </c>
      <c r="AW70" s="34">
        <f t="shared" si="61"/>
        <v>7373487.4000000004</v>
      </c>
      <c r="AX70" s="34">
        <f t="shared" si="62"/>
        <v>3632.26</v>
      </c>
      <c r="AY70" s="274">
        <f t="shared" si="39"/>
        <v>35</v>
      </c>
      <c r="AZ70" s="273">
        <f t="shared" si="40"/>
        <v>0.32956269300803054</v>
      </c>
      <c r="BA70" s="275">
        <f t="shared" si="41"/>
        <v>22373550.029888634</v>
      </c>
      <c r="BB70" s="275">
        <f t="shared" si="63"/>
        <v>11021.453216693908</v>
      </c>
      <c r="BC70" s="274">
        <f t="shared" si="42"/>
        <v>6</v>
      </c>
    </row>
    <row r="71" spans="1:55" ht="15.6" customHeight="1" x14ac:dyDescent="0.2">
      <c r="A71" s="607">
        <v>65</v>
      </c>
      <c r="B71" s="608" t="s">
        <v>67</v>
      </c>
      <c r="C71" s="1244">
        <f>'8_2.1.20 SIS'!AV71</f>
        <v>7950</v>
      </c>
      <c r="D71" s="1245">
        <v>6600</v>
      </c>
      <c r="E71" s="1245">
        <f t="shared" si="22"/>
        <v>1452</v>
      </c>
      <c r="F71" s="1245">
        <v>3039.5</v>
      </c>
      <c r="G71" s="1245">
        <f t="shared" si="23"/>
        <v>182.37</v>
      </c>
      <c r="H71" s="1245">
        <v>1335</v>
      </c>
      <c r="I71" s="1245">
        <f t="shared" si="24"/>
        <v>2002.5</v>
      </c>
      <c r="J71" s="1245">
        <v>723</v>
      </c>
      <c r="K71" s="1245">
        <f t="shared" si="25"/>
        <v>433.8</v>
      </c>
      <c r="L71" s="1245">
        <f t="shared" si="44"/>
        <v>0</v>
      </c>
      <c r="M71" s="609">
        <f>ROUND(L71/$M$1,5)</f>
        <v>0</v>
      </c>
      <c r="N71" s="1245">
        <f>C71*M71</f>
        <v>0</v>
      </c>
      <c r="O71" s="1245">
        <f t="shared" si="26"/>
        <v>4070.67</v>
      </c>
      <c r="P71" s="1247">
        <f>O71+C71</f>
        <v>12020.67</v>
      </c>
      <c r="Q71" s="1250">
        <f t="shared" si="27"/>
        <v>4015</v>
      </c>
      <c r="R71" s="1250">
        <f>ROUND(P71*Q71,0)</f>
        <v>48262990</v>
      </c>
      <c r="S71" s="1250">
        <f>'6_Local Deduct Calc'!J71</f>
        <v>16521192</v>
      </c>
      <c r="T71" s="1250">
        <f t="shared" si="28"/>
        <v>16521192</v>
      </c>
      <c r="U71" s="1251">
        <f t="shared" si="29"/>
        <v>31741798</v>
      </c>
      <c r="V71" s="610">
        <f t="shared" si="43"/>
        <v>0.65769999999999995</v>
      </c>
      <c r="W71" s="544">
        <f t="shared" si="30"/>
        <v>0.34229999999999999</v>
      </c>
      <c r="X71" s="545">
        <f t="shared" ref="X71:X76" si="64">T71/C71</f>
        <v>2078.1373584905659</v>
      </c>
      <c r="Y71" s="1250">
        <f>'7_Local Revenue'!AS71</f>
        <v>43177738</v>
      </c>
      <c r="Z71" s="1250">
        <f t="shared" si="31"/>
        <v>26656546</v>
      </c>
      <c r="AA71" s="611">
        <f t="shared" si="32"/>
        <v>0</v>
      </c>
      <c r="AB71" s="611">
        <f t="shared" si="49"/>
        <v>16409416.600000001</v>
      </c>
      <c r="AC71" s="611">
        <f>IF(Z71&lt;AB71,Z71,AB71)</f>
        <v>16409416.600000001</v>
      </c>
      <c r="AD71" s="1250">
        <f>IF(AC71&gt;0,AC71*(W71*$AD$1),0)</f>
        <v>9661142.4797495995</v>
      </c>
      <c r="AE71" s="1255">
        <f t="shared" si="33"/>
        <v>6748274</v>
      </c>
      <c r="AF71" s="611">
        <f t="shared" ref="AF71:AF76" si="65">ROUND(AE71/C71,0)</f>
        <v>849</v>
      </c>
      <c r="AG71" s="612">
        <f t="shared" si="34"/>
        <v>0.41120000000000001</v>
      </c>
      <c r="AH71" s="1255">
        <f t="shared" si="53"/>
        <v>38490072</v>
      </c>
      <c r="AI71" s="611">
        <f t="shared" ref="AI71:AI76" si="66">ROUND(AH71/C71,0)</f>
        <v>4842</v>
      </c>
      <c r="AJ71" s="1255">
        <f>'3A_Level 3'!J71</f>
        <v>1348353</v>
      </c>
      <c r="AK71" s="611">
        <f t="shared" ref="AK71:AK76" si="67">AJ71/C71</f>
        <v>169.60415094339623</v>
      </c>
      <c r="AL71" s="1255">
        <f t="shared" si="35"/>
        <v>39838425</v>
      </c>
      <c r="AM71" s="611">
        <f t="shared" ref="AM71:AM76" si="68">AL71/C71</f>
        <v>5011.1226415094343</v>
      </c>
      <c r="AN71" s="1258">
        <f>'3A_Level 3'!K71</f>
        <v>7939857</v>
      </c>
      <c r="AO71" s="614">
        <f t="shared" ref="AO71:AO76" si="69">AN71/C71</f>
        <v>998.72415094339624</v>
      </c>
      <c r="AP71" s="1255">
        <f t="shared" si="36"/>
        <v>46429929</v>
      </c>
      <c r="AQ71" s="611">
        <f t="shared" ref="AQ71:AQ76" si="70">AP71/C71</f>
        <v>5840.2426415094342</v>
      </c>
      <c r="AR71" s="1259">
        <f>'3A_Level 3'!L71</f>
        <v>1294660.3876430613</v>
      </c>
      <c r="AS71" s="1260">
        <f>AP71+AR71</f>
        <v>47724589.387643062</v>
      </c>
      <c r="AT71" s="1261">
        <f t="shared" ref="AT71:AT76" si="71">AS71/C71</f>
        <v>6003.0930047349766</v>
      </c>
      <c r="AU71" s="612">
        <f t="shared" si="37"/>
        <v>0.59171126695336862</v>
      </c>
      <c r="AV71" s="613">
        <f t="shared" si="38"/>
        <v>47</v>
      </c>
      <c r="AW71" s="611">
        <f t="shared" si="61"/>
        <v>32930608.600000001</v>
      </c>
      <c r="AX71" s="611">
        <f t="shared" ref="AX71:AX76" si="72">ROUND(AW71/C71,2)</f>
        <v>4142.21</v>
      </c>
      <c r="AY71" s="613">
        <f t="shared" si="39"/>
        <v>24</v>
      </c>
      <c r="AZ71" s="612">
        <f t="shared" si="40"/>
        <v>0.40828873304663144</v>
      </c>
      <c r="BA71" s="614">
        <f t="shared" si="41"/>
        <v>80655197.987643063</v>
      </c>
      <c r="BB71" s="614">
        <f t="shared" ref="BB71:BB76" si="73">BA71/C71</f>
        <v>10145.307922973971</v>
      </c>
      <c r="BC71" s="613">
        <f t="shared" si="42"/>
        <v>18</v>
      </c>
    </row>
    <row r="72" spans="1:55" ht="15.6" customHeight="1" x14ac:dyDescent="0.2">
      <c r="A72" s="606">
        <v>66</v>
      </c>
      <c r="B72" s="269" t="s">
        <v>68</v>
      </c>
      <c r="C72" s="1241">
        <f>'8_2.1.20 SIS'!AV72</f>
        <v>1861</v>
      </c>
      <c r="D72" s="1241">
        <v>1728</v>
      </c>
      <c r="E72" s="1241">
        <f>$D$1*D72</f>
        <v>380.16</v>
      </c>
      <c r="F72" s="1241">
        <v>943.5</v>
      </c>
      <c r="G72" s="1241">
        <f>$F$1*F72</f>
        <v>56.61</v>
      </c>
      <c r="H72" s="1241">
        <v>372</v>
      </c>
      <c r="I72" s="1241">
        <f>$H$1*H72</f>
        <v>558</v>
      </c>
      <c r="J72" s="1241">
        <v>171</v>
      </c>
      <c r="K72" s="1241">
        <f>$J$1*J72</f>
        <v>102.6</v>
      </c>
      <c r="L72" s="1242">
        <f t="shared" si="44"/>
        <v>5639</v>
      </c>
      <c r="M72" s="270">
        <f>ROUND(L72/$M$1,5)</f>
        <v>0.15037</v>
      </c>
      <c r="N72" s="1241">
        <f>C72*M72</f>
        <v>279.83857</v>
      </c>
      <c r="O72" s="1241">
        <f>E72+G72+I72+K72+N72</f>
        <v>1377.2085699999998</v>
      </c>
      <c r="P72" s="1241">
        <f>O72+C72</f>
        <v>3238.2085699999998</v>
      </c>
      <c r="Q72" s="1248">
        <f>$Q$1</f>
        <v>4015</v>
      </c>
      <c r="R72" s="1248">
        <f>ROUND(P72*Q72,0)</f>
        <v>13001407</v>
      </c>
      <c r="S72" s="1248">
        <f>'6_Local Deduct Calc'!J72</f>
        <v>3581254</v>
      </c>
      <c r="T72" s="1248">
        <f>ROUND(IF((S72&gt;R72*$T$1),R72*$T$1,S72),0)</f>
        <v>3581254</v>
      </c>
      <c r="U72" s="1249">
        <f>R72-T72</f>
        <v>9420153</v>
      </c>
      <c r="V72" s="271">
        <f>ROUND(U72/R72,4)</f>
        <v>0.72450000000000003</v>
      </c>
      <c r="W72" s="271">
        <f>ROUND(T72/R72,4)</f>
        <v>0.27550000000000002</v>
      </c>
      <c r="X72" s="272">
        <f t="shared" si="64"/>
        <v>1924.3707684040837</v>
      </c>
      <c r="Y72" s="1248">
        <f>'7_Local Revenue'!AS72</f>
        <v>8666073</v>
      </c>
      <c r="Z72" s="1248">
        <f>IF(Y72-T72&gt;0,Y72-T72,0)</f>
        <v>5084819</v>
      </c>
      <c r="AA72" s="34">
        <f>IF(Y72-T72&lt;0,Y72-T72,0)</f>
        <v>0</v>
      </c>
      <c r="AB72" s="34">
        <f t="shared" si="49"/>
        <v>4420478.38</v>
      </c>
      <c r="AC72" s="34">
        <f>IF(Z72&lt;AB72,Z72,AB72)</f>
        <v>4420478.38</v>
      </c>
      <c r="AD72" s="1248">
        <f>IF(AC72&gt;0,AC72*(W72*$AD$1),0)</f>
        <v>2094687.8851468002</v>
      </c>
      <c r="AE72" s="1254">
        <f>ROUND(IF(AC72-AD72&gt;AC72*$AE$1,AC72-AD72,AC72*$AE$1),0)</f>
        <v>2325790</v>
      </c>
      <c r="AF72" s="34">
        <f t="shared" si="65"/>
        <v>1250</v>
      </c>
      <c r="AG72" s="273">
        <f>IF(AC72=0,0,ROUND(AE72/AC72,4))</f>
        <v>0.52610000000000001</v>
      </c>
      <c r="AH72" s="1254">
        <f t="shared" si="53"/>
        <v>11745943</v>
      </c>
      <c r="AI72" s="34">
        <f t="shared" si="66"/>
        <v>6312</v>
      </c>
      <c r="AJ72" s="1254">
        <f>'3A_Level 3'!J72</f>
        <v>315633</v>
      </c>
      <c r="AK72" s="34">
        <f t="shared" si="67"/>
        <v>169.60397635679743</v>
      </c>
      <c r="AL72" s="1254">
        <f>AJ72+AH72</f>
        <v>12061576</v>
      </c>
      <c r="AM72" s="34">
        <f t="shared" si="68"/>
        <v>6481.2337452982265</v>
      </c>
      <c r="AN72" s="1256">
        <f>'3A_Level 3'!K72</f>
        <v>1674275</v>
      </c>
      <c r="AO72" s="275">
        <f t="shared" si="69"/>
        <v>899.66415905427186</v>
      </c>
      <c r="AP72" s="1254">
        <f>AH72+AN72</f>
        <v>13420218</v>
      </c>
      <c r="AQ72" s="34">
        <f t="shared" si="70"/>
        <v>7211.2939279957009</v>
      </c>
      <c r="AR72" s="34">
        <f>'3A_Level 3'!L72</f>
        <v>299704.19039252505</v>
      </c>
      <c r="AS72" s="1257">
        <f>AP72+AR72</f>
        <v>13719922.190392526</v>
      </c>
      <c r="AT72" s="34">
        <f t="shared" si="71"/>
        <v>7372.3386299798631</v>
      </c>
      <c r="AU72" s="273">
        <f>AS72/BA72</f>
        <v>0.63162417696731643</v>
      </c>
      <c r="AV72" s="274">
        <f>RANK(AU72,$AU$7:$AU$75)</f>
        <v>37</v>
      </c>
      <c r="AW72" s="34">
        <f t="shared" si="61"/>
        <v>8001732.3799999999</v>
      </c>
      <c r="AX72" s="34">
        <f t="shared" si="72"/>
        <v>4299.6899999999996</v>
      </c>
      <c r="AY72" s="274">
        <f>RANK(AX72,$AX$7:$AX$75)</f>
        <v>18</v>
      </c>
      <c r="AZ72" s="273">
        <f>AW72/BA72</f>
        <v>0.36837582303268357</v>
      </c>
      <c r="BA72" s="275">
        <f>AS72+AW72</f>
        <v>21721654.570392527</v>
      </c>
      <c r="BB72" s="275">
        <f t="shared" si="73"/>
        <v>11672.033621919682</v>
      </c>
      <c r="BC72" s="274">
        <f>RANK(BB72,$BB$7:$BB$75)</f>
        <v>2</v>
      </c>
    </row>
    <row r="73" spans="1:55" ht="15.6" customHeight="1" x14ac:dyDescent="0.2">
      <c r="A73" s="606">
        <v>67</v>
      </c>
      <c r="B73" s="269" t="s">
        <v>2</v>
      </c>
      <c r="C73" s="1243">
        <f>'8_2.1.20 SIS'!AV73</f>
        <v>5467</v>
      </c>
      <c r="D73" s="1241">
        <v>2876</v>
      </c>
      <c r="E73" s="1241">
        <f>$D$1*D73</f>
        <v>632.72</v>
      </c>
      <c r="F73" s="1241">
        <v>1678</v>
      </c>
      <c r="G73" s="1241">
        <f>$F$1*F73</f>
        <v>100.67999999999999</v>
      </c>
      <c r="H73" s="1241">
        <v>572</v>
      </c>
      <c r="I73" s="1241">
        <f>$H$1*H73</f>
        <v>858</v>
      </c>
      <c r="J73" s="1241">
        <v>480</v>
      </c>
      <c r="K73" s="1241">
        <f>$J$1*J73</f>
        <v>288</v>
      </c>
      <c r="L73" s="1241">
        <f t="shared" si="44"/>
        <v>2033</v>
      </c>
      <c r="M73" s="270">
        <f>ROUND(L73/$M$1,5)</f>
        <v>5.4210000000000001E-2</v>
      </c>
      <c r="N73" s="1241">
        <f>C73*M73</f>
        <v>296.36606999999998</v>
      </c>
      <c r="O73" s="1241">
        <f>E73+G73+I73+K73+N73</f>
        <v>2175.7660700000001</v>
      </c>
      <c r="P73" s="1241">
        <f>O73+C73</f>
        <v>7642.7660699999997</v>
      </c>
      <c r="Q73" s="1248">
        <f>$Q$1</f>
        <v>4015</v>
      </c>
      <c r="R73" s="1248">
        <f>ROUND(P73*Q73,0)</f>
        <v>30685706</v>
      </c>
      <c r="S73" s="1248">
        <f>'6_Local Deduct Calc'!J73</f>
        <v>7853410</v>
      </c>
      <c r="T73" s="1248">
        <f>ROUND(IF((S73&gt;R73*$T$1),R73*$T$1,S73),0)</f>
        <v>7853410</v>
      </c>
      <c r="U73" s="1249">
        <f>R73-T73</f>
        <v>22832296</v>
      </c>
      <c r="V73" s="271">
        <f>ROUND(U73/R73,4)</f>
        <v>0.74409999999999998</v>
      </c>
      <c r="W73" s="271">
        <f>ROUND(T73/R73,4)</f>
        <v>0.25590000000000002</v>
      </c>
      <c r="X73" s="272">
        <f t="shared" si="64"/>
        <v>1436.5117980610939</v>
      </c>
      <c r="Y73" s="1248">
        <f>'7_Local Revenue'!AS73</f>
        <v>31857236</v>
      </c>
      <c r="Z73" s="1248">
        <f>IF(Y73-T73&gt;0,Y73-T73,0)</f>
        <v>24003826</v>
      </c>
      <c r="AA73" s="34">
        <f>IF(Y73-T73&lt;0,Y73-T73,0)</f>
        <v>0</v>
      </c>
      <c r="AB73" s="34">
        <f t="shared" si="49"/>
        <v>10433140.040000001</v>
      </c>
      <c r="AC73" s="34">
        <f>IF(Z73&lt;AB73,Z73,AB73)</f>
        <v>10433140.040000001</v>
      </c>
      <c r="AD73" s="1248">
        <f>IF(AC73&gt;0,AC73*(W73*$AD$1),0)</f>
        <v>4592125.7223259211</v>
      </c>
      <c r="AE73" s="1254">
        <f>ROUND(IF(AC73-AD73&gt;AC73*$AE$1,AC73-AD73,AC73*$AE$1),0)</f>
        <v>5841014</v>
      </c>
      <c r="AF73" s="34">
        <f t="shared" si="65"/>
        <v>1068</v>
      </c>
      <c r="AG73" s="273">
        <f>IF(AC73=0,0,ROUND(AE73/AC73,4))</f>
        <v>0.55989999999999995</v>
      </c>
      <c r="AH73" s="1254">
        <f t="shared" si="53"/>
        <v>28673310</v>
      </c>
      <c r="AI73" s="34">
        <f t="shared" si="66"/>
        <v>5245</v>
      </c>
      <c r="AJ73" s="1254">
        <f>'3A_Level 3'!J73</f>
        <v>927226</v>
      </c>
      <c r="AK73" s="34">
        <f t="shared" si="67"/>
        <v>169.60417047740992</v>
      </c>
      <c r="AL73" s="1254">
        <f>AJ73+AH73</f>
        <v>29600536</v>
      </c>
      <c r="AM73" s="34">
        <f t="shared" si="68"/>
        <v>5414.4020486555701</v>
      </c>
      <c r="AN73" s="1256">
        <f>'3A_Level 3'!K73</f>
        <v>4839466</v>
      </c>
      <c r="AO73" s="275">
        <f t="shared" si="69"/>
        <v>885.21419425644774</v>
      </c>
      <c r="AP73" s="1254">
        <f>AH73+AN73</f>
        <v>33512776</v>
      </c>
      <c r="AQ73" s="34">
        <f t="shared" si="70"/>
        <v>6130.0120724346079</v>
      </c>
      <c r="AR73" s="34">
        <f>'3A_Level 3'!L73</f>
        <v>639462.72022956912</v>
      </c>
      <c r="AS73" s="1257">
        <f>AP73+AR73</f>
        <v>34152238.720229566</v>
      </c>
      <c r="AT73" s="34">
        <f t="shared" si="71"/>
        <v>6246.9798281012563</v>
      </c>
      <c r="AU73" s="273">
        <f>AS73/BA73</f>
        <v>0.65127817647327468</v>
      </c>
      <c r="AV73" s="274">
        <f>RANK(AU73,$AU$7:$AU$75)</f>
        <v>29</v>
      </c>
      <c r="AW73" s="34">
        <f t="shared" si="61"/>
        <v>18286550.039999999</v>
      </c>
      <c r="AX73" s="34">
        <f t="shared" si="72"/>
        <v>3344.9</v>
      </c>
      <c r="AY73" s="274">
        <f>RANK(AX73,$AX$7:$AX$75)</f>
        <v>45</v>
      </c>
      <c r="AZ73" s="273">
        <f>AW73/BA73</f>
        <v>0.34872182352672526</v>
      </c>
      <c r="BA73" s="275">
        <f>AS73+AW73</f>
        <v>52438788.760229565</v>
      </c>
      <c r="BB73" s="275">
        <f t="shared" si="73"/>
        <v>9591.8764880610142</v>
      </c>
      <c r="BC73" s="274">
        <f>RANK(BB73,$BB$7:$BB$75)</f>
        <v>42</v>
      </c>
    </row>
    <row r="74" spans="1:55" ht="15.6" customHeight="1" x14ac:dyDescent="0.2">
      <c r="A74" s="606">
        <v>68</v>
      </c>
      <c r="B74" s="269" t="s">
        <v>1</v>
      </c>
      <c r="C74" s="1243">
        <f>'8_2.1.20 SIS'!AV74</f>
        <v>1744</v>
      </c>
      <c r="D74" s="1241">
        <v>1664</v>
      </c>
      <c r="E74" s="1241">
        <f>$D$1*D74</f>
        <v>366.08</v>
      </c>
      <c r="F74" s="1241">
        <v>935.5</v>
      </c>
      <c r="G74" s="1241">
        <f>$F$1*F74</f>
        <v>56.129999999999995</v>
      </c>
      <c r="H74" s="1241">
        <v>200</v>
      </c>
      <c r="I74" s="1241">
        <f>$H$1*H74</f>
        <v>300</v>
      </c>
      <c r="J74" s="1241">
        <v>7</v>
      </c>
      <c r="K74" s="1241">
        <f>$J$1*J74</f>
        <v>4.2</v>
      </c>
      <c r="L74" s="1241">
        <f t="shared" si="44"/>
        <v>5756</v>
      </c>
      <c r="M74" s="270">
        <f>ROUND(L74/$M$1,5)</f>
        <v>0.15348999999999999</v>
      </c>
      <c r="N74" s="1241">
        <f>C74*M74</f>
        <v>267.68655999999999</v>
      </c>
      <c r="O74" s="1241">
        <f>E74+G74+I74+K74+N74</f>
        <v>994.09656000000007</v>
      </c>
      <c r="P74" s="1241">
        <f>O74+C74</f>
        <v>2738.09656</v>
      </c>
      <c r="Q74" s="1248">
        <f>$Q$1</f>
        <v>4015</v>
      </c>
      <c r="R74" s="1248">
        <f>ROUND(P74*Q74,0)</f>
        <v>10993458</v>
      </c>
      <c r="S74" s="1248">
        <f>'6_Local Deduct Calc'!J74</f>
        <v>2033636</v>
      </c>
      <c r="T74" s="1248">
        <f>ROUND(IF((S74&gt;R74*$T$1),R74*$T$1,S74),0)</f>
        <v>2033636</v>
      </c>
      <c r="U74" s="1249">
        <f>R74-T74</f>
        <v>8959822</v>
      </c>
      <c r="V74" s="271">
        <f>ROUND(U74/R74,4)</f>
        <v>0.81499999999999995</v>
      </c>
      <c r="W74" s="271">
        <f>ROUND(T74/R74,4)</f>
        <v>0.185</v>
      </c>
      <c r="X74" s="272">
        <f t="shared" si="64"/>
        <v>1166.0756880733945</v>
      </c>
      <c r="Y74" s="1248">
        <f>'7_Local Revenue'!AS74</f>
        <v>5622569</v>
      </c>
      <c r="Z74" s="1248">
        <f>IF(Y74-T74&gt;0,Y74-T74,0)</f>
        <v>3588933</v>
      </c>
      <c r="AA74" s="34">
        <f>IF(Y74-T74&lt;0,Y74-T74,0)</f>
        <v>0</v>
      </c>
      <c r="AB74" s="34">
        <f t="shared" si="49"/>
        <v>3737775.72</v>
      </c>
      <c r="AC74" s="34">
        <f>IF(Z74&lt;AB74,Z74,AB74)</f>
        <v>3588933</v>
      </c>
      <c r="AD74" s="1248">
        <f>IF(AC74&gt;0,AC74*(W74*$AD$1),0)</f>
        <v>1141998.4805999999</v>
      </c>
      <c r="AE74" s="1254">
        <f>ROUND(IF(AC74-AD74&gt;AC74*$AE$1,AC74-AD74,AC74*$AE$1),0)</f>
        <v>2446935</v>
      </c>
      <c r="AF74" s="34">
        <f t="shared" si="65"/>
        <v>1403</v>
      </c>
      <c r="AG74" s="273">
        <f>IF(AC74=0,0,ROUND(AE74/AC74,4))</f>
        <v>0.68179999999999996</v>
      </c>
      <c r="AH74" s="1254">
        <f t="shared" si="53"/>
        <v>11406757</v>
      </c>
      <c r="AI74" s="34">
        <f t="shared" si="66"/>
        <v>6541</v>
      </c>
      <c r="AJ74" s="1254">
        <f>'3A_Level 3'!J74</f>
        <v>295790</v>
      </c>
      <c r="AK74" s="34">
        <f t="shared" si="67"/>
        <v>169.60435779816513</v>
      </c>
      <c r="AL74" s="1254">
        <f>AJ74+AH74</f>
        <v>11702547</v>
      </c>
      <c r="AM74" s="34">
        <f t="shared" si="68"/>
        <v>6710.1760321100919</v>
      </c>
      <c r="AN74" s="1256">
        <f>'3A_Level 3'!K74</f>
        <v>1688723</v>
      </c>
      <c r="AO74" s="275">
        <f t="shared" si="69"/>
        <v>968.30447247706422</v>
      </c>
      <c r="AP74" s="1254">
        <f>AH74+AN74</f>
        <v>13095480</v>
      </c>
      <c r="AQ74" s="34">
        <f t="shared" si="70"/>
        <v>7508.8761467889908</v>
      </c>
      <c r="AR74" s="34">
        <f>'3A_Level 3'!L74</f>
        <v>244928.22296004047</v>
      </c>
      <c r="AS74" s="1257">
        <f>AP74+AR74</f>
        <v>13340408.22296004</v>
      </c>
      <c r="AT74" s="34">
        <f t="shared" si="71"/>
        <v>7649.3166416055274</v>
      </c>
      <c r="AU74" s="273">
        <f>AS74/BA74</f>
        <v>0.70349756085809712</v>
      </c>
      <c r="AV74" s="274">
        <f>RANK(AU74,$AU$7:$AU$75)</f>
        <v>13</v>
      </c>
      <c r="AW74" s="34">
        <f t="shared" si="61"/>
        <v>5622569</v>
      </c>
      <c r="AX74" s="34">
        <f t="shared" si="72"/>
        <v>3223.95</v>
      </c>
      <c r="AY74" s="274">
        <f>RANK(AX74,$AX$7:$AX$75)</f>
        <v>50</v>
      </c>
      <c r="AZ74" s="273">
        <f>AW74/BA74</f>
        <v>0.29650243914190288</v>
      </c>
      <c r="BA74" s="275">
        <f>AS74+AW74</f>
        <v>18962977.22296004</v>
      </c>
      <c r="BB74" s="275">
        <f t="shared" si="73"/>
        <v>10873.266756284427</v>
      </c>
      <c r="BC74" s="274">
        <f>RANK(BB74,$BB$7:$BB$75)</f>
        <v>7</v>
      </c>
    </row>
    <row r="75" spans="1:55" ht="15.6" customHeight="1" x14ac:dyDescent="0.2">
      <c r="A75" s="606">
        <v>69</v>
      </c>
      <c r="B75" s="269" t="s">
        <v>74</v>
      </c>
      <c r="C75" s="1243">
        <f>'8_2.1.20 SIS'!AV75</f>
        <v>4829</v>
      </c>
      <c r="D75" s="1241">
        <v>2411</v>
      </c>
      <c r="E75" s="1241">
        <f>$D$1*D75</f>
        <v>530.41999999999996</v>
      </c>
      <c r="F75" s="1241">
        <v>2383</v>
      </c>
      <c r="G75" s="1241">
        <f>$F$1*F75</f>
        <v>142.97999999999999</v>
      </c>
      <c r="H75" s="1241">
        <v>470</v>
      </c>
      <c r="I75" s="1241">
        <f>$H$1*H75</f>
        <v>705</v>
      </c>
      <c r="J75" s="1241">
        <v>429</v>
      </c>
      <c r="K75" s="1241">
        <f>$J$1*J75</f>
        <v>257.39999999999998</v>
      </c>
      <c r="L75" s="1241">
        <f t="shared" si="44"/>
        <v>2671</v>
      </c>
      <c r="M75" s="270">
        <f>ROUND(L75/$M$1,5)</f>
        <v>7.1230000000000002E-2</v>
      </c>
      <c r="N75" s="1241">
        <f>C75*M75</f>
        <v>343.96967000000001</v>
      </c>
      <c r="O75" s="1241">
        <f>E75+G75+I75+K75+N75</f>
        <v>1979.7696700000001</v>
      </c>
      <c r="P75" s="1241">
        <f>O75+C75</f>
        <v>6808.7696699999997</v>
      </c>
      <c r="Q75" s="1248">
        <f>$Q$1</f>
        <v>4015</v>
      </c>
      <c r="R75" s="1248">
        <f>ROUND(P75*Q75,0)</f>
        <v>27337210</v>
      </c>
      <c r="S75" s="1248">
        <f>'6_Local Deduct Calc'!J75</f>
        <v>5090953</v>
      </c>
      <c r="T75" s="1248">
        <f>ROUND(IF((S75&gt;R75*$T$1),R75*$T$1,S75),0)</f>
        <v>5090953</v>
      </c>
      <c r="U75" s="1249">
        <f>R75-T75</f>
        <v>22246257</v>
      </c>
      <c r="V75" s="271">
        <f>ROUND(U75/R75,4)</f>
        <v>0.81379999999999997</v>
      </c>
      <c r="W75" s="271">
        <f>ROUND(T75/R75,4)</f>
        <v>0.1862</v>
      </c>
      <c r="X75" s="272">
        <f t="shared" si="64"/>
        <v>1054.2458065852143</v>
      </c>
      <c r="Y75" s="1248">
        <f>'7_Local Revenue'!AS75</f>
        <v>18462013</v>
      </c>
      <c r="Z75" s="1248">
        <f>IF(Y75-T75&gt;0,Y75-T75,0)</f>
        <v>13371060</v>
      </c>
      <c r="AA75" s="34">
        <f>IF(Y75-T75&lt;0,Y75-T75,0)</f>
        <v>0</v>
      </c>
      <c r="AB75" s="34">
        <f t="shared" si="49"/>
        <v>9294651.4000000004</v>
      </c>
      <c r="AC75" s="34">
        <f>IF(Z75&lt;AB75,Z75,AB75)</f>
        <v>9294651.4000000004</v>
      </c>
      <c r="AD75" s="1248">
        <f>IF(AC75&gt;0,AC75*(W75*$AD$1),0)</f>
        <v>2976742.2359696003</v>
      </c>
      <c r="AE75" s="1254">
        <f>ROUND(IF(AC75-AD75&gt;AC75*$AE$1,AC75-AD75,AC75*$AE$1),0)</f>
        <v>6317909</v>
      </c>
      <c r="AF75" s="34">
        <f t="shared" si="65"/>
        <v>1308</v>
      </c>
      <c r="AG75" s="273">
        <f>IF(AC75=0,0,ROUND(AE75/AC75,4))</f>
        <v>0.67969999999999997</v>
      </c>
      <c r="AH75" s="1254">
        <f t="shared" si="53"/>
        <v>28564166</v>
      </c>
      <c r="AI75" s="34">
        <f t="shared" si="66"/>
        <v>5915</v>
      </c>
      <c r="AJ75" s="1254">
        <f>'3A_Level 3'!J75</f>
        <v>819018</v>
      </c>
      <c r="AK75" s="34">
        <f t="shared" si="67"/>
        <v>169.6040588113481</v>
      </c>
      <c r="AL75" s="1254">
        <f>AJ75+AH75</f>
        <v>29383184</v>
      </c>
      <c r="AM75" s="34">
        <f t="shared" si="68"/>
        <v>6084.7347276868913</v>
      </c>
      <c r="AN75" s="1256">
        <f>'3A_Level 3'!K75</f>
        <v>4226698</v>
      </c>
      <c r="AO75" s="275">
        <f t="shared" si="69"/>
        <v>875.27396976599709</v>
      </c>
      <c r="AP75" s="1254">
        <f>AH75+AN75</f>
        <v>32790864</v>
      </c>
      <c r="AQ75" s="34">
        <f t="shared" si="70"/>
        <v>6790.4046386415403</v>
      </c>
      <c r="AR75" s="34">
        <f>'3A_Level 3'!L75</f>
        <v>529224.11083898554</v>
      </c>
      <c r="AS75" s="1257">
        <f>AP75+AR75</f>
        <v>33320088.110838987</v>
      </c>
      <c r="AT75" s="34">
        <f t="shared" si="71"/>
        <v>6899.9975379662428</v>
      </c>
      <c r="AU75" s="273">
        <f>AS75/BA75</f>
        <v>0.69845098891014923</v>
      </c>
      <c r="AV75" s="274">
        <f>RANK(AU75,$AU$7:$AU$75)</f>
        <v>16</v>
      </c>
      <c r="AW75" s="34">
        <f t="shared" si="61"/>
        <v>14385604.4</v>
      </c>
      <c r="AX75" s="34">
        <f t="shared" si="72"/>
        <v>2979</v>
      </c>
      <c r="AY75" s="274">
        <f>RANK(AX75,$AX$7:$AX$75)</f>
        <v>56</v>
      </c>
      <c r="AZ75" s="273">
        <f>AW75/BA75</f>
        <v>0.30154901108985088</v>
      </c>
      <c r="BA75" s="275">
        <f>AS75+AW75</f>
        <v>47705692.510838985</v>
      </c>
      <c r="BB75" s="275">
        <f t="shared" si="73"/>
        <v>9879.0003128678782</v>
      </c>
      <c r="BC75" s="274">
        <f>RANK(BB75,$BB$7:$BB$75)</f>
        <v>29</v>
      </c>
    </row>
    <row r="76" spans="1:55" ht="15.6" customHeight="1" thickBot="1" x14ac:dyDescent="0.25">
      <c r="A76" s="453"/>
      <c r="B76" s="452" t="s">
        <v>3</v>
      </c>
      <c r="C76" s="1246">
        <f>SUM(C7:C75)</f>
        <v>680999</v>
      </c>
      <c r="D76" s="1246">
        <f>SUM(D7:D75)</f>
        <v>479614</v>
      </c>
      <c r="E76" s="1246">
        <f t="shared" ref="E76:L76" si="74">SUM(E7:E75)</f>
        <v>105515.07999999999</v>
      </c>
      <c r="F76" s="1246">
        <f t="shared" si="74"/>
        <v>301281.5</v>
      </c>
      <c r="G76" s="1246">
        <f t="shared" si="74"/>
        <v>18076.889999999996</v>
      </c>
      <c r="H76" s="1246">
        <f t="shared" si="74"/>
        <v>93675</v>
      </c>
      <c r="I76" s="1246">
        <f t="shared" si="74"/>
        <v>140512.5</v>
      </c>
      <c r="J76" s="1246">
        <f t="shared" si="74"/>
        <v>29013</v>
      </c>
      <c r="K76" s="1246">
        <f t="shared" si="74"/>
        <v>17407.800000000003</v>
      </c>
      <c r="L76" s="1246">
        <f t="shared" si="74"/>
        <v>187681</v>
      </c>
      <c r="M76" s="615"/>
      <c r="N76" s="1246">
        <f>SUM(N7:N75)</f>
        <v>13100.141800000001</v>
      </c>
      <c r="O76" s="1246">
        <f>SUM(O7:O75)</f>
        <v>294612.41180000006</v>
      </c>
      <c r="P76" s="1246">
        <f>SUM(P7:P75)</f>
        <v>975611.4118</v>
      </c>
      <c r="Q76" s="40">
        <f>$Q$1</f>
        <v>4015</v>
      </c>
      <c r="R76" s="40">
        <f>SUM(R7:R75)</f>
        <v>3917079821</v>
      </c>
      <c r="S76" s="40">
        <f>SUM(S7:S75)</f>
        <v>1372424610</v>
      </c>
      <c r="T76" s="40">
        <f>SUM(T7:T75)</f>
        <v>1371071507</v>
      </c>
      <c r="U76" s="616">
        <f>SUM(U7:U75)</f>
        <v>2546008314</v>
      </c>
      <c r="V76" s="617">
        <f>ROUND(U76/R76,4)</f>
        <v>0.65</v>
      </c>
      <c r="W76" s="617">
        <f>ROUND(T76/R76,4)</f>
        <v>0.35</v>
      </c>
      <c r="X76" s="618">
        <f t="shared" si="64"/>
        <v>2013.3238183903354</v>
      </c>
      <c r="Y76" s="40">
        <f t="shared" ref="Y76:AE76" si="75">SUM(Y7:Y75)</f>
        <v>3785362654.75</v>
      </c>
      <c r="Z76" s="40">
        <f t="shared" si="75"/>
        <v>2412581878.75</v>
      </c>
      <c r="AA76" s="40">
        <f t="shared" si="75"/>
        <v>0</v>
      </c>
      <c r="AB76" s="40">
        <f t="shared" si="75"/>
        <v>1331807139.1400001</v>
      </c>
      <c r="AC76" s="40">
        <f t="shared" si="75"/>
        <v>1276086526.1600001</v>
      </c>
      <c r="AD76" s="40">
        <f t="shared" si="75"/>
        <v>782681449.41188955</v>
      </c>
      <c r="AE76" s="616">
        <f t="shared" si="75"/>
        <v>504732158</v>
      </c>
      <c r="AF76" s="40">
        <f t="shared" si="65"/>
        <v>741</v>
      </c>
      <c r="AG76" s="620">
        <f>IF(AC76=0,0,ROUND(AE76/AC76,4))</f>
        <v>0.39550000000000002</v>
      </c>
      <c r="AH76" s="616">
        <f>SUM(AH7:AH75)</f>
        <v>3050740472</v>
      </c>
      <c r="AI76" s="40">
        <f t="shared" si="66"/>
        <v>4480</v>
      </c>
      <c r="AJ76" s="616">
        <f>SUM(AJ7:AJ75)</f>
        <v>144892835</v>
      </c>
      <c r="AK76" s="40">
        <f t="shared" si="67"/>
        <v>212.76512153468653</v>
      </c>
      <c r="AL76" s="616">
        <f>SUM(AL7:AL75)</f>
        <v>3195633307</v>
      </c>
      <c r="AM76" s="40">
        <f t="shared" si="68"/>
        <v>4692.5668128734405</v>
      </c>
      <c r="AN76" s="616">
        <f>SUM(AN7:AN75)</f>
        <v>626022873</v>
      </c>
      <c r="AO76" s="40">
        <f t="shared" si="69"/>
        <v>919.27135428980068</v>
      </c>
      <c r="AP76" s="616">
        <f>SUM(AP7:AP75)</f>
        <v>3676763345</v>
      </c>
      <c r="AQ76" s="40">
        <f t="shared" si="70"/>
        <v>5399.0730456285546</v>
      </c>
      <c r="AR76" s="40">
        <f>SUM(AR7:AR75)</f>
        <v>98893113.000000015</v>
      </c>
      <c r="AS76" s="1262">
        <f>SUM(AS7:AS75)</f>
        <v>3775656457.999999</v>
      </c>
      <c r="AT76" s="40">
        <f t="shared" si="71"/>
        <v>5544.2907522624837</v>
      </c>
      <c r="AU76" s="620">
        <f>AS76/BA76</f>
        <v>0.58785077214928128</v>
      </c>
      <c r="AV76" s="619"/>
      <c r="AW76" s="40">
        <f>SUM(AW7:AW75)</f>
        <v>2647158033.1600003</v>
      </c>
      <c r="AX76" s="40">
        <f t="shared" si="72"/>
        <v>3887.17</v>
      </c>
      <c r="AY76" s="619"/>
      <c r="AZ76" s="620">
        <f>AW76/BA76</f>
        <v>0.41214922785071867</v>
      </c>
      <c r="BA76" s="40">
        <f>SUM(BA7:BA75)</f>
        <v>6422814491.1599998</v>
      </c>
      <c r="BB76" s="40">
        <f t="shared" si="73"/>
        <v>9431.459504580771</v>
      </c>
      <c r="BC76" s="619"/>
    </row>
    <row r="77" spans="1:55" ht="13.5" hidden="1" thickTop="1" x14ac:dyDescent="0.2">
      <c r="Z77" s="17" t="s">
        <v>340</v>
      </c>
    </row>
    <row r="78" spans="1:55" hidden="1" x14ac:dyDescent="0.2">
      <c r="Z78" s="18">
        <v>1709269</v>
      </c>
    </row>
    <row r="79" spans="1:55" ht="13.5" thickTop="1" x14ac:dyDescent="0.2"/>
  </sheetData>
  <sheetProtection password="D893" sheet="1" formatCells="0" formatColumn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  <mergeCell ref="AC2:AC3"/>
    <mergeCell ref="AK2:AK3"/>
    <mergeCell ref="AR2:AR3"/>
    <mergeCell ref="AS2:AS3"/>
    <mergeCell ref="AN2:AN3"/>
    <mergeCell ref="AO2:AO3"/>
    <mergeCell ref="AP2:AP3"/>
    <mergeCell ref="AQ2:AQ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71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FY2020-21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03" t="s">
        <v>855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1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1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1" ht="14.25" customHeight="1" x14ac:dyDescent="0.2">
      <c r="A4" s="202"/>
      <c r="B4" s="203"/>
      <c r="C4" s="201">
        <v>1</v>
      </c>
      <c r="D4" s="201">
        <v>2</v>
      </c>
      <c r="E4" s="201">
        <v>3</v>
      </c>
      <c r="F4" s="201">
        <v>4</v>
      </c>
      <c r="G4" s="201">
        <v>5</v>
      </c>
      <c r="H4" s="201">
        <v>6</v>
      </c>
      <c r="I4" s="201">
        <v>7</v>
      </c>
      <c r="J4" s="201">
        <v>8</v>
      </c>
      <c r="K4" s="201">
        <v>9</v>
      </c>
      <c r="L4" s="201">
        <v>10</v>
      </c>
      <c r="M4" s="201">
        <v>11</v>
      </c>
      <c r="N4" s="201">
        <v>12</v>
      </c>
      <c r="O4" s="201">
        <v>13</v>
      </c>
      <c r="P4" s="201">
        <v>14</v>
      </c>
      <c r="Q4" s="201">
        <v>15</v>
      </c>
      <c r="R4" s="201">
        <v>16</v>
      </c>
      <c r="S4" s="201">
        <v>17</v>
      </c>
      <c r="T4" s="201">
        <v>18</v>
      </c>
      <c r="U4" s="201">
        <v>19</v>
      </c>
      <c r="V4" s="201">
        <v>20</v>
      </c>
      <c r="W4" s="201">
        <v>21</v>
      </c>
      <c r="X4" s="201">
        <v>22</v>
      </c>
      <c r="Y4" s="201">
        <v>23</v>
      </c>
      <c r="Z4" s="201">
        <v>24</v>
      </c>
      <c r="AA4" s="201">
        <v>25</v>
      </c>
      <c r="AB4" s="201">
        <v>26</v>
      </c>
      <c r="AC4" s="201">
        <v>27</v>
      </c>
      <c r="AD4" s="201">
        <v>28</v>
      </c>
      <c r="AE4" s="201">
        <v>29</v>
      </c>
      <c r="AF4" s="201">
        <v>30</v>
      </c>
      <c r="AG4" s="201">
        <v>31</v>
      </c>
      <c r="AH4" s="201">
        <v>32</v>
      </c>
      <c r="AI4" s="201">
        <v>33</v>
      </c>
      <c r="AJ4" s="201">
        <v>34</v>
      </c>
      <c r="AK4" s="201">
        <v>35</v>
      </c>
      <c r="AL4" s="201">
        <v>36</v>
      </c>
      <c r="AM4" s="201">
        <v>37</v>
      </c>
      <c r="AN4" s="201">
        <v>38</v>
      </c>
      <c r="AO4" s="201">
        <v>39</v>
      </c>
      <c r="AP4" s="201">
        <v>40</v>
      </c>
      <c r="AQ4" s="201">
        <v>41</v>
      </c>
      <c r="AR4" s="201">
        <v>42</v>
      </c>
      <c r="AS4" s="201">
        <v>43</v>
      </c>
      <c r="AT4" s="1211">
        <v>44</v>
      </c>
      <c r="AU4" s="1211">
        <v>45</v>
      </c>
      <c r="AV4" s="422">
        <v>46</v>
      </c>
      <c r="AW4" s="422">
        <v>47</v>
      </c>
      <c r="AX4" s="422">
        <v>48</v>
      </c>
    </row>
    <row r="5" spans="1:51" s="652" customFormat="1" ht="31.5" customHeight="1" x14ac:dyDescent="0.2">
      <c r="A5" s="653"/>
      <c r="B5" s="653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1" s="652" customFormat="1" ht="31.5" hidden="1" customHeight="1" x14ac:dyDescent="0.2">
      <c r="A6" s="653"/>
      <c r="B6" s="653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  <c r="AY7" s="8"/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  <c r="AY8" s="8"/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  <c r="AY9" s="8"/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  <c r="AY10" s="8"/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  <c r="AY11" s="8"/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  <c r="AY12" s="8"/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  <c r="AY13" s="8"/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  <c r="AY14" s="8"/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  <c r="AY15" s="8"/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  <c r="AY16" s="8"/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  <c r="AY17" s="8"/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  <c r="AY18" s="8"/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  <c r="AY19" s="8"/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  <c r="AY20" s="8"/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  <c r="AY21" s="8"/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  <c r="AY22" s="8"/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  <c r="AY23" s="8"/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  <c r="AY24" s="8"/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  <c r="AY25" s="8"/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  <c r="AY26" s="8"/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  <c r="AY27" s="8"/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  <c r="AY28" s="8"/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  <c r="AY29" s="8"/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  <c r="AY30" s="8"/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  <c r="AY31" s="8"/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37030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84700</v>
      </c>
      <c r="AM32" s="127"/>
      <c r="AN32" s="124"/>
      <c r="AO32" s="117">
        <v>0</v>
      </c>
      <c r="AP32" s="124"/>
      <c r="AQ32" s="125"/>
      <c r="AR32" s="125"/>
      <c r="AS32" s="124">
        <v>10062</v>
      </c>
      <c r="AT32" s="695"/>
      <c r="AU32" s="696"/>
      <c r="AV32" s="118"/>
      <c r="AW32" s="118"/>
      <c r="AX32" s="118">
        <v>121</v>
      </c>
      <c r="AY32" s="8"/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  <c r="AY33" s="8"/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  <c r="AY34" s="8"/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  <c r="AY35" s="8"/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  <c r="AY36" s="8"/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  <c r="AY37" s="8"/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  <c r="AY38" s="8"/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  <c r="AY39" s="8"/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  <c r="AY40" s="8"/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  <c r="AY41" s="8"/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437900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1058658</v>
      </c>
      <c r="AM42" s="127"/>
      <c r="AN42" s="124"/>
      <c r="AO42" s="117">
        <v>0</v>
      </c>
      <c r="AP42" s="124"/>
      <c r="AQ42" s="125"/>
      <c r="AR42" s="125"/>
      <c r="AS42" s="124">
        <v>121707</v>
      </c>
      <c r="AT42" s="695"/>
      <c r="AU42" s="696"/>
      <c r="AV42" s="118"/>
      <c r="AW42" s="118"/>
      <c r="AX42" s="118">
        <v>1094</v>
      </c>
      <c r="AY42" s="8"/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  <c r="AY43" s="8"/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2318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16584</v>
      </c>
      <c r="AM44" s="146"/>
      <c r="AN44" s="143"/>
      <c r="AO44" s="135">
        <v>0</v>
      </c>
      <c r="AP44" s="143"/>
      <c r="AQ44" s="144"/>
      <c r="AR44" s="144"/>
      <c r="AS44" s="143">
        <v>1515</v>
      </c>
      <c r="AT44" s="697"/>
      <c r="AU44" s="698"/>
      <c r="AV44" s="136"/>
      <c r="AW44" s="136"/>
      <c r="AX44" s="136">
        <v>17</v>
      </c>
      <c r="AY44" s="8"/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  <c r="AY45" s="8"/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  <c r="AY46" s="8"/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  <c r="AY47" s="8"/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  <c r="AY48" s="8"/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  <c r="AY49" s="8"/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  <c r="AY50" s="8"/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  <c r="AY51" s="8"/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  <c r="AY52" s="8"/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  <c r="AY53" s="8"/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  <c r="AY54" s="8"/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  <c r="AY55" s="8"/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  <c r="AY56" s="8"/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  <c r="AY57" s="8"/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6493</v>
      </c>
      <c r="AM58" s="146"/>
      <c r="AN58" s="143"/>
      <c r="AO58" s="135">
        <v>0</v>
      </c>
      <c r="AP58" s="143"/>
      <c r="AQ58" s="144"/>
      <c r="AR58" s="144"/>
      <c r="AS58" s="143">
        <v>1079</v>
      </c>
      <c r="AT58" s="697"/>
      <c r="AU58" s="698"/>
      <c r="AV58" s="136"/>
      <c r="AW58" s="136"/>
      <c r="AX58" s="136">
        <v>16</v>
      </c>
      <c r="AY58" s="8"/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  <c r="AY59" s="8"/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  <c r="AY60" s="8"/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  <c r="AY61" s="8"/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  <c r="AY62" s="8"/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  <c r="AY63" s="8"/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  <c r="AY64" s="8"/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  <c r="AY65" s="8"/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  <c r="AY66" s="8"/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  <c r="AY67" s="8"/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  <c r="AY68" s="8"/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  <c r="AY69" s="8"/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  <c r="AY70" s="8"/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  <c r="AY71" s="8"/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  <c r="AY72" s="8"/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  <c r="AY73" s="8"/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  <c r="AY74" s="8"/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  <c r="AY75" s="8"/>
    </row>
    <row r="76" spans="1:51" s="19" customFormat="1" ht="15" customHeight="1" thickBot="1" x14ac:dyDescent="0.25">
      <c r="A76" s="1499" t="s">
        <v>365</v>
      </c>
      <c r="B76" s="1500"/>
      <c r="C76" s="913">
        <v>103</v>
      </c>
      <c r="D76" s="914">
        <v>4268.9653302959669</v>
      </c>
      <c r="E76" s="915">
        <v>347375.54017148091</v>
      </c>
      <c r="F76" s="916">
        <v>78</v>
      </c>
      <c r="G76" s="917">
        <v>570.35224473434255</v>
      </c>
      <c r="H76" s="918">
        <v>35924.798928443117</v>
      </c>
      <c r="I76" s="1109">
        <v>98</v>
      </c>
      <c r="J76" s="917">
        <v>158.37628411149953</v>
      </c>
      <c r="K76" s="918">
        <v>12234.877997636842</v>
      </c>
      <c r="L76" s="916">
        <v>26</v>
      </c>
      <c r="M76" s="917">
        <v>3936.5780458287281</v>
      </c>
      <c r="N76" s="918">
        <v>81713.173095899896</v>
      </c>
      <c r="O76" s="916">
        <v>0</v>
      </c>
      <c r="P76" s="917">
        <v>1527.9418817790604</v>
      </c>
      <c r="Q76" s="918">
        <v>0</v>
      </c>
      <c r="R76" s="919">
        <v>477248</v>
      </c>
      <c r="S76" s="917">
        <v>327101</v>
      </c>
      <c r="T76" s="917">
        <v>-24737</v>
      </c>
      <c r="U76" s="920">
        <v>302364</v>
      </c>
      <c r="V76" s="919">
        <v>779612</v>
      </c>
      <c r="W76" s="918">
        <v>-1948</v>
      </c>
      <c r="X76" s="919">
        <v>777664</v>
      </c>
      <c r="Y76" s="918">
        <v>0</v>
      </c>
      <c r="Z76" s="919">
        <v>777664</v>
      </c>
      <c r="AA76" s="917">
        <v>426132</v>
      </c>
      <c r="AB76" s="917">
        <v>351532</v>
      </c>
      <c r="AC76" s="919">
        <v>87883</v>
      </c>
      <c r="AD76" s="921">
        <v>777664</v>
      </c>
      <c r="AE76" s="917">
        <v>5688</v>
      </c>
      <c r="AF76" s="922">
        <v>680026</v>
      </c>
      <c r="AG76" s="916">
        <v>81</v>
      </c>
      <c r="AH76" s="917">
        <v>533719</v>
      </c>
      <c r="AI76" s="916">
        <v>-14</v>
      </c>
      <c r="AJ76" s="917">
        <v>-47310</v>
      </c>
      <c r="AK76" s="920">
        <v>486409</v>
      </c>
      <c r="AL76" s="922">
        <v>1166435</v>
      </c>
      <c r="AM76" s="917">
        <v>-2916</v>
      </c>
      <c r="AN76" s="922">
        <v>1163519</v>
      </c>
      <c r="AO76" s="917">
        <v>0</v>
      </c>
      <c r="AP76" s="922">
        <v>1163519</v>
      </c>
      <c r="AQ76" s="917">
        <v>626066</v>
      </c>
      <c r="AR76" s="917">
        <v>537453</v>
      </c>
      <c r="AS76" s="922">
        <v>134363</v>
      </c>
      <c r="AT76" s="1176">
        <v>1941183</v>
      </c>
      <c r="AU76" s="1177">
        <v>222246</v>
      </c>
      <c r="AV76" s="917">
        <v>2916</v>
      </c>
      <c r="AW76" s="917">
        <v>1668</v>
      </c>
      <c r="AX76" s="917">
        <v>1248</v>
      </c>
      <c r="AY76" s="33"/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32883</v>
      </c>
      <c r="S77" s="860"/>
      <c r="T77" s="860"/>
      <c r="U77" s="860"/>
      <c r="V77" s="861">
        <v>32883</v>
      </c>
      <c r="W77" s="910">
        <v>-82</v>
      </c>
      <c r="X77" s="861">
        <v>32801</v>
      </c>
      <c r="Y77" s="860"/>
      <c r="Z77" s="861">
        <v>32801</v>
      </c>
      <c r="AA77" s="860">
        <v>17990</v>
      </c>
      <c r="AB77" s="860">
        <v>14811</v>
      </c>
      <c r="AC77" s="861">
        <v>3703</v>
      </c>
      <c r="AD77" s="912">
        <v>32801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32801</v>
      </c>
      <c r="AU77" s="1175">
        <v>3703</v>
      </c>
      <c r="AV77" s="860">
        <v>0</v>
      </c>
      <c r="AW77" s="860"/>
      <c r="AX77" s="860">
        <v>0</v>
      </c>
      <c r="AY77" s="33"/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  <c r="AY78" s="457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  <c r="AY79" s="33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  <c r="AY80" s="33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  <c r="AY81" s="8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31187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  <c r="AY82" s="33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6077</v>
      </c>
      <c r="AA83" s="155">
        <v>4050</v>
      </c>
      <c r="AB83" s="709">
        <v>2027</v>
      </c>
      <c r="AC83" s="156">
        <v>507</v>
      </c>
      <c r="AD83" s="156">
        <v>6077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6077</v>
      </c>
      <c r="AU83" s="710">
        <v>507</v>
      </c>
      <c r="AV83" s="709"/>
      <c r="AW83" s="709"/>
      <c r="AX83" s="709"/>
      <c r="AY83" s="33"/>
    </row>
    <row r="84" spans="1:51" s="19" customFormat="1" ht="15" customHeight="1" thickBot="1" x14ac:dyDescent="0.25">
      <c r="A84" s="1499" t="s">
        <v>366</v>
      </c>
      <c r="B84" s="1500"/>
      <c r="C84" s="913">
        <v>103</v>
      </c>
      <c r="D84" s="914">
        <v>4268.9653302959669</v>
      </c>
      <c r="E84" s="915">
        <v>347375.54017148091</v>
      </c>
      <c r="F84" s="916">
        <v>78</v>
      </c>
      <c r="G84" s="917">
        <v>570.35224473434255</v>
      </c>
      <c r="H84" s="918">
        <v>35924.798928443117</v>
      </c>
      <c r="I84" s="1109">
        <v>98</v>
      </c>
      <c r="J84" s="917">
        <v>158.37628411149953</v>
      </c>
      <c r="K84" s="918">
        <v>12234.877997636842</v>
      </c>
      <c r="L84" s="916">
        <v>26</v>
      </c>
      <c r="M84" s="917">
        <v>3936.5780458287281</v>
      </c>
      <c r="N84" s="918">
        <v>81713.173095899896</v>
      </c>
      <c r="O84" s="916">
        <v>0</v>
      </c>
      <c r="P84" s="917">
        <v>1527.9418817790604</v>
      </c>
      <c r="Q84" s="918">
        <v>0</v>
      </c>
      <c r="R84" s="919">
        <v>510131</v>
      </c>
      <c r="S84" s="917">
        <v>327101</v>
      </c>
      <c r="T84" s="917">
        <v>-24737</v>
      </c>
      <c r="U84" s="920">
        <v>302364</v>
      </c>
      <c r="V84" s="919">
        <v>812495</v>
      </c>
      <c r="W84" s="918">
        <v>-2030</v>
      </c>
      <c r="X84" s="919">
        <v>810465</v>
      </c>
      <c r="Y84" s="918">
        <v>0</v>
      </c>
      <c r="Z84" s="919">
        <v>816542</v>
      </c>
      <c r="AA84" s="917">
        <v>448172</v>
      </c>
      <c r="AB84" s="917">
        <v>368370</v>
      </c>
      <c r="AC84" s="919">
        <v>92093</v>
      </c>
      <c r="AD84" s="921">
        <v>857729</v>
      </c>
      <c r="AE84" s="917">
        <v>5688</v>
      </c>
      <c r="AF84" s="922">
        <v>680026</v>
      </c>
      <c r="AG84" s="916">
        <v>81</v>
      </c>
      <c r="AH84" s="917">
        <v>533719</v>
      </c>
      <c r="AI84" s="916">
        <v>-14</v>
      </c>
      <c r="AJ84" s="917">
        <v>-47310</v>
      </c>
      <c r="AK84" s="920">
        <v>486409</v>
      </c>
      <c r="AL84" s="922">
        <v>1166435</v>
      </c>
      <c r="AM84" s="917">
        <v>-2916</v>
      </c>
      <c r="AN84" s="922">
        <v>1163519</v>
      </c>
      <c r="AO84" s="917">
        <v>0</v>
      </c>
      <c r="AP84" s="922">
        <v>1163519</v>
      </c>
      <c r="AQ84" s="917">
        <v>626066</v>
      </c>
      <c r="AR84" s="917">
        <v>537453</v>
      </c>
      <c r="AS84" s="922">
        <v>134363</v>
      </c>
      <c r="AT84" s="702">
        <v>1980061</v>
      </c>
      <c r="AU84" s="702">
        <v>226456</v>
      </c>
      <c r="AV84" s="917">
        <v>2916</v>
      </c>
      <c r="AW84" s="917">
        <v>1668</v>
      </c>
      <c r="AX84" s="917">
        <v>1248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C87" s="9"/>
      <c r="D87" s="13"/>
      <c r="E87" s="13"/>
      <c r="F87" s="9"/>
      <c r="G87" s="13"/>
      <c r="H87" s="459"/>
      <c r="I87" s="459"/>
      <c r="J87" s="459"/>
      <c r="K87" s="459"/>
      <c r="L87" s="460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C90" s="592"/>
      <c r="D90" s="593"/>
      <c r="E90" s="592"/>
      <c r="F90" s="593"/>
      <c r="G90" s="12"/>
      <c r="H90" s="594"/>
      <c r="I90" s="594"/>
      <c r="J90" s="594"/>
      <c r="K90" s="592"/>
      <c r="L90" s="593"/>
      <c r="M90" s="594"/>
      <c r="N90" s="10"/>
      <c r="O90" s="10"/>
      <c r="P90" s="10"/>
      <c r="Q90" s="10"/>
      <c r="AW90" s="917"/>
    </row>
    <row r="91" spans="1:51" ht="13.5" thickTop="1" x14ac:dyDescent="0.2">
      <c r="B91" s="752"/>
      <c r="C91"/>
      <c r="D91"/>
      <c r="E91"/>
      <c r="F91"/>
      <c r="G91"/>
      <c r="H91"/>
      <c r="I91"/>
      <c r="J91"/>
      <c r="K91"/>
      <c r="L91"/>
      <c r="M91"/>
      <c r="AW91" s="13"/>
    </row>
    <row r="92" spans="1:51" x14ac:dyDescent="0.2">
      <c r="B92" s="751"/>
      <c r="C92"/>
      <c r="D92"/>
      <c r="E92"/>
      <c r="F92"/>
      <c r="G92"/>
      <c r="H92"/>
      <c r="I92"/>
      <c r="J92"/>
      <c r="K92"/>
      <c r="L92"/>
      <c r="M92"/>
    </row>
    <row r="93" spans="1:51" x14ac:dyDescent="0.2">
      <c r="B93" s="751"/>
      <c r="C93"/>
      <c r="D93"/>
      <c r="E93"/>
      <c r="F93"/>
      <c r="G93"/>
      <c r="H93"/>
      <c r="I93"/>
      <c r="J93"/>
      <c r="K93"/>
      <c r="L93"/>
      <c r="M93"/>
    </row>
    <row r="94" spans="1:51" x14ac:dyDescent="0.2">
      <c r="B94" s="755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  <mergeCell ref="AV2:AV3"/>
    <mergeCell ref="AW2:AW3"/>
    <mergeCell ref="AX2:AX3"/>
    <mergeCell ref="AV1:AX1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503" t="s">
        <v>857</v>
      </c>
      <c r="B1" s="1504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0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0" ht="95.25" customHeight="1" x14ac:dyDescent="0.2">
      <c r="A3" s="1505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0" ht="14.25" customHeight="1" x14ac:dyDescent="0.2">
      <c r="A4" s="494"/>
      <c r="B4" s="495"/>
      <c r="C4" s="422">
        <v>1</v>
      </c>
      <c r="D4" s="422">
        <v>2</v>
      </c>
      <c r="E4" s="422">
        <v>3</v>
      </c>
      <c r="F4" s="422">
        <v>4</v>
      </c>
      <c r="G4" s="422">
        <v>5</v>
      </c>
      <c r="H4" s="422">
        <v>6</v>
      </c>
      <c r="I4" s="422">
        <v>7</v>
      </c>
      <c r="J4" s="422">
        <v>8</v>
      </c>
      <c r="K4" s="422">
        <v>9</v>
      </c>
      <c r="L4" s="422">
        <v>10</v>
      </c>
      <c r="M4" s="422">
        <v>11</v>
      </c>
      <c r="N4" s="422">
        <v>12</v>
      </c>
      <c r="O4" s="422">
        <v>13</v>
      </c>
      <c r="P4" s="422">
        <v>14</v>
      </c>
      <c r="Q4" s="422">
        <v>15</v>
      </c>
      <c r="R4" s="422">
        <v>16</v>
      </c>
      <c r="S4" s="422">
        <v>17</v>
      </c>
      <c r="T4" s="422">
        <v>18</v>
      </c>
      <c r="U4" s="422">
        <v>19</v>
      </c>
      <c r="V4" s="422">
        <v>20</v>
      </c>
      <c r="W4" s="422">
        <v>21</v>
      </c>
      <c r="X4" s="422">
        <v>22</v>
      </c>
      <c r="Y4" s="422">
        <v>23</v>
      </c>
      <c r="Z4" s="422">
        <v>24</v>
      </c>
      <c r="AA4" s="422">
        <v>25</v>
      </c>
      <c r="AB4" s="422">
        <v>26</v>
      </c>
      <c r="AC4" s="422">
        <v>27</v>
      </c>
      <c r="AD4" s="422">
        <v>28</v>
      </c>
      <c r="AE4" s="422">
        <v>29</v>
      </c>
      <c r="AF4" s="422">
        <v>30</v>
      </c>
      <c r="AG4" s="422">
        <v>31</v>
      </c>
      <c r="AH4" s="422">
        <v>32</v>
      </c>
      <c r="AI4" s="422">
        <v>33</v>
      </c>
      <c r="AJ4" s="422">
        <v>34</v>
      </c>
      <c r="AK4" s="422">
        <v>35</v>
      </c>
      <c r="AL4" s="422">
        <v>36</v>
      </c>
      <c r="AM4" s="422">
        <v>37</v>
      </c>
      <c r="AN4" s="422">
        <v>38</v>
      </c>
      <c r="AO4" s="422">
        <v>39</v>
      </c>
      <c r="AP4" s="422">
        <v>40</v>
      </c>
      <c r="AQ4" s="422">
        <v>41</v>
      </c>
      <c r="AR4" s="422">
        <v>42</v>
      </c>
      <c r="AS4" s="422">
        <v>43</v>
      </c>
      <c r="AT4" s="1212">
        <v>44</v>
      </c>
      <c r="AU4" s="1212">
        <v>45</v>
      </c>
      <c r="AV4" s="422">
        <v>46</v>
      </c>
      <c r="AW4" s="422">
        <v>47</v>
      </c>
      <c r="AX4" s="422">
        <v>48</v>
      </c>
    </row>
    <row r="5" spans="1:50" s="438" customFormat="1" ht="31.5" customHeight="1" x14ac:dyDescent="0.2">
      <c r="A5" s="655"/>
      <c r="B5" s="655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0" s="438" customFormat="1" ht="31.5" hidden="1" customHeight="1" x14ac:dyDescent="0.2">
      <c r="A6" s="655"/>
      <c r="B6" s="655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0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</row>
    <row r="8" spans="1:50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</row>
    <row r="9" spans="1:50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</row>
    <row r="10" spans="1:50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</row>
    <row r="11" spans="1:50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</row>
    <row r="12" spans="1:50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</row>
    <row r="13" spans="1:50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</row>
    <row r="14" spans="1:50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</row>
    <row r="15" spans="1:50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</row>
    <row r="16" spans="1:50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</row>
    <row r="17" spans="1:50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</row>
    <row r="18" spans="1:50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</row>
    <row r="19" spans="1:50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</row>
    <row r="20" spans="1:50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</row>
    <row r="21" spans="1:50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</row>
    <row r="22" spans="1:50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</row>
    <row r="23" spans="1:50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</row>
    <row r="24" spans="1:50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</row>
    <row r="25" spans="1:50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</row>
    <row r="26" spans="1:50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</row>
    <row r="27" spans="1:50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</row>
    <row r="28" spans="1:50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</row>
    <row r="29" spans="1:50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</row>
    <row r="30" spans="1:50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</row>
    <row r="31" spans="1:50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</row>
    <row r="32" spans="1:50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4813855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6606600</v>
      </c>
      <c r="AM32" s="127"/>
      <c r="AN32" s="124"/>
      <c r="AO32" s="117">
        <v>0</v>
      </c>
      <c r="AP32" s="124"/>
      <c r="AQ32" s="125"/>
      <c r="AR32" s="125"/>
      <c r="AS32" s="124">
        <v>659747</v>
      </c>
      <c r="AT32" s="695"/>
      <c r="AU32" s="696"/>
      <c r="AV32" s="118"/>
      <c r="AW32" s="118"/>
      <c r="AX32" s="118">
        <v>3238</v>
      </c>
    </row>
    <row r="33" spans="1:50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</row>
    <row r="34" spans="1:50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</row>
    <row r="35" spans="1:50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</row>
    <row r="36" spans="1:50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</row>
    <row r="37" spans="1:50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</row>
    <row r="38" spans="1:50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</row>
    <row r="39" spans="1:50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</row>
    <row r="40" spans="1:50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</row>
    <row r="41" spans="1:50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</row>
    <row r="42" spans="1:50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329987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794818</v>
      </c>
      <c r="AM42" s="127"/>
      <c r="AN42" s="124"/>
      <c r="AO42" s="117">
        <v>0</v>
      </c>
      <c r="AP42" s="124"/>
      <c r="AQ42" s="125"/>
      <c r="AR42" s="125"/>
      <c r="AS42" s="124">
        <v>88811</v>
      </c>
      <c r="AT42" s="695"/>
      <c r="AU42" s="696"/>
      <c r="AV42" s="118"/>
      <c r="AW42" s="118"/>
      <c r="AX42" s="118">
        <v>631</v>
      </c>
    </row>
    <row r="43" spans="1:50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</row>
    <row r="44" spans="1:50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16158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88448</v>
      </c>
      <c r="AM44" s="146"/>
      <c r="AN44" s="143"/>
      <c r="AO44" s="135">
        <v>0</v>
      </c>
      <c r="AP44" s="143"/>
      <c r="AQ44" s="144"/>
      <c r="AR44" s="144"/>
      <c r="AS44" s="143">
        <v>10008</v>
      </c>
      <c r="AT44" s="697"/>
      <c r="AU44" s="698"/>
      <c r="AV44" s="136"/>
      <c r="AW44" s="136"/>
      <c r="AX44" s="136">
        <v>80</v>
      </c>
    </row>
    <row r="45" spans="1:50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</row>
    <row r="46" spans="1:50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</row>
    <row r="47" spans="1:50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</row>
    <row r="48" spans="1:50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</row>
    <row r="49" spans="1:50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</row>
    <row r="50" spans="1:50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26861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21330</v>
      </c>
      <c r="AM50" s="146"/>
      <c r="AN50" s="143"/>
      <c r="AO50" s="135">
        <v>0</v>
      </c>
      <c r="AP50" s="143"/>
      <c r="AQ50" s="144"/>
      <c r="AR50" s="144"/>
      <c r="AS50" s="143">
        <v>1859</v>
      </c>
      <c r="AT50" s="697"/>
      <c r="AU50" s="698"/>
      <c r="AV50" s="136"/>
      <c r="AW50" s="136"/>
      <c r="AX50" s="136">
        <v>2</v>
      </c>
    </row>
    <row r="51" spans="1:50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2834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-1253</v>
      </c>
      <c r="AT51" s="699"/>
      <c r="AU51" s="700"/>
      <c r="AV51" s="150"/>
      <c r="AW51" s="150"/>
      <c r="AX51" s="150">
        <v>-38</v>
      </c>
    </row>
    <row r="52" spans="1:50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</row>
    <row r="53" spans="1:50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</row>
    <row r="54" spans="1:50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</row>
    <row r="55" spans="1:50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</row>
    <row r="56" spans="1:50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</row>
    <row r="57" spans="1:50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</row>
    <row r="58" spans="1:50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12986</v>
      </c>
      <c r="AM58" s="146"/>
      <c r="AN58" s="143"/>
      <c r="AO58" s="135">
        <v>0</v>
      </c>
      <c r="AP58" s="143"/>
      <c r="AQ58" s="144"/>
      <c r="AR58" s="144"/>
      <c r="AS58" s="143">
        <v>2159</v>
      </c>
      <c r="AT58" s="697"/>
      <c r="AU58" s="698"/>
      <c r="AV58" s="136"/>
      <c r="AW58" s="136"/>
      <c r="AX58" s="136">
        <v>32</v>
      </c>
    </row>
    <row r="59" spans="1:50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</row>
    <row r="60" spans="1:50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</row>
    <row r="61" spans="1:50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</row>
    <row r="62" spans="1:50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</row>
    <row r="63" spans="1:50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</row>
    <row r="64" spans="1:50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</row>
    <row r="65" spans="1:50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</row>
    <row r="66" spans="1:50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</row>
    <row r="67" spans="1:50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</row>
    <row r="68" spans="1:50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</row>
    <row r="69" spans="1:50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</row>
    <row r="70" spans="1:50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</row>
    <row r="71" spans="1:50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</row>
    <row r="72" spans="1:50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</row>
    <row r="73" spans="1:50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</row>
    <row r="74" spans="1:50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</row>
    <row r="75" spans="1:50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</row>
    <row r="76" spans="1:50" s="33" customFormat="1" ht="15" customHeight="1" thickBot="1" x14ac:dyDescent="0.25">
      <c r="A76" s="1499" t="s">
        <v>365</v>
      </c>
      <c r="B76" s="1500"/>
      <c r="C76" s="913">
        <v>1121</v>
      </c>
      <c r="D76" s="914">
        <v>4268.9653302959669</v>
      </c>
      <c r="E76" s="915">
        <v>4315841.7750473665</v>
      </c>
      <c r="F76" s="916">
        <v>979</v>
      </c>
      <c r="G76" s="917">
        <v>570.35224473434255</v>
      </c>
      <c r="H76" s="918">
        <v>474613.92212742561</v>
      </c>
      <c r="I76" s="1109">
        <v>0</v>
      </c>
      <c r="J76" s="917">
        <v>158.37628411149953</v>
      </c>
      <c r="K76" s="918">
        <v>0</v>
      </c>
      <c r="L76" s="916">
        <v>109</v>
      </c>
      <c r="M76" s="917">
        <v>3936.5780458287281</v>
      </c>
      <c r="N76" s="918">
        <v>359651.04042721691</v>
      </c>
      <c r="O76" s="916">
        <v>30</v>
      </c>
      <c r="P76" s="917">
        <v>1527.9418817790604</v>
      </c>
      <c r="Q76" s="918">
        <v>39587.439609830028</v>
      </c>
      <c r="R76" s="919">
        <v>5189695</v>
      </c>
      <c r="S76" s="917">
        <v>331396</v>
      </c>
      <c r="T76" s="917">
        <v>51873</v>
      </c>
      <c r="U76" s="920">
        <v>383269</v>
      </c>
      <c r="V76" s="919">
        <v>5572964</v>
      </c>
      <c r="W76" s="918">
        <v>-13931</v>
      </c>
      <c r="X76" s="919">
        <v>5559033</v>
      </c>
      <c r="Y76" s="918">
        <v>0</v>
      </c>
      <c r="Z76" s="919">
        <v>5559033</v>
      </c>
      <c r="AA76" s="917">
        <v>3561340</v>
      </c>
      <c r="AB76" s="917">
        <v>1997693</v>
      </c>
      <c r="AC76" s="919">
        <v>499425</v>
      </c>
      <c r="AD76" s="921">
        <v>5559033</v>
      </c>
      <c r="AE76" s="917">
        <v>5688</v>
      </c>
      <c r="AF76" s="922">
        <v>6857444</v>
      </c>
      <c r="AG76" s="916">
        <v>97</v>
      </c>
      <c r="AH76" s="917">
        <v>607352</v>
      </c>
      <c r="AI76" s="916">
        <v>19</v>
      </c>
      <c r="AJ76" s="917">
        <v>59386</v>
      </c>
      <c r="AK76" s="920">
        <v>666738</v>
      </c>
      <c r="AL76" s="922">
        <v>7524182</v>
      </c>
      <c r="AM76" s="917">
        <v>-18810</v>
      </c>
      <c r="AN76" s="922">
        <v>7505372</v>
      </c>
      <c r="AO76" s="917">
        <v>0</v>
      </c>
      <c r="AP76" s="922">
        <v>7505372</v>
      </c>
      <c r="AQ76" s="917">
        <v>4460046</v>
      </c>
      <c r="AR76" s="917">
        <v>3045326</v>
      </c>
      <c r="AS76" s="922">
        <v>761331</v>
      </c>
      <c r="AT76" s="1176">
        <v>13064405</v>
      </c>
      <c r="AU76" s="1177">
        <v>1260756</v>
      </c>
      <c r="AV76" s="917">
        <v>18810</v>
      </c>
      <c r="AW76" s="917">
        <v>14865</v>
      </c>
      <c r="AX76" s="917">
        <v>3945</v>
      </c>
    </row>
    <row r="77" spans="1:50" s="33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121635</v>
      </c>
      <c r="S77" s="860"/>
      <c r="T77" s="860"/>
      <c r="U77" s="860"/>
      <c r="V77" s="861">
        <v>121635</v>
      </c>
      <c r="W77" s="910">
        <v>-304</v>
      </c>
      <c r="X77" s="861">
        <v>121331</v>
      </c>
      <c r="Y77" s="860"/>
      <c r="Z77" s="861">
        <v>121331</v>
      </c>
      <c r="AA77" s="860">
        <v>78040</v>
      </c>
      <c r="AB77" s="860">
        <v>43291</v>
      </c>
      <c r="AC77" s="861">
        <v>10823</v>
      </c>
      <c r="AD77" s="912">
        <v>121331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121331</v>
      </c>
      <c r="AU77" s="1175">
        <v>10823</v>
      </c>
      <c r="AV77" s="860">
        <v>0</v>
      </c>
      <c r="AW77" s="860"/>
      <c r="AX77" s="860">
        <v>0</v>
      </c>
    </row>
    <row r="78" spans="1:50" s="457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</row>
    <row r="79" spans="1:50" s="33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</row>
    <row r="80" spans="1:50" s="33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</row>
    <row r="81" spans="1:50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</row>
    <row r="82" spans="1:50" s="33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45524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</row>
    <row r="83" spans="1:50" s="33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7552</v>
      </c>
      <c r="AA83" s="155">
        <v>5034</v>
      </c>
      <c r="AB83" s="709">
        <v>2518</v>
      </c>
      <c r="AC83" s="156">
        <v>630</v>
      </c>
      <c r="AD83" s="156">
        <v>7552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7552</v>
      </c>
      <c r="AU83" s="710">
        <v>630</v>
      </c>
      <c r="AV83" s="709"/>
      <c r="AW83" s="709"/>
      <c r="AX83" s="709"/>
    </row>
    <row r="84" spans="1:50" s="33" customFormat="1" ht="15" customHeight="1" thickBot="1" x14ac:dyDescent="0.25">
      <c r="A84" s="1499" t="s">
        <v>366</v>
      </c>
      <c r="B84" s="1500"/>
      <c r="C84" s="913">
        <v>1121</v>
      </c>
      <c r="D84" s="914">
        <v>4268.9653302959669</v>
      </c>
      <c r="E84" s="915">
        <v>4315841.7750473665</v>
      </c>
      <c r="F84" s="916">
        <v>979</v>
      </c>
      <c r="G84" s="917">
        <v>570.35224473434255</v>
      </c>
      <c r="H84" s="918">
        <v>474613.92212742561</v>
      </c>
      <c r="I84" s="1109">
        <v>0</v>
      </c>
      <c r="J84" s="917">
        <v>158.37628411149953</v>
      </c>
      <c r="K84" s="918">
        <v>0</v>
      </c>
      <c r="L84" s="916">
        <v>109</v>
      </c>
      <c r="M84" s="917">
        <v>3936.5780458287281</v>
      </c>
      <c r="N84" s="918">
        <v>359651.04042721691</v>
      </c>
      <c r="O84" s="916">
        <v>30</v>
      </c>
      <c r="P84" s="917">
        <v>1527.9418817790604</v>
      </c>
      <c r="Q84" s="918">
        <v>39587.439609830028</v>
      </c>
      <c r="R84" s="919">
        <v>5311330</v>
      </c>
      <c r="S84" s="917">
        <v>331396</v>
      </c>
      <c r="T84" s="917">
        <v>51873</v>
      </c>
      <c r="U84" s="920">
        <v>383269</v>
      </c>
      <c r="V84" s="919">
        <v>5694599</v>
      </c>
      <c r="W84" s="918">
        <v>-14235</v>
      </c>
      <c r="X84" s="919">
        <v>5680364</v>
      </c>
      <c r="Y84" s="918">
        <v>0</v>
      </c>
      <c r="Z84" s="919">
        <v>5687916</v>
      </c>
      <c r="AA84" s="917">
        <v>3644414</v>
      </c>
      <c r="AB84" s="917">
        <v>2043502</v>
      </c>
      <c r="AC84" s="919">
        <v>510878</v>
      </c>
      <c r="AD84" s="921">
        <v>5733440</v>
      </c>
      <c r="AE84" s="917">
        <v>5688</v>
      </c>
      <c r="AF84" s="922">
        <v>6857444</v>
      </c>
      <c r="AG84" s="916">
        <v>97</v>
      </c>
      <c r="AH84" s="917">
        <v>607352</v>
      </c>
      <c r="AI84" s="916">
        <v>19</v>
      </c>
      <c r="AJ84" s="917">
        <v>59386</v>
      </c>
      <c r="AK84" s="920">
        <v>666738</v>
      </c>
      <c r="AL84" s="922">
        <v>7524182</v>
      </c>
      <c r="AM84" s="917">
        <v>-18810</v>
      </c>
      <c r="AN84" s="922">
        <v>7505372</v>
      </c>
      <c r="AO84" s="917">
        <v>0</v>
      </c>
      <c r="AP84" s="922">
        <v>7505372</v>
      </c>
      <c r="AQ84" s="917">
        <v>4460046</v>
      </c>
      <c r="AR84" s="917">
        <v>3045326</v>
      </c>
      <c r="AS84" s="922">
        <v>761331</v>
      </c>
      <c r="AT84" s="702">
        <v>13193288</v>
      </c>
      <c r="AU84" s="702">
        <v>1272209</v>
      </c>
      <c r="AV84" s="917">
        <v>18810</v>
      </c>
      <c r="AW84" s="917">
        <v>14865</v>
      </c>
      <c r="AX84" s="917">
        <v>3945</v>
      </c>
    </row>
    <row r="85" spans="1:50" ht="16.149999999999999" customHeight="1" thickTop="1" x14ac:dyDescent="0.2"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458"/>
      <c r="Y85" s="300"/>
      <c r="Z85" s="300"/>
      <c r="AB85" s="300"/>
      <c r="AC85" s="300"/>
      <c r="AD85" s="300"/>
      <c r="AE85" s="300"/>
      <c r="AF85" s="300"/>
    </row>
    <row r="86" spans="1:50" ht="16.149999999999999" customHeight="1" x14ac:dyDescent="0.2"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458"/>
      <c r="Y86" s="300"/>
      <c r="Z86" s="300"/>
      <c r="AB86" s="300"/>
      <c r="AC86" s="300"/>
      <c r="AD86" s="300"/>
      <c r="AE86" s="300"/>
      <c r="AF86" s="300"/>
    </row>
    <row r="87" spans="1:50" ht="16.149999999999999" customHeight="1" x14ac:dyDescent="0.2">
      <c r="C87" s="437"/>
      <c r="D87" s="300"/>
      <c r="E87" s="300"/>
      <c r="F87" s="265"/>
      <c r="G87" s="300"/>
      <c r="H87" s="599"/>
      <c r="I87" s="599"/>
      <c r="J87" s="599"/>
      <c r="K87" s="599"/>
      <c r="L87" s="746"/>
      <c r="M87" s="599"/>
      <c r="N87" s="599"/>
      <c r="O87" s="747"/>
      <c r="P87" s="599"/>
      <c r="Q87" s="599"/>
      <c r="R87" s="300"/>
      <c r="S87" s="300"/>
      <c r="T87" s="300"/>
      <c r="U87" s="300"/>
      <c r="V87" s="300"/>
      <c r="W87" s="300"/>
      <c r="X87" s="458"/>
      <c r="Y87" s="300"/>
      <c r="Z87" s="300"/>
      <c r="AA87" s="458"/>
      <c r="AB87" s="300"/>
      <c r="AC87" s="300"/>
      <c r="AD87" s="300"/>
      <c r="AE87" s="300"/>
      <c r="AF87" s="300"/>
      <c r="AQ87" s="458"/>
      <c r="AS87" s="458"/>
    </row>
    <row r="88" spans="1:50" ht="16.149999999999999" customHeight="1" x14ac:dyDescent="0.2">
      <c r="H88" s="11"/>
      <c r="I88" s="11"/>
      <c r="J88" s="1146"/>
      <c r="K88" s="1145"/>
      <c r="L88" s="1145"/>
      <c r="M88" s="1146"/>
      <c r="N88" s="1145"/>
      <c r="O88" s="1145"/>
      <c r="P88" s="1146"/>
      <c r="Q88" s="1145"/>
    </row>
    <row r="89" spans="1:50" x14ac:dyDescent="0.2">
      <c r="H89" s="11"/>
      <c r="I89" s="11"/>
      <c r="J89" s="1146"/>
      <c r="K89" s="1145"/>
      <c r="L89" s="1145"/>
      <c r="M89" s="1146"/>
      <c r="N89" s="1145"/>
      <c r="O89" s="1145"/>
      <c r="P89" s="1146"/>
      <c r="Q89" s="1145"/>
    </row>
    <row r="90" spans="1:50" ht="13.5" thickBot="1" x14ac:dyDescent="0.25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  <c r="AW90" s="917"/>
    </row>
    <row r="91" spans="1:50" ht="13.5" thickTop="1" x14ac:dyDescent="0.2">
      <c r="B91" s="752"/>
      <c r="C91"/>
      <c r="D91"/>
      <c r="E91"/>
      <c r="F91"/>
      <c r="G91"/>
      <c r="AW91" s="300"/>
    </row>
    <row r="92" spans="1:50" x14ac:dyDescent="0.2">
      <c r="B92" s="753"/>
      <c r="C92"/>
      <c r="D92"/>
      <c r="E92"/>
      <c r="F92"/>
      <c r="G92"/>
    </row>
    <row r="93" spans="1:50" x14ac:dyDescent="0.2">
      <c r="B93" s="753"/>
      <c r="C93"/>
      <c r="D93"/>
      <c r="E93"/>
      <c r="F93"/>
      <c r="G93"/>
    </row>
    <row r="94" spans="1:50" x14ac:dyDescent="0.2">
      <c r="B94" s="754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  <mergeCell ref="AV2:AV3"/>
    <mergeCell ref="AW2:AW3"/>
    <mergeCell ref="AX2:AX3"/>
    <mergeCell ref="AV1:AX1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509" t="s">
        <v>1208</v>
      </c>
      <c r="B1" s="1510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0" ht="30" customHeight="1" x14ac:dyDescent="0.2">
      <c r="A2" s="1511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0" ht="95.25" customHeight="1" x14ac:dyDescent="0.2">
      <c r="A3" s="1511"/>
      <c r="B3" s="1506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0" ht="14.25" customHeight="1" x14ac:dyDescent="0.2">
      <c r="A4" s="494"/>
      <c r="B4" s="495"/>
      <c r="C4" s="422">
        <v>1</v>
      </c>
      <c r="D4" s="422">
        <v>2</v>
      </c>
      <c r="E4" s="422">
        <v>3</v>
      </c>
      <c r="F4" s="422">
        <v>4</v>
      </c>
      <c r="G4" s="422">
        <v>5</v>
      </c>
      <c r="H4" s="422">
        <v>6</v>
      </c>
      <c r="I4" s="422">
        <v>7</v>
      </c>
      <c r="J4" s="422">
        <v>8</v>
      </c>
      <c r="K4" s="422">
        <v>9</v>
      </c>
      <c r="L4" s="422">
        <v>10</v>
      </c>
      <c r="M4" s="422">
        <v>11</v>
      </c>
      <c r="N4" s="422">
        <v>12</v>
      </c>
      <c r="O4" s="422">
        <v>13</v>
      </c>
      <c r="P4" s="422">
        <v>14</v>
      </c>
      <c r="Q4" s="422">
        <v>15</v>
      </c>
      <c r="R4" s="422">
        <v>16</v>
      </c>
      <c r="S4" s="422">
        <v>17</v>
      </c>
      <c r="T4" s="422">
        <v>18</v>
      </c>
      <c r="U4" s="422">
        <v>19</v>
      </c>
      <c r="V4" s="422">
        <v>20</v>
      </c>
      <c r="W4" s="422">
        <v>21</v>
      </c>
      <c r="X4" s="422">
        <v>22</v>
      </c>
      <c r="Y4" s="422">
        <v>23</v>
      </c>
      <c r="Z4" s="422">
        <v>24</v>
      </c>
      <c r="AA4" s="422">
        <v>25</v>
      </c>
      <c r="AB4" s="422">
        <v>26</v>
      </c>
      <c r="AC4" s="422">
        <v>27</v>
      </c>
      <c r="AD4" s="422">
        <v>28</v>
      </c>
      <c r="AE4" s="422">
        <v>29</v>
      </c>
      <c r="AF4" s="422">
        <v>30</v>
      </c>
      <c r="AG4" s="422">
        <v>31</v>
      </c>
      <c r="AH4" s="422">
        <v>32</v>
      </c>
      <c r="AI4" s="422">
        <v>33</v>
      </c>
      <c r="AJ4" s="422">
        <v>34</v>
      </c>
      <c r="AK4" s="422">
        <v>35</v>
      </c>
      <c r="AL4" s="422">
        <v>36</v>
      </c>
      <c r="AM4" s="422">
        <v>37</v>
      </c>
      <c r="AN4" s="422">
        <v>38</v>
      </c>
      <c r="AO4" s="422">
        <v>39</v>
      </c>
      <c r="AP4" s="422">
        <v>40</v>
      </c>
      <c r="AQ4" s="422">
        <v>41</v>
      </c>
      <c r="AR4" s="422">
        <v>42</v>
      </c>
      <c r="AS4" s="422">
        <v>43</v>
      </c>
      <c r="AT4" s="1212">
        <v>44</v>
      </c>
      <c r="AU4" s="1212">
        <v>45</v>
      </c>
      <c r="AV4" s="422">
        <v>46</v>
      </c>
      <c r="AW4" s="422">
        <v>47</v>
      </c>
      <c r="AX4" s="422">
        <v>48</v>
      </c>
    </row>
    <row r="5" spans="1:50" s="438" customFormat="1" ht="31.5" customHeight="1" x14ac:dyDescent="0.2">
      <c r="A5" s="655"/>
      <c r="B5" s="655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0" s="438" customFormat="1" ht="31.5" hidden="1" customHeight="1" x14ac:dyDescent="0.2">
      <c r="A6" s="655"/>
      <c r="B6" s="655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0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</row>
    <row r="8" spans="1:50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</row>
    <row r="9" spans="1:50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</row>
    <row r="10" spans="1:50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</row>
    <row r="11" spans="1:50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0</v>
      </c>
      <c r="AM11" s="161"/>
      <c r="AN11" s="158"/>
      <c r="AO11" s="149">
        <v>0</v>
      </c>
      <c r="AP11" s="158"/>
      <c r="AQ11" s="159"/>
      <c r="AR11" s="159"/>
      <c r="AS11" s="158">
        <v>0</v>
      </c>
      <c r="AT11" s="699"/>
      <c r="AU11" s="700"/>
      <c r="AV11" s="150"/>
      <c r="AW11" s="150"/>
      <c r="AX11" s="150">
        <v>0</v>
      </c>
    </row>
    <row r="12" spans="1:50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</row>
    <row r="13" spans="1:50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</row>
    <row r="14" spans="1:50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</row>
    <row r="15" spans="1:50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</row>
    <row r="16" spans="1:50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</row>
    <row r="17" spans="1:50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</row>
    <row r="18" spans="1:50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</row>
    <row r="19" spans="1:50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</row>
    <row r="20" spans="1:50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</row>
    <row r="21" spans="1:50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</row>
    <row r="22" spans="1:50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</row>
    <row r="23" spans="1:50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372728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1468436</v>
      </c>
      <c r="AM23" s="146"/>
      <c r="AN23" s="143"/>
      <c r="AO23" s="135">
        <v>0</v>
      </c>
      <c r="AP23" s="143"/>
      <c r="AQ23" s="144"/>
      <c r="AR23" s="144"/>
      <c r="AS23" s="143">
        <v>135073</v>
      </c>
      <c r="AT23" s="697"/>
      <c r="AU23" s="698"/>
      <c r="AV23" s="136"/>
      <c r="AW23" s="136"/>
      <c r="AX23" s="136">
        <v>2003</v>
      </c>
    </row>
    <row r="24" spans="1:50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</row>
    <row r="25" spans="1:50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2196</v>
      </c>
      <c r="AM25" s="146"/>
      <c r="AN25" s="143"/>
      <c r="AO25" s="135">
        <v>0</v>
      </c>
      <c r="AP25" s="143"/>
      <c r="AQ25" s="144"/>
      <c r="AR25" s="144"/>
      <c r="AS25" s="143">
        <v>182</v>
      </c>
      <c r="AT25" s="697"/>
      <c r="AU25" s="698"/>
      <c r="AV25" s="136"/>
      <c r="AW25" s="136"/>
      <c r="AX25" s="136">
        <v>5</v>
      </c>
    </row>
    <row r="26" spans="1:50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</row>
    <row r="27" spans="1:50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</row>
    <row r="28" spans="1:50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</row>
    <row r="29" spans="1:50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</row>
    <row r="30" spans="1:50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</row>
    <row r="31" spans="1:50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</row>
    <row r="32" spans="1:50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</row>
    <row r="33" spans="1:50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</row>
    <row r="34" spans="1:50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</row>
    <row r="35" spans="1:50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</row>
    <row r="36" spans="1:50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</row>
    <row r="37" spans="1:50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</row>
    <row r="38" spans="1:50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2849</v>
      </c>
      <c r="AM38" s="146"/>
      <c r="AN38" s="143"/>
      <c r="AO38" s="135">
        <v>0</v>
      </c>
      <c r="AP38" s="143"/>
      <c r="AQ38" s="144"/>
      <c r="AR38" s="144"/>
      <c r="AS38" s="143">
        <v>-144</v>
      </c>
      <c r="AT38" s="697"/>
      <c r="AU38" s="698"/>
      <c r="AV38" s="136"/>
      <c r="AW38" s="136"/>
      <c r="AX38" s="136">
        <v>7</v>
      </c>
    </row>
    <row r="39" spans="1:50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</row>
    <row r="40" spans="1:50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</row>
    <row r="41" spans="1:50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</row>
    <row r="42" spans="1:50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</row>
    <row r="43" spans="1:50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</row>
    <row r="44" spans="1:50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</row>
    <row r="45" spans="1:50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</row>
    <row r="46" spans="1:50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0</v>
      </c>
      <c r="AM46" s="161"/>
      <c r="AN46" s="158"/>
      <c r="AO46" s="149">
        <v>0</v>
      </c>
      <c r="AP46" s="158"/>
      <c r="AQ46" s="159"/>
      <c r="AR46" s="159"/>
      <c r="AS46" s="158">
        <v>0</v>
      </c>
      <c r="AT46" s="699"/>
      <c r="AU46" s="700"/>
      <c r="AV46" s="150"/>
      <c r="AW46" s="150"/>
      <c r="AX46" s="150">
        <v>0</v>
      </c>
    </row>
    <row r="47" spans="1:50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</row>
    <row r="48" spans="1:50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</row>
    <row r="49" spans="1:50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</row>
    <row r="50" spans="1:50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</row>
    <row r="51" spans="1:50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</row>
    <row r="52" spans="1:50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</row>
    <row r="53" spans="1:50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</row>
    <row r="54" spans="1:50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</row>
    <row r="55" spans="1:50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0</v>
      </c>
      <c r="AT55" s="697"/>
      <c r="AU55" s="698"/>
      <c r="AV55" s="136"/>
      <c r="AW55" s="136"/>
      <c r="AX55" s="136">
        <v>0</v>
      </c>
    </row>
    <row r="56" spans="1:50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</row>
    <row r="57" spans="1:50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</row>
    <row r="58" spans="1:50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</row>
    <row r="59" spans="1:50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</row>
    <row r="60" spans="1:50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</row>
    <row r="61" spans="1:50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</row>
    <row r="62" spans="1:50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</row>
    <row r="63" spans="1:50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</row>
    <row r="64" spans="1:50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</row>
    <row r="65" spans="1:50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</row>
    <row r="66" spans="1:50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</row>
    <row r="67" spans="1:50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</row>
    <row r="68" spans="1:50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</row>
    <row r="69" spans="1:50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</row>
    <row r="70" spans="1:50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</row>
    <row r="71" spans="1:50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</row>
    <row r="72" spans="1:50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</row>
    <row r="73" spans="1:50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3134</v>
      </c>
      <c r="AM73" s="146"/>
      <c r="AN73" s="143"/>
      <c r="AO73" s="135">
        <v>0</v>
      </c>
      <c r="AP73" s="143"/>
      <c r="AQ73" s="144"/>
      <c r="AR73" s="144"/>
      <c r="AS73" s="143">
        <v>261</v>
      </c>
      <c r="AT73" s="697"/>
      <c r="AU73" s="698"/>
      <c r="AV73" s="701"/>
      <c r="AW73" s="701"/>
      <c r="AX73" s="701">
        <v>8</v>
      </c>
    </row>
    <row r="74" spans="1:50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6363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19008</v>
      </c>
      <c r="AM74" s="146"/>
      <c r="AN74" s="143"/>
      <c r="AO74" s="135">
        <v>0</v>
      </c>
      <c r="AP74" s="143"/>
      <c r="AQ74" s="144"/>
      <c r="AR74" s="144"/>
      <c r="AS74" s="143">
        <v>-458</v>
      </c>
      <c r="AT74" s="697"/>
      <c r="AU74" s="698"/>
      <c r="AV74" s="701"/>
      <c r="AW74" s="701"/>
      <c r="AX74" s="701">
        <v>40</v>
      </c>
    </row>
    <row r="75" spans="1:50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1984</v>
      </c>
      <c r="AM75" s="146"/>
      <c r="AN75" s="143"/>
      <c r="AO75" s="135">
        <v>0</v>
      </c>
      <c r="AP75" s="143"/>
      <c r="AQ75" s="144"/>
      <c r="AR75" s="144"/>
      <c r="AS75" s="143">
        <v>-85</v>
      </c>
      <c r="AT75" s="1172"/>
      <c r="AU75" s="1173"/>
      <c r="AV75" s="1174"/>
      <c r="AW75" s="1174"/>
      <c r="AX75" s="1174">
        <v>5</v>
      </c>
    </row>
    <row r="76" spans="1:50" s="33" customFormat="1" ht="15" customHeight="1" thickBot="1" x14ac:dyDescent="0.25">
      <c r="A76" s="1499" t="s">
        <v>365</v>
      </c>
      <c r="B76" s="1500"/>
      <c r="C76" s="913">
        <v>90</v>
      </c>
      <c r="D76" s="914">
        <v>4268.9653302959669</v>
      </c>
      <c r="E76" s="915">
        <v>317534.70509679808</v>
      </c>
      <c r="F76" s="916">
        <v>75</v>
      </c>
      <c r="G76" s="917">
        <v>570.35224473434255</v>
      </c>
      <c r="H76" s="918">
        <v>33646.364387172369</v>
      </c>
      <c r="I76" s="1109">
        <v>55</v>
      </c>
      <c r="J76" s="917">
        <v>158.37628411149953</v>
      </c>
      <c r="K76" s="918">
        <v>6674.2829422099448</v>
      </c>
      <c r="L76" s="916">
        <v>7</v>
      </c>
      <c r="M76" s="917">
        <v>3936.5780458287281</v>
      </c>
      <c r="N76" s="918">
        <v>21236.354816122548</v>
      </c>
      <c r="O76" s="916">
        <v>0</v>
      </c>
      <c r="P76" s="917">
        <v>1527.9418817790604</v>
      </c>
      <c r="Q76" s="918">
        <v>0</v>
      </c>
      <c r="R76" s="919">
        <v>379091</v>
      </c>
      <c r="S76" s="917">
        <v>487055</v>
      </c>
      <c r="T76" s="917">
        <v>-26500</v>
      </c>
      <c r="U76" s="920">
        <v>460555</v>
      </c>
      <c r="V76" s="919">
        <v>839646</v>
      </c>
      <c r="W76" s="918">
        <v>-2099</v>
      </c>
      <c r="X76" s="919">
        <v>837547</v>
      </c>
      <c r="Y76" s="918">
        <v>0</v>
      </c>
      <c r="Z76" s="919">
        <v>837547</v>
      </c>
      <c r="AA76" s="917">
        <v>561111</v>
      </c>
      <c r="AB76" s="917">
        <v>276436</v>
      </c>
      <c r="AC76" s="919">
        <v>69109</v>
      </c>
      <c r="AD76" s="921">
        <v>837547</v>
      </c>
      <c r="AE76" s="917">
        <v>5688</v>
      </c>
      <c r="AF76" s="922">
        <v>693117</v>
      </c>
      <c r="AG76" s="916">
        <v>110</v>
      </c>
      <c r="AH76" s="917">
        <v>795336</v>
      </c>
      <c r="AI76" s="916">
        <v>-5</v>
      </c>
      <c r="AJ76" s="917">
        <v>9154</v>
      </c>
      <c r="AK76" s="920">
        <v>804490</v>
      </c>
      <c r="AL76" s="922">
        <v>1497607</v>
      </c>
      <c r="AM76" s="917">
        <v>-3744</v>
      </c>
      <c r="AN76" s="922">
        <v>1493863</v>
      </c>
      <c r="AO76" s="917">
        <v>0</v>
      </c>
      <c r="AP76" s="922">
        <v>1493863</v>
      </c>
      <c r="AQ76" s="917">
        <v>954547</v>
      </c>
      <c r="AR76" s="917">
        <v>539316</v>
      </c>
      <c r="AS76" s="922">
        <v>134829</v>
      </c>
      <c r="AT76" s="1176">
        <v>2331410</v>
      </c>
      <c r="AU76" s="1177">
        <v>203938</v>
      </c>
      <c r="AV76" s="917">
        <v>3744</v>
      </c>
      <c r="AW76" s="917">
        <v>1676</v>
      </c>
      <c r="AX76" s="917">
        <v>2068</v>
      </c>
    </row>
    <row r="77" spans="1:50" s="33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24636</v>
      </c>
      <c r="S77" s="860"/>
      <c r="T77" s="860"/>
      <c r="U77" s="860"/>
      <c r="V77" s="861">
        <v>24636</v>
      </c>
      <c r="W77" s="910">
        <v>-62</v>
      </c>
      <c r="X77" s="861">
        <v>24574</v>
      </c>
      <c r="Y77" s="860"/>
      <c r="Z77" s="861">
        <v>24574</v>
      </c>
      <c r="AA77" s="860">
        <v>12852</v>
      </c>
      <c r="AB77" s="860">
        <v>11722</v>
      </c>
      <c r="AC77" s="861">
        <v>2931</v>
      </c>
      <c r="AD77" s="912">
        <v>24574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24574</v>
      </c>
      <c r="AU77" s="1175">
        <v>2931</v>
      </c>
      <c r="AV77" s="860">
        <v>0</v>
      </c>
      <c r="AW77" s="860"/>
      <c r="AX77" s="860">
        <v>0</v>
      </c>
    </row>
    <row r="78" spans="1:50" s="457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</row>
    <row r="79" spans="1:50" s="33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</row>
    <row r="80" spans="1:50" s="33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</row>
    <row r="81" spans="1:50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21449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</row>
    <row r="82" spans="1:50" s="33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</row>
    <row r="83" spans="1:50" s="33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5310</v>
      </c>
      <c r="AA83" s="155">
        <v>3541</v>
      </c>
      <c r="AB83" s="709">
        <v>1769</v>
      </c>
      <c r="AC83" s="156">
        <v>442</v>
      </c>
      <c r="AD83" s="156">
        <v>5310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5310</v>
      </c>
      <c r="AU83" s="710">
        <v>442</v>
      </c>
      <c r="AV83" s="709"/>
      <c r="AW83" s="709"/>
      <c r="AX83" s="709"/>
    </row>
    <row r="84" spans="1:50" s="33" customFormat="1" ht="15" customHeight="1" thickBot="1" x14ac:dyDescent="0.25">
      <c r="A84" s="1499" t="s">
        <v>366</v>
      </c>
      <c r="B84" s="1500"/>
      <c r="C84" s="913">
        <v>90</v>
      </c>
      <c r="D84" s="914">
        <v>4268.9653302959669</v>
      </c>
      <c r="E84" s="915">
        <v>317534.70509679808</v>
      </c>
      <c r="F84" s="916">
        <v>75</v>
      </c>
      <c r="G84" s="917">
        <v>570.35224473434255</v>
      </c>
      <c r="H84" s="918">
        <v>33646.364387172369</v>
      </c>
      <c r="I84" s="1109">
        <v>55</v>
      </c>
      <c r="J84" s="917">
        <v>158.37628411149953</v>
      </c>
      <c r="K84" s="918">
        <v>6674.2829422099448</v>
      </c>
      <c r="L84" s="916">
        <v>7</v>
      </c>
      <c r="M84" s="917">
        <v>3936.5780458287281</v>
      </c>
      <c r="N84" s="918">
        <v>21236.354816122548</v>
      </c>
      <c r="O84" s="916">
        <v>0</v>
      </c>
      <c r="P84" s="917">
        <v>1527.9418817790604</v>
      </c>
      <c r="Q84" s="918">
        <v>0</v>
      </c>
      <c r="R84" s="919">
        <v>403727</v>
      </c>
      <c r="S84" s="917">
        <v>487055</v>
      </c>
      <c r="T84" s="917">
        <v>-26500</v>
      </c>
      <c r="U84" s="920">
        <v>460555</v>
      </c>
      <c r="V84" s="919">
        <v>864282</v>
      </c>
      <c r="W84" s="918">
        <v>-2161</v>
      </c>
      <c r="X84" s="919">
        <v>862121</v>
      </c>
      <c r="Y84" s="918">
        <v>0</v>
      </c>
      <c r="Z84" s="919">
        <v>867431</v>
      </c>
      <c r="AA84" s="917">
        <v>577504</v>
      </c>
      <c r="AB84" s="917">
        <v>289927</v>
      </c>
      <c r="AC84" s="919">
        <v>72482</v>
      </c>
      <c r="AD84" s="921">
        <v>888880</v>
      </c>
      <c r="AE84" s="917">
        <v>5688</v>
      </c>
      <c r="AF84" s="922">
        <v>693117</v>
      </c>
      <c r="AG84" s="916">
        <v>110</v>
      </c>
      <c r="AH84" s="917">
        <v>795336</v>
      </c>
      <c r="AI84" s="916">
        <v>-5</v>
      </c>
      <c r="AJ84" s="917">
        <v>9154</v>
      </c>
      <c r="AK84" s="920">
        <v>804490</v>
      </c>
      <c r="AL84" s="922">
        <v>1497607</v>
      </c>
      <c r="AM84" s="917">
        <v>-3744</v>
      </c>
      <c r="AN84" s="922">
        <v>1493863</v>
      </c>
      <c r="AO84" s="917">
        <v>0</v>
      </c>
      <c r="AP84" s="922">
        <v>1493863</v>
      </c>
      <c r="AQ84" s="917">
        <v>954547</v>
      </c>
      <c r="AR84" s="917">
        <v>539316</v>
      </c>
      <c r="AS84" s="922">
        <v>134829</v>
      </c>
      <c r="AT84" s="702">
        <v>2361294</v>
      </c>
      <c r="AU84" s="702">
        <v>207311</v>
      </c>
      <c r="AV84" s="917">
        <v>3744</v>
      </c>
      <c r="AW84" s="917">
        <v>1676</v>
      </c>
      <c r="AX84" s="917">
        <v>2068</v>
      </c>
    </row>
    <row r="85" spans="1:50" ht="16.149999999999999" customHeight="1" thickTop="1" x14ac:dyDescent="0.2"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458"/>
      <c r="Y85" s="300"/>
      <c r="Z85" s="300"/>
      <c r="AB85" s="300"/>
      <c r="AC85" s="300"/>
      <c r="AD85" s="300"/>
      <c r="AE85" s="300"/>
      <c r="AF85" s="300"/>
    </row>
    <row r="86" spans="1:50" ht="16.149999999999999" customHeight="1" x14ac:dyDescent="0.2"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458"/>
      <c r="Y86" s="300"/>
      <c r="Z86" s="300"/>
      <c r="AB86" s="300"/>
      <c r="AC86" s="300"/>
      <c r="AD86" s="300"/>
      <c r="AE86" s="300"/>
      <c r="AF86" s="300"/>
    </row>
    <row r="87" spans="1:50" ht="16.149999999999999" customHeight="1" x14ac:dyDescent="0.2">
      <c r="C87" s="437"/>
      <c r="D87" s="300"/>
      <c r="E87" s="300"/>
      <c r="F87" s="265"/>
      <c r="G87" s="300"/>
      <c r="H87" s="599"/>
      <c r="I87" s="599"/>
      <c r="J87" s="599"/>
      <c r="K87" s="599"/>
      <c r="L87" s="746"/>
      <c r="M87" s="599"/>
      <c r="N87" s="599"/>
      <c r="O87" s="747"/>
      <c r="P87" s="599"/>
      <c r="Q87" s="599"/>
      <c r="R87" s="300"/>
      <c r="S87" s="300"/>
      <c r="T87" s="300"/>
      <c r="U87" s="300"/>
      <c r="V87" s="300"/>
      <c r="W87" s="300"/>
      <c r="X87" s="458"/>
      <c r="Y87" s="300"/>
      <c r="Z87" s="300"/>
      <c r="AA87" s="458"/>
      <c r="AB87" s="300"/>
      <c r="AC87" s="300"/>
      <c r="AD87" s="300"/>
      <c r="AE87" s="300"/>
      <c r="AF87" s="300"/>
      <c r="AQ87" s="458"/>
      <c r="AS87" s="458"/>
    </row>
    <row r="88" spans="1:50" ht="16.149999999999999" customHeight="1" x14ac:dyDescent="0.2">
      <c r="H88" s="11"/>
      <c r="I88" s="11"/>
      <c r="J88" s="1146"/>
      <c r="K88" s="1145"/>
      <c r="L88" s="1145"/>
      <c r="M88" s="1146"/>
      <c r="N88" s="1145"/>
      <c r="O88" s="1145"/>
      <c r="P88" s="1146"/>
      <c r="Q88" s="1145"/>
    </row>
    <row r="89" spans="1:50" x14ac:dyDescent="0.2">
      <c r="H89" s="11"/>
      <c r="I89" s="11"/>
      <c r="J89" s="1146"/>
      <c r="K89" s="1145"/>
      <c r="L89" s="1145"/>
      <c r="M89" s="1146"/>
      <c r="N89" s="1145"/>
      <c r="O89" s="1145"/>
      <c r="P89" s="1146"/>
      <c r="Q89" s="1145"/>
    </row>
    <row r="90" spans="1:50" ht="13.5" thickBot="1" x14ac:dyDescent="0.25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  <c r="AW90" s="917"/>
    </row>
    <row r="91" spans="1:50" ht="13.5" thickTop="1" x14ac:dyDescent="0.2">
      <c r="B91" s="752"/>
      <c r="C91"/>
      <c r="D91"/>
      <c r="E91"/>
      <c r="F91"/>
      <c r="G91"/>
      <c r="AW91" s="300"/>
    </row>
    <row r="92" spans="1:50" x14ac:dyDescent="0.2">
      <c r="B92" s="753"/>
      <c r="C92"/>
      <c r="D92"/>
      <c r="E92"/>
      <c r="F92"/>
      <c r="G92"/>
    </row>
    <row r="93" spans="1:50" x14ac:dyDescent="0.2">
      <c r="B93" s="757"/>
      <c r="C93"/>
      <c r="D93"/>
      <c r="E93"/>
      <c r="F93"/>
      <c r="G93"/>
    </row>
    <row r="94" spans="1:50" x14ac:dyDescent="0.2">
      <c r="B94" s="754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  <mergeCell ref="AV2:AV3"/>
    <mergeCell ref="AW2:AW3"/>
    <mergeCell ref="AX2:AX3"/>
    <mergeCell ref="AV1:AX1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432" t="s">
        <v>1234</v>
      </c>
      <c r="B1" s="1433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9"/>
      <c r="V1" s="1400" t="s">
        <v>291</v>
      </c>
      <c r="W1" s="1401"/>
      <c r="X1" s="1401"/>
      <c r="Y1" s="1401"/>
      <c r="Z1" s="1401"/>
      <c r="AA1" s="1401"/>
      <c r="AB1" s="1401"/>
      <c r="AC1" s="1401"/>
      <c r="AD1" s="1402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  <c r="AT1" s="1491" t="s">
        <v>301</v>
      </c>
      <c r="AU1" s="1491" t="s">
        <v>302</v>
      </c>
      <c r="AV1" s="1498" t="s">
        <v>1422</v>
      </c>
      <c r="AW1" s="1498"/>
      <c r="AX1" s="1498"/>
    </row>
    <row r="2" spans="1:50" ht="30" customHeight="1" x14ac:dyDescent="0.2">
      <c r="A2" s="1434"/>
      <c r="B2" s="1435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1419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  <c r="AT2" s="1491"/>
      <c r="AU2" s="1491"/>
      <c r="AV2" s="1488" t="s">
        <v>1390</v>
      </c>
      <c r="AW2" s="1488" t="s">
        <v>1391</v>
      </c>
      <c r="AX2" s="1488" t="s">
        <v>347</v>
      </c>
    </row>
    <row r="3" spans="1:50" ht="95.25" customHeight="1" x14ac:dyDescent="0.2">
      <c r="A3" s="1436"/>
      <c r="B3" s="1437"/>
      <c r="C3" s="1397"/>
      <c r="D3" s="1142" t="s">
        <v>486</v>
      </c>
      <c r="E3" s="1142" t="s">
        <v>300</v>
      </c>
      <c r="F3" s="1142" t="s">
        <v>1287</v>
      </c>
      <c r="G3" s="1142" t="s">
        <v>360</v>
      </c>
      <c r="H3" s="1142" t="s">
        <v>300</v>
      </c>
      <c r="I3" s="1228" t="s">
        <v>1442</v>
      </c>
      <c r="J3" s="1142" t="s">
        <v>360</v>
      </c>
      <c r="K3" s="1142" t="s">
        <v>300</v>
      </c>
      <c r="L3" s="1142" t="s">
        <v>1289</v>
      </c>
      <c r="M3" s="1142" t="s">
        <v>372</v>
      </c>
      <c r="N3" s="1142" t="s">
        <v>300</v>
      </c>
      <c r="O3" s="1142" t="s">
        <v>1289</v>
      </c>
      <c r="P3" s="1142" t="s">
        <v>372</v>
      </c>
      <c r="Q3" s="1142" t="s">
        <v>300</v>
      </c>
      <c r="R3" s="1397"/>
      <c r="S3" s="1223" t="s">
        <v>1290</v>
      </c>
      <c r="T3" s="1223" t="s">
        <v>1291</v>
      </c>
      <c r="U3" s="122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223" t="s">
        <v>1420</v>
      </c>
      <c r="AH3" s="1223" t="s">
        <v>1294</v>
      </c>
      <c r="AI3" s="1223" t="s">
        <v>1295</v>
      </c>
      <c r="AJ3" s="1223" t="s">
        <v>1296</v>
      </c>
      <c r="AK3" s="1223" t="s">
        <v>224</v>
      </c>
      <c r="AL3" s="1489"/>
      <c r="AM3" s="1489"/>
      <c r="AN3" s="1489"/>
      <c r="AO3" s="1406"/>
      <c r="AP3" s="1489"/>
      <c r="AQ3" s="1489"/>
      <c r="AR3" s="1489"/>
      <c r="AS3" s="1489"/>
      <c r="AT3" s="1491"/>
      <c r="AU3" s="1491"/>
      <c r="AV3" s="1488"/>
      <c r="AW3" s="1488"/>
      <c r="AX3" s="1488"/>
    </row>
    <row r="4" spans="1:50" ht="14.25" customHeight="1" x14ac:dyDescent="0.2">
      <c r="A4" s="494"/>
      <c r="B4" s="495"/>
      <c r="C4" s="422">
        <v>1</v>
      </c>
      <c r="D4" s="422">
        <v>2</v>
      </c>
      <c r="E4" s="422">
        <v>3</v>
      </c>
      <c r="F4" s="422">
        <v>4</v>
      </c>
      <c r="G4" s="422">
        <v>5</v>
      </c>
      <c r="H4" s="422">
        <v>6</v>
      </c>
      <c r="I4" s="422">
        <v>7</v>
      </c>
      <c r="J4" s="422">
        <v>8</v>
      </c>
      <c r="K4" s="422">
        <v>9</v>
      </c>
      <c r="L4" s="422">
        <v>10</v>
      </c>
      <c r="M4" s="422">
        <v>11</v>
      </c>
      <c r="N4" s="422">
        <v>12</v>
      </c>
      <c r="O4" s="422">
        <v>13</v>
      </c>
      <c r="P4" s="422">
        <v>14</v>
      </c>
      <c r="Q4" s="422">
        <v>15</v>
      </c>
      <c r="R4" s="422">
        <v>16</v>
      </c>
      <c r="S4" s="422">
        <v>17</v>
      </c>
      <c r="T4" s="422">
        <v>18</v>
      </c>
      <c r="U4" s="422">
        <v>19</v>
      </c>
      <c r="V4" s="422">
        <v>20</v>
      </c>
      <c r="W4" s="422">
        <v>21</v>
      </c>
      <c r="X4" s="422">
        <v>22</v>
      </c>
      <c r="Y4" s="422">
        <v>23</v>
      </c>
      <c r="Z4" s="422">
        <v>24</v>
      </c>
      <c r="AA4" s="422">
        <v>25</v>
      </c>
      <c r="AB4" s="422">
        <v>26</v>
      </c>
      <c r="AC4" s="422">
        <v>27</v>
      </c>
      <c r="AD4" s="422">
        <v>28</v>
      </c>
      <c r="AE4" s="422">
        <v>29</v>
      </c>
      <c r="AF4" s="422">
        <v>30</v>
      </c>
      <c r="AG4" s="422">
        <v>31</v>
      </c>
      <c r="AH4" s="422">
        <v>32</v>
      </c>
      <c r="AI4" s="422">
        <v>33</v>
      </c>
      <c r="AJ4" s="422">
        <v>34</v>
      </c>
      <c r="AK4" s="422">
        <v>35</v>
      </c>
      <c r="AL4" s="422">
        <v>36</v>
      </c>
      <c r="AM4" s="422">
        <v>37</v>
      </c>
      <c r="AN4" s="422">
        <v>38</v>
      </c>
      <c r="AO4" s="422">
        <v>39</v>
      </c>
      <c r="AP4" s="422">
        <v>40</v>
      </c>
      <c r="AQ4" s="422">
        <v>41</v>
      </c>
      <c r="AR4" s="422">
        <v>42</v>
      </c>
      <c r="AS4" s="422">
        <v>43</v>
      </c>
      <c r="AT4" s="1212">
        <v>44</v>
      </c>
      <c r="AU4" s="1212">
        <v>45</v>
      </c>
      <c r="AV4" s="422">
        <v>46</v>
      </c>
      <c r="AW4" s="422">
        <v>47</v>
      </c>
      <c r="AX4" s="422">
        <v>48</v>
      </c>
    </row>
    <row r="5" spans="1:50" s="438" customFormat="1" ht="31.5" customHeight="1" x14ac:dyDescent="0.2">
      <c r="A5" s="655"/>
      <c r="B5" s="655"/>
      <c r="C5" s="676" t="s">
        <v>760</v>
      </c>
      <c r="D5" s="539" t="s">
        <v>1433</v>
      </c>
      <c r="E5" s="539" t="s">
        <v>761</v>
      </c>
      <c r="F5" s="676" t="s">
        <v>898</v>
      </c>
      <c r="G5" s="676" t="s">
        <v>1428</v>
      </c>
      <c r="H5" s="676" t="s">
        <v>803</v>
      </c>
      <c r="I5" s="676" t="s">
        <v>897</v>
      </c>
      <c r="J5" s="676" t="s">
        <v>1429</v>
      </c>
      <c r="K5" s="676" t="s">
        <v>804</v>
      </c>
      <c r="L5" s="676" t="s">
        <v>895</v>
      </c>
      <c r="M5" s="676" t="s">
        <v>1430</v>
      </c>
      <c r="N5" s="676" t="s">
        <v>805</v>
      </c>
      <c r="O5" s="676" t="s">
        <v>896</v>
      </c>
      <c r="P5" s="676" t="s">
        <v>1431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1434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  <c r="AT5" s="538" t="s">
        <v>799</v>
      </c>
      <c r="AU5" s="538" t="s">
        <v>800</v>
      </c>
      <c r="AV5" s="651" t="s">
        <v>801</v>
      </c>
      <c r="AW5" s="651" t="s">
        <v>1392</v>
      </c>
      <c r="AX5" s="651" t="s">
        <v>1393</v>
      </c>
    </row>
    <row r="6" spans="1:50" s="438" customFormat="1" ht="31.5" hidden="1" customHeight="1" x14ac:dyDescent="0.2">
      <c r="A6" s="655"/>
      <c r="B6" s="655"/>
      <c r="C6" s="541"/>
      <c r="D6" s="541" t="s">
        <v>554</v>
      </c>
      <c r="E6" s="541" t="s">
        <v>555</v>
      </c>
      <c r="F6" s="541"/>
      <c r="G6" s="541" t="s">
        <v>554</v>
      </c>
      <c r="H6" s="541" t="s">
        <v>555</v>
      </c>
      <c r="I6" s="541"/>
      <c r="J6" s="541" t="s">
        <v>554</v>
      </c>
      <c r="K6" s="541" t="s">
        <v>555</v>
      </c>
      <c r="L6" s="541"/>
      <c r="M6" s="541" t="s">
        <v>554</v>
      </c>
      <c r="N6" s="541" t="s">
        <v>555</v>
      </c>
      <c r="O6" s="541"/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  <c r="AT6" s="541" t="s">
        <v>555</v>
      </c>
      <c r="AU6" s="541" t="s">
        <v>555</v>
      </c>
      <c r="AV6" s="541" t="s">
        <v>789</v>
      </c>
      <c r="AW6" s="541" t="s">
        <v>555</v>
      </c>
      <c r="AX6" s="541" t="s">
        <v>555</v>
      </c>
    </row>
    <row r="7" spans="1:50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>
        <v>0</v>
      </c>
      <c r="AM7" s="127"/>
      <c r="AN7" s="124"/>
      <c r="AO7" s="117">
        <v>0</v>
      </c>
      <c r="AP7" s="124"/>
      <c r="AQ7" s="125"/>
      <c r="AR7" s="125"/>
      <c r="AS7" s="124">
        <v>0</v>
      </c>
      <c r="AT7" s="695"/>
      <c r="AU7" s="696"/>
      <c r="AV7" s="118"/>
      <c r="AW7" s="118"/>
      <c r="AX7" s="118">
        <v>0</v>
      </c>
    </row>
    <row r="8" spans="1:50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>
        <v>0</v>
      </c>
      <c r="AM8" s="146"/>
      <c r="AN8" s="143"/>
      <c r="AO8" s="135">
        <v>0</v>
      </c>
      <c r="AP8" s="143"/>
      <c r="AQ8" s="144"/>
      <c r="AR8" s="144"/>
      <c r="AS8" s="143">
        <v>0</v>
      </c>
      <c r="AT8" s="697"/>
      <c r="AU8" s="698"/>
      <c r="AV8" s="136"/>
      <c r="AW8" s="136"/>
      <c r="AX8" s="136">
        <v>0</v>
      </c>
    </row>
    <row r="9" spans="1:50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0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>
        <v>0</v>
      </c>
      <c r="AM9" s="146"/>
      <c r="AN9" s="143"/>
      <c r="AO9" s="135">
        <v>0</v>
      </c>
      <c r="AP9" s="143"/>
      <c r="AQ9" s="144"/>
      <c r="AR9" s="144"/>
      <c r="AS9" s="143">
        <v>0</v>
      </c>
      <c r="AT9" s="697"/>
      <c r="AU9" s="698"/>
      <c r="AV9" s="136"/>
      <c r="AW9" s="136"/>
      <c r="AX9" s="136">
        <v>0</v>
      </c>
    </row>
    <row r="10" spans="1:50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>
        <v>0</v>
      </c>
      <c r="AM10" s="146"/>
      <c r="AN10" s="143"/>
      <c r="AO10" s="135">
        <v>0</v>
      </c>
      <c r="AP10" s="143"/>
      <c r="AQ10" s="144"/>
      <c r="AR10" s="144"/>
      <c r="AS10" s="143">
        <v>0</v>
      </c>
      <c r="AT10" s="697"/>
      <c r="AU10" s="698"/>
      <c r="AV10" s="136"/>
      <c r="AW10" s="136"/>
      <c r="AX10" s="136">
        <v>0</v>
      </c>
    </row>
    <row r="11" spans="1:50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1074178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>
        <v>620190</v>
      </c>
      <c r="AM11" s="161"/>
      <c r="AN11" s="158"/>
      <c r="AO11" s="149">
        <v>0</v>
      </c>
      <c r="AP11" s="158"/>
      <c r="AQ11" s="159"/>
      <c r="AR11" s="159"/>
      <c r="AS11" s="158">
        <v>63182</v>
      </c>
      <c r="AT11" s="699"/>
      <c r="AU11" s="700"/>
      <c r="AV11" s="150"/>
      <c r="AW11" s="150"/>
      <c r="AX11" s="150">
        <v>598</v>
      </c>
    </row>
    <row r="12" spans="1:50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>
        <v>0</v>
      </c>
      <c r="AM12" s="127"/>
      <c r="AN12" s="124"/>
      <c r="AO12" s="117">
        <v>0</v>
      </c>
      <c r="AP12" s="124"/>
      <c r="AQ12" s="125"/>
      <c r="AR12" s="125"/>
      <c r="AS12" s="124">
        <v>0</v>
      </c>
      <c r="AT12" s="695"/>
      <c r="AU12" s="696"/>
      <c r="AV12" s="118"/>
      <c r="AW12" s="118"/>
      <c r="AX12" s="118">
        <v>0</v>
      </c>
    </row>
    <row r="13" spans="1:50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>
        <v>0</v>
      </c>
      <c r="AM13" s="146"/>
      <c r="AN13" s="143"/>
      <c r="AO13" s="135">
        <v>0</v>
      </c>
      <c r="AP13" s="143"/>
      <c r="AQ13" s="144"/>
      <c r="AR13" s="144"/>
      <c r="AS13" s="143">
        <v>0</v>
      </c>
      <c r="AT13" s="697"/>
      <c r="AU13" s="698"/>
      <c r="AV13" s="136"/>
      <c r="AW13" s="136"/>
      <c r="AX13" s="136">
        <v>0</v>
      </c>
    </row>
    <row r="14" spans="1:50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>
        <v>0</v>
      </c>
      <c r="AM14" s="146"/>
      <c r="AN14" s="143"/>
      <c r="AO14" s="135">
        <v>0</v>
      </c>
      <c r="AP14" s="143"/>
      <c r="AQ14" s="144"/>
      <c r="AR14" s="144"/>
      <c r="AS14" s="143">
        <v>0</v>
      </c>
      <c r="AT14" s="697"/>
      <c r="AU14" s="698"/>
      <c r="AV14" s="136"/>
      <c r="AW14" s="136"/>
      <c r="AX14" s="136">
        <v>0</v>
      </c>
    </row>
    <row r="15" spans="1:50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>
        <v>0</v>
      </c>
      <c r="AM15" s="146"/>
      <c r="AN15" s="143"/>
      <c r="AO15" s="135">
        <v>0</v>
      </c>
      <c r="AP15" s="143"/>
      <c r="AQ15" s="144"/>
      <c r="AR15" s="144"/>
      <c r="AS15" s="143">
        <v>0</v>
      </c>
      <c r="AT15" s="697"/>
      <c r="AU15" s="698"/>
      <c r="AV15" s="136"/>
      <c r="AW15" s="136"/>
      <c r="AX15" s="136">
        <v>0</v>
      </c>
    </row>
    <row r="16" spans="1:50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>
        <v>0</v>
      </c>
      <c r="AM16" s="161"/>
      <c r="AN16" s="158"/>
      <c r="AO16" s="149">
        <v>0</v>
      </c>
      <c r="AP16" s="158"/>
      <c r="AQ16" s="159"/>
      <c r="AR16" s="159"/>
      <c r="AS16" s="158">
        <v>0</v>
      </c>
      <c r="AT16" s="699"/>
      <c r="AU16" s="700"/>
      <c r="AV16" s="150"/>
      <c r="AW16" s="150"/>
      <c r="AX16" s="150">
        <v>0</v>
      </c>
    </row>
    <row r="17" spans="1:50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>
        <v>0</v>
      </c>
      <c r="AM17" s="127"/>
      <c r="AN17" s="124"/>
      <c r="AO17" s="117">
        <v>0</v>
      </c>
      <c r="AP17" s="124"/>
      <c r="AQ17" s="125"/>
      <c r="AR17" s="125"/>
      <c r="AS17" s="124">
        <v>0</v>
      </c>
      <c r="AT17" s="695"/>
      <c r="AU17" s="696"/>
      <c r="AV17" s="118"/>
      <c r="AW17" s="118"/>
      <c r="AX17" s="118">
        <v>0</v>
      </c>
    </row>
    <row r="18" spans="1:50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>
        <v>0</v>
      </c>
      <c r="AM18" s="146"/>
      <c r="AN18" s="143"/>
      <c r="AO18" s="135">
        <v>0</v>
      </c>
      <c r="AP18" s="143"/>
      <c r="AQ18" s="144"/>
      <c r="AR18" s="144"/>
      <c r="AS18" s="143">
        <v>0</v>
      </c>
      <c r="AT18" s="697"/>
      <c r="AU18" s="698"/>
      <c r="AV18" s="136"/>
      <c r="AW18" s="136"/>
      <c r="AX18" s="136">
        <v>0</v>
      </c>
    </row>
    <row r="19" spans="1:50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>
        <v>0</v>
      </c>
      <c r="AM19" s="146"/>
      <c r="AN19" s="143"/>
      <c r="AO19" s="135">
        <v>0</v>
      </c>
      <c r="AP19" s="143"/>
      <c r="AQ19" s="144"/>
      <c r="AR19" s="144"/>
      <c r="AS19" s="143">
        <v>0</v>
      </c>
      <c r="AT19" s="697"/>
      <c r="AU19" s="698"/>
      <c r="AV19" s="136"/>
      <c r="AW19" s="136"/>
      <c r="AX19" s="136">
        <v>0</v>
      </c>
    </row>
    <row r="20" spans="1:50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>
        <v>0</v>
      </c>
      <c r="AM20" s="146"/>
      <c r="AN20" s="143"/>
      <c r="AO20" s="135">
        <v>0</v>
      </c>
      <c r="AP20" s="143"/>
      <c r="AQ20" s="144"/>
      <c r="AR20" s="144"/>
      <c r="AS20" s="143">
        <v>0</v>
      </c>
      <c r="AT20" s="697"/>
      <c r="AU20" s="698"/>
      <c r="AV20" s="136"/>
      <c r="AW20" s="136"/>
      <c r="AX20" s="136">
        <v>0</v>
      </c>
    </row>
    <row r="21" spans="1:50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>
        <v>0</v>
      </c>
      <c r="AM21" s="161"/>
      <c r="AN21" s="158"/>
      <c r="AO21" s="149">
        <v>0</v>
      </c>
      <c r="AP21" s="158"/>
      <c r="AQ21" s="159"/>
      <c r="AR21" s="159"/>
      <c r="AS21" s="158">
        <v>0</v>
      </c>
      <c r="AT21" s="699"/>
      <c r="AU21" s="700"/>
      <c r="AV21" s="150"/>
      <c r="AW21" s="150"/>
      <c r="AX21" s="150">
        <v>0</v>
      </c>
    </row>
    <row r="22" spans="1:50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>
        <v>0</v>
      </c>
      <c r="AM22" s="127"/>
      <c r="AN22" s="124"/>
      <c r="AO22" s="117">
        <v>0</v>
      </c>
      <c r="AP22" s="124"/>
      <c r="AQ22" s="125"/>
      <c r="AR22" s="125"/>
      <c r="AS22" s="124">
        <v>0</v>
      </c>
      <c r="AT22" s="695"/>
      <c r="AU22" s="696"/>
      <c r="AV22" s="118"/>
      <c r="AW22" s="118"/>
      <c r="AX22" s="118">
        <v>0</v>
      </c>
    </row>
    <row r="23" spans="1:50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>
        <v>0</v>
      </c>
      <c r="AM23" s="146"/>
      <c r="AN23" s="143"/>
      <c r="AO23" s="135">
        <v>0</v>
      </c>
      <c r="AP23" s="143"/>
      <c r="AQ23" s="144"/>
      <c r="AR23" s="144"/>
      <c r="AS23" s="143">
        <v>0</v>
      </c>
      <c r="AT23" s="697"/>
      <c r="AU23" s="698"/>
      <c r="AV23" s="136"/>
      <c r="AW23" s="136"/>
      <c r="AX23" s="136">
        <v>0</v>
      </c>
    </row>
    <row r="24" spans="1:50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>
        <v>0</v>
      </c>
      <c r="AM24" s="146"/>
      <c r="AN24" s="143"/>
      <c r="AO24" s="135">
        <v>0</v>
      </c>
      <c r="AP24" s="143"/>
      <c r="AQ24" s="144"/>
      <c r="AR24" s="144"/>
      <c r="AS24" s="143">
        <v>0</v>
      </c>
      <c r="AT24" s="697"/>
      <c r="AU24" s="698"/>
      <c r="AV24" s="136"/>
      <c r="AW24" s="136"/>
      <c r="AX24" s="136">
        <v>0</v>
      </c>
    </row>
    <row r="25" spans="1:50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>
        <v>0</v>
      </c>
      <c r="AM25" s="146"/>
      <c r="AN25" s="143"/>
      <c r="AO25" s="135">
        <v>0</v>
      </c>
      <c r="AP25" s="143"/>
      <c r="AQ25" s="144"/>
      <c r="AR25" s="144"/>
      <c r="AS25" s="143">
        <v>0</v>
      </c>
      <c r="AT25" s="697"/>
      <c r="AU25" s="698"/>
      <c r="AV25" s="136"/>
      <c r="AW25" s="136"/>
      <c r="AX25" s="136">
        <v>0</v>
      </c>
    </row>
    <row r="26" spans="1:50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>
        <v>0</v>
      </c>
      <c r="AM26" s="161"/>
      <c r="AN26" s="158"/>
      <c r="AO26" s="149">
        <v>0</v>
      </c>
      <c r="AP26" s="158"/>
      <c r="AQ26" s="159"/>
      <c r="AR26" s="159"/>
      <c r="AS26" s="158">
        <v>0</v>
      </c>
      <c r="AT26" s="699"/>
      <c r="AU26" s="700"/>
      <c r="AV26" s="150"/>
      <c r="AW26" s="150"/>
      <c r="AX26" s="150">
        <v>0</v>
      </c>
    </row>
    <row r="27" spans="1:50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>
        <v>0</v>
      </c>
      <c r="AM27" s="127"/>
      <c r="AN27" s="124"/>
      <c r="AO27" s="117">
        <v>0</v>
      </c>
      <c r="AP27" s="124"/>
      <c r="AQ27" s="125"/>
      <c r="AR27" s="125"/>
      <c r="AS27" s="124">
        <v>0</v>
      </c>
      <c r="AT27" s="695"/>
      <c r="AU27" s="696"/>
      <c r="AV27" s="118"/>
      <c r="AW27" s="118"/>
      <c r="AX27" s="118">
        <v>0</v>
      </c>
    </row>
    <row r="28" spans="1:50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>
        <v>0</v>
      </c>
      <c r="AM28" s="146"/>
      <c r="AN28" s="143"/>
      <c r="AO28" s="135">
        <v>0</v>
      </c>
      <c r="AP28" s="143"/>
      <c r="AQ28" s="144"/>
      <c r="AR28" s="144"/>
      <c r="AS28" s="143">
        <v>0</v>
      </c>
      <c r="AT28" s="697"/>
      <c r="AU28" s="698"/>
      <c r="AV28" s="136"/>
      <c r="AW28" s="136"/>
      <c r="AX28" s="136">
        <v>0</v>
      </c>
    </row>
    <row r="29" spans="1:50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>
        <v>0</v>
      </c>
      <c r="AM29" s="146"/>
      <c r="AN29" s="143"/>
      <c r="AO29" s="135">
        <v>0</v>
      </c>
      <c r="AP29" s="143"/>
      <c r="AQ29" s="144"/>
      <c r="AR29" s="144"/>
      <c r="AS29" s="143">
        <v>0</v>
      </c>
      <c r="AT29" s="697"/>
      <c r="AU29" s="698"/>
      <c r="AV29" s="136"/>
      <c r="AW29" s="136"/>
      <c r="AX29" s="136">
        <v>0</v>
      </c>
    </row>
    <row r="30" spans="1:50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>
        <v>0</v>
      </c>
      <c r="AM30" s="146"/>
      <c r="AN30" s="143"/>
      <c r="AO30" s="135">
        <v>0</v>
      </c>
      <c r="AP30" s="143"/>
      <c r="AQ30" s="144"/>
      <c r="AR30" s="144"/>
      <c r="AS30" s="143">
        <v>0</v>
      </c>
      <c r="AT30" s="697"/>
      <c r="AU30" s="698"/>
      <c r="AV30" s="136"/>
      <c r="AW30" s="136"/>
      <c r="AX30" s="136">
        <v>0</v>
      </c>
    </row>
    <row r="31" spans="1:50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>
        <v>0</v>
      </c>
      <c r="AM31" s="161"/>
      <c r="AN31" s="158"/>
      <c r="AO31" s="149">
        <v>0</v>
      </c>
      <c r="AP31" s="158"/>
      <c r="AQ31" s="159"/>
      <c r="AR31" s="159"/>
      <c r="AS31" s="158">
        <v>0</v>
      </c>
      <c r="AT31" s="699"/>
      <c r="AU31" s="700"/>
      <c r="AV31" s="150"/>
      <c r="AW31" s="150"/>
      <c r="AX31" s="150">
        <v>0</v>
      </c>
    </row>
    <row r="32" spans="1:50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>
        <v>0</v>
      </c>
      <c r="AM32" s="127"/>
      <c r="AN32" s="124"/>
      <c r="AO32" s="117">
        <v>0</v>
      </c>
      <c r="AP32" s="124"/>
      <c r="AQ32" s="125"/>
      <c r="AR32" s="125"/>
      <c r="AS32" s="124">
        <v>0</v>
      </c>
      <c r="AT32" s="695"/>
      <c r="AU32" s="696"/>
      <c r="AV32" s="118"/>
      <c r="AW32" s="118"/>
      <c r="AX32" s="118">
        <v>0</v>
      </c>
    </row>
    <row r="33" spans="1:50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>
        <v>0</v>
      </c>
      <c r="AM33" s="146"/>
      <c r="AN33" s="143"/>
      <c r="AO33" s="135">
        <v>0</v>
      </c>
      <c r="AP33" s="143"/>
      <c r="AQ33" s="144"/>
      <c r="AR33" s="144"/>
      <c r="AS33" s="143">
        <v>0</v>
      </c>
      <c r="AT33" s="697"/>
      <c r="AU33" s="698"/>
      <c r="AV33" s="136"/>
      <c r="AW33" s="136"/>
      <c r="AX33" s="136">
        <v>0</v>
      </c>
    </row>
    <row r="34" spans="1:50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>
        <v>0</v>
      </c>
      <c r="AM34" s="146"/>
      <c r="AN34" s="143"/>
      <c r="AO34" s="135">
        <v>0</v>
      </c>
      <c r="AP34" s="143"/>
      <c r="AQ34" s="144"/>
      <c r="AR34" s="144"/>
      <c r="AS34" s="143">
        <v>0</v>
      </c>
      <c r="AT34" s="697"/>
      <c r="AU34" s="698"/>
      <c r="AV34" s="136"/>
      <c r="AW34" s="136"/>
      <c r="AX34" s="136">
        <v>0</v>
      </c>
    </row>
    <row r="35" spans="1:50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>
        <v>0</v>
      </c>
      <c r="AM35" s="146"/>
      <c r="AN35" s="143"/>
      <c r="AO35" s="135">
        <v>0</v>
      </c>
      <c r="AP35" s="143"/>
      <c r="AQ35" s="144"/>
      <c r="AR35" s="144"/>
      <c r="AS35" s="143">
        <v>0</v>
      </c>
      <c r="AT35" s="697"/>
      <c r="AU35" s="698"/>
      <c r="AV35" s="136"/>
      <c r="AW35" s="136"/>
      <c r="AX35" s="136">
        <v>0</v>
      </c>
    </row>
    <row r="36" spans="1:50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>
        <v>0</v>
      </c>
      <c r="AM36" s="161"/>
      <c r="AN36" s="158"/>
      <c r="AO36" s="149">
        <v>0</v>
      </c>
      <c r="AP36" s="158"/>
      <c r="AQ36" s="159"/>
      <c r="AR36" s="159"/>
      <c r="AS36" s="158">
        <v>0</v>
      </c>
      <c r="AT36" s="699"/>
      <c r="AU36" s="700"/>
      <c r="AV36" s="150"/>
      <c r="AW36" s="150"/>
      <c r="AX36" s="150">
        <v>0</v>
      </c>
    </row>
    <row r="37" spans="1:50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>
        <v>0</v>
      </c>
      <c r="AM37" s="127"/>
      <c r="AN37" s="124"/>
      <c r="AO37" s="117">
        <v>0</v>
      </c>
      <c r="AP37" s="124"/>
      <c r="AQ37" s="125"/>
      <c r="AR37" s="125"/>
      <c r="AS37" s="124">
        <v>0</v>
      </c>
      <c r="AT37" s="695"/>
      <c r="AU37" s="696"/>
      <c r="AV37" s="118"/>
      <c r="AW37" s="118"/>
      <c r="AX37" s="118">
        <v>0</v>
      </c>
    </row>
    <row r="38" spans="1:50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>
        <v>0</v>
      </c>
      <c r="AM38" s="146"/>
      <c r="AN38" s="143"/>
      <c r="AO38" s="135">
        <v>0</v>
      </c>
      <c r="AP38" s="143"/>
      <c r="AQ38" s="144"/>
      <c r="AR38" s="144"/>
      <c r="AS38" s="143">
        <v>0</v>
      </c>
      <c r="AT38" s="697"/>
      <c r="AU38" s="698"/>
      <c r="AV38" s="136"/>
      <c r="AW38" s="136"/>
      <c r="AX38" s="136">
        <v>0</v>
      </c>
    </row>
    <row r="39" spans="1:50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>
        <v>0</v>
      </c>
      <c r="AM39" s="146"/>
      <c r="AN39" s="143"/>
      <c r="AO39" s="135">
        <v>0</v>
      </c>
      <c r="AP39" s="143"/>
      <c r="AQ39" s="144"/>
      <c r="AR39" s="144"/>
      <c r="AS39" s="143">
        <v>0</v>
      </c>
      <c r="AT39" s="697"/>
      <c r="AU39" s="698"/>
      <c r="AV39" s="136"/>
      <c r="AW39" s="136"/>
      <c r="AX39" s="136">
        <v>0</v>
      </c>
    </row>
    <row r="40" spans="1:50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>
        <v>0</v>
      </c>
      <c r="AM40" s="146"/>
      <c r="AN40" s="143"/>
      <c r="AO40" s="135">
        <v>0</v>
      </c>
      <c r="AP40" s="143"/>
      <c r="AQ40" s="144"/>
      <c r="AR40" s="144"/>
      <c r="AS40" s="143">
        <v>0</v>
      </c>
      <c r="AT40" s="697"/>
      <c r="AU40" s="698"/>
      <c r="AV40" s="136"/>
      <c r="AW40" s="136"/>
      <c r="AX40" s="136">
        <v>0</v>
      </c>
    </row>
    <row r="41" spans="1:50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>
        <v>0</v>
      </c>
      <c r="AM41" s="161"/>
      <c r="AN41" s="158"/>
      <c r="AO41" s="149">
        <v>0</v>
      </c>
      <c r="AP41" s="158"/>
      <c r="AQ41" s="159"/>
      <c r="AR41" s="159"/>
      <c r="AS41" s="158">
        <v>0</v>
      </c>
      <c r="AT41" s="699"/>
      <c r="AU41" s="700"/>
      <c r="AV41" s="150"/>
      <c r="AW41" s="150"/>
      <c r="AX41" s="150">
        <v>0</v>
      </c>
    </row>
    <row r="42" spans="1:50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>
        <v>0</v>
      </c>
      <c r="AM42" s="127"/>
      <c r="AN42" s="124"/>
      <c r="AO42" s="117">
        <v>0</v>
      </c>
      <c r="AP42" s="124"/>
      <c r="AQ42" s="125"/>
      <c r="AR42" s="125"/>
      <c r="AS42" s="124">
        <v>0</v>
      </c>
      <c r="AT42" s="695"/>
      <c r="AU42" s="696"/>
      <c r="AV42" s="118"/>
      <c r="AW42" s="118"/>
      <c r="AX42" s="118">
        <v>0</v>
      </c>
    </row>
    <row r="43" spans="1:50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>
        <v>0</v>
      </c>
      <c r="AM43" s="146"/>
      <c r="AN43" s="143"/>
      <c r="AO43" s="135">
        <v>0</v>
      </c>
      <c r="AP43" s="143"/>
      <c r="AQ43" s="144"/>
      <c r="AR43" s="144"/>
      <c r="AS43" s="143">
        <v>0</v>
      </c>
      <c r="AT43" s="697"/>
      <c r="AU43" s="698"/>
      <c r="AV43" s="136"/>
      <c r="AW43" s="136"/>
      <c r="AX43" s="136">
        <v>0</v>
      </c>
    </row>
    <row r="44" spans="1:50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>
        <v>0</v>
      </c>
      <c r="AM44" s="146"/>
      <c r="AN44" s="143"/>
      <c r="AO44" s="135">
        <v>0</v>
      </c>
      <c r="AP44" s="143"/>
      <c r="AQ44" s="144"/>
      <c r="AR44" s="144"/>
      <c r="AS44" s="143">
        <v>0</v>
      </c>
      <c r="AT44" s="697"/>
      <c r="AU44" s="698"/>
      <c r="AV44" s="136"/>
      <c r="AW44" s="136"/>
      <c r="AX44" s="136">
        <v>0</v>
      </c>
    </row>
    <row r="45" spans="1:50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>
        <v>0</v>
      </c>
      <c r="AM45" s="146"/>
      <c r="AN45" s="143"/>
      <c r="AO45" s="135">
        <v>0</v>
      </c>
      <c r="AP45" s="143"/>
      <c r="AQ45" s="144"/>
      <c r="AR45" s="144"/>
      <c r="AS45" s="143">
        <v>0</v>
      </c>
      <c r="AT45" s="697"/>
      <c r="AU45" s="698"/>
      <c r="AV45" s="136"/>
      <c r="AW45" s="136"/>
      <c r="AX45" s="136">
        <v>0</v>
      </c>
    </row>
    <row r="46" spans="1:50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>
        <v>4263</v>
      </c>
      <c r="AM46" s="161"/>
      <c r="AN46" s="158"/>
      <c r="AO46" s="149">
        <v>0</v>
      </c>
      <c r="AP46" s="158"/>
      <c r="AQ46" s="159"/>
      <c r="AR46" s="159"/>
      <c r="AS46" s="158">
        <v>354</v>
      </c>
      <c r="AT46" s="699"/>
      <c r="AU46" s="700"/>
      <c r="AV46" s="150"/>
      <c r="AW46" s="150"/>
      <c r="AX46" s="150">
        <v>11</v>
      </c>
    </row>
    <row r="47" spans="1:50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>
        <v>0</v>
      </c>
      <c r="AM47" s="127"/>
      <c r="AN47" s="124"/>
      <c r="AO47" s="117">
        <v>0</v>
      </c>
      <c r="AP47" s="124"/>
      <c r="AQ47" s="125"/>
      <c r="AR47" s="125"/>
      <c r="AS47" s="124">
        <v>0</v>
      </c>
      <c r="AT47" s="695"/>
      <c r="AU47" s="696"/>
      <c r="AV47" s="118"/>
      <c r="AW47" s="118"/>
      <c r="AX47" s="118">
        <v>0</v>
      </c>
    </row>
    <row r="48" spans="1:50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>
        <v>0</v>
      </c>
      <c r="AM48" s="146"/>
      <c r="AN48" s="143"/>
      <c r="AO48" s="135">
        <v>0</v>
      </c>
      <c r="AP48" s="143"/>
      <c r="AQ48" s="144"/>
      <c r="AR48" s="144"/>
      <c r="AS48" s="143">
        <v>0</v>
      </c>
      <c r="AT48" s="697"/>
      <c r="AU48" s="698"/>
      <c r="AV48" s="136"/>
      <c r="AW48" s="136"/>
      <c r="AX48" s="136">
        <v>0</v>
      </c>
    </row>
    <row r="49" spans="1:50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>
        <v>0</v>
      </c>
      <c r="AM49" s="146"/>
      <c r="AN49" s="143"/>
      <c r="AO49" s="135">
        <v>0</v>
      </c>
      <c r="AP49" s="143"/>
      <c r="AQ49" s="144"/>
      <c r="AR49" s="144"/>
      <c r="AS49" s="143">
        <v>0</v>
      </c>
      <c r="AT49" s="697"/>
      <c r="AU49" s="698"/>
      <c r="AV49" s="136"/>
      <c r="AW49" s="136"/>
      <c r="AX49" s="136">
        <v>0</v>
      </c>
    </row>
    <row r="50" spans="1:50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>
        <v>0</v>
      </c>
      <c r="AM50" s="146"/>
      <c r="AN50" s="143"/>
      <c r="AO50" s="135">
        <v>0</v>
      </c>
      <c r="AP50" s="143"/>
      <c r="AQ50" s="144"/>
      <c r="AR50" s="144"/>
      <c r="AS50" s="143">
        <v>0</v>
      </c>
      <c r="AT50" s="697"/>
      <c r="AU50" s="698"/>
      <c r="AV50" s="136"/>
      <c r="AW50" s="136"/>
      <c r="AX50" s="136">
        <v>0</v>
      </c>
    </row>
    <row r="51" spans="1:50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>
        <v>0</v>
      </c>
      <c r="AM51" s="161"/>
      <c r="AN51" s="158"/>
      <c r="AO51" s="149">
        <v>0</v>
      </c>
      <c r="AP51" s="158"/>
      <c r="AQ51" s="159"/>
      <c r="AR51" s="159"/>
      <c r="AS51" s="158">
        <v>0</v>
      </c>
      <c r="AT51" s="699"/>
      <c r="AU51" s="700"/>
      <c r="AV51" s="150"/>
      <c r="AW51" s="150"/>
      <c r="AX51" s="150">
        <v>0</v>
      </c>
    </row>
    <row r="52" spans="1:50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>
        <v>0</v>
      </c>
      <c r="AM52" s="127"/>
      <c r="AN52" s="124"/>
      <c r="AO52" s="117">
        <v>0</v>
      </c>
      <c r="AP52" s="124"/>
      <c r="AQ52" s="125"/>
      <c r="AR52" s="125"/>
      <c r="AS52" s="124">
        <v>0</v>
      </c>
      <c r="AT52" s="695"/>
      <c r="AU52" s="696"/>
      <c r="AV52" s="118"/>
      <c r="AW52" s="118"/>
      <c r="AX52" s="118">
        <v>0</v>
      </c>
    </row>
    <row r="53" spans="1:50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>
        <v>0</v>
      </c>
      <c r="AM53" s="146"/>
      <c r="AN53" s="143"/>
      <c r="AO53" s="135">
        <v>0</v>
      </c>
      <c r="AP53" s="143"/>
      <c r="AQ53" s="144"/>
      <c r="AR53" s="144"/>
      <c r="AS53" s="143">
        <v>0</v>
      </c>
      <c r="AT53" s="697"/>
      <c r="AU53" s="698"/>
      <c r="AV53" s="136"/>
      <c r="AW53" s="136"/>
      <c r="AX53" s="136">
        <v>0</v>
      </c>
    </row>
    <row r="54" spans="1:50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0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>
        <v>0</v>
      </c>
      <c r="AM54" s="146"/>
      <c r="AN54" s="143"/>
      <c r="AO54" s="135">
        <v>0</v>
      </c>
      <c r="AP54" s="143"/>
      <c r="AQ54" s="144"/>
      <c r="AR54" s="144"/>
      <c r="AS54" s="143">
        <v>0</v>
      </c>
      <c r="AT54" s="697"/>
      <c r="AU54" s="698"/>
      <c r="AV54" s="136"/>
      <c r="AW54" s="136"/>
      <c r="AX54" s="136">
        <v>0</v>
      </c>
    </row>
    <row r="55" spans="1:50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4590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>
        <v>0</v>
      </c>
      <c r="AM55" s="146"/>
      <c r="AN55" s="143"/>
      <c r="AO55" s="135">
        <v>0</v>
      </c>
      <c r="AP55" s="143"/>
      <c r="AQ55" s="144"/>
      <c r="AR55" s="144"/>
      <c r="AS55" s="143">
        <v>-75</v>
      </c>
      <c r="AT55" s="697"/>
      <c r="AU55" s="698"/>
      <c r="AV55" s="136"/>
      <c r="AW55" s="136"/>
      <c r="AX55" s="136">
        <v>-7</v>
      </c>
    </row>
    <row r="56" spans="1:50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>
        <v>0</v>
      </c>
      <c r="AM56" s="161"/>
      <c r="AN56" s="158"/>
      <c r="AO56" s="149">
        <v>0</v>
      </c>
      <c r="AP56" s="158"/>
      <c r="AQ56" s="159"/>
      <c r="AR56" s="159"/>
      <c r="AS56" s="158">
        <v>0</v>
      </c>
      <c r="AT56" s="699"/>
      <c r="AU56" s="700"/>
      <c r="AV56" s="150"/>
      <c r="AW56" s="150"/>
      <c r="AX56" s="150">
        <v>0</v>
      </c>
    </row>
    <row r="57" spans="1:50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>
        <v>0</v>
      </c>
      <c r="AM57" s="127"/>
      <c r="AN57" s="124"/>
      <c r="AO57" s="117">
        <v>0</v>
      </c>
      <c r="AP57" s="124"/>
      <c r="AQ57" s="125"/>
      <c r="AR57" s="125"/>
      <c r="AS57" s="124">
        <v>0</v>
      </c>
      <c r="AT57" s="695"/>
      <c r="AU57" s="696"/>
      <c r="AV57" s="118"/>
      <c r="AW57" s="118"/>
      <c r="AX57" s="118">
        <v>0</v>
      </c>
    </row>
    <row r="58" spans="1:50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>
        <v>0</v>
      </c>
      <c r="AM58" s="146"/>
      <c r="AN58" s="143"/>
      <c r="AO58" s="135">
        <v>0</v>
      </c>
      <c r="AP58" s="143"/>
      <c r="AQ58" s="144"/>
      <c r="AR58" s="144"/>
      <c r="AS58" s="143">
        <v>0</v>
      </c>
      <c r="AT58" s="697"/>
      <c r="AU58" s="698"/>
      <c r="AV58" s="136"/>
      <c r="AW58" s="136"/>
      <c r="AX58" s="136">
        <v>0</v>
      </c>
    </row>
    <row r="59" spans="1:50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>
        <v>0</v>
      </c>
      <c r="AM59" s="146"/>
      <c r="AN59" s="143"/>
      <c r="AO59" s="135">
        <v>0</v>
      </c>
      <c r="AP59" s="143"/>
      <c r="AQ59" s="144"/>
      <c r="AR59" s="144"/>
      <c r="AS59" s="143">
        <v>0</v>
      </c>
      <c r="AT59" s="697"/>
      <c r="AU59" s="698"/>
      <c r="AV59" s="136"/>
      <c r="AW59" s="136"/>
      <c r="AX59" s="136">
        <v>0</v>
      </c>
    </row>
    <row r="60" spans="1:50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>
        <v>0</v>
      </c>
      <c r="AM60" s="146"/>
      <c r="AN60" s="143"/>
      <c r="AO60" s="135">
        <v>0</v>
      </c>
      <c r="AP60" s="143"/>
      <c r="AQ60" s="144"/>
      <c r="AR60" s="144"/>
      <c r="AS60" s="143">
        <v>0</v>
      </c>
      <c r="AT60" s="697"/>
      <c r="AU60" s="698"/>
      <c r="AV60" s="136"/>
      <c r="AW60" s="136"/>
      <c r="AX60" s="136">
        <v>0</v>
      </c>
    </row>
    <row r="61" spans="1:50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>
        <v>0</v>
      </c>
      <c r="AM61" s="161"/>
      <c r="AN61" s="158"/>
      <c r="AO61" s="149">
        <v>0</v>
      </c>
      <c r="AP61" s="158"/>
      <c r="AQ61" s="159"/>
      <c r="AR61" s="159"/>
      <c r="AS61" s="158">
        <v>0</v>
      </c>
      <c r="AT61" s="699"/>
      <c r="AU61" s="700"/>
      <c r="AV61" s="150"/>
      <c r="AW61" s="150"/>
      <c r="AX61" s="150">
        <v>0</v>
      </c>
    </row>
    <row r="62" spans="1:50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>
        <v>0</v>
      </c>
      <c r="AM62" s="127"/>
      <c r="AN62" s="124"/>
      <c r="AO62" s="117">
        <v>0</v>
      </c>
      <c r="AP62" s="124"/>
      <c r="AQ62" s="125"/>
      <c r="AR62" s="125"/>
      <c r="AS62" s="124">
        <v>0</v>
      </c>
      <c r="AT62" s="695"/>
      <c r="AU62" s="696"/>
      <c r="AV62" s="118"/>
      <c r="AW62" s="118"/>
      <c r="AX62" s="118">
        <v>0</v>
      </c>
    </row>
    <row r="63" spans="1:50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>
        <v>0</v>
      </c>
      <c r="AM63" s="146"/>
      <c r="AN63" s="143"/>
      <c r="AO63" s="135">
        <v>0</v>
      </c>
      <c r="AP63" s="143"/>
      <c r="AQ63" s="144"/>
      <c r="AR63" s="144"/>
      <c r="AS63" s="143">
        <v>0</v>
      </c>
      <c r="AT63" s="697"/>
      <c r="AU63" s="698"/>
      <c r="AV63" s="136"/>
      <c r="AW63" s="136"/>
      <c r="AX63" s="136">
        <v>0</v>
      </c>
    </row>
    <row r="64" spans="1:50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>
        <v>0</v>
      </c>
      <c r="AM64" s="146"/>
      <c r="AN64" s="143"/>
      <c r="AO64" s="135">
        <v>0</v>
      </c>
      <c r="AP64" s="143"/>
      <c r="AQ64" s="144"/>
      <c r="AR64" s="144"/>
      <c r="AS64" s="143">
        <v>0</v>
      </c>
      <c r="AT64" s="697"/>
      <c r="AU64" s="698"/>
      <c r="AV64" s="136"/>
      <c r="AW64" s="136"/>
      <c r="AX64" s="136">
        <v>0</v>
      </c>
    </row>
    <row r="65" spans="1:50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>
        <v>0</v>
      </c>
      <c r="AM65" s="146"/>
      <c r="AN65" s="143"/>
      <c r="AO65" s="135">
        <v>0</v>
      </c>
      <c r="AP65" s="143"/>
      <c r="AQ65" s="144"/>
      <c r="AR65" s="144"/>
      <c r="AS65" s="143">
        <v>0</v>
      </c>
      <c r="AT65" s="697"/>
      <c r="AU65" s="698"/>
      <c r="AV65" s="136"/>
      <c r="AW65" s="136"/>
      <c r="AX65" s="136">
        <v>0</v>
      </c>
    </row>
    <row r="66" spans="1:50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>
        <v>0</v>
      </c>
      <c r="AM66" s="161"/>
      <c r="AN66" s="158"/>
      <c r="AO66" s="149">
        <v>0</v>
      </c>
      <c r="AP66" s="158"/>
      <c r="AQ66" s="159"/>
      <c r="AR66" s="159"/>
      <c r="AS66" s="158">
        <v>0</v>
      </c>
      <c r="AT66" s="699"/>
      <c r="AU66" s="700"/>
      <c r="AV66" s="150"/>
      <c r="AW66" s="150"/>
      <c r="AX66" s="150">
        <v>0</v>
      </c>
    </row>
    <row r="67" spans="1:50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>
        <v>0</v>
      </c>
      <c r="AM67" s="127"/>
      <c r="AN67" s="124"/>
      <c r="AO67" s="117">
        <v>0</v>
      </c>
      <c r="AP67" s="124"/>
      <c r="AQ67" s="125"/>
      <c r="AR67" s="125"/>
      <c r="AS67" s="124">
        <v>0</v>
      </c>
      <c r="AT67" s="695"/>
      <c r="AU67" s="696"/>
      <c r="AV67" s="118"/>
      <c r="AW67" s="118"/>
      <c r="AX67" s="118">
        <v>0</v>
      </c>
    </row>
    <row r="68" spans="1:50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>
        <v>0</v>
      </c>
      <c r="AM68" s="146"/>
      <c r="AN68" s="143"/>
      <c r="AO68" s="135">
        <v>0</v>
      </c>
      <c r="AP68" s="143"/>
      <c r="AQ68" s="144"/>
      <c r="AR68" s="144"/>
      <c r="AS68" s="143">
        <v>0</v>
      </c>
      <c r="AT68" s="697"/>
      <c r="AU68" s="698"/>
      <c r="AV68" s="136"/>
      <c r="AW68" s="136"/>
      <c r="AX68" s="136">
        <v>0</v>
      </c>
    </row>
    <row r="69" spans="1:50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>
        <v>0</v>
      </c>
      <c r="AM69" s="146"/>
      <c r="AN69" s="143"/>
      <c r="AO69" s="135">
        <v>0</v>
      </c>
      <c r="AP69" s="143"/>
      <c r="AQ69" s="144"/>
      <c r="AR69" s="144"/>
      <c r="AS69" s="143">
        <v>0</v>
      </c>
      <c r="AT69" s="697"/>
      <c r="AU69" s="698"/>
      <c r="AV69" s="136"/>
      <c r="AW69" s="136"/>
      <c r="AX69" s="136">
        <v>0</v>
      </c>
    </row>
    <row r="70" spans="1:50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>
        <v>0</v>
      </c>
      <c r="AM70" s="146"/>
      <c r="AN70" s="143"/>
      <c r="AO70" s="135">
        <v>0</v>
      </c>
      <c r="AP70" s="143"/>
      <c r="AQ70" s="144"/>
      <c r="AR70" s="144"/>
      <c r="AS70" s="143">
        <v>0</v>
      </c>
      <c r="AT70" s="697"/>
      <c r="AU70" s="698"/>
      <c r="AV70" s="136"/>
      <c r="AW70" s="136"/>
      <c r="AX70" s="136">
        <v>0</v>
      </c>
    </row>
    <row r="71" spans="1:50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>
        <v>0</v>
      </c>
      <c r="AM71" s="161"/>
      <c r="AN71" s="158"/>
      <c r="AO71" s="149">
        <v>0</v>
      </c>
      <c r="AP71" s="158"/>
      <c r="AQ71" s="159"/>
      <c r="AR71" s="159"/>
      <c r="AS71" s="158">
        <v>0</v>
      </c>
      <c r="AT71" s="699"/>
      <c r="AU71" s="700"/>
      <c r="AV71" s="150"/>
      <c r="AW71" s="150"/>
      <c r="AX71" s="150">
        <v>0</v>
      </c>
    </row>
    <row r="72" spans="1:50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>
        <v>0</v>
      </c>
      <c r="AM72" s="127"/>
      <c r="AN72" s="124"/>
      <c r="AO72" s="117">
        <v>0</v>
      </c>
      <c r="AP72" s="124"/>
      <c r="AQ72" s="125"/>
      <c r="AR72" s="125"/>
      <c r="AS72" s="124">
        <v>0</v>
      </c>
      <c r="AT72" s="695"/>
      <c r="AU72" s="696"/>
      <c r="AV72" s="701"/>
      <c r="AW72" s="701"/>
      <c r="AX72" s="701">
        <v>0</v>
      </c>
    </row>
    <row r="73" spans="1:50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>
        <v>0</v>
      </c>
      <c r="AM73" s="146"/>
      <c r="AN73" s="143"/>
      <c r="AO73" s="135">
        <v>0</v>
      </c>
      <c r="AP73" s="143"/>
      <c r="AQ73" s="144"/>
      <c r="AR73" s="144"/>
      <c r="AS73" s="143">
        <v>0</v>
      </c>
      <c r="AT73" s="697"/>
      <c r="AU73" s="698"/>
      <c r="AV73" s="701"/>
      <c r="AW73" s="701"/>
      <c r="AX73" s="701">
        <v>0</v>
      </c>
    </row>
    <row r="74" spans="1:50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>
        <v>0</v>
      </c>
      <c r="AM74" s="146"/>
      <c r="AN74" s="143"/>
      <c r="AO74" s="135">
        <v>0</v>
      </c>
      <c r="AP74" s="143"/>
      <c r="AQ74" s="144"/>
      <c r="AR74" s="144"/>
      <c r="AS74" s="143">
        <v>0</v>
      </c>
      <c r="AT74" s="697"/>
      <c r="AU74" s="698"/>
      <c r="AV74" s="701"/>
      <c r="AW74" s="701"/>
      <c r="AX74" s="701">
        <v>0</v>
      </c>
    </row>
    <row r="75" spans="1:50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>
        <v>0</v>
      </c>
      <c r="AM75" s="146"/>
      <c r="AN75" s="143"/>
      <c r="AO75" s="135">
        <v>0</v>
      </c>
      <c r="AP75" s="143"/>
      <c r="AQ75" s="144"/>
      <c r="AR75" s="144"/>
      <c r="AS75" s="143">
        <v>0</v>
      </c>
      <c r="AT75" s="1172"/>
      <c r="AU75" s="1173"/>
      <c r="AV75" s="1174"/>
      <c r="AW75" s="1174"/>
      <c r="AX75" s="1174">
        <v>0</v>
      </c>
    </row>
    <row r="76" spans="1:50" s="33" customFormat="1" ht="15" customHeight="1" thickBot="1" x14ac:dyDescent="0.25">
      <c r="A76" s="1499" t="s">
        <v>365</v>
      </c>
      <c r="B76" s="1500"/>
      <c r="C76" s="913">
        <v>198</v>
      </c>
      <c r="D76" s="914">
        <v>4268.9653302959669</v>
      </c>
      <c r="E76" s="915">
        <v>935379.74681431917</v>
      </c>
      <c r="F76" s="916">
        <v>151</v>
      </c>
      <c r="G76" s="917">
        <v>570.35224473434255</v>
      </c>
      <c r="H76" s="918">
        <v>107476.85341588051</v>
      </c>
      <c r="I76" s="1109">
        <v>0</v>
      </c>
      <c r="J76" s="917">
        <v>158.37628411149953</v>
      </c>
      <c r="K76" s="918">
        <v>0</v>
      </c>
      <c r="L76" s="916">
        <v>7</v>
      </c>
      <c r="M76" s="917">
        <v>3936.5780458287281</v>
      </c>
      <c r="N76" s="918">
        <v>33970.709237409559</v>
      </c>
      <c r="O76" s="916">
        <v>1</v>
      </c>
      <c r="P76" s="917">
        <v>1527.9418817790604</v>
      </c>
      <c r="Q76" s="918">
        <v>1941.1833849948316</v>
      </c>
      <c r="R76" s="919">
        <v>1078768</v>
      </c>
      <c r="S76" s="917">
        <v>476460</v>
      </c>
      <c r="T76" s="917">
        <v>-15042</v>
      </c>
      <c r="U76" s="920">
        <v>461418</v>
      </c>
      <c r="V76" s="919">
        <v>1540186</v>
      </c>
      <c r="W76" s="918">
        <v>-3850</v>
      </c>
      <c r="X76" s="919">
        <v>1536336</v>
      </c>
      <c r="Y76" s="918">
        <v>0</v>
      </c>
      <c r="Z76" s="919">
        <v>1536336</v>
      </c>
      <c r="AA76" s="917">
        <v>967855</v>
      </c>
      <c r="AB76" s="917">
        <v>568481</v>
      </c>
      <c r="AC76" s="919">
        <v>142121</v>
      </c>
      <c r="AD76" s="921">
        <v>1536336</v>
      </c>
      <c r="AE76" s="917">
        <v>5688</v>
      </c>
      <c r="AF76" s="922">
        <v>455469</v>
      </c>
      <c r="AG76" s="916">
        <v>74</v>
      </c>
      <c r="AH76" s="917">
        <v>173247</v>
      </c>
      <c r="AI76" s="916">
        <v>-2</v>
      </c>
      <c r="AJ76" s="917">
        <v>-4263</v>
      </c>
      <c r="AK76" s="920">
        <v>168984</v>
      </c>
      <c r="AL76" s="922">
        <v>624453</v>
      </c>
      <c r="AM76" s="917">
        <v>-1561</v>
      </c>
      <c r="AN76" s="922">
        <v>622892</v>
      </c>
      <c r="AO76" s="917">
        <v>0</v>
      </c>
      <c r="AP76" s="922">
        <v>622892</v>
      </c>
      <c r="AQ76" s="917">
        <v>369050</v>
      </c>
      <c r="AR76" s="917">
        <v>253842</v>
      </c>
      <c r="AS76" s="922">
        <v>63461</v>
      </c>
      <c r="AT76" s="1176">
        <v>2159228</v>
      </c>
      <c r="AU76" s="1177">
        <v>205582</v>
      </c>
      <c r="AV76" s="917">
        <v>1561</v>
      </c>
      <c r="AW76" s="917">
        <v>959</v>
      </c>
      <c r="AX76" s="917">
        <v>602</v>
      </c>
    </row>
    <row r="77" spans="1:50" s="33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27201</v>
      </c>
      <c r="S77" s="860"/>
      <c r="T77" s="860"/>
      <c r="U77" s="860"/>
      <c r="V77" s="861">
        <v>27201</v>
      </c>
      <c r="W77" s="910">
        <v>-68</v>
      </c>
      <c r="X77" s="861">
        <v>27133</v>
      </c>
      <c r="Y77" s="860"/>
      <c r="Z77" s="861">
        <v>27133</v>
      </c>
      <c r="AA77" s="860">
        <v>14728</v>
      </c>
      <c r="AB77" s="860">
        <v>12405</v>
      </c>
      <c r="AC77" s="861">
        <v>3101</v>
      </c>
      <c r="AD77" s="912">
        <v>27133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175">
        <v>27133</v>
      </c>
      <c r="AU77" s="1175">
        <v>3101</v>
      </c>
      <c r="AV77" s="860">
        <v>0</v>
      </c>
      <c r="AW77" s="860"/>
      <c r="AX77" s="860">
        <v>0</v>
      </c>
    </row>
    <row r="78" spans="1:50" s="457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924">
        <v>0</v>
      </c>
      <c r="AU78" s="924">
        <v>0</v>
      </c>
      <c r="AV78" s="705"/>
      <c r="AW78" s="705"/>
      <c r="AX78" s="705"/>
    </row>
    <row r="79" spans="1:50" s="33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>
        <v>0</v>
      </c>
      <c r="AA79" s="705">
        <v>0</v>
      </c>
      <c r="AB79" s="704">
        <v>0</v>
      </c>
      <c r="AC79" s="141">
        <v>0</v>
      </c>
      <c r="AD79" s="141">
        <v>0</v>
      </c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6">
        <v>0</v>
      </c>
      <c r="AU79" s="706">
        <v>0</v>
      </c>
      <c r="AV79" s="704"/>
      <c r="AW79" s="704"/>
      <c r="AX79" s="704"/>
    </row>
    <row r="80" spans="1:50" s="33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>
        <v>0</v>
      </c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706">
        <v>0</v>
      </c>
      <c r="AU80" s="704"/>
      <c r="AV80" s="704"/>
      <c r="AW80" s="704"/>
      <c r="AX80" s="704"/>
    </row>
    <row r="81" spans="1:50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>
        <v>10000</v>
      </c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706">
        <v>0</v>
      </c>
      <c r="AU81" s="704"/>
      <c r="AV81" s="704"/>
      <c r="AW81" s="704"/>
      <c r="AX81" s="704"/>
    </row>
    <row r="82" spans="1:50" s="33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>
        <v>0</v>
      </c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706">
        <v>0</v>
      </c>
      <c r="AU82" s="704"/>
      <c r="AV82" s="704"/>
      <c r="AW82" s="704"/>
      <c r="AX82" s="704"/>
    </row>
    <row r="83" spans="1:50" s="33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>
        <v>8201</v>
      </c>
      <c r="AA83" s="155">
        <v>5467</v>
      </c>
      <c r="AB83" s="709">
        <v>2734</v>
      </c>
      <c r="AC83" s="156">
        <v>684</v>
      </c>
      <c r="AD83" s="156">
        <v>8201</v>
      </c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710">
        <v>8201</v>
      </c>
      <c r="AU83" s="710">
        <v>684</v>
      </c>
      <c r="AV83" s="709"/>
      <c r="AW83" s="709"/>
      <c r="AX83" s="709"/>
    </row>
    <row r="84" spans="1:50" s="33" customFormat="1" ht="15" customHeight="1" thickBot="1" x14ac:dyDescent="0.25">
      <c r="A84" s="1499" t="s">
        <v>366</v>
      </c>
      <c r="B84" s="1500"/>
      <c r="C84" s="913">
        <v>198</v>
      </c>
      <c r="D84" s="914">
        <v>4268.9653302959669</v>
      </c>
      <c r="E84" s="915">
        <v>935379.74681431917</v>
      </c>
      <c r="F84" s="916">
        <v>151</v>
      </c>
      <c r="G84" s="917">
        <v>570.35224473434255</v>
      </c>
      <c r="H84" s="918">
        <v>107476.85341588051</v>
      </c>
      <c r="I84" s="1109">
        <v>0</v>
      </c>
      <c r="J84" s="917">
        <v>158.37628411149953</v>
      </c>
      <c r="K84" s="918">
        <v>0</v>
      </c>
      <c r="L84" s="916">
        <v>7</v>
      </c>
      <c r="M84" s="917">
        <v>3936.5780458287281</v>
      </c>
      <c r="N84" s="918">
        <v>33970.709237409559</v>
      </c>
      <c r="O84" s="916">
        <v>1</v>
      </c>
      <c r="P84" s="917">
        <v>1527.9418817790604</v>
      </c>
      <c r="Q84" s="918">
        <v>1941.1833849948316</v>
      </c>
      <c r="R84" s="919">
        <v>1105969</v>
      </c>
      <c r="S84" s="917">
        <v>476460</v>
      </c>
      <c r="T84" s="917">
        <v>-15042</v>
      </c>
      <c r="U84" s="920">
        <v>461418</v>
      </c>
      <c r="V84" s="919">
        <v>1567387</v>
      </c>
      <c r="W84" s="918">
        <v>-3918</v>
      </c>
      <c r="X84" s="919">
        <v>1563469</v>
      </c>
      <c r="Y84" s="918">
        <v>0</v>
      </c>
      <c r="Z84" s="919">
        <v>1571670</v>
      </c>
      <c r="AA84" s="917">
        <v>988050</v>
      </c>
      <c r="AB84" s="917">
        <v>583620</v>
      </c>
      <c r="AC84" s="919">
        <v>145906</v>
      </c>
      <c r="AD84" s="921">
        <v>1581670</v>
      </c>
      <c r="AE84" s="917">
        <v>5688</v>
      </c>
      <c r="AF84" s="922">
        <v>455469</v>
      </c>
      <c r="AG84" s="916">
        <v>74</v>
      </c>
      <c r="AH84" s="917">
        <v>173247</v>
      </c>
      <c r="AI84" s="916">
        <v>-2</v>
      </c>
      <c r="AJ84" s="917">
        <v>-4263</v>
      </c>
      <c r="AK84" s="920">
        <v>168984</v>
      </c>
      <c r="AL84" s="922">
        <v>624453</v>
      </c>
      <c r="AM84" s="917">
        <v>-1561</v>
      </c>
      <c r="AN84" s="922">
        <v>622892</v>
      </c>
      <c r="AO84" s="917">
        <v>0</v>
      </c>
      <c r="AP84" s="922">
        <v>622892</v>
      </c>
      <c r="AQ84" s="917">
        <v>369050</v>
      </c>
      <c r="AR84" s="917">
        <v>253842</v>
      </c>
      <c r="AS84" s="922">
        <v>63461</v>
      </c>
      <c r="AT84" s="702">
        <v>2194562</v>
      </c>
      <c r="AU84" s="702">
        <v>209367</v>
      </c>
      <c r="AV84" s="917">
        <v>1561</v>
      </c>
      <c r="AW84" s="917">
        <v>959</v>
      </c>
      <c r="AX84" s="917">
        <v>602</v>
      </c>
    </row>
    <row r="85" spans="1:50" ht="16.149999999999999" customHeight="1" thickTop="1" x14ac:dyDescent="0.2"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458"/>
      <c r="Y85" s="300"/>
      <c r="Z85" s="300"/>
      <c r="AB85" s="300"/>
      <c r="AC85" s="300"/>
      <c r="AD85" s="300"/>
      <c r="AE85" s="300"/>
      <c r="AF85" s="300"/>
    </row>
    <row r="86" spans="1:50" ht="16.149999999999999" customHeight="1" x14ac:dyDescent="0.2"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458"/>
      <c r="Y86" s="300"/>
      <c r="Z86" s="300"/>
      <c r="AB86" s="300"/>
      <c r="AC86" s="300"/>
      <c r="AD86" s="300"/>
      <c r="AE86" s="300"/>
      <c r="AF86" s="300"/>
    </row>
    <row r="87" spans="1:50" ht="16.149999999999999" customHeight="1" x14ac:dyDescent="0.2">
      <c r="C87" s="437"/>
      <c r="D87" s="300"/>
      <c r="E87" s="300"/>
      <c r="F87" s="265"/>
      <c r="G87" s="300"/>
      <c r="H87" s="599"/>
      <c r="I87" s="599"/>
      <c r="J87" s="599"/>
      <c r="K87" s="599"/>
      <c r="L87" s="746"/>
      <c r="M87" s="599"/>
      <c r="N87" s="599"/>
      <c r="O87" s="747"/>
      <c r="P87" s="599"/>
      <c r="Q87" s="599"/>
      <c r="R87" s="300"/>
      <c r="S87" s="300"/>
      <c r="T87" s="300"/>
      <c r="U87" s="300"/>
      <c r="V87" s="300"/>
      <c r="W87" s="300"/>
      <c r="X87" s="458"/>
      <c r="Y87" s="300"/>
      <c r="Z87" s="300"/>
      <c r="AA87" s="458"/>
      <c r="AB87" s="300"/>
      <c r="AC87" s="300"/>
      <c r="AD87" s="300"/>
      <c r="AE87" s="300"/>
      <c r="AF87" s="300"/>
      <c r="AQ87" s="458"/>
      <c r="AS87" s="458"/>
    </row>
    <row r="88" spans="1:50" ht="16.149999999999999" customHeight="1" x14ac:dyDescent="0.2">
      <c r="H88" s="11"/>
      <c r="I88" s="11"/>
      <c r="J88" s="1146"/>
      <c r="K88" s="1145"/>
      <c r="L88" s="1145"/>
      <c r="M88" s="1146"/>
      <c r="N88" s="1145"/>
      <c r="O88" s="1145"/>
      <c r="P88" s="1146"/>
      <c r="Q88" s="1145"/>
    </row>
    <row r="89" spans="1:50" x14ac:dyDescent="0.2">
      <c r="H89" s="11"/>
      <c r="I89" s="11"/>
      <c r="J89" s="1146"/>
      <c r="K89" s="1145"/>
      <c r="L89" s="1145"/>
      <c r="M89" s="1146"/>
      <c r="N89" s="1145"/>
      <c r="O89" s="1145"/>
      <c r="P89" s="1146"/>
      <c r="Q89" s="1145"/>
    </row>
    <row r="90" spans="1:50" ht="13.5" thickBot="1" x14ac:dyDescent="0.25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  <c r="AW90" s="917"/>
    </row>
    <row r="91" spans="1:50" ht="13.5" thickTop="1" x14ac:dyDescent="0.2">
      <c r="B91" s="752"/>
      <c r="C91"/>
      <c r="D91"/>
      <c r="E91"/>
      <c r="F91"/>
      <c r="G91"/>
      <c r="AW91" s="300"/>
    </row>
    <row r="92" spans="1:50" x14ac:dyDescent="0.2">
      <c r="B92" s="753"/>
      <c r="C92"/>
      <c r="D92"/>
      <c r="E92"/>
      <c r="F92"/>
      <c r="G92"/>
    </row>
    <row r="93" spans="1:50" x14ac:dyDescent="0.2">
      <c r="B93" s="757"/>
      <c r="C93"/>
      <c r="D93"/>
      <c r="E93"/>
      <c r="F93"/>
      <c r="G93"/>
    </row>
    <row r="94" spans="1:50" x14ac:dyDescent="0.2">
      <c r="B94" s="754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  <mergeCell ref="AV2:AV3"/>
    <mergeCell ref="AW2:AW3"/>
    <mergeCell ref="AX2:AX3"/>
    <mergeCell ref="AV1:AX1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47" width="14.28515625" style="6" customWidth="1"/>
    <col min="48" max="48" width="14.42578125" style="6" bestFit="1" customWidth="1"/>
    <col min="49" max="49" width="16.28515625" style="6" customWidth="1"/>
    <col min="50" max="50" width="11.5703125" style="6" customWidth="1"/>
    <col min="51" max="51" width="12.85546875" style="6" customWidth="1"/>
    <col min="52" max="16384" width="8.85546875" style="6"/>
  </cols>
  <sheetData>
    <row r="1" spans="1:51" ht="19.899999999999999" customHeight="1" x14ac:dyDescent="0.2">
      <c r="A1" s="1501" t="s">
        <v>448</v>
      </c>
      <c r="B1" s="1501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8"/>
      <c r="V1" s="1429"/>
      <c r="W1" s="1400" t="s">
        <v>291</v>
      </c>
      <c r="X1" s="1401"/>
      <c r="Y1" s="1401"/>
      <c r="Z1" s="1401"/>
      <c r="AA1" s="1401"/>
      <c r="AB1" s="1401"/>
      <c r="AC1" s="1401"/>
      <c r="AD1" s="1401"/>
      <c r="AE1" s="1402"/>
      <c r="AF1" s="1512" t="s">
        <v>358</v>
      </c>
      <c r="AG1" s="1513"/>
      <c r="AH1" s="1513"/>
      <c r="AI1" s="1513"/>
      <c r="AJ1" s="1513"/>
      <c r="AK1" s="1513"/>
      <c r="AL1" s="1514"/>
      <c r="AM1" s="1512" t="s">
        <v>358</v>
      </c>
      <c r="AN1" s="1513"/>
      <c r="AO1" s="1513"/>
      <c r="AP1" s="1513"/>
      <c r="AQ1" s="1513"/>
      <c r="AR1" s="1513"/>
      <c r="AS1" s="1513"/>
      <c r="AT1" s="1514"/>
      <c r="AU1" s="1491" t="s">
        <v>301</v>
      </c>
      <c r="AV1" s="1491" t="s">
        <v>302</v>
      </c>
      <c r="AW1" s="1498" t="s">
        <v>1422</v>
      </c>
      <c r="AX1" s="1498"/>
      <c r="AY1" s="1498"/>
    </row>
    <row r="2" spans="1:51" ht="30" customHeight="1" x14ac:dyDescent="0.2">
      <c r="A2" s="1501"/>
      <c r="B2" s="1501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397" t="s">
        <v>363</v>
      </c>
      <c r="T2" s="1276" t="s">
        <v>223</v>
      </c>
      <c r="U2" s="1276"/>
      <c r="V2" s="1276"/>
      <c r="W2" s="1397" t="s">
        <v>395</v>
      </c>
      <c r="X2" s="1397" t="s">
        <v>1356</v>
      </c>
      <c r="Y2" s="1397" t="s">
        <v>396</v>
      </c>
      <c r="Z2" s="1406" t="s">
        <v>1292</v>
      </c>
      <c r="AA2" s="1397" t="s">
        <v>908</v>
      </c>
      <c r="AB2" s="1397" t="s">
        <v>1367</v>
      </c>
      <c r="AC2" s="1397" t="s">
        <v>258</v>
      </c>
      <c r="AD2" s="1397" t="s">
        <v>225</v>
      </c>
      <c r="AE2" s="1397" t="s">
        <v>909</v>
      </c>
      <c r="AF2" s="1493" t="s">
        <v>1421</v>
      </c>
      <c r="AG2" s="1489" t="s">
        <v>947</v>
      </c>
      <c r="AH2" s="1490" t="s">
        <v>223</v>
      </c>
      <c r="AI2" s="1490"/>
      <c r="AJ2" s="1490"/>
      <c r="AK2" s="1490"/>
      <c r="AL2" s="1490"/>
      <c r="AM2" s="1489" t="s">
        <v>948</v>
      </c>
      <c r="AN2" s="1489" t="s">
        <v>1369</v>
      </c>
      <c r="AO2" s="1489" t="s">
        <v>949</v>
      </c>
      <c r="AP2" s="1406" t="s">
        <v>1292</v>
      </c>
      <c r="AQ2" s="1489" t="s">
        <v>950</v>
      </c>
      <c r="AR2" s="1489" t="s">
        <v>1361</v>
      </c>
      <c r="AS2" s="1489" t="s">
        <v>258</v>
      </c>
      <c r="AT2" s="1489" t="s">
        <v>391</v>
      </c>
      <c r="AU2" s="1491"/>
      <c r="AV2" s="1491"/>
      <c r="AW2" s="1488" t="s">
        <v>1390</v>
      </c>
      <c r="AX2" s="1488" t="s">
        <v>1391</v>
      </c>
      <c r="AY2" s="1488" t="s">
        <v>347</v>
      </c>
    </row>
    <row r="3" spans="1:51" ht="95.25" customHeight="1" x14ac:dyDescent="0.2">
      <c r="A3" s="1501"/>
      <c r="B3" s="1501"/>
      <c r="C3" s="1397"/>
      <c r="D3" s="421" t="s">
        <v>504</v>
      </c>
      <c r="E3" s="420" t="s">
        <v>300</v>
      </c>
      <c r="F3" s="420" t="s">
        <v>1287</v>
      </c>
      <c r="G3" s="421" t="s">
        <v>503</v>
      </c>
      <c r="H3" s="420" t="s">
        <v>300</v>
      </c>
      <c r="I3" s="1228" t="s">
        <v>1442</v>
      </c>
      <c r="J3" s="421" t="s">
        <v>503</v>
      </c>
      <c r="K3" s="420" t="s">
        <v>300</v>
      </c>
      <c r="L3" s="420" t="s">
        <v>1289</v>
      </c>
      <c r="M3" s="421" t="s">
        <v>503</v>
      </c>
      <c r="N3" s="420" t="s">
        <v>300</v>
      </c>
      <c r="O3" s="420" t="s">
        <v>1289</v>
      </c>
      <c r="P3" s="421" t="s">
        <v>503</v>
      </c>
      <c r="Q3" s="420" t="s">
        <v>300</v>
      </c>
      <c r="R3" s="1397"/>
      <c r="S3" s="1397"/>
      <c r="T3" s="426" t="s">
        <v>1290</v>
      </c>
      <c r="U3" s="426" t="s">
        <v>1291</v>
      </c>
      <c r="V3" s="426" t="s">
        <v>224</v>
      </c>
      <c r="W3" s="1397"/>
      <c r="X3" s="1397"/>
      <c r="Y3" s="1397"/>
      <c r="Z3" s="1406"/>
      <c r="AA3" s="1397"/>
      <c r="AB3" s="1397"/>
      <c r="AC3" s="1397"/>
      <c r="AD3" s="1397"/>
      <c r="AE3" s="1397"/>
      <c r="AF3" s="1494"/>
      <c r="AG3" s="1489"/>
      <c r="AH3" s="1223" t="s">
        <v>1420</v>
      </c>
      <c r="AI3" s="598" t="s">
        <v>1294</v>
      </c>
      <c r="AJ3" s="598" t="s">
        <v>1295</v>
      </c>
      <c r="AK3" s="598" t="s">
        <v>1296</v>
      </c>
      <c r="AL3" s="598" t="s">
        <v>224</v>
      </c>
      <c r="AM3" s="1489"/>
      <c r="AN3" s="1489"/>
      <c r="AO3" s="1489"/>
      <c r="AP3" s="1406"/>
      <c r="AQ3" s="1489"/>
      <c r="AR3" s="1489"/>
      <c r="AS3" s="1489"/>
      <c r="AT3" s="1489"/>
      <c r="AU3" s="1491"/>
      <c r="AV3" s="1491"/>
      <c r="AW3" s="1488"/>
      <c r="AX3" s="1488"/>
      <c r="AY3" s="1488"/>
    </row>
    <row r="4" spans="1:51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13">
        <v>44</v>
      </c>
      <c r="AU4" s="1211">
        <v>45</v>
      </c>
      <c r="AV4" s="1211">
        <v>46</v>
      </c>
      <c r="AW4" s="422">
        <v>47</v>
      </c>
      <c r="AX4" s="422">
        <v>48</v>
      </c>
      <c r="AY4" s="422">
        <v>49</v>
      </c>
    </row>
    <row r="5" spans="1:51" ht="33.75" x14ac:dyDescent="0.2">
      <c r="A5" s="111"/>
      <c r="B5" s="112"/>
      <c r="C5" s="676" t="s">
        <v>760</v>
      </c>
      <c r="D5" s="539" t="s">
        <v>1435</v>
      </c>
      <c r="E5" s="539" t="s">
        <v>761</v>
      </c>
      <c r="F5" s="676" t="s">
        <v>898</v>
      </c>
      <c r="G5" s="676" t="s">
        <v>1436</v>
      </c>
      <c r="H5" s="676" t="s">
        <v>803</v>
      </c>
      <c r="I5" s="676" t="s">
        <v>897</v>
      </c>
      <c r="J5" s="676" t="s">
        <v>1437</v>
      </c>
      <c r="K5" s="676" t="s">
        <v>804</v>
      </c>
      <c r="L5" s="676" t="s">
        <v>895</v>
      </c>
      <c r="M5" s="676" t="s">
        <v>1438</v>
      </c>
      <c r="N5" s="676" t="s">
        <v>805</v>
      </c>
      <c r="O5" s="676" t="s">
        <v>896</v>
      </c>
      <c r="P5" s="676" t="s">
        <v>1439</v>
      </c>
      <c r="Q5" s="676" t="s">
        <v>806</v>
      </c>
      <c r="R5" s="676" t="s">
        <v>1222</v>
      </c>
      <c r="S5" s="676"/>
      <c r="T5" s="676" t="s">
        <v>889</v>
      </c>
      <c r="U5" s="676" t="s">
        <v>890</v>
      </c>
      <c r="V5" s="676" t="s">
        <v>819</v>
      </c>
      <c r="W5" s="676" t="s">
        <v>820</v>
      </c>
      <c r="X5" s="676" t="s">
        <v>821</v>
      </c>
      <c r="Y5" s="676" t="s">
        <v>822</v>
      </c>
      <c r="Z5" s="676" t="s">
        <v>765</v>
      </c>
      <c r="AA5" s="538" t="s">
        <v>1225</v>
      </c>
      <c r="AB5" s="538" t="s">
        <v>942</v>
      </c>
      <c r="AC5" s="538" t="s">
        <v>823</v>
      </c>
      <c r="AD5" s="538" t="s">
        <v>943</v>
      </c>
      <c r="AE5" s="538" t="s">
        <v>1226</v>
      </c>
      <c r="AF5" s="538" t="s">
        <v>1440</v>
      </c>
      <c r="AG5" s="538" t="s">
        <v>824</v>
      </c>
      <c r="AH5" s="538" t="s">
        <v>889</v>
      </c>
      <c r="AI5" s="538" t="s">
        <v>825</v>
      </c>
      <c r="AJ5" s="538" t="s">
        <v>890</v>
      </c>
      <c r="AK5" s="538" t="s">
        <v>826</v>
      </c>
      <c r="AL5" s="538" t="s">
        <v>827</v>
      </c>
      <c r="AM5" s="538" t="s">
        <v>828</v>
      </c>
      <c r="AN5" s="538" t="s">
        <v>829</v>
      </c>
      <c r="AO5" s="538" t="s">
        <v>830</v>
      </c>
      <c r="AP5" s="538" t="s">
        <v>765</v>
      </c>
      <c r="AQ5" s="538" t="s">
        <v>792</v>
      </c>
      <c r="AR5" s="538" t="s">
        <v>944</v>
      </c>
      <c r="AS5" s="538" t="s">
        <v>831</v>
      </c>
      <c r="AT5" s="538" t="s">
        <v>945</v>
      </c>
      <c r="AU5" s="651" t="s">
        <v>1394</v>
      </c>
      <c r="AV5" s="651" t="s">
        <v>1395</v>
      </c>
      <c r="AW5" s="651" t="s">
        <v>1396</v>
      </c>
      <c r="AX5" s="651" t="s">
        <v>1392</v>
      </c>
      <c r="AY5" s="651" t="s">
        <v>1397</v>
      </c>
    </row>
    <row r="6" spans="1:51" ht="51" hidden="1" x14ac:dyDescent="0.2">
      <c r="A6" s="114"/>
      <c r="B6" s="110"/>
      <c r="C6" s="484" t="s">
        <v>554</v>
      </c>
      <c r="D6" s="484" t="s">
        <v>554</v>
      </c>
      <c r="E6" s="484" t="s">
        <v>555</v>
      </c>
      <c r="F6" s="484" t="s">
        <v>642</v>
      </c>
      <c r="G6" s="484" t="s">
        <v>554</v>
      </c>
      <c r="H6" s="484" t="s">
        <v>555</v>
      </c>
      <c r="I6" s="484" t="s">
        <v>642</v>
      </c>
      <c r="J6" s="484" t="s">
        <v>554</v>
      </c>
      <c r="K6" s="484" t="s">
        <v>555</v>
      </c>
      <c r="L6" s="484" t="s">
        <v>642</v>
      </c>
      <c r="M6" s="484" t="s">
        <v>554</v>
      </c>
      <c r="N6" s="484" t="s">
        <v>555</v>
      </c>
      <c r="O6" s="484" t="s">
        <v>642</v>
      </c>
      <c r="P6" s="484" t="s">
        <v>554</v>
      </c>
      <c r="Q6" s="484" t="s">
        <v>555</v>
      </c>
      <c r="R6" s="484" t="s">
        <v>555</v>
      </c>
      <c r="S6" s="110"/>
      <c r="T6" s="484" t="s">
        <v>764</v>
      </c>
      <c r="U6" s="484" t="s">
        <v>764</v>
      </c>
      <c r="V6" s="484" t="s">
        <v>555</v>
      </c>
      <c r="W6" s="484" t="s">
        <v>555</v>
      </c>
      <c r="X6" s="484" t="s">
        <v>555</v>
      </c>
      <c r="Y6" s="484" t="s">
        <v>555</v>
      </c>
      <c r="Z6" s="484" t="s">
        <v>765</v>
      </c>
      <c r="AA6" s="484" t="s">
        <v>782</v>
      </c>
      <c r="AB6" s="484" t="s">
        <v>790</v>
      </c>
      <c r="AC6" s="484" t="s">
        <v>555</v>
      </c>
      <c r="AD6" s="484" t="s">
        <v>555</v>
      </c>
      <c r="AE6" s="484" t="s">
        <v>783</v>
      </c>
      <c r="AF6" s="484" t="s">
        <v>554</v>
      </c>
      <c r="AG6" s="484" t="s">
        <v>555</v>
      </c>
      <c r="AH6" s="484" t="s">
        <v>764</v>
      </c>
      <c r="AI6" s="484" t="s">
        <v>555</v>
      </c>
      <c r="AJ6" s="484" t="s">
        <v>764</v>
      </c>
      <c r="AK6" s="484" t="s">
        <v>555</v>
      </c>
      <c r="AL6" s="484" t="s">
        <v>555</v>
      </c>
      <c r="AM6" s="484" t="s">
        <v>555</v>
      </c>
      <c r="AN6" s="484" t="s">
        <v>555</v>
      </c>
      <c r="AO6" s="484" t="s">
        <v>555</v>
      </c>
      <c r="AP6" s="484" t="s">
        <v>765</v>
      </c>
      <c r="AQ6" s="484" t="s">
        <v>555</v>
      </c>
      <c r="AR6" s="484" t="s">
        <v>790</v>
      </c>
      <c r="AS6" s="484" t="s">
        <v>555</v>
      </c>
      <c r="AT6" s="484" t="s">
        <v>555</v>
      </c>
      <c r="AU6" s="484" t="s">
        <v>555</v>
      </c>
      <c r="AV6" s="484" t="s">
        <v>555</v>
      </c>
      <c r="AW6" s="541" t="s">
        <v>789</v>
      </c>
      <c r="AX6" s="541" t="s">
        <v>555</v>
      </c>
      <c r="AY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118616</v>
      </c>
      <c r="S7" s="120">
        <v>13180</v>
      </c>
      <c r="T7" s="117"/>
      <c r="U7" s="117"/>
      <c r="V7" s="121"/>
      <c r="W7" s="120"/>
      <c r="X7" s="118"/>
      <c r="Y7" s="120"/>
      <c r="Z7" s="117"/>
      <c r="AA7" s="120"/>
      <c r="AB7" s="117"/>
      <c r="AC7" s="117"/>
      <c r="AD7" s="120"/>
      <c r="AE7" s="122"/>
      <c r="AF7" s="123"/>
      <c r="AG7" s="124"/>
      <c r="AH7" s="116"/>
      <c r="AI7" s="123"/>
      <c r="AJ7" s="116"/>
      <c r="AK7" s="125"/>
      <c r="AL7" s="126"/>
      <c r="AM7" s="124">
        <v>63763</v>
      </c>
      <c r="AN7" s="127"/>
      <c r="AO7" s="124"/>
      <c r="AP7" s="125">
        <v>0</v>
      </c>
      <c r="AQ7" s="124"/>
      <c r="AR7" s="125"/>
      <c r="AS7" s="125"/>
      <c r="AT7" s="124">
        <v>6064</v>
      </c>
      <c r="AU7" s="695"/>
      <c r="AV7" s="696"/>
      <c r="AW7" s="118"/>
      <c r="AX7" s="118"/>
      <c r="AY7" s="118">
        <v>23</v>
      </c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72106</v>
      </c>
      <c r="S8" s="138">
        <v>8012</v>
      </c>
      <c r="T8" s="135"/>
      <c r="U8" s="135"/>
      <c r="V8" s="139"/>
      <c r="W8" s="138"/>
      <c r="X8" s="136"/>
      <c r="Y8" s="138"/>
      <c r="Z8" s="135"/>
      <c r="AA8" s="138"/>
      <c r="AB8" s="135"/>
      <c r="AC8" s="135"/>
      <c r="AD8" s="138"/>
      <c r="AE8" s="141"/>
      <c r="AF8" s="142"/>
      <c r="AG8" s="143"/>
      <c r="AH8" s="134"/>
      <c r="AI8" s="142"/>
      <c r="AJ8" s="134"/>
      <c r="AK8" s="144"/>
      <c r="AL8" s="145"/>
      <c r="AM8" s="143">
        <v>32074</v>
      </c>
      <c r="AN8" s="146"/>
      <c r="AO8" s="143"/>
      <c r="AP8" s="144">
        <v>0</v>
      </c>
      <c r="AQ8" s="143"/>
      <c r="AR8" s="144"/>
      <c r="AS8" s="144"/>
      <c r="AT8" s="143">
        <v>2130</v>
      </c>
      <c r="AU8" s="697"/>
      <c r="AV8" s="698"/>
      <c r="AW8" s="136"/>
      <c r="AX8" s="136"/>
      <c r="AY8" s="136">
        <v>-5</v>
      </c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141854</v>
      </c>
      <c r="S9" s="138">
        <v>15762</v>
      </c>
      <c r="T9" s="135"/>
      <c r="U9" s="135"/>
      <c r="V9" s="139"/>
      <c r="W9" s="138"/>
      <c r="X9" s="136"/>
      <c r="Y9" s="138"/>
      <c r="Z9" s="135"/>
      <c r="AA9" s="138"/>
      <c r="AB9" s="135"/>
      <c r="AC9" s="135"/>
      <c r="AD9" s="138"/>
      <c r="AE9" s="141"/>
      <c r="AF9" s="142"/>
      <c r="AG9" s="143"/>
      <c r="AH9" s="134"/>
      <c r="AI9" s="142"/>
      <c r="AJ9" s="134"/>
      <c r="AK9" s="144"/>
      <c r="AL9" s="145"/>
      <c r="AM9" s="143">
        <v>164736</v>
      </c>
      <c r="AN9" s="146"/>
      <c r="AO9" s="143"/>
      <c r="AP9" s="144">
        <v>0</v>
      </c>
      <c r="AQ9" s="143"/>
      <c r="AR9" s="144"/>
      <c r="AS9" s="144"/>
      <c r="AT9" s="143">
        <v>11900</v>
      </c>
      <c r="AU9" s="697"/>
      <c r="AV9" s="698"/>
      <c r="AW9" s="136"/>
      <c r="AX9" s="136"/>
      <c r="AY9" s="136">
        <v>-91</v>
      </c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44676</v>
      </c>
      <c r="S10" s="138">
        <v>4964</v>
      </c>
      <c r="T10" s="135"/>
      <c r="U10" s="135"/>
      <c r="V10" s="139"/>
      <c r="W10" s="138"/>
      <c r="X10" s="136"/>
      <c r="Y10" s="138"/>
      <c r="Z10" s="135"/>
      <c r="AA10" s="138"/>
      <c r="AB10" s="135"/>
      <c r="AC10" s="135"/>
      <c r="AD10" s="138"/>
      <c r="AE10" s="141"/>
      <c r="AF10" s="142"/>
      <c r="AG10" s="143"/>
      <c r="AH10" s="134"/>
      <c r="AI10" s="142"/>
      <c r="AJ10" s="134"/>
      <c r="AK10" s="144"/>
      <c r="AL10" s="145"/>
      <c r="AM10" s="143">
        <v>38410</v>
      </c>
      <c r="AN10" s="146"/>
      <c r="AO10" s="143"/>
      <c r="AP10" s="144">
        <v>0</v>
      </c>
      <c r="AQ10" s="143"/>
      <c r="AR10" s="144"/>
      <c r="AS10" s="144"/>
      <c r="AT10" s="143">
        <v>3233</v>
      </c>
      <c r="AU10" s="697"/>
      <c r="AV10" s="698"/>
      <c r="AW10" s="136"/>
      <c r="AX10" s="136"/>
      <c r="AY10" s="136">
        <v>1</v>
      </c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121594</v>
      </c>
      <c r="S11" s="152">
        <v>13510</v>
      </c>
      <c r="T11" s="149"/>
      <c r="U11" s="149"/>
      <c r="V11" s="153"/>
      <c r="W11" s="152"/>
      <c r="X11" s="150"/>
      <c r="Y11" s="152"/>
      <c r="Z11" s="149"/>
      <c r="AA11" s="152"/>
      <c r="AB11" s="155"/>
      <c r="AC11" s="149"/>
      <c r="AD11" s="156"/>
      <c r="AE11" s="156"/>
      <c r="AF11" s="157"/>
      <c r="AG11" s="158"/>
      <c r="AH11" s="148"/>
      <c r="AI11" s="157"/>
      <c r="AJ11" s="148"/>
      <c r="AK11" s="159"/>
      <c r="AL11" s="160"/>
      <c r="AM11" s="158">
        <v>47548</v>
      </c>
      <c r="AN11" s="161"/>
      <c r="AO11" s="158"/>
      <c r="AP11" s="159">
        <v>0</v>
      </c>
      <c r="AQ11" s="158"/>
      <c r="AR11" s="159"/>
      <c r="AS11" s="159"/>
      <c r="AT11" s="158">
        <v>4260</v>
      </c>
      <c r="AU11" s="699"/>
      <c r="AV11" s="700"/>
      <c r="AW11" s="150"/>
      <c r="AX11" s="150"/>
      <c r="AY11" s="150">
        <v>15</v>
      </c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150108</v>
      </c>
      <c r="S12" s="120">
        <v>16679</v>
      </c>
      <c r="T12" s="117"/>
      <c r="U12" s="117"/>
      <c r="V12" s="121"/>
      <c r="W12" s="120"/>
      <c r="X12" s="118"/>
      <c r="Y12" s="120"/>
      <c r="Z12" s="117"/>
      <c r="AA12" s="120"/>
      <c r="AB12" s="117"/>
      <c r="AC12" s="117"/>
      <c r="AD12" s="120"/>
      <c r="AE12" s="122"/>
      <c r="AF12" s="123"/>
      <c r="AG12" s="124"/>
      <c r="AH12" s="116"/>
      <c r="AI12" s="123"/>
      <c r="AJ12" s="116"/>
      <c r="AK12" s="125"/>
      <c r="AL12" s="126"/>
      <c r="AM12" s="124">
        <v>71726</v>
      </c>
      <c r="AN12" s="127"/>
      <c r="AO12" s="124"/>
      <c r="AP12" s="125">
        <v>0</v>
      </c>
      <c r="AQ12" s="124"/>
      <c r="AR12" s="125"/>
      <c r="AS12" s="125"/>
      <c r="AT12" s="124">
        <v>3618</v>
      </c>
      <c r="AU12" s="695"/>
      <c r="AV12" s="696"/>
      <c r="AW12" s="118"/>
      <c r="AX12" s="118"/>
      <c r="AY12" s="118">
        <v>-71</v>
      </c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28234</v>
      </c>
      <c r="S13" s="138">
        <v>3137</v>
      </c>
      <c r="T13" s="135"/>
      <c r="U13" s="135"/>
      <c r="V13" s="139"/>
      <c r="W13" s="138"/>
      <c r="X13" s="136"/>
      <c r="Y13" s="138"/>
      <c r="Z13" s="135"/>
      <c r="AA13" s="138"/>
      <c r="AB13" s="135"/>
      <c r="AC13" s="135"/>
      <c r="AD13" s="138"/>
      <c r="AE13" s="141"/>
      <c r="AF13" s="142"/>
      <c r="AG13" s="143"/>
      <c r="AH13" s="134"/>
      <c r="AI13" s="142"/>
      <c r="AJ13" s="134"/>
      <c r="AK13" s="144"/>
      <c r="AL13" s="145"/>
      <c r="AM13" s="143">
        <v>52242</v>
      </c>
      <c r="AN13" s="146"/>
      <c r="AO13" s="143"/>
      <c r="AP13" s="144">
        <v>0</v>
      </c>
      <c r="AQ13" s="143"/>
      <c r="AR13" s="144"/>
      <c r="AS13" s="144"/>
      <c r="AT13" s="143">
        <v>2641</v>
      </c>
      <c r="AU13" s="697"/>
      <c r="AV13" s="698"/>
      <c r="AW13" s="136"/>
      <c r="AX13" s="136"/>
      <c r="AY13" s="136">
        <v>-65</v>
      </c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383664</v>
      </c>
      <c r="S14" s="138">
        <v>42629</v>
      </c>
      <c r="T14" s="135"/>
      <c r="U14" s="135"/>
      <c r="V14" s="139"/>
      <c r="W14" s="138"/>
      <c r="X14" s="136"/>
      <c r="Y14" s="138"/>
      <c r="Z14" s="135"/>
      <c r="AA14" s="138"/>
      <c r="AB14" s="135"/>
      <c r="AC14" s="135"/>
      <c r="AD14" s="138"/>
      <c r="AE14" s="141"/>
      <c r="AF14" s="142"/>
      <c r="AG14" s="143"/>
      <c r="AH14" s="134"/>
      <c r="AI14" s="142"/>
      <c r="AJ14" s="134"/>
      <c r="AK14" s="144"/>
      <c r="AL14" s="145"/>
      <c r="AM14" s="143">
        <v>348498</v>
      </c>
      <c r="AN14" s="146"/>
      <c r="AO14" s="143"/>
      <c r="AP14" s="144">
        <v>-2133</v>
      </c>
      <c r="AQ14" s="143"/>
      <c r="AR14" s="144"/>
      <c r="AS14" s="144"/>
      <c r="AT14" s="143">
        <v>33626</v>
      </c>
      <c r="AU14" s="697"/>
      <c r="AV14" s="698"/>
      <c r="AW14" s="136"/>
      <c r="AX14" s="136"/>
      <c r="AY14" s="136">
        <v>168</v>
      </c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618937</v>
      </c>
      <c r="S15" s="138">
        <v>68771</v>
      </c>
      <c r="T15" s="135"/>
      <c r="U15" s="135"/>
      <c r="V15" s="139"/>
      <c r="W15" s="138"/>
      <c r="X15" s="136"/>
      <c r="Y15" s="138"/>
      <c r="Z15" s="135"/>
      <c r="AA15" s="138"/>
      <c r="AB15" s="135"/>
      <c r="AC15" s="135"/>
      <c r="AD15" s="138"/>
      <c r="AE15" s="141"/>
      <c r="AF15" s="142"/>
      <c r="AG15" s="143"/>
      <c r="AH15" s="134"/>
      <c r="AI15" s="142"/>
      <c r="AJ15" s="134"/>
      <c r="AK15" s="144"/>
      <c r="AL15" s="145"/>
      <c r="AM15" s="143">
        <v>665566</v>
      </c>
      <c r="AN15" s="146"/>
      <c r="AO15" s="143"/>
      <c r="AP15" s="144">
        <v>0</v>
      </c>
      <c r="AQ15" s="143"/>
      <c r="AR15" s="144"/>
      <c r="AS15" s="144"/>
      <c r="AT15" s="143">
        <v>60020</v>
      </c>
      <c r="AU15" s="697"/>
      <c r="AV15" s="698"/>
      <c r="AW15" s="136"/>
      <c r="AX15" s="136"/>
      <c r="AY15" s="136">
        <v>135</v>
      </c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250162</v>
      </c>
      <c r="S16" s="152">
        <v>27796</v>
      </c>
      <c r="T16" s="149"/>
      <c r="U16" s="149"/>
      <c r="V16" s="153"/>
      <c r="W16" s="152"/>
      <c r="X16" s="150"/>
      <c r="Y16" s="152"/>
      <c r="Z16" s="149"/>
      <c r="AA16" s="152"/>
      <c r="AB16" s="155"/>
      <c r="AC16" s="149"/>
      <c r="AD16" s="156"/>
      <c r="AE16" s="156"/>
      <c r="AF16" s="157"/>
      <c r="AG16" s="158"/>
      <c r="AH16" s="148"/>
      <c r="AI16" s="157"/>
      <c r="AJ16" s="148"/>
      <c r="AK16" s="159"/>
      <c r="AL16" s="160"/>
      <c r="AM16" s="158">
        <v>364688</v>
      </c>
      <c r="AN16" s="161"/>
      <c r="AO16" s="158"/>
      <c r="AP16" s="159">
        <v>0</v>
      </c>
      <c r="AQ16" s="158"/>
      <c r="AR16" s="159"/>
      <c r="AS16" s="159"/>
      <c r="AT16" s="158">
        <v>25842</v>
      </c>
      <c r="AU16" s="699"/>
      <c r="AV16" s="700"/>
      <c r="AW16" s="150"/>
      <c r="AX16" s="150"/>
      <c r="AY16" s="150">
        <v>-109</v>
      </c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11158</v>
      </c>
      <c r="S17" s="120">
        <v>1240</v>
      </c>
      <c r="T17" s="117"/>
      <c r="U17" s="117"/>
      <c r="V17" s="121"/>
      <c r="W17" s="120"/>
      <c r="X17" s="118"/>
      <c r="Y17" s="120"/>
      <c r="Z17" s="117"/>
      <c r="AA17" s="120"/>
      <c r="AB17" s="117"/>
      <c r="AC17" s="117"/>
      <c r="AD17" s="120"/>
      <c r="AE17" s="122"/>
      <c r="AF17" s="123"/>
      <c r="AG17" s="124"/>
      <c r="AH17" s="116"/>
      <c r="AI17" s="123"/>
      <c r="AJ17" s="116"/>
      <c r="AK17" s="125"/>
      <c r="AL17" s="126"/>
      <c r="AM17" s="124">
        <v>0</v>
      </c>
      <c r="AN17" s="127"/>
      <c r="AO17" s="124"/>
      <c r="AP17" s="125">
        <v>0</v>
      </c>
      <c r="AQ17" s="124"/>
      <c r="AR17" s="125"/>
      <c r="AS17" s="125"/>
      <c r="AT17" s="124">
        <v>-557</v>
      </c>
      <c r="AU17" s="695"/>
      <c r="AV17" s="696"/>
      <c r="AW17" s="118"/>
      <c r="AX17" s="118"/>
      <c r="AY17" s="118">
        <v>-17</v>
      </c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8">
        <v>0</v>
      </c>
      <c r="T18" s="135"/>
      <c r="U18" s="135"/>
      <c r="V18" s="139"/>
      <c r="W18" s="138"/>
      <c r="X18" s="136"/>
      <c r="Y18" s="138"/>
      <c r="Z18" s="135"/>
      <c r="AA18" s="138"/>
      <c r="AB18" s="135"/>
      <c r="AC18" s="135"/>
      <c r="AD18" s="138"/>
      <c r="AE18" s="141"/>
      <c r="AF18" s="142"/>
      <c r="AG18" s="143"/>
      <c r="AH18" s="134"/>
      <c r="AI18" s="142"/>
      <c r="AJ18" s="134"/>
      <c r="AK18" s="144"/>
      <c r="AL18" s="145"/>
      <c r="AM18" s="143">
        <v>0</v>
      </c>
      <c r="AN18" s="146"/>
      <c r="AO18" s="143"/>
      <c r="AP18" s="144">
        <v>0</v>
      </c>
      <c r="AQ18" s="143"/>
      <c r="AR18" s="144"/>
      <c r="AS18" s="144"/>
      <c r="AT18" s="143">
        <v>0</v>
      </c>
      <c r="AU18" s="697"/>
      <c r="AV18" s="698"/>
      <c r="AW18" s="136"/>
      <c r="AX18" s="136"/>
      <c r="AY18" s="136">
        <v>0</v>
      </c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46661</v>
      </c>
      <c r="S19" s="138">
        <v>5185</v>
      </c>
      <c r="T19" s="135"/>
      <c r="U19" s="135"/>
      <c r="V19" s="139"/>
      <c r="W19" s="138"/>
      <c r="X19" s="136"/>
      <c r="Y19" s="138"/>
      <c r="Z19" s="135"/>
      <c r="AA19" s="138"/>
      <c r="AB19" s="135"/>
      <c r="AC19" s="135"/>
      <c r="AD19" s="138"/>
      <c r="AE19" s="141"/>
      <c r="AF19" s="142"/>
      <c r="AG19" s="143"/>
      <c r="AH19" s="134"/>
      <c r="AI19" s="142"/>
      <c r="AJ19" s="134"/>
      <c r="AK19" s="144"/>
      <c r="AL19" s="145"/>
      <c r="AM19" s="143">
        <v>17129</v>
      </c>
      <c r="AN19" s="146"/>
      <c r="AO19" s="143"/>
      <c r="AP19" s="144">
        <v>0</v>
      </c>
      <c r="AQ19" s="143"/>
      <c r="AR19" s="144"/>
      <c r="AS19" s="144"/>
      <c r="AT19" s="143">
        <v>1634</v>
      </c>
      <c r="AU19" s="697"/>
      <c r="AV19" s="698"/>
      <c r="AW19" s="136"/>
      <c r="AX19" s="136"/>
      <c r="AY19" s="136">
        <v>6</v>
      </c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23128</v>
      </c>
      <c r="S20" s="138">
        <v>2570</v>
      </c>
      <c r="T20" s="135"/>
      <c r="U20" s="135"/>
      <c r="V20" s="139"/>
      <c r="W20" s="138"/>
      <c r="X20" s="136"/>
      <c r="Y20" s="138"/>
      <c r="Z20" s="135"/>
      <c r="AA20" s="138"/>
      <c r="AB20" s="135"/>
      <c r="AC20" s="135"/>
      <c r="AD20" s="138"/>
      <c r="AE20" s="141"/>
      <c r="AF20" s="142"/>
      <c r="AG20" s="143"/>
      <c r="AH20" s="134"/>
      <c r="AI20" s="142"/>
      <c r="AJ20" s="134"/>
      <c r="AK20" s="144"/>
      <c r="AL20" s="145"/>
      <c r="AM20" s="143">
        <v>7526</v>
      </c>
      <c r="AN20" s="146"/>
      <c r="AO20" s="143"/>
      <c r="AP20" s="144">
        <v>0</v>
      </c>
      <c r="AQ20" s="143"/>
      <c r="AR20" s="144"/>
      <c r="AS20" s="144"/>
      <c r="AT20" s="143">
        <v>111</v>
      </c>
      <c r="AU20" s="697"/>
      <c r="AV20" s="698"/>
      <c r="AW20" s="136"/>
      <c r="AX20" s="136"/>
      <c r="AY20" s="136">
        <v>-15</v>
      </c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42905</v>
      </c>
      <c r="S21" s="152">
        <v>4767</v>
      </c>
      <c r="T21" s="149"/>
      <c r="U21" s="149"/>
      <c r="V21" s="153"/>
      <c r="W21" s="152"/>
      <c r="X21" s="150"/>
      <c r="Y21" s="152"/>
      <c r="Z21" s="149"/>
      <c r="AA21" s="152"/>
      <c r="AB21" s="155"/>
      <c r="AC21" s="149"/>
      <c r="AD21" s="156"/>
      <c r="AE21" s="156"/>
      <c r="AF21" s="157"/>
      <c r="AG21" s="158"/>
      <c r="AH21" s="148"/>
      <c r="AI21" s="157"/>
      <c r="AJ21" s="148"/>
      <c r="AK21" s="159"/>
      <c r="AL21" s="160"/>
      <c r="AM21" s="158">
        <v>31809</v>
      </c>
      <c r="AN21" s="161"/>
      <c r="AO21" s="158"/>
      <c r="AP21" s="159">
        <v>0</v>
      </c>
      <c r="AQ21" s="158"/>
      <c r="AR21" s="159"/>
      <c r="AS21" s="159"/>
      <c r="AT21" s="158">
        <v>3495</v>
      </c>
      <c r="AU21" s="699"/>
      <c r="AV21" s="700"/>
      <c r="AW21" s="150"/>
      <c r="AX21" s="150"/>
      <c r="AY21" s="150">
        <v>33</v>
      </c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37455</v>
      </c>
      <c r="S22" s="120">
        <v>4162</v>
      </c>
      <c r="T22" s="117"/>
      <c r="U22" s="117"/>
      <c r="V22" s="121"/>
      <c r="W22" s="120"/>
      <c r="X22" s="118"/>
      <c r="Y22" s="120"/>
      <c r="Z22" s="117"/>
      <c r="AA22" s="120"/>
      <c r="AB22" s="117"/>
      <c r="AC22" s="117"/>
      <c r="AD22" s="120"/>
      <c r="AE22" s="122"/>
      <c r="AF22" s="123"/>
      <c r="AG22" s="124"/>
      <c r="AH22" s="116"/>
      <c r="AI22" s="123"/>
      <c r="AJ22" s="116"/>
      <c r="AK22" s="125"/>
      <c r="AL22" s="126"/>
      <c r="AM22" s="124">
        <v>111560</v>
      </c>
      <c r="AN22" s="127"/>
      <c r="AO22" s="124"/>
      <c r="AP22" s="125">
        <v>0</v>
      </c>
      <c r="AQ22" s="124"/>
      <c r="AR22" s="125"/>
      <c r="AS22" s="125"/>
      <c r="AT22" s="124">
        <v>1533</v>
      </c>
      <c r="AU22" s="695"/>
      <c r="AV22" s="696"/>
      <c r="AW22" s="118"/>
      <c r="AX22" s="118"/>
      <c r="AY22" s="118">
        <v>-216</v>
      </c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374617</v>
      </c>
      <c r="S23" s="138">
        <v>41624</v>
      </c>
      <c r="T23" s="135"/>
      <c r="U23" s="135"/>
      <c r="V23" s="139"/>
      <c r="W23" s="138"/>
      <c r="X23" s="136"/>
      <c r="Y23" s="138"/>
      <c r="Z23" s="135"/>
      <c r="AA23" s="138"/>
      <c r="AB23" s="135"/>
      <c r="AC23" s="135"/>
      <c r="AD23" s="138"/>
      <c r="AE23" s="141"/>
      <c r="AF23" s="142"/>
      <c r="AG23" s="143"/>
      <c r="AH23" s="134"/>
      <c r="AI23" s="142"/>
      <c r="AJ23" s="134"/>
      <c r="AK23" s="144"/>
      <c r="AL23" s="145"/>
      <c r="AM23" s="143">
        <v>815970</v>
      </c>
      <c r="AN23" s="146"/>
      <c r="AO23" s="143"/>
      <c r="AP23" s="144">
        <v>-3403</v>
      </c>
      <c r="AQ23" s="143"/>
      <c r="AR23" s="144"/>
      <c r="AS23" s="144"/>
      <c r="AT23" s="143">
        <v>83826</v>
      </c>
      <c r="AU23" s="697"/>
      <c r="AV23" s="698"/>
      <c r="AW23" s="136"/>
      <c r="AX23" s="136"/>
      <c r="AY23" s="136">
        <v>387</v>
      </c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28742</v>
      </c>
      <c r="S24" s="138">
        <v>3194</v>
      </c>
      <c r="T24" s="135"/>
      <c r="U24" s="135"/>
      <c r="V24" s="139"/>
      <c r="W24" s="138"/>
      <c r="X24" s="136"/>
      <c r="Y24" s="138"/>
      <c r="Z24" s="135"/>
      <c r="AA24" s="138"/>
      <c r="AB24" s="135"/>
      <c r="AC24" s="135"/>
      <c r="AD24" s="138"/>
      <c r="AE24" s="141"/>
      <c r="AF24" s="142"/>
      <c r="AG24" s="143"/>
      <c r="AH24" s="134"/>
      <c r="AI24" s="142"/>
      <c r="AJ24" s="134"/>
      <c r="AK24" s="144"/>
      <c r="AL24" s="145"/>
      <c r="AM24" s="143">
        <v>5746</v>
      </c>
      <c r="AN24" s="146"/>
      <c r="AO24" s="143"/>
      <c r="AP24" s="144">
        <v>0</v>
      </c>
      <c r="AQ24" s="143"/>
      <c r="AR24" s="144"/>
      <c r="AS24" s="144"/>
      <c r="AT24" s="143">
        <v>-250</v>
      </c>
      <c r="AU24" s="697"/>
      <c r="AV24" s="698"/>
      <c r="AW24" s="136"/>
      <c r="AX24" s="136"/>
      <c r="AY24" s="136">
        <v>-22</v>
      </c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59727</v>
      </c>
      <c r="S25" s="138">
        <v>6636</v>
      </c>
      <c r="T25" s="135"/>
      <c r="U25" s="135"/>
      <c r="V25" s="139"/>
      <c r="W25" s="138"/>
      <c r="X25" s="136"/>
      <c r="Y25" s="138"/>
      <c r="Z25" s="135"/>
      <c r="AA25" s="138"/>
      <c r="AB25" s="135"/>
      <c r="AC25" s="135"/>
      <c r="AD25" s="138"/>
      <c r="AE25" s="141"/>
      <c r="AF25" s="142"/>
      <c r="AG25" s="143"/>
      <c r="AH25" s="134"/>
      <c r="AI25" s="142"/>
      <c r="AJ25" s="134"/>
      <c r="AK25" s="144"/>
      <c r="AL25" s="145"/>
      <c r="AM25" s="143">
        <v>27670</v>
      </c>
      <c r="AN25" s="146"/>
      <c r="AO25" s="143"/>
      <c r="AP25" s="144">
        <v>0</v>
      </c>
      <c r="AQ25" s="143"/>
      <c r="AR25" s="144"/>
      <c r="AS25" s="144"/>
      <c r="AT25" s="143">
        <v>1493</v>
      </c>
      <c r="AU25" s="697"/>
      <c r="AV25" s="698"/>
      <c r="AW25" s="136"/>
      <c r="AX25" s="136"/>
      <c r="AY25" s="136">
        <v>-24</v>
      </c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123187</v>
      </c>
      <c r="S26" s="152">
        <v>13687</v>
      </c>
      <c r="T26" s="149"/>
      <c r="U26" s="149"/>
      <c r="V26" s="153"/>
      <c r="W26" s="152"/>
      <c r="X26" s="150"/>
      <c r="Y26" s="152"/>
      <c r="Z26" s="149"/>
      <c r="AA26" s="152"/>
      <c r="AB26" s="155"/>
      <c r="AC26" s="149"/>
      <c r="AD26" s="156"/>
      <c r="AE26" s="156"/>
      <c r="AF26" s="157"/>
      <c r="AG26" s="158"/>
      <c r="AH26" s="148"/>
      <c r="AI26" s="157"/>
      <c r="AJ26" s="148"/>
      <c r="AK26" s="159"/>
      <c r="AL26" s="160"/>
      <c r="AM26" s="158">
        <v>46050</v>
      </c>
      <c r="AN26" s="161"/>
      <c r="AO26" s="158"/>
      <c r="AP26" s="159">
        <v>0</v>
      </c>
      <c r="AQ26" s="158"/>
      <c r="AR26" s="159"/>
      <c r="AS26" s="159"/>
      <c r="AT26" s="158">
        <v>3836</v>
      </c>
      <c r="AU26" s="699"/>
      <c r="AV26" s="700"/>
      <c r="AW26" s="150"/>
      <c r="AX26" s="150"/>
      <c r="AY26" s="150">
        <v>0</v>
      </c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36093</v>
      </c>
      <c r="S27" s="120">
        <v>4010</v>
      </c>
      <c r="T27" s="117"/>
      <c r="U27" s="117"/>
      <c r="V27" s="121"/>
      <c r="W27" s="120"/>
      <c r="X27" s="118"/>
      <c r="Y27" s="120"/>
      <c r="Z27" s="117"/>
      <c r="AA27" s="120"/>
      <c r="AB27" s="117"/>
      <c r="AC27" s="117"/>
      <c r="AD27" s="120"/>
      <c r="AE27" s="122"/>
      <c r="AF27" s="123"/>
      <c r="AG27" s="124"/>
      <c r="AH27" s="116"/>
      <c r="AI27" s="123"/>
      <c r="AJ27" s="116"/>
      <c r="AK27" s="125"/>
      <c r="AL27" s="126"/>
      <c r="AM27" s="124">
        <v>10429</v>
      </c>
      <c r="AN27" s="127"/>
      <c r="AO27" s="124"/>
      <c r="AP27" s="125">
        <v>0</v>
      </c>
      <c r="AQ27" s="124"/>
      <c r="AR27" s="125"/>
      <c r="AS27" s="125"/>
      <c r="AT27" s="124">
        <v>427</v>
      </c>
      <c r="AU27" s="695"/>
      <c r="AV27" s="696"/>
      <c r="AW27" s="118"/>
      <c r="AX27" s="118"/>
      <c r="AY27" s="118">
        <v>-13</v>
      </c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64962</v>
      </c>
      <c r="S28" s="138">
        <v>7218</v>
      </c>
      <c r="T28" s="135"/>
      <c r="U28" s="135"/>
      <c r="V28" s="139"/>
      <c r="W28" s="138"/>
      <c r="X28" s="136"/>
      <c r="Y28" s="138"/>
      <c r="Z28" s="135"/>
      <c r="AA28" s="138"/>
      <c r="AB28" s="135"/>
      <c r="AC28" s="135"/>
      <c r="AD28" s="138"/>
      <c r="AE28" s="141"/>
      <c r="AF28" s="142"/>
      <c r="AG28" s="143"/>
      <c r="AH28" s="134"/>
      <c r="AI28" s="142"/>
      <c r="AJ28" s="134"/>
      <c r="AK28" s="144"/>
      <c r="AL28" s="145"/>
      <c r="AM28" s="143">
        <v>16195</v>
      </c>
      <c r="AN28" s="146"/>
      <c r="AO28" s="143"/>
      <c r="AP28" s="144">
        <v>0</v>
      </c>
      <c r="AQ28" s="143"/>
      <c r="AR28" s="144"/>
      <c r="AS28" s="144"/>
      <c r="AT28" s="143">
        <v>1101</v>
      </c>
      <c r="AU28" s="697"/>
      <c r="AV28" s="698"/>
      <c r="AW28" s="136"/>
      <c r="AX28" s="136"/>
      <c r="AY28" s="136">
        <v>-10</v>
      </c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173136</v>
      </c>
      <c r="S29" s="138">
        <v>19237</v>
      </c>
      <c r="T29" s="135"/>
      <c r="U29" s="135"/>
      <c r="V29" s="139"/>
      <c r="W29" s="138"/>
      <c r="X29" s="136"/>
      <c r="Y29" s="138"/>
      <c r="Z29" s="135"/>
      <c r="AA29" s="138"/>
      <c r="AB29" s="135"/>
      <c r="AC29" s="135"/>
      <c r="AD29" s="138"/>
      <c r="AE29" s="141"/>
      <c r="AF29" s="142"/>
      <c r="AG29" s="143"/>
      <c r="AH29" s="134"/>
      <c r="AI29" s="142"/>
      <c r="AJ29" s="134"/>
      <c r="AK29" s="144"/>
      <c r="AL29" s="145"/>
      <c r="AM29" s="143">
        <v>131806</v>
      </c>
      <c r="AN29" s="146"/>
      <c r="AO29" s="143"/>
      <c r="AP29" s="144">
        <v>0</v>
      </c>
      <c r="AQ29" s="143"/>
      <c r="AR29" s="144"/>
      <c r="AS29" s="144"/>
      <c r="AT29" s="143">
        <v>12465</v>
      </c>
      <c r="AU29" s="697"/>
      <c r="AV29" s="698"/>
      <c r="AW29" s="136"/>
      <c r="AX29" s="136"/>
      <c r="AY29" s="136">
        <v>72</v>
      </c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23268</v>
      </c>
      <c r="S30" s="138">
        <v>2585</v>
      </c>
      <c r="T30" s="135"/>
      <c r="U30" s="135"/>
      <c r="V30" s="139"/>
      <c r="W30" s="138"/>
      <c r="X30" s="136"/>
      <c r="Y30" s="138"/>
      <c r="Z30" s="135"/>
      <c r="AA30" s="138"/>
      <c r="AB30" s="135"/>
      <c r="AC30" s="135"/>
      <c r="AD30" s="138"/>
      <c r="AE30" s="141"/>
      <c r="AF30" s="142"/>
      <c r="AG30" s="143"/>
      <c r="AH30" s="134"/>
      <c r="AI30" s="142"/>
      <c r="AJ30" s="134"/>
      <c r="AK30" s="144"/>
      <c r="AL30" s="145"/>
      <c r="AM30" s="143">
        <v>58565</v>
      </c>
      <c r="AN30" s="146"/>
      <c r="AO30" s="143"/>
      <c r="AP30" s="144">
        <v>0</v>
      </c>
      <c r="AQ30" s="143"/>
      <c r="AR30" s="144"/>
      <c r="AS30" s="144"/>
      <c r="AT30" s="143">
        <v>-1297</v>
      </c>
      <c r="AU30" s="697"/>
      <c r="AV30" s="698"/>
      <c r="AW30" s="136"/>
      <c r="AX30" s="136"/>
      <c r="AY30" s="136">
        <v>-149</v>
      </c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70168</v>
      </c>
      <c r="S31" s="152">
        <v>7796</v>
      </c>
      <c r="T31" s="149"/>
      <c r="U31" s="149"/>
      <c r="V31" s="153"/>
      <c r="W31" s="152"/>
      <c r="X31" s="150"/>
      <c r="Y31" s="152"/>
      <c r="Z31" s="149"/>
      <c r="AA31" s="152"/>
      <c r="AB31" s="155"/>
      <c r="AC31" s="149"/>
      <c r="AD31" s="156"/>
      <c r="AE31" s="156"/>
      <c r="AF31" s="157"/>
      <c r="AG31" s="158"/>
      <c r="AH31" s="148"/>
      <c r="AI31" s="157"/>
      <c r="AJ31" s="148"/>
      <c r="AK31" s="159"/>
      <c r="AL31" s="160"/>
      <c r="AM31" s="158">
        <v>58916</v>
      </c>
      <c r="AN31" s="161"/>
      <c r="AO31" s="158"/>
      <c r="AP31" s="159">
        <v>0</v>
      </c>
      <c r="AQ31" s="158"/>
      <c r="AR31" s="159"/>
      <c r="AS31" s="159"/>
      <c r="AT31" s="158">
        <v>4665</v>
      </c>
      <c r="AU31" s="699"/>
      <c r="AV31" s="700"/>
      <c r="AW31" s="150"/>
      <c r="AX31" s="150"/>
      <c r="AY31" s="150">
        <v>-2</v>
      </c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763374</v>
      </c>
      <c r="S32" s="120">
        <v>84819</v>
      </c>
      <c r="T32" s="117"/>
      <c r="U32" s="117"/>
      <c r="V32" s="121"/>
      <c r="W32" s="120"/>
      <c r="X32" s="118"/>
      <c r="Y32" s="120"/>
      <c r="Z32" s="117"/>
      <c r="AA32" s="120"/>
      <c r="AB32" s="117"/>
      <c r="AC32" s="117"/>
      <c r="AD32" s="120"/>
      <c r="AE32" s="122"/>
      <c r="AF32" s="123"/>
      <c r="AG32" s="124"/>
      <c r="AH32" s="116"/>
      <c r="AI32" s="123"/>
      <c r="AJ32" s="116"/>
      <c r="AK32" s="125"/>
      <c r="AL32" s="126"/>
      <c r="AM32" s="124">
        <v>876645</v>
      </c>
      <c r="AN32" s="127"/>
      <c r="AO32" s="124"/>
      <c r="AP32" s="125">
        <v>-4737</v>
      </c>
      <c r="AQ32" s="124"/>
      <c r="AR32" s="125"/>
      <c r="AS32" s="125"/>
      <c r="AT32" s="124">
        <v>79171</v>
      </c>
      <c r="AU32" s="695"/>
      <c r="AV32" s="696"/>
      <c r="AW32" s="118"/>
      <c r="AX32" s="118"/>
      <c r="AY32" s="118">
        <v>188</v>
      </c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81606</v>
      </c>
      <c r="S33" s="138">
        <v>9067</v>
      </c>
      <c r="T33" s="135"/>
      <c r="U33" s="135"/>
      <c r="V33" s="139"/>
      <c r="W33" s="138"/>
      <c r="X33" s="136"/>
      <c r="Y33" s="138"/>
      <c r="Z33" s="135"/>
      <c r="AA33" s="138"/>
      <c r="AB33" s="135"/>
      <c r="AC33" s="135"/>
      <c r="AD33" s="138"/>
      <c r="AE33" s="141"/>
      <c r="AF33" s="142"/>
      <c r="AG33" s="143"/>
      <c r="AH33" s="134"/>
      <c r="AI33" s="142"/>
      <c r="AJ33" s="134"/>
      <c r="AK33" s="144"/>
      <c r="AL33" s="145"/>
      <c r="AM33" s="143">
        <v>51894</v>
      </c>
      <c r="AN33" s="146"/>
      <c r="AO33" s="143"/>
      <c r="AP33" s="144">
        <v>0</v>
      </c>
      <c r="AQ33" s="143"/>
      <c r="AR33" s="144"/>
      <c r="AS33" s="144"/>
      <c r="AT33" s="143">
        <v>4728</v>
      </c>
      <c r="AU33" s="697"/>
      <c r="AV33" s="698"/>
      <c r="AW33" s="136"/>
      <c r="AX33" s="136"/>
      <c r="AY33" s="136">
        <v>17</v>
      </c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258659</v>
      </c>
      <c r="S34" s="138">
        <v>28740</v>
      </c>
      <c r="T34" s="135"/>
      <c r="U34" s="135"/>
      <c r="V34" s="139"/>
      <c r="W34" s="138"/>
      <c r="X34" s="136"/>
      <c r="Y34" s="138"/>
      <c r="Z34" s="135"/>
      <c r="AA34" s="138"/>
      <c r="AB34" s="135"/>
      <c r="AC34" s="135"/>
      <c r="AD34" s="138"/>
      <c r="AE34" s="141"/>
      <c r="AF34" s="142"/>
      <c r="AG34" s="143"/>
      <c r="AH34" s="134"/>
      <c r="AI34" s="142"/>
      <c r="AJ34" s="134"/>
      <c r="AK34" s="144"/>
      <c r="AL34" s="145"/>
      <c r="AM34" s="143">
        <v>372187</v>
      </c>
      <c r="AN34" s="146"/>
      <c r="AO34" s="143"/>
      <c r="AP34" s="144">
        <v>-2584</v>
      </c>
      <c r="AQ34" s="143"/>
      <c r="AR34" s="144"/>
      <c r="AS34" s="144"/>
      <c r="AT34" s="143">
        <v>34169</v>
      </c>
      <c r="AU34" s="697"/>
      <c r="AV34" s="698"/>
      <c r="AW34" s="136"/>
      <c r="AX34" s="136"/>
      <c r="AY34" s="136">
        <v>97</v>
      </c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131050</v>
      </c>
      <c r="S35" s="138">
        <v>14561</v>
      </c>
      <c r="T35" s="135"/>
      <c r="U35" s="135"/>
      <c r="V35" s="139"/>
      <c r="W35" s="138"/>
      <c r="X35" s="136"/>
      <c r="Y35" s="138"/>
      <c r="Z35" s="135"/>
      <c r="AA35" s="138"/>
      <c r="AB35" s="135"/>
      <c r="AC35" s="135"/>
      <c r="AD35" s="138"/>
      <c r="AE35" s="141"/>
      <c r="AF35" s="142"/>
      <c r="AG35" s="143"/>
      <c r="AH35" s="134"/>
      <c r="AI35" s="142"/>
      <c r="AJ35" s="134"/>
      <c r="AK35" s="144"/>
      <c r="AL35" s="145"/>
      <c r="AM35" s="143">
        <v>138753</v>
      </c>
      <c r="AN35" s="146"/>
      <c r="AO35" s="143"/>
      <c r="AP35" s="144">
        <v>0</v>
      </c>
      <c r="AQ35" s="143"/>
      <c r="AR35" s="144"/>
      <c r="AS35" s="144"/>
      <c r="AT35" s="143">
        <v>12632</v>
      </c>
      <c r="AU35" s="697"/>
      <c r="AV35" s="698"/>
      <c r="AW35" s="136"/>
      <c r="AX35" s="136"/>
      <c r="AY35" s="136">
        <v>33</v>
      </c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16081</v>
      </c>
      <c r="S36" s="152">
        <v>1787</v>
      </c>
      <c r="T36" s="149"/>
      <c r="U36" s="149"/>
      <c r="V36" s="153"/>
      <c r="W36" s="152"/>
      <c r="X36" s="150"/>
      <c r="Y36" s="152"/>
      <c r="Z36" s="149"/>
      <c r="AA36" s="152"/>
      <c r="AB36" s="155"/>
      <c r="AC36" s="149"/>
      <c r="AD36" s="156"/>
      <c r="AE36" s="156"/>
      <c r="AF36" s="157"/>
      <c r="AG36" s="158"/>
      <c r="AH36" s="148"/>
      <c r="AI36" s="157"/>
      <c r="AJ36" s="148"/>
      <c r="AK36" s="159"/>
      <c r="AL36" s="160"/>
      <c r="AM36" s="158">
        <v>6258</v>
      </c>
      <c r="AN36" s="161"/>
      <c r="AO36" s="158"/>
      <c r="AP36" s="159">
        <v>0</v>
      </c>
      <c r="AQ36" s="158"/>
      <c r="AR36" s="159"/>
      <c r="AS36" s="159"/>
      <c r="AT36" s="158">
        <v>53</v>
      </c>
      <c r="AU36" s="699"/>
      <c r="AV36" s="700"/>
      <c r="AW36" s="150"/>
      <c r="AX36" s="150"/>
      <c r="AY36" s="150">
        <v>-19</v>
      </c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60352</v>
      </c>
      <c r="S37" s="120">
        <v>6706</v>
      </c>
      <c r="T37" s="117"/>
      <c r="U37" s="117"/>
      <c r="V37" s="121"/>
      <c r="W37" s="120"/>
      <c r="X37" s="118"/>
      <c r="Y37" s="120"/>
      <c r="Z37" s="117"/>
      <c r="AA37" s="120"/>
      <c r="AB37" s="117"/>
      <c r="AC37" s="117"/>
      <c r="AD37" s="120"/>
      <c r="AE37" s="122"/>
      <c r="AF37" s="123"/>
      <c r="AG37" s="124"/>
      <c r="AH37" s="116"/>
      <c r="AI37" s="123"/>
      <c r="AJ37" s="116"/>
      <c r="AK37" s="125"/>
      <c r="AL37" s="126"/>
      <c r="AM37" s="124">
        <v>108372</v>
      </c>
      <c r="AN37" s="127"/>
      <c r="AO37" s="124"/>
      <c r="AP37" s="125">
        <v>0</v>
      </c>
      <c r="AQ37" s="124"/>
      <c r="AR37" s="125"/>
      <c r="AS37" s="125"/>
      <c r="AT37" s="124">
        <v>12241</v>
      </c>
      <c r="AU37" s="695"/>
      <c r="AV37" s="696"/>
      <c r="AW37" s="118"/>
      <c r="AX37" s="118"/>
      <c r="AY37" s="118">
        <v>90</v>
      </c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523459</v>
      </c>
      <c r="S38" s="138">
        <v>58162</v>
      </c>
      <c r="T38" s="135"/>
      <c r="U38" s="135"/>
      <c r="V38" s="139"/>
      <c r="W38" s="138"/>
      <c r="X38" s="136"/>
      <c r="Y38" s="138"/>
      <c r="Z38" s="135"/>
      <c r="AA38" s="138"/>
      <c r="AB38" s="135"/>
      <c r="AC38" s="135"/>
      <c r="AD38" s="138"/>
      <c r="AE38" s="141"/>
      <c r="AF38" s="142"/>
      <c r="AG38" s="143"/>
      <c r="AH38" s="134"/>
      <c r="AI38" s="142"/>
      <c r="AJ38" s="134"/>
      <c r="AK38" s="144"/>
      <c r="AL38" s="145"/>
      <c r="AM38" s="143">
        <v>205128</v>
      </c>
      <c r="AN38" s="146"/>
      <c r="AO38" s="143"/>
      <c r="AP38" s="144">
        <v>0</v>
      </c>
      <c r="AQ38" s="143"/>
      <c r="AR38" s="144"/>
      <c r="AS38" s="144"/>
      <c r="AT38" s="143">
        <v>17493</v>
      </c>
      <c r="AU38" s="697"/>
      <c r="AV38" s="698"/>
      <c r="AW38" s="136"/>
      <c r="AX38" s="136"/>
      <c r="AY38" s="136">
        <v>1</v>
      </c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13777</v>
      </c>
      <c r="S39" s="138">
        <v>1531</v>
      </c>
      <c r="T39" s="135"/>
      <c r="U39" s="135"/>
      <c r="V39" s="139"/>
      <c r="W39" s="138"/>
      <c r="X39" s="136"/>
      <c r="Y39" s="138"/>
      <c r="Z39" s="135"/>
      <c r="AA39" s="138"/>
      <c r="AB39" s="135"/>
      <c r="AC39" s="135"/>
      <c r="AD39" s="138"/>
      <c r="AE39" s="141"/>
      <c r="AF39" s="142"/>
      <c r="AG39" s="143"/>
      <c r="AH39" s="134"/>
      <c r="AI39" s="142"/>
      <c r="AJ39" s="134"/>
      <c r="AK39" s="144"/>
      <c r="AL39" s="145"/>
      <c r="AM39" s="143">
        <v>4108</v>
      </c>
      <c r="AN39" s="146"/>
      <c r="AO39" s="143"/>
      <c r="AP39" s="144">
        <v>0</v>
      </c>
      <c r="AQ39" s="143"/>
      <c r="AR39" s="144"/>
      <c r="AS39" s="144"/>
      <c r="AT39" s="143">
        <v>-13</v>
      </c>
      <c r="AU39" s="697"/>
      <c r="AV39" s="698"/>
      <c r="AW39" s="136"/>
      <c r="AX39" s="136"/>
      <c r="AY39" s="136">
        <v>-11</v>
      </c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260855</v>
      </c>
      <c r="S40" s="138">
        <v>28984</v>
      </c>
      <c r="T40" s="135"/>
      <c r="U40" s="135"/>
      <c r="V40" s="139"/>
      <c r="W40" s="138"/>
      <c r="X40" s="136"/>
      <c r="Y40" s="138"/>
      <c r="Z40" s="135"/>
      <c r="AA40" s="138"/>
      <c r="AB40" s="135"/>
      <c r="AC40" s="135"/>
      <c r="AD40" s="138"/>
      <c r="AE40" s="141"/>
      <c r="AF40" s="142"/>
      <c r="AG40" s="143"/>
      <c r="AH40" s="134"/>
      <c r="AI40" s="142"/>
      <c r="AJ40" s="134"/>
      <c r="AK40" s="144"/>
      <c r="AL40" s="145"/>
      <c r="AM40" s="143">
        <v>123044</v>
      </c>
      <c r="AN40" s="146"/>
      <c r="AO40" s="143"/>
      <c r="AP40" s="144">
        <v>0</v>
      </c>
      <c r="AQ40" s="143"/>
      <c r="AR40" s="144"/>
      <c r="AS40" s="144"/>
      <c r="AT40" s="143">
        <v>10695</v>
      </c>
      <c r="AU40" s="697"/>
      <c r="AV40" s="698"/>
      <c r="AW40" s="136"/>
      <c r="AX40" s="136"/>
      <c r="AY40" s="136">
        <v>31</v>
      </c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92499</v>
      </c>
      <c r="S41" s="152">
        <v>10278</v>
      </c>
      <c r="T41" s="149"/>
      <c r="U41" s="149"/>
      <c r="V41" s="153"/>
      <c r="W41" s="152"/>
      <c r="X41" s="150"/>
      <c r="Y41" s="152"/>
      <c r="Z41" s="149"/>
      <c r="AA41" s="152"/>
      <c r="AB41" s="155"/>
      <c r="AC41" s="149"/>
      <c r="AD41" s="156"/>
      <c r="AE41" s="156"/>
      <c r="AF41" s="157"/>
      <c r="AG41" s="158"/>
      <c r="AH41" s="148"/>
      <c r="AI41" s="157"/>
      <c r="AJ41" s="148"/>
      <c r="AK41" s="159"/>
      <c r="AL41" s="160"/>
      <c r="AM41" s="158">
        <v>82018</v>
      </c>
      <c r="AN41" s="161"/>
      <c r="AO41" s="158"/>
      <c r="AP41" s="159">
        <v>0</v>
      </c>
      <c r="AQ41" s="158"/>
      <c r="AR41" s="159"/>
      <c r="AS41" s="159"/>
      <c r="AT41" s="158">
        <v>8446</v>
      </c>
      <c r="AU41" s="699"/>
      <c r="AV41" s="700"/>
      <c r="AW41" s="150"/>
      <c r="AX41" s="150"/>
      <c r="AY41" s="150">
        <v>66</v>
      </c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329233</v>
      </c>
      <c r="S42" s="120">
        <v>36581</v>
      </c>
      <c r="T42" s="117"/>
      <c r="U42" s="117"/>
      <c r="V42" s="121"/>
      <c r="W42" s="120"/>
      <c r="X42" s="118"/>
      <c r="Y42" s="120"/>
      <c r="Z42" s="117"/>
      <c r="AA42" s="120"/>
      <c r="AB42" s="117"/>
      <c r="AC42" s="117"/>
      <c r="AD42" s="120"/>
      <c r="AE42" s="122"/>
      <c r="AF42" s="123"/>
      <c r="AG42" s="124"/>
      <c r="AH42" s="116"/>
      <c r="AI42" s="123"/>
      <c r="AJ42" s="116"/>
      <c r="AK42" s="125"/>
      <c r="AL42" s="126"/>
      <c r="AM42" s="124">
        <v>489753</v>
      </c>
      <c r="AN42" s="127"/>
      <c r="AO42" s="124"/>
      <c r="AP42" s="125">
        <v>0</v>
      </c>
      <c r="AQ42" s="124"/>
      <c r="AR42" s="125"/>
      <c r="AS42" s="125"/>
      <c r="AT42" s="124">
        <v>42002</v>
      </c>
      <c r="AU42" s="695"/>
      <c r="AV42" s="696"/>
      <c r="AW42" s="118"/>
      <c r="AX42" s="118"/>
      <c r="AY42" s="118">
        <v>-70</v>
      </c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313023</v>
      </c>
      <c r="S43" s="138">
        <v>34780</v>
      </c>
      <c r="T43" s="135"/>
      <c r="U43" s="135"/>
      <c r="V43" s="139"/>
      <c r="W43" s="138"/>
      <c r="X43" s="136"/>
      <c r="Y43" s="138"/>
      <c r="Z43" s="135"/>
      <c r="AA43" s="138"/>
      <c r="AB43" s="135"/>
      <c r="AC43" s="135"/>
      <c r="AD43" s="138"/>
      <c r="AE43" s="141"/>
      <c r="AF43" s="142"/>
      <c r="AG43" s="143"/>
      <c r="AH43" s="134"/>
      <c r="AI43" s="142"/>
      <c r="AJ43" s="134"/>
      <c r="AK43" s="144"/>
      <c r="AL43" s="145"/>
      <c r="AM43" s="143">
        <v>231229</v>
      </c>
      <c r="AN43" s="146"/>
      <c r="AO43" s="143"/>
      <c r="AP43" s="144">
        <v>-1790</v>
      </c>
      <c r="AQ43" s="143"/>
      <c r="AR43" s="144"/>
      <c r="AS43" s="144"/>
      <c r="AT43" s="143">
        <v>25282</v>
      </c>
      <c r="AU43" s="697"/>
      <c r="AV43" s="698"/>
      <c r="AW43" s="136"/>
      <c r="AX43" s="136"/>
      <c r="AY43" s="136">
        <v>143</v>
      </c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21957</v>
      </c>
      <c r="S44" s="138">
        <v>2440</v>
      </c>
      <c r="T44" s="135"/>
      <c r="U44" s="135"/>
      <c r="V44" s="139"/>
      <c r="W44" s="138"/>
      <c r="X44" s="136"/>
      <c r="Y44" s="138"/>
      <c r="Z44" s="135"/>
      <c r="AA44" s="138"/>
      <c r="AB44" s="135"/>
      <c r="AC44" s="135"/>
      <c r="AD44" s="138"/>
      <c r="AE44" s="141"/>
      <c r="AF44" s="142"/>
      <c r="AG44" s="143"/>
      <c r="AH44" s="134"/>
      <c r="AI44" s="142"/>
      <c r="AJ44" s="134"/>
      <c r="AK44" s="144"/>
      <c r="AL44" s="145"/>
      <c r="AM44" s="143">
        <v>99504</v>
      </c>
      <c r="AN44" s="146"/>
      <c r="AO44" s="143"/>
      <c r="AP44" s="144">
        <v>0</v>
      </c>
      <c r="AQ44" s="143"/>
      <c r="AR44" s="144"/>
      <c r="AS44" s="144"/>
      <c r="AT44" s="143">
        <v>8672</v>
      </c>
      <c r="AU44" s="697"/>
      <c r="AV44" s="698"/>
      <c r="AW44" s="136"/>
      <c r="AX44" s="136"/>
      <c r="AY44" s="136">
        <v>37</v>
      </c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37706</v>
      </c>
      <c r="S45" s="138">
        <v>4190</v>
      </c>
      <c r="T45" s="135"/>
      <c r="U45" s="135"/>
      <c r="V45" s="139"/>
      <c r="W45" s="138"/>
      <c r="X45" s="136"/>
      <c r="Y45" s="138"/>
      <c r="Z45" s="135"/>
      <c r="AA45" s="138"/>
      <c r="AB45" s="135"/>
      <c r="AC45" s="135"/>
      <c r="AD45" s="138"/>
      <c r="AE45" s="141"/>
      <c r="AF45" s="142"/>
      <c r="AG45" s="143"/>
      <c r="AH45" s="134"/>
      <c r="AI45" s="142"/>
      <c r="AJ45" s="134"/>
      <c r="AK45" s="144"/>
      <c r="AL45" s="145"/>
      <c r="AM45" s="143">
        <v>56767</v>
      </c>
      <c r="AN45" s="146"/>
      <c r="AO45" s="143"/>
      <c r="AP45" s="144">
        <v>0</v>
      </c>
      <c r="AQ45" s="143"/>
      <c r="AR45" s="144"/>
      <c r="AS45" s="144"/>
      <c r="AT45" s="143">
        <v>4935</v>
      </c>
      <c r="AU45" s="697"/>
      <c r="AV45" s="698"/>
      <c r="AW45" s="136"/>
      <c r="AX45" s="136"/>
      <c r="AY45" s="136">
        <v>-6</v>
      </c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305885</v>
      </c>
      <c r="S46" s="152">
        <v>33987</v>
      </c>
      <c r="T46" s="149"/>
      <c r="U46" s="149"/>
      <c r="V46" s="153"/>
      <c r="W46" s="152"/>
      <c r="X46" s="150"/>
      <c r="Y46" s="152"/>
      <c r="Z46" s="149"/>
      <c r="AA46" s="152"/>
      <c r="AB46" s="155"/>
      <c r="AC46" s="149"/>
      <c r="AD46" s="156"/>
      <c r="AE46" s="156"/>
      <c r="AF46" s="157"/>
      <c r="AG46" s="158"/>
      <c r="AH46" s="148"/>
      <c r="AI46" s="157"/>
      <c r="AJ46" s="148"/>
      <c r="AK46" s="159"/>
      <c r="AL46" s="160"/>
      <c r="AM46" s="158">
        <v>187998</v>
      </c>
      <c r="AN46" s="161"/>
      <c r="AO46" s="158"/>
      <c r="AP46" s="159">
        <v>0</v>
      </c>
      <c r="AQ46" s="158"/>
      <c r="AR46" s="159"/>
      <c r="AS46" s="159"/>
      <c r="AT46" s="158">
        <v>17005</v>
      </c>
      <c r="AU46" s="699"/>
      <c r="AV46" s="700"/>
      <c r="AW46" s="150"/>
      <c r="AX46" s="150"/>
      <c r="AY46" s="150">
        <v>41</v>
      </c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2620</v>
      </c>
      <c r="S47" s="120">
        <v>291</v>
      </c>
      <c r="T47" s="117"/>
      <c r="U47" s="117"/>
      <c r="V47" s="121"/>
      <c r="W47" s="120"/>
      <c r="X47" s="118"/>
      <c r="Y47" s="120"/>
      <c r="Z47" s="117"/>
      <c r="AA47" s="120"/>
      <c r="AB47" s="117"/>
      <c r="AC47" s="117"/>
      <c r="AD47" s="120"/>
      <c r="AE47" s="122"/>
      <c r="AF47" s="123"/>
      <c r="AG47" s="124"/>
      <c r="AH47" s="116"/>
      <c r="AI47" s="123"/>
      <c r="AJ47" s="116"/>
      <c r="AK47" s="125"/>
      <c r="AL47" s="126"/>
      <c r="AM47" s="124">
        <v>35308</v>
      </c>
      <c r="AN47" s="127"/>
      <c r="AO47" s="124"/>
      <c r="AP47" s="125">
        <v>0</v>
      </c>
      <c r="AQ47" s="124"/>
      <c r="AR47" s="125"/>
      <c r="AS47" s="125"/>
      <c r="AT47" s="124">
        <v>4946</v>
      </c>
      <c r="AU47" s="695"/>
      <c r="AV47" s="696"/>
      <c r="AW47" s="118"/>
      <c r="AX47" s="118"/>
      <c r="AY47" s="118">
        <v>60</v>
      </c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20780</v>
      </c>
      <c r="S48" s="138">
        <v>2309</v>
      </c>
      <c r="T48" s="135"/>
      <c r="U48" s="135"/>
      <c r="V48" s="139"/>
      <c r="W48" s="138"/>
      <c r="X48" s="136"/>
      <c r="Y48" s="138"/>
      <c r="Z48" s="135"/>
      <c r="AA48" s="138"/>
      <c r="AB48" s="135"/>
      <c r="AC48" s="135"/>
      <c r="AD48" s="138"/>
      <c r="AE48" s="141"/>
      <c r="AF48" s="142"/>
      <c r="AG48" s="143"/>
      <c r="AH48" s="134"/>
      <c r="AI48" s="142"/>
      <c r="AJ48" s="134"/>
      <c r="AK48" s="144"/>
      <c r="AL48" s="145"/>
      <c r="AM48" s="143">
        <v>28771</v>
      </c>
      <c r="AN48" s="146"/>
      <c r="AO48" s="143"/>
      <c r="AP48" s="144">
        <v>0</v>
      </c>
      <c r="AQ48" s="143"/>
      <c r="AR48" s="144"/>
      <c r="AS48" s="144"/>
      <c r="AT48" s="143">
        <v>3325</v>
      </c>
      <c r="AU48" s="697"/>
      <c r="AV48" s="698"/>
      <c r="AW48" s="136"/>
      <c r="AX48" s="136"/>
      <c r="AY48" s="136">
        <v>34</v>
      </c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49925</v>
      </c>
      <c r="S49" s="138">
        <v>5547</v>
      </c>
      <c r="T49" s="135"/>
      <c r="U49" s="135"/>
      <c r="V49" s="139"/>
      <c r="W49" s="138"/>
      <c r="X49" s="136"/>
      <c r="Y49" s="138"/>
      <c r="Z49" s="135"/>
      <c r="AA49" s="138"/>
      <c r="AB49" s="135"/>
      <c r="AC49" s="135"/>
      <c r="AD49" s="138"/>
      <c r="AE49" s="141"/>
      <c r="AF49" s="142"/>
      <c r="AG49" s="143"/>
      <c r="AH49" s="134"/>
      <c r="AI49" s="142"/>
      <c r="AJ49" s="134"/>
      <c r="AK49" s="144"/>
      <c r="AL49" s="145"/>
      <c r="AM49" s="143">
        <v>8885</v>
      </c>
      <c r="AN49" s="146"/>
      <c r="AO49" s="143"/>
      <c r="AP49" s="144">
        <v>0</v>
      </c>
      <c r="AQ49" s="143"/>
      <c r="AR49" s="144"/>
      <c r="AS49" s="144"/>
      <c r="AT49" s="143">
        <v>-2053</v>
      </c>
      <c r="AU49" s="697"/>
      <c r="AV49" s="698"/>
      <c r="AW49" s="136"/>
      <c r="AX49" s="136"/>
      <c r="AY49" s="136">
        <v>-84</v>
      </c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163254</v>
      </c>
      <c r="S50" s="138">
        <v>18139</v>
      </c>
      <c r="T50" s="135"/>
      <c r="U50" s="135"/>
      <c r="V50" s="139"/>
      <c r="W50" s="138"/>
      <c r="X50" s="136"/>
      <c r="Y50" s="138"/>
      <c r="Z50" s="135"/>
      <c r="AA50" s="138"/>
      <c r="AB50" s="135"/>
      <c r="AC50" s="135"/>
      <c r="AD50" s="138"/>
      <c r="AE50" s="141"/>
      <c r="AF50" s="142"/>
      <c r="AG50" s="143"/>
      <c r="AH50" s="134"/>
      <c r="AI50" s="142"/>
      <c r="AJ50" s="134"/>
      <c r="AK50" s="144"/>
      <c r="AL50" s="145"/>
      <c r="AM50" s="143">
        <v>78708</v>
      </c>
      <c r="AN50" s="146"/>
      <c r="AO50" s="143"/>
      <c r="AP50" s="144">
        <v>0</v>
      </c>
      <c r="AQ50" s="143"/>
      <c r="AR50" s="144"/>
      <c r="AS50" s="144"/>
      <c r="AT50" s="143">
        <v>4442</v>
      </c>
      <c r="AU50" s="697"/>
      <c r="AV50" s="698"/>
      <c r="AW50" s="136"/>
      <c r="AX50" s="136"/>
      <c r="AY50" s="136">
        <v>-68</v>
      </c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63424</v>
      </c>
      <c r="S51" s="152">
        <v>7047</v>
      </c>
      <c r="T51" s="149"/>
      <c r="U51" s="149"/>
      <c r="V51" s="153"/>
      <c r="W51" s="152"/>
      <c r="X51" s="150"/>
      <c r="Y51" s="152"/>
      <c r="Z51" s="149"/>
      <c r="AA51" s="152"/>
      <c r="AB51" s="155"/>
      <c r="AC51" s="149"/>
      <c r="AD51" s="156"/>
      <c r="AE51" s="156"/>
      <c r="AF51" s="157"/>
      <c r="AG51" s="158"/>
      <c r="AH51" s="148"/>
      <c r="AI51" s="157"/>
      <c r="AJ51" s="148"/>
      <c r="AK51" s="159"/>
      <c r="AL51" s="160"/>
      <c r="AM51" s="158">
        <v>317461</v>
      </c>
      <c r="AN51" s="161"/>
      <c r="AO51" s="158"/>
      <c r="AP51" s="159">
        <v>0</v>
      </c>
      <c r="AQ51" s="158"/>
      <c r="AR51" s="159"/>
      <c r="AS51" s="159"/>
      <c r="AT51" s="158">
        <v>26282</v>
      </c>
      <c r="AU51" s="699"/>
      <c r="AV51" s="700"/>
      <c r="AW51" s="150"/>
      <c r="AX51" s="150"/>
      <c r="AY51" s="150">
        <v>14</v>
      </c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62396</v>
      </c>
      <c r="S52" s="120">
        <v>6933</v>
      </c>
      <c r="T52" s="117"/>
      <c r="U52" s="117"/>
      <c r="V52" s="121"/>
      <c r="W52" s="120"/>
      <c r="X52" s="118"/>
      <c r="Y52" s="120"/>
      <c r="Z52" s="117"/>
      <c r="AA52" s="120"/>
      <c r="AB52" s="117"/>
      <c r="AC52" s="117"/>
      <c r="AD52" s="120"/>
      <c r="AE52" s="122"/>
      <c r="AF52" s="123"/>
      <c r="AG52" s="124"/>
      <c r="AH52" s="116"/>
      <c r="AI52" s="123"/>
      <c r="AJ52" s="116"/>
      <c r="AK52" s="125"/>
      <c r="AL52" s="126"/>
      <c r="AM52" s="124">
        <v>16794</v>
      </c>
      <c r="AN52" s="127"/>
      <c r="AO52" s="124"/>
      <c r="AP52" s="125">
        <v>0</v>
      </c>
      <c r="AQ52" s="124"/>
      <c r="AR52" s="125"/>
      <c r="AS52" s="125"/>
      <c r="AT52" s="124">
        <v>550</v>
      </c>
      <c r="AU52" s="695"/>
      <c r="AV52" s="696"/>
      <c r="AW52" s="118"/>
      <c r="AX52" s="118"/>
      <c r="AY52" s="118">
        <v>-11</v>
      </c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6421</v>
      </c>
      <c r="S53" s="138">
        <v>713</v>
      </c>
      <c r="T53" s="135"/>
      <c r="U53" s="135"/>
      <c r="V53" s="139"/>
      <c r="W53" s="138"/>
      <c r="X53" s="136"/>
      <c r="Y53" s="138"/>
      <c r="Z53" s="135"/>
      <c r="AA53" s="138"/>
      <c r="AB53" s="135"/>
      <c r="AC53" s="135"/>
      <c r="AD53" s="138"/>
      <c r="AE53" s="141"/>
      <c r="AF53" s="142"/>
      <c r="AG53" s="143"/>
      <c r="AH53" s="134"/>
      <c r="AI53" s="142"/>
      <c r="AJ53" s="134"/>
      <c r="AK53" s="144"/>
      <c r="AL53" s="145"/>
      <c r="AM53" s="143">
        <v>43005</v>
      </c>
      <c r="AN53" s="146"/>
      <c r="AO53" s="143"/>
      <c r="AP53" s="144">
        <v>0</v>
      </c>
      <c r="AQ53" s="143"/>
      <c r="AR53" s="144"/>
      <c r="AS53" s="144"/>
      <c r="AT53" s="143">
        <v>5953</v>
      </c>
      <c r="AU53" s="697"/>
      <c r="AV53" s="698"/>
      <c r="AW53" s="136"/>
      <c r="AX53" s="136"/>
      <c r="AY53" s="136">
        <v>36</v>
      </c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101502</v>
      </c>
      <c r="S54" s="138">
        <v>11278</v>
      </c>
      <c r="T54" s="135"/>
      <c r="U54" s="135"/>
      <c r="V54" s="139"/>
      <c r="W54" s="138"/>
      <c r="X54" s="136"/>
      <c r="Y54" s="138"/>
      <c r="Z54" s="135"/>
      <c r="AA54" s="138"/>
      <c r="AB54" s="135"/>
      <c r="AC54" s="135"/>
      <c r="AD54" s="138"/>
      <c r="AE54" s="141"/>
      <c r="AF54" s="142"/>
      <c r="AG54" s="143"/>
      <c r="AH54" s="134"/>
      <c r="AI54" s="142"/>
      <c r="AJ54" s="134"/>
      <c r="AK54" s="144"/>
      <c r="AL54" s="145"/>
      <c r="AM54" s="143">
        <v>197302</v>
      </c>
      <c r="AN54" s="146"/>
      <c r="AO54" s="143"/>
      <c r="AP54" s="144">
        <v>0</v>
      </c>
      <c r="AQ54" s="143"/>
      <c r="AR54" s="144"/>
      <c r="AS54" s="144"/>
      <c r="AT54" s="143">
        <v>24192</v>
      </c>
      <c r="AU54" s="697"/>
      <c r="AV54" s="698"/>
      <c r="AW54" s="136"/>
      <c r="AX54" s="136"/>
      <c r="AY54" s="136">
        <v>192</v>
      </c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349090</v>
      </c>
      <c r="S55" s="138">
        <v>38788</v>
      </c>
      <c r="T55" s="135"/>
      <c r="U55" s="135"/>
      <c r="V55" s="139"/>
      <c r="W55" s="138"/>
      <c r="X55" s="136"/>
      <c r="Y55" s="138"/>
      <c r="Z55" s="135"/>
      <c r="AA55" s="138"/>
      <c r="AB55" s="135"/>
      <c r="AC55" s="135"/>
      <c r="AD55" s="138"/>
      <c r="AE55" s="141"/>
      <c r="AF55" s="142"/>
      <c r="AG55" s="143"/>
      <c r="AH55" s="134"/>
      <c r="AI55" s="142"/>
      <c r="AJ55" s="134"/>
      <c r="AK55" s="144"/>
      <c r="AL55" s="145"/>
      <c r="AM55" s="143">
        <v>214452</v>
      </c>
      <c r="AN55" s="146"/>
      <c r="AO55" s="143"/>
      <c r="AP55" s="144">
        <v>0</v>
      </c>
      <c r="AQ55" s="143"/>
      <c r="AR55" s="144"/>
      <c r="AS55" s="144"/>
      <c r="AT55" s="143">
        <v>21489</v>
      </c>
      <c r="AU55" s="697"/>
      <c r="AV55" s="698"/>
      <c r="AW55" s="136"/>
      <c r="AX55" s="136"/>
      <c r="AY55" s="136">
        <v>120</v>
      </c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158851</v>
      </c>
      <c r="S56" s="152">
        <v>17650</v>
      </c>
      <c r="T56" s="149"/>
      <c r="U56" s="149"/>
      <c r="V56" s="153"/>
      <c r="W56" s="152"/>
      <c r="X56" s="150"/>
      <c r="Y56" s="152"/>
      <c r="Z56" s="149"/>
      <c r="AA56" s="152"/>
      <c r="AB56" s="155"/>
      <c r="AC56" s="149"/>
      <c r="AD56" s="156"/>
      <c r="AE56" s="156"/>
      <c r="AF56" s="157"/>
      <c r="AG56" s="158"/>
      <c r="AH56" s="148"/>
      <c r="AI56" s="157"/>
      <c r="AJ56" s="148"/>
      <c r="AK56" s="159"/>
      <c r="AL56" s="160"/>
      <c r="AM56" s="158">
        <v>78024</v>
      </c>
      <c r="AN56" s="161"/>
      <c r="AO56" s="158"/>
      <c r="AP56" s="159">
        <v>0</v>
      </c>
      <c r="AQ56" s="158"/>
      <c r="AR56" s="159"/>
      <c r="AS56" s="159"/>
      <c r="AT56" s="158">
        <v>6280</v>
      </c>
      <c r="AU56" s="699"/>
      <c r="AV56" s="700"/>
      <c r="AW56" s="150"/>
      <c r="AX56" s="150"/>
      <c r="AY56" s="150">
        <v>-19</v>
      </c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53677</v>
      </c>
      <c r="S57" s="120">
        <v>5964</v>
      </c>
      <c r="T57" s="117"/>
      <c r="U57" s="117"/>
      <c r="V57" s="121"/>
      <c r="W57" s="120"/>
      <c r="X57" s="118"/>
      <c r="Y57" s="120"/>
      <c r="Z57" s="117"/>
      <c r="AA57" s="120"/>
      <c r="AB57" s="117"/>
      <c r="AC57" s="117"/>
      <c r="AD57" s="120"/>
      <c r="AE57" s="122"/>
      <c r="AF57" s="123"/>
      <c r="AG57" s="124"/>
      <c r="AH57" s="116"/>
      <c r="AI57" s="123"/>
      <c r="AJ57" s="116"/>
      <c r="AK57" s="125"/>
      <c r="AL57" s="126"/>
      <c r="AM57" s="124">
        <v>53006</v>
      </c>
      <c r="AN57" s="127"/>
      <c r="AO57" s="124"/>
      <c r="AP57" s="125">
        <v>0</v>
      </c>
      <c r="AQ57" s="124"/>
      <c r="AR57" s="125"/>
      <c r="AS57" s="125"/>
      <c r="AT57" s="124">
        <v>5699</v>
      </c>
      <c r="AU57" s="695"/>
      <c r="AV57" s="696"/>
      <c r="AW57" s="118"/>
      <c r="AX57" s="118"/>
      <c r="AY57" s="118">
        <v>28</v>
      </c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589415</v>
      </c>
      <c r="S58" s="138">
        <v>65491</v>
      </c>
      <c r="T58" s="135"/>
      <c r="U58" s="135"/>
      <c r="V58" s="139"/>
      <c r="W58" s="138"/>
      <c r="X58" s="136"/>
      <c r="Y58" s="138"/>
      <c r="Z58" s="135"/>
      <c r="AA58" s="138"/>
      <c r="AB58" s="135"/>
      <c r="AC58" s="135"/>
      <c r="AD58" s="138"/>
      <c r="AE58" s="141"/>
      <c r="AF58" s="142"/>
      <c r="AG58" s="143"/>
      <c r="AH58" s="134"/>
      <c r="AI58" s="142"/>
      <c r="AJ58" s="134"/>
      <c r="AK58" s="144"/>
      <c r="AL58" s="145"/>
      <c r="AM58" s="143">
        <v>762604</v>
      </c>
      <c r="AN58" s="146"/>
      <c r="AO58" s="143"/>
      <c r="AP58" s="144">
        <v>-2684</v>
      </c>
      <c r="AQ58" s="143"/>
      <c r="AR58" s="144"/>
      <c r="AS58" s="144"/>
      <c r="AT58" s="143">
        <v>71309</v>
      </c>
      <c r="AU58" s="697"/>
      <c r="AV58" s="698"/>
      <c r="AW58" s="136"/>
      <c r="AX58" s="136"/>
      <c r="AY58" s="136">
        <v>282</v>
      </c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399771</v>
      </c>
      <c r="S59" s="138">
        <v>44419</v>
      </c>
      <c r="T59" s="135"/>
      <c r="U59" s="135"/>
      <c r="V59" s="139"/>
      <c r="W59" s="138"/>
      <c r="X59" s="136"/>
      <c r="Y59" s="138"/>
      <c r="Z59" s="135"/>
      <c r="AA59" s="138"/>
      <c r="AB59" s="135"/>
      <c r="AC59" s="135"/>
      <c r="AD59" s="138"/>
      <c r="AE59" s="141"/>
      <c r="AF59" s="142"/>
      <c r="AG59" s="143"/>
      <c r="AH59" s="134"/>
      <c r="AI59" s="142"/>
      <c r="AJ59" s="134"/>
      <c r="AK59" s="144"/>
      <c r="AL59" s="145"/>
      <c r="AM59" s="143">
        <v>193793</v>
      </c>
      <c r="AN59" s="146"/>
      <c r="AO59" s="143"/>
      <c r="AP59" s="144">
        <v>0</v>
      </c>
      <c r="AQ59" s="143"/>
      <c r="AR59" s="144"/>
      <c r="AS59" s="144"/>
      <c r="AT59" s="143">
        <v>17759</v>
      </c>
      <c r="AU59" s="697"/>
      <c r="AV59" s="698"/>
      <c r="AW59" s="136"/>
      <c r="AX59" s="136"/>
      <c r="AY59" s="136">
        <v>46</v>
      </c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20784</v>
      </c>
      <c r="S60" s="138">
        <v>2309</v>
      </c>
      <c r="T60" s="135"/>
      <c r="U60" s="135"/>
      <c r="V60" s="139"/>
      <c r="W60" s="138"/>
      <c r="X60" s="136"/>
      <c r="Y60" s="138"/>
      <c r="Z60" s="135"/>
      <c r="AA60" s="138"/>
      <c r="AB60" s="135"/>
      <c r="AC60" s="135"/>
      <c r="AD60" s="138"/>
      <c r="AE60" s="141"/>
      <c r="AF60" s="142"/>
      <c r="AG60" s="143"/>
      <c r="AH60" s="134"/>
      <c r="AI60" s="142"/>
      <c r="AJ60" s="134"/>
      <c r="AK60" s="144"/>
      <c r="AL60" s="145"/>
      <c r="AM60" s="143">
        <v>6017</v>
      </c>
      <c r="AN60" s="146"/>
      <c r="AO60" s="143"/>
      <c r="AP60" s="144">
        <v>0</v>
      </c>
      <c r="AQ60" s="143"/>
      <c r="AR60" s="144"/>
      <c r="AS60" s="144"/>
      <c r="AT60" s="143">
        <v>-1116</v>
      </c>
      <c r="AU60" s="697"/>
      <c r="AV60" s="698"/>
      <c r="AW60" s="136"/>
      <c r="AX60" s="136"/>
      <c r="AY60" s="136">
        <v>-49</v>
      </c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294432</v>
      </c>
      <c r="S61" s="152">
        <v>32715</v>
      </c>
      <c r="T61" s="149"/>
      <c r="U61" s="149"/>
      <c r="V61" s="153"/>
      <c r="W61" s="152"/>
      <c r="X61" s="150"/>
      <c r="Y61" s="152"/>
      <c r="Z61" s="149"/>
      <c r="AA61" s="152"/>
      <c r="AB61" s="155"/>
      <c r="AC61" s="149"/>
      <c r="AD61" s="156"/>
      <c r="AE61" s="156"/>
      <c r="AF61" s="157"/>
      <c r="AG61" s="158"/>
      <c r="AH61" s="148"/>
      <c r="AI61" s="157"/>
      <c r="AJ61" s="148"/>
      <c r="AK61" s="159"/>
      <c r="AL61" s="160"/>
      <c r="AM61" s="158">
        <v>278123</v>
      </c>
      <c r="AN61" s="161"/>
      <c r="AO61" s="158"/>
      <c r="AP61" s="159">
        <v>0</v>
      </c>
      <c r="AQ61" s="158"/>
      <c r="AR61" s="159"/>
      <c r="AS61" s="159"/>
      <c r="AT61" s="158">
        <v>33667</v>
      </c>
      <c r="AU61" s="699"/>
      <c r="AV61" s="700"/>
      <c r="AW61" s="150"/>
      <c r="AX61" s="150"/>
      <c r="AY61" s="150">
        <v>284</v>
      </c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51448</v>
      </c>
      <c r="S62" s="120">
        <v>5716</v>
      </c>
      <c r="T62" s="117"/>
      <c r="U62" s="117"/>
      <c r="V62" s="121"/>
      <c r="W62" s="120"/>
      <c r="X62" s="118"/>
      <c r="Y62" s="120"/>
      <c r="Z62" s="117"/>
      <c r="AA62" s="120"/>
      <c r="AB62" s="117"/>
      <c r="AC62" s="117"/>
      <c r="AD62" s="120"/>
      <c r="AE62" s="122"/>
      <c r="AF62" s="123"/>
      <c r="AG62" s="124"/>
      <c r="AH62" s="116"/>
      <c r="AI62" s="123"/>
      <c r="AJ62" s="116"/>
      <c r="AK62" s="125"/>
      <c r="AL62" s="126"/>
      <c r="AM62" s="124">
        <v>49196</v>
      </c>
      <c r="AN62" s="127"/>
      <c r="AO62" s="124"/>
      <c r="AP62" s="125">
        <v>0</v>
      </c>
      <c r="AQ62" s="124"/>
      <c r="AR62" s="125"/>
      <c r="AS62" s="125"/>
      <c r="AT62" s="124">
        <v>5022</v>
      </c>
      <c r="AU62" s="695"/>
      <c r="AV62" s="696"/>
      <c r="AW62" s="118"/>
      <c r="AX62" s="118"/>
      <c r="AY62" s="118">
        <v>33</v>
      </c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159467</v>
      </c>
      <c r="S63" s="138">
        <v>17719</v>
      </c>
      <c r="T63" s="135"/>
      <c r="U63" s="135"/>
      <c r="V63" s="139"/>
      <c r="W63" s="138"/>
      <c r="X63" s="136"/>
      <c r="Y63" s="138"/>
      <c r="Z63" s="135"/>
      <c r="AA63" s="138"/>
      <c r="AB63" s="135"/>
      <c r="AC63" s="135"/>
      <c r="AD63" s="138"/>
      <c r="AE63" s="141"/>
      <c r="AF63" s="142"/>
      <c r="AG63" s="143"/>
      <c r="AH63" s="134"/>
      <c r="AI63" s="142"/>
      <c r="AJ63" s="134"/>
      <c r="AK63" s="144"/>
      <c r="AL63" s="145"/>
      <c r="AM63" s="143">
        <v>56027</v>
      </c>
      <c r="AN63" s="146"/>
      <c r="AO63" s="143"/>
      <c r="AP63" s="144">
        <v>0</v>
      </c>
      <c r="AQ63" s="143"/>
      <c r="AR63" s="144"/>
      <c r="AS63" s="144"/>
      <c r="AT63" s="143">
        <v>4512</v>
      </c>
      <c r="AU63" s="697"/>
      <c r="AV63" s="698"/>
      <c r="AW63" s="136"/>
      <c r="AX63" s="136"/>
      <c r="AY63" s="136">
        <v>-1</v>
      </c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172051</v>
      </c>
      <c r="S64" s="138">
        <v>19117</v>
      </c>
      <c r="T64" s="135"/>
      <c r="U64" s="135"/>
      <c r="V64" s="139"/>
      <c r="W64" s="138"/>
      <c r="X64" s="136"/>
      <c r="Y64" s="138"/>
      <c r="Z64" s="135"/>
      <c r="AA64" s="138"/>
      <c r="AB64" s="135"/>
      <c r="AC64" s="135"/>
      <c r="AD64" s="138"/>
      <c r="AE64" s="141"/>
      <c r="AF64" s="142"/>
      <c r="AG64" s="143"/>
      <c r="AH64" s="134"/>
      <c r="AI64" s="142"/>
      <c r="AJ64" s="134"/>
      <c r="AK64" s="144"/>
      <c r="AL64" s="145"/>
      <c r="AM64" s="143">
        <v>81013</v>
      </c>
      <c r="AN64" s="146"/>
      <c r="AO64" s="143"/>
      <c r="AP64" s="144">
        <v>0</v>
      </c>
      <c r="AQ64" s="143"/>
      <c r="AR64" s="144"/>
      <c r="AS64" s="144"/>
      <c r="AT64" s="143">
        <v>8449</v>
      </c>
      <c r="AU64" s="697"/>
      <c r="AV64" s="698"/>
      <c r="AW64" s="136"/>
      <c r="AX64" s="136"/>
      <c r="AY64" s="136">
        <v>67</v>
      </c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133255</v>
      </c>
      <c r="S65" s="138">
        <v>14806</v>
      </c>
      <c r="T65" s="135"/>
      <c r="U65" s="135"/>
      <c r="V65" s="139"/>
      <c r="W65" s="138"/>
      <c r="X65" s="136"/>
      <c r="Y65" s="138"/>
      <c r="Z65" s="135"/>
      <c r="AA65" s="138"/>
      <c r="AB65" s="135"/>
      <c r="AC65" s="135"/>
      <c r="AD65" s="138"/>
      <c r="AE65" s="141"/>
      <c r="AF65" s="142"/>
      <c r="AG65" s="143"/>
      <c r="AH65" s="134"/>
      <c r="AI65" s="142"/>
      <c r="AJ65" s="134"/>
      <c r="AK65" s="144"/>
      <c r="AL65" s="145"/>
      <c r="AM65" s="143">
        <v>27922</v>
      </c>
      <c r="AN65" s="146"/>
      <c r="AO65" s="143"/>
      <c r="AP65" s="144">
        <v>0</v>
      </c>
      <c r="AQ65" s="143"/>
      <c r="AR65" s="144"/>
      <c r="AS65" s="144"/>
      <c r="AT65" s="143">
        <v>2070</v>
      </c>
      <c r="AU65" s="697"/>
      <c r="AV65" s="698"/>
      <c r="AW65" s="136"/>
      <c r="AX65" s="136"/>
      <c r="AY65" s="136">
        <v>-13</v>
      </c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78111</v>
      </c>
      <c r="S66" s="152">
        <v>8679</v>
      </c>
      <c r="T66" s="149"/>
      <c r="U66" s="149"/>
      <c r="V66" s="153"/>
      <c r="W66" s="152"/>
      <c r="X66" s="150"/>
      <c r="Y66" s="152"/>
      <c r="Z66" s="149"/>
      <c r="AA66" s="152"/>
      <c r="AB66" s="155"/>
      <c r="AC66" s="149"/>
      <c r="AD66" s="156"/>
      <c r="AE66" s="156"/>
      <c r="AF66" s="157"/>
      <c r="AG66" s="158"/>
      <c r="AH66" s="148"/>
      <c r="AI66" s="157"/>
      <c r="AJ66" s="148"/>
      <c r="AK66" s="159"/>
      <c r="AL66" s="160"/>
      <c r="AM66" s="158">
        <v>32143</v>
      </c>
      <c r="AN66" s="161"/>
      <c r="AO66" s="158"/>
      <c r="AP66" s="159">
        <v>0</v>
      </c>
      <c r="AQ66" s="158"/>
      <c r="AR66" s="159"/>
      <c r="AS66" s="159"/>
      <c r="AT66" s="158">
        <v>1050</v>
      </c>
      <c r="AU66" s="699"/>
      <c r="AV66" s="700"/>
      <c r="AW66" s="150"/>
      <c r="AX66" s="150"/>
      <c r="AY66" s="150">
        <v>-44</v>
      </c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39417</v>
      </c>
      <c r="S67" s="120">
        <v>4380</v>
      </c>
      <c r="T67" s="117"/>
      <c r="U67" s="117"/>
      <c r="V67" s="121"/>
      <c r="W67" s="120"/>
      <c r="X67" s="118"/>
      <c r="Y67" s="120"/>
      <c r="Z67" s="117"/>
      <c r="AA67" s="120"/>
      <c r="AB67" s="117"/>
      <c r="AC67" s="117"/>
      <c r="AD67" s="120"/>
      <c r="AE67" s="122"/>
      <c r="AF67" s="123"/>
      <c r="AG67" s="124"/>
      <c r="AH67" s="116"/>
      <c r="AI67" s="123"/>
      <c r="AJ67" s="116"/>
      <c r="AK67" s="125"/>
      <c r="AL67" s="126"/>
      <c r="AM67" s="124">
        <v>104375</v>
      </c>
      <c r="AN67" s="127"/>
      <c r="AO67" s="124"/>
      <c r="AP67" s="125">
        <v>0</v>
      </c>
      <c r="AQ67" s="124"/>
      <c r="AR67" s="125"/>
      <c r="AS67" s="125"/>
      <c r="AT67" s="124">
        <v>10313</v>
      </c>
      <c r="AU67" s="695"/>
      <c r="AV67" s="696"/>
      <c r="AW67" s="118"/>
      <c r="AX67" s="118"/>
      <c r="AY67" s="118">
        <v>37</v>
      </c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25810</v>
      </c>
      <c r="S68" s="138">
        <v>2868</v>
      </c>
      <c r="T68" s="135"/>
      <c r="U68" s="135"/>
      <c r="V68" s="139"/>
      <c r="W68" s="138"/>
      <c r="X68" s="136"/>
      <c r="Y68" s="138"/>
      <c r="Z68" s="135"/>
      <c r="AA68" s="138"/>
      <c r="AB68" s="135"/>
      <c r="AC68" s="135"/>
      <c r="AD68" s="138"/>
      <c r="AE68" s="141"/>
      <c r="AF68" s="142"/>
      <c r="AG68" s="143"/>
      <c r="AH68" s="134"/>
      <c r="AI68" s="142"/>
      <c r="AJ68" s="134"/>
      <c r="AK68" s="144"/>
      <c r="AL68" s="145"/>
      <c r="AM68" s="143">
        <v>6888</v>
      </c>
      <c r="AN68" s="146"/>
      <c r="AO68" s="143"/>
      <c r="AP68" s="144">
        <v>0</v>
      </c>
      <c r="AQ68" s="143"/>
      <c r="AR68" s="144"/>
      <c r="AS68" s="144"/>
      <c r="AT68" s="143">
        <v>320</v>
      </c>
      <c r="AU68" s="697"/>
      <c r="AV68" s="698"/>
      <c r="AW68" s="136"/>
      <c r="AX68" s="136"/>
      <c r="AY68" s="136">
        <v>-8</v>
      </c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17815</v>
      </c>
      <c r="S69" s="138">
        <v>1979</v>
      </c>
      <c r="T69" s="135"/>
      <c r="U69" s="135"/>
      <c r="V69" s="139"/>
      <c r="W69" s="138"/>
      <c r="X69" s="136"/>
      <c r="Y69" s="138"/>
      <c r="Z69" s="135"/>
      <c r="AA69" s="138"/>
      <c r="AB69" s="135"/>
      <c r="AC69" s="135"/>
      <c r="AD69" s="138"/>
      <c r="AE69" s="141"/>
      <c r="AF69" s="142"/>
      <c r="AG69" s="143"/>
      <c r="AH69" s="134"/>
      <c r="AI69" s="142"/>
      <c r="AJ69" s="134"/>
      <c r="AK69" s="144"/>
      <c r="AL69" s="145"/>
      <c r="AM69" s="143">
        <v>77544</v>
      </c>
      <c r="AN69" s="146"/>
      <c r="AO69" s="143"/>
      <c r="AP69" s="144">
        <v>0</v>
      </c>
      <c r="AQ69" s="143"/>
      <c r="AR69" s="144"/>
      <c r="AS69" s="144"/>
      <c r="AT69" s="143">
        <v>10095</v>
      </c>
      <c r="AU69" s="697"/>
      <c r="AV69" s="698"/>
      <c r="AW69" s="136"/>
      <c r="AX69" s="136"/>
      <c r="AY69" s="136">
        <v>110</v>
      </c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27135</v>
      </c>
      <c r="S70" s="138">
        <v>3015</v>
      </c>
      <c r="T70" s="135"/>
      <c r="U70" s="135"/>
      <c r="V70" s="139"/>
      <c r="W70" s="138"/>
      <c r="X70" s="136"/>
      <c r="Y70" s="138"/>
      <c r="Z70" s="135"/>
      <c r="AA70" s="138"/>
      <c r="AB70" s="135"/>
      <c r="AC70" s="135"/>
      <c r="AD70" s="138"/>
      <c r="AE70" s="141"/>
      <c r="AF70" s="142"/>
      <c r="AG70" s="143"/>
      <c r="AH70" s="134"/>
      <c r="AI70" s="142"/>
      <c r="AJ70" s="134"/>
      <c r="AK70" s="144"/>
      <c r="AL70" s="145"/>
      <c r="AM70" s="143">
        <v>21086</v>
      </c>
      <c r="AN70" s="146"/>
      <c r="AO70" s="143"/>
      <c r="AP70" s="144">
        <v>0</v>
      </c>
      <c r="AQ70" s="143"/>
      <c r="AR70" s="144"/>
      <c r="AS70" s="144"/>
      <c r="AT70" s="143">
        <v>2404</v>
      </c>
      <c r="AU70" s="697"/>
      <c r="AV70" s="698"/>
      <c r="AW70" s="136"/>
      <c r="AX70" s="136"/>
      <c r="AY70" s="136">
        <v>12</v>
      </c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51589</v>
      </c>
      <c r="S71" s="152">
        <v>5732</v>
      </c>
      <c r="T71" s="149"/>
      <c r="U71" s="149"/>
      <c r="V71" s="153"/>
      <c r="W71" s="152"/>
      <c r="X71" s="150"/>
      <c r="Y71" s="152"/>
      <c r="Z71" s="149"/>
      <c r="AA71" s="152"/>
      <c r="AB71" s="155"/>
      <c r="AC71" s="149"/>
      <c r="AD71" s="156"/>
      <c r="AE71" s="156"/>
      <c r="AF71" s="157"/>
      <c r="AG71" s="158"/>
      <c r="AH71" s="148"/>
      <c r="AI71" s="157"/>
      <c r="AJ71" s="148"/>
      <c r="AK71" s="159"/>
      <c r="AL71" s="160"/>
      <c r="AM71" s="158">
        <v>31145</v>
      </c>
      <c r="AN71" s="161"/>
      <c r="AO71" s="158"/>
      <c r="AP71" s="159">
        <v>0</v>
      </c>
      <c r="AQ71" s="158"/>
      <c r="AR71" s="159"/>
      <c r="AS71" s="159"/>
      <c r="AT71" s="158">
        <v>1393</v>
      </c>
      <c r="AU71" s="699"/>
      <c r="AV71" s="700"/>
      <c r="AW71" s="150"/>
      <c r="AX71" s="150"/>
      <c r="AY71" s="150">
        <v>-18</v>
      </c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79161</v>
      </c>
      <c r="S72" s="120">
        <v>8796</v>
      </c>
      <c r="T72" s="117"/>
      <c r="U72" s="117"/>
      <c r="V72" s="121"/>
      <c r="W72" s="120"/>
      <c r="X72" s="118"/>
      <c r="Y72" s="120"/>
      <c r="Z72" s="117"/>
      <c r="AA72" s="120"/>
      <c r="AB72" s="117"/>
      <c r="AC72" s="117"/>
      <c r="AD72" s="120"/>
      <c r="AE72" s="122"/>
      <c r="AF72" s="123"/>
      <c r="AG72" s="124"/>
      <c r="AH72" s="116"/>
      <c r="AI72" s="123"/>
      <c r="AJ72" s="116"/>
      <c r="AK72" s="125"/>
      <c r="AL72" s="126"/>
      <c r="AM72" s="124">
        <v>55452</v>
      </c>
      <c r="AN72" s="127"/>
      <c r="AO72" s="124"/>
      <c r="AP72" s="125">
        <v>0</v>
      </c>
      <c r="AQ72" s="124"/>
      <c r="AR72" s="125"/>
      <c r="AS72" s="125"/>
      <c r="AT72" s="124">
        <v>4477</v>
      </c>
      <c r="AU72" s="695"/>
      <c r="AV72" s="696"/>
      <c r="AW72" s="701"/>
      <c r="AX72" s="701"/>
      <c r="AY72" s="701">
        <v>2</v>
      </c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73373</v>
      </c>
      <c r="S73" s="138">
        <v>8153</v>
      </c>
      <c r="T73" s="135"/>
      <c r="U73" s="135"/>
      <c r="V73" s="139"/>
      <c r="W73" s="138"/>
      <c r="X73" s="136"/>
      <c r="Y73" s="138"/>
      <c r="Z73" s="135"/>
      <c r="AA73" s="138"/>
      <c r="AB73" s="135"/>
      <c r="AC73" s="135"/>
      <c r="AD73" s="138"/>
      <c r="AE73" s="141"/>
      <c r="AF73" s="142"/>
      <c r="AG73" s="143"/>
      <c r="AH73" s="134"/>
      <c r="AI73" s="142"/>
      <c r="AJ73" s="134"/>
      <c r="AK73" s="144"/>
      <c r="AL73" s="145"/>
      <c r="AM73" s="143">
        <v>59242</v>
      </c>
      <c r="AN73" s="146"/>
      <c r="AO73" s="143"/>
      <c r="AP73" s="144">
        <v>0</v>
      </c>
      <c r="AQ73" s="143"/>
      <c r="AR73" s="144"/>
      <c r="AS73" s="144"/>
      <c r="AT73" s="143">
        <v>3733</v>
      </c>
      <c r="AU73" s="697"/>
      <c r="AV73" s="698"/>
      <c r="AW73" s="701"/>
      <c r="AX73" s="701"/>
      <c r="AY73" s="701">
        <v>-29</v>
      </c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33053</v>
      </c>
      <c r="S74" s="138">
        <v>3673</v>
      </c>
      <c r="T74" s="135"/>
      <c r="U74" s="135"/>
      <c r="V74" s="139"/>
      <c r="W74" s="138"/>
      <c r="X74" s="136"/>
      <c r="Y74" s="138"/>
      <c r="Z74" s="135"/>
      <c r="AA74" s="138"/>
      <c r="AB74" s="135"/>
      <c r="AC74" s="135"/>
      <c r="AD74" s="138"/>
      <c r="AE74" s="141"/>
      <c r="AF74" s="142"/>
      <c r="AG74" s="143"/>
      <c r="AH74" s="134"/>
      <c r="AI74" s="142"/>
      <c r="AJ74" s="134"/>
      <c r="AK74" s="144"/>
      <c r="AL74" s="145"/>
      <c r="AM74" s="143">
        <v>17107</v>
      </c>
      <c r="AN74" s="146"/>
      <c r="AO74" s="143"/>
      <c r="AP74" s="144">
        <v>0</v>
      </c>
      <c r="AQ74" s="143"/>
      <c r="AR74" s="144"/>
      <c r="AS74" s="144"/>
      <c r="AT74" s="143">
        <v>1016</v>
      </c>
      <c r="AU74" s="697"/>
      <c r="AV74" s="698"/>
      <c r="AW74" s="701"/>
      <c r="AX74" s="701"/>
      <c r="AY74" s="701">
        <v>7</v>
      </c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53824</v>
      </c>
      <c r="S75" s="138">
        <v>5980</v>
      </c>
      <c r="T75" s="135"/>
      <c r="U75" s="135"/>
      <c r="V75" s="139"/>
      <c r="W75" s="138"/>
      <c r="X75" s="136"/>
      <c r="Y75" s="138"/>
      <c r="Z75" s="135"/>
      <c r="AA75" s="138"/>
      <c r="AB75" s="135"/>
      <c r="AC75" s="135"/>
      <c r="AD75" s="138"/>
      <c r="AE75" s="141"/>
      <c r="AF75" s="142"/>
      <c r="AG75" s="143"/>
      <c r="AH75" s="134"/>
      <c r="AI75" s="142"/>
      <c r="AJ75" s="134"/>
      <c r="AK75" s="144"/>
      <c r="AL75" s="145"/>
      <c r="AM75" s="143">
        <v>30363</v>
      </c>
      <c r="AN75" s="146"/>
      <c r="AO75" s="143"/>
      <c r="AP75" s="144">
        <v>0</v>
      </c>
      <c r="AQ75" s="143"/>
      <c r="AR75" s="144"/>
      <c r="AS75" s="144"/>
      <c r="AT75" s="143">
        <v>2068</v>
      </c>
      <c r="AU75" s="697"/>
      <c r="AV75" s="698"/>
      <c r="AW75" s="1174"/>
      <c r="AX75" s="1174"/>
      <c r="AY75" s="1174">
        <v>0</v>
      </c>
    </row>
    <row r="76" spans="1:51" s="19" customFormat="1" ht="15" customHeight="1" thickBot="1" x14ac:dyDescent="0.25">
      <c r="A76" s="1499" t="s">
        <v>365</v>
      </c>
      <c r="B76" s="1500"/>
      <c r="C76" s="913">
        <v>1920</v>
      </c>
      <c r="D76" s="914">
        <v>3842.0687972663704</v>
      </c>
      <c r="E76" s="915">
        <v>7583388.5463061426</v>
      </c>
      <c r="F76" s="916">
        <v>1496</v>
      </c>
      <c r="G76" s="917">
        <v>513.31702026090829</v>
      </c>
      <c r="H76" s="918">
        <v>796450.36902226007</v>
      </c>
      <c r="I76" s="1109">
        <v>696</v>
      </c>
      <c r="J76" s="917">
        <v>142.53865570034958</v>
      </c>
      <c r="K76" s="918">
        <v>101702.51822098171</v>
      </c>
      <c r="L76" s="916">
        <v>280</v>
      </c>
      <c r="M76" s="917">
        <v>3542.9202412458553</v>
      </c>
      <c r="N76" s="918">
        <v>1030114.2957141573</v>
      </c>
      <c r="O76" s="916">
        <v>52</v>
      </c>
      <c r="P76" s="917">
        <v>1375.1476936011543</v>
      </c>
      <c r="Q76" s="918">
        <v>74871.375432966888</v>
      </c>
      <c r="R76" s="919">
        <v>9586525</v>
      </c>
      <c r="S76" s="919">
        <v>1065170</v>
      </c>
      <c r="T76" s="917">
        <v>73236</v>
      </c>
      <c r="U76" s="917">
        <v>-23899</v>
      </c>
      <c r="V76" s="920">
        <v>49337</v>
      </c>
      <c r="W76" s="919">
        <v>9635862</v>
      </c>
      <c r="X76" s="918">
        <v>-24093</v>
      </c>
      <c r="Y76" s="919">
        <v>9611769</v>
      </c>
      <c r="Z76" s="918">
        <v>-13051</v>
      </c>
      <c r="AA76" s="919">
        <v>9598718</v>
      </c>
      <c r="AB76" s="917">
        <v>6390744</v>
      </c>
      <c r="AC76" s="917">
        <v>3207974</v>
      </c>
      <c r="AD76" s="919">
        <v>801998</v>
      </c>
      <c r="AE76" s="921">
        <v>9598718</v>
      </c>
      <c r="AF76" s="917">
        <v>5119.2</v>
      </c>
      <c r="AG76" s="922">
        <v>9262488</v>
      </c>
      <c r="AH76" s="916">
        <v>0</v>
      </c>
      <c r="AI76" s="917">
        <v>-83437</v>
      </c>
      <c r="AJ76" s="916">
        <v>-2</v>
      </c>
      <c r="AK76" s="917">
        <v>4985</v>
      </c>
      <c r="AL76" s="920">
        <v>-78452</v>
      </c>
      <c r="AM76" s="922">
        <v>9184036</v>
      </c>
      <c r="AN76" s="917">
        <v>-22962</v>
      </c>
      <c r="AO76" s="922">
        <v>9161074</v>
      </c>
      <c r="AP76" s="917">
        <v>-17331</v>
      </c>
      <c r="AQ76" s="922">
        <v>9143743</v>
      </c>
      <c r="AR76" s="917">
        <v>5851872</v>
      </c>
      <c r="AS76" s="917">
        <v>3291871</v>
      </c>
      <c r="AT76" s="922">
        <v>822973</v>
      </c>
      <c r="AU76" s="1176">
        <v>18742461</v>
      </c>
      <c r="AV76" s="1177">
        <v>1624971</v>
      </c>
      <c r="AW76" s="917">
        <v>22962</v>
      </c>
      <c r="AX76" s="917">
        <v>21273</v>
      </c>
      <c r="AY76" s="917">
        <v>1689</v>
      </c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104389</v>
      </c>
      <c r="S77" s="860"/>
      <c r="T77" s="860"/>
      <c r="U77" s="860"/>
      <c r="V77" s="860"/>
      <c r="W77" s="861">
        <v>104389</v>
      </c>
      <c r="X77" s="910">
        <v>-261</v>
      </c>
      <c r="Y77" s="861">
        <v>104128</v>
      </c>
      <c r="Z77" s="860"/>
      <c r="AA77" s="861">
        <v>104128</v>
      </c>
      <c r="AB77" s="860">
        <v>71498</v>
      </c>
      <c r="AC77" s="860">
        <v>32630</v>
      </c>
      <c r="AD77" s="861">
        <v>8158</v>
      </c>
      <c r="AE77" s="912">
        <v>104128</v>
      </c>
      <c r="AF77" s="860"/>
      <c r="AG77" s="860"/>
      <c r="AH77" s="911"/>
      <c r="AI77" s="860"/>
      <c r="AJ77" s="911"/>
      <c r="AK77" s="860"/>
      <c r="AL77" s="860"/>
      <c r="AM77" s="860"/>
      <c r="AN77" s="860"/>
      <c r="AO77" s="860"/>
      <c r="AP77" s="860"/>
      <c r="AQ77" s="860"/>
      <c r="AR77" s="860"/>
      <c r="AS77" s="860"/>
      <c r="AT77" s="860"/>
      <c r="AU77" s="1175">
        <v>104128</v>
      </c>
      <c r="AV77" s="1175">
        <v>8158</v>
      </c>
      <c r="AW77" s="860">
        <v>0</v>
      </c>
      <c r="AX77" s="860"/>
      <c r="AY77" s="860">
        <v>0</v>
      </c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/>
      <c r="AA78" s="705"/>
      <c r="AB78" s="705"/>
      <c r="AC78" s="704"/>
      <c r="AD78" s="705"/>
      <c r="AE78" s="705"/>
      <c r="AF78" s="705"/>
      <c r="AG78" s="705"/>
      <c r="AH78" s="703"/>
      <c r="AI78" s="705"/>
      <c r="AJ78" s="703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924">
        <v>0</v>
      </c>
      <c r="AV78" s="924">
        <v>0</v>
      </c>
      <c r="AW78" s="705"/>
      <c r="AX78" s="705"/>
      <c r="AY78" s="705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704"/>
      <c r="AA79" s="141">
        <v>0</v>
      </c>
      <c r="AB79" s="705">
        <v>0</v>
      </c>
      <c r="AC79" s="704">
        <v>0</v>
      </c>
      <c r="AD79" s="141">
        <v>0</v>
      </c>
      <c r="AE79" s="141">
        <v>0</v>
      </c>
      <c r="AF79" s="704"/>
      <c r="AG79" s="704"/>
      <c r="AH79" s="703"/>
      <c r="AI79" s="704"/>
      <c r="AJ79" s="703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6">
        <v>0</v>
      </c>
      <c r="AV79" s="706">
        <v>0</v>
      </c>
      <c r="AW79" s="704"/>
      <c r="AX79" s="704"/>
      <c r="AY79" s="704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4"/>
      <c r="AA80" s="707"/>
      <c r="AB80" s="705"/>
      <c r="AC80" s="704"/>
      <c r="AD80" s="707"/>
      <c r="AE80" s="141">
        <v>0</v>
      </c>
      <c r="AF80" s="704"/>
      <c r="AG80" s="704"/>
      <c r="AH80" s="703"/>
      <c r="AI80" s="704"/>
      <c r="AJ80" s="703"/>
      <c r="AK80" s="704"/>
      <c r="AL80" s="704"/>
      <c r="AM80" s="704"/>
      <c r="AN80" s="704"/>
      <c r="AO80" s="704"/>
      <c r="AP80" s="704"/>
      <c r="AQ80" s="704"/>
      <c r="AR80" s="704"/>
      <c r="AS80" s="704"/>
      <c r="AT80" s="704"/>
      <c r="AU80" s="706">
        <v>0</v>
      </c>
      <c r="AV80" s="704"/>
      <c r="AW80" s="704"/>
      <c r="AX80" s="704"/>
      <c r="AY80" s="704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4"/>
      <c r="AA81" s="705"/>
      <c r="AB81" s="705"/>
      <c r="AC81" s="704"/>
      <c r="AD81" s="705"/>
      <c r="AE81" s="141">
        <v>62419</v>
      </c>
      <c r="AF81" s="704"/>
      <c r="AG81" s="704"/>
      <c r="AH81" s="703"/>
      <c r="AI81" s="704"/>
      <c r="AJ81" s="703"/>
      <c r="AK81" s="704"/>
      <c r="AL81" s="704"/>
      <c r="AM81" s="704"/>
      <c r="AN81" s="704"/>
      <c r="AO81" s="704"/>
      <c r="AP81" s="704"/>
      <c r="AQ81" s="704"/>
      <c r="AR81" s="704"/>
      <c r="AS81" s="704"/>
      <c r="AT81" s="704"/>
      <c r="AU81" s="706">
        <v>0</v>
      </c>
      <c r="AV81" s="704"/>
      <c r="AW81" s="704"/>
      <c r="AX81" s="704"/>
      <c r="AY81" s="704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4"/>
      <c r="AA82" s="707"/>
      <c r="AB82" s="705"/>
      <c r="AC82" s="704"/>
      <c r="AD82" s="707"/>
      <c r="AE82" s="141">
        <v>0</v>
      </c>
      <c r="AF82" s="704"/>
      <c r="AG82" s="704"/>
      <c r="AH82" s="703"/>
      <c r="AI82" s="704"/>
      <c r="AJ82" s="703"/>
      <c r="AK82" s="704"/>
      <c r="AL82" s="704"/>
      <c r="AM82" s="704"/>
      <c r="AN82" s="704"/>
      <c r="AO82" s="704"/>
      <c r="AP82" s="704"/>
      <c r="AQ82" s="704"/>
      <c r="AR82" s="704"/>
      <c r="AS82" s="704"/>
      <c r="AT82" s="704"/>
      <c r="AU82" s="706">
        <v>0</v>
      </c>
      <c r="AV82" s="704"/>
      <c r="AW82" s="704"/>
      <c r="AX82" s="704"/>
      <c r="AY82" s="704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09"/>
      <c r="AA83" s="156">
        <v>67555</v>
      </c>
      <c r="AB83" s="155">
        <v>45038</v>
      </c>
      <c r="AC83" s="709">
        <v>22517</v>
      </c>
      <c r="AD83" s="156">
        <v>5629</v>
      </c>
      <c r="AE83" s="156">
        <v>67555</v>
      </c>
      <c r="AF83" s="709"/>
      <c r="AG83" s="709"/>
      <c r="AH83" s="708"/>
      <c r="AI83" s="709"/>
      <c r="AJ83" s="708"/>
      <c r="AK83" s="709"/>
      <c r="AL83" s="709"/>
      <c r="AM83" s="709"/>
      <c r="AN83" s="709"/>
      <c r="AO83" s="709"/>
      <c r="AP83" s="709"/>
      <c r="AQ83" s="709"/>
      <c r="AR83" s="709"/>
      <c r="AS83" s="709"/>
      <c r="AT83" s="709"/>
      <c r="AU83" s="710">
        <v>67555</v>
      </c>
      <c r="AV83" s="710">
        <v>5629</v>
      </c>
      <c r="AW83" s="709"/>
      <c r="AX83" s="709"/>
      <c r="AY83" s="709"/>
    </row>
    <row r="84" spans="1:51" s="19" customFormat="1" ht="15" customHeight="1" thickBot="1" x14ac:dyDescent="0.25">
      <c r="A84" s="1499" t="s">
        <v>366</v>
      </c>
      <c r="B84" s="1500"/>
      <c r="C84" s="913">
        <v>1920</v>
      </c>
      <c r="D84" s="914">
        <v>3842.0687972663704</v>
      </c>
      <c r="E84" s="915">
        <v>7583388.5463061426</v>
      </c>
      <c r="F84" s="916">
        <v>1496</v>
      </c>
      <c r="G84" s="917">
        <v>513.31702026090829</v>
      </c>
      <c r="H84" s="918">
        <v>796450.36902226007</v>
      </c>
      <c r="I84" s="1109">
        <v>696</v>
      </c>
      <c r="J84" s="917">
        <v>142.53865570034958</v>
      </c>
      <c r="K84" s="918">
        <v>101702.51822098171</v>
      </c>
      <c r="L84" s="916">
        <v>280</v>
      </c>
      <c r="M84" s="917">
        <v>3542.9202412458553</v>
      </c>
      <c r="N84" s="918">
        <v>1030114.2957141573</v>
      </c>
      <c r="O84" s="916">
        <v>52</v>
      </c>
      <c r="P84" s="917">
        <v>1375.1476936011543</v>
      </c>
      <c r="Q84" s="918">
        <v>74871.375432966888</v>
      </c>
      <c r="R84" s="919">
        <v>9690914</v>
      </c>
      <c r="S84" s="919">
        <v>1065170</v>
      </c>
      <c r="T84" s="917">
        <v>73236</v>
      </c>
      <c r="U84" s="917">
        <v>-23899</v>
      </c>
      <c r="V84" s="920">
        <v>49337</v>
      </c>
      <c r="W84" s="919">
        <v>9740251</v>
      </c>
      <c r="X84" s="918">
        <v>-24354</v>
      </c>
      <c r="Y84" s="919">
        <v>9715897</v>
      </c>
      <c r="Z84" s="918">
        <v>-13051</v>
      </c>
      <c r="AA84" s="919">
        <v>9770401</v>
      </c>
      <c r="AB84" s="917">
        <v>6507280</v>
      </c>
      <c r="AC84" s="917">
        <v>3263121</v>
      </c>
      <c r="AD84" s="919">
        <v>815785</v>
      </c>
      <c r="AE84" s="921">
        <v>9832820</v>
      </c>
      <c r="AF84" s="917">
        <v>5119.2</v>
      </c>
      <c r="AG84" s="922">
        <v>9262488</v>
      </c>
      <c r="AH84" s="916">
        <v>0</v>
      </c>
      <c r="AI84" s="917">
        <v>-83437</v>
      </c>
      <c r="AJ84" s="916">
        <v>-2</v>
      </c>
      <c r="AK84" s="917">
        <v>4985</v>
      </c>
      <c r="AL84" s="920">
        <v>-78452</v>
      </c>
      <c r="AM84" s="922">
        <v>9184036</v>
      </c>
      <c r="AN84" s="917">
        <v>-22962</v>
      </c>
      <c r="AO84" s="922">
        <v>9161074</v>
      </c>
      <c r="AP84" s="917">
        <v>-17331</v>
      </c>
      <c r="AQ84" s="922">
        <v>9143743</v>
      </c>
      <c r="AR84" s="917">
        <v>5851872</v>
      </c>
      <c r="AS84" s="917">
        <v>3291871</v>
      </c>
      <c r="AT84" s="922">
        <v>822973</v>
      </c>
      <c r="AU84" s="702">
        <v>18914144</v>
      </c>
      <c r="AV84" s="702">
        <v>1638758</v>
      </c>
      <c r="AW84" s="917">
        <v>22962</v>
      </c>
      <c r="AX84" s="917">
        <v>21273</v>
      </c>
      <c r="AY84" s="917">
        <v>1689</v>
      </c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06"/>
      <c r="Z85" s="13"/>
      <c r="AA85" s="13"/>
      <c r="AB85" s="13"/>
      <c r="AC85" s="13"/>
      <c r="AD85" s="13"/>
      <c r="AE85" s="13"/>
      <c r="AF85" s="13"/>
      <c r="AG85" s="13"/>
      <c r="AW85" s="1115"/>
      <c r="AY85" s="1115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06"/>
      <c r="Z86" s="13"/>
      <c r="AA86" s="13"/>
      <c r="AB86" s="13"/>
      <c r="AC86" s="13"/>
      <c r="AD86" s="13"/>
      <c r="AE86" s="13"/>
      <c r="AF86" s="13"/>
      <c r="AG86" s="13"/>
      <c r="AW86" s="1115"/>
      <c r="AY86" s="1115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3"/>
      <c r="Y87" s="106"/>
      <c r="Z87" s="13"/>
      <c r="AA87" s="13"/>
      <c r="AB87" s="13"/>
      <c r="AC87" s="13"/>
      <c r="AD87" s="13"/>
      <c r="AE87" s="13"/>
      <c r="AF87" s="13"/>
      <c r="AG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X90" s="917"/>
    </row>
    <row r="91" spans="1:51" ht="13.5" thickTop="1" x14ac:dyDescent="0.2">
      <c r="B91" s="752"/>
      <c r="AX91" s="1226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W1:AY1"/>
    <mergeCell ref="AU1:AU3"/>
    <mergeCell ref="AV1:AV3"/>
    <mergeCell ref="A81:B81"/>
    <mergeCell ref="A80:B80"/>
    <mergeCell ref="A1:B3"/>
    <mergeCell ref="L1:V1"/>
    <mergeCell ref="A76:B76"/>
    <mergeCell ref="A78:B78"/>
    <mergeCell ref="A79:B79"/>
    <mergeCell ref="S2:S3"/>
    <mergeCell ref="O2:Q2"/>
    <mergeCell ref="C1:K1"/>
    <mergeCell ref="C2:C3"/>
    <mergeCell ref="D2:E2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4:B84"/>
    <mergeCell ref="F2:H2"/>
    <mergeCell ref="I2:K2"/>
    <mergeCell ref="L2:N2"/>
    <mergeCell ref="A82:B82"/>
    <mergeCell ref="A83:B83"/>
    <mergeCell ref="A77:B77"/>
    <mergeCell ref="AW2:AW3"/>
    <mergeCell ref="AX2:AX3"/>
    <mergeCell ref="AY2:AY3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48" width="16.7109375" style="6" customWidth="1"/>
    <col min="49" max="49" width="16.28515625" style="6" customWidth="1"/>
    <col min="50" max="50" width="11.5703125" style="6" customWidth="1"/>
    <col min="51" max="51" width="12.85546875" style="6" customWidth="1"/>
    <col min="52" max="16384" width="8.85546875" style="6"/>
  </cols>
  <sheetData>
    <row r="1" spans="1:51" ht="19.899999999999999" customHeight="1" x14ac:dyDescent="0.2">
      <c r="A1" s="1501" t="s">
        <v>1025</v>
      </c>
      <c r="B1" s="1501"/>
      <c r="C1" s="1400" t="s">
        <v>291</v>
      </c>
      <c r="D1" s="1401"/>
      <c r="E1" s="1401"/>
      <c r="F1" s="1401"/>
      <c r="G1" s="1401"/>
      <c r="H1" s="1401"/>
      <c r="I1" s="1401"/>
      <c r="J1" s="1401"/>
      <c r="K1" s="1402"/>
      <c r="L1" s="1427" t="s">
        <v>291</v>
      </c>
      <c r="M1" s="1428"/>
      <c r="N1" s="1428"/>
      <c r="O1" s="1428"/>
      <c r="P1" s="1428"/>
      <c r="Q1" s="1428"/>
      <c r="R1" s="1428"/>
      <c r="S1" s="1428"/>
      <c r="T1" s="1428"/>
      <c r="U1" s="1428"/>
      <c r="V1" s="1429"/>
      <c r="W1" s="1400" t="s">
        <v>291</v>
      </c>
      <c r="X1" s="1401"/>
      <c r="Y1" s="1401"/>
      <c r="Z1" s="1401"/>
      <c r="AA1" s="1401"/>
      <c r="AB1" s="1401"/>
      <c r="AC1" s="1401"/>
      <c r="AD1" s="1401"/>
      <c r="AE1" s="1402"/>
      <c r="AF1" s="1512" t="s">
        <v>358</v>
      </c>
      <c r="AG1" s="1513"/>
      <c r="AH1" s="1513"/>
      <c r="AI1" s="1513"/>
      <c r="AJ1" s="1513"/>
      <c r="AK1" s="1513"/>
      <c r="AL1" s="1514"/>
      <c r="AM1" s="1512" t="s">
        <v>358</v>
      </c>
      <c r="AN1" s="1513"/>
      <c r="AO1" s="1513"/>
      <c r="AP1" s="1513"/>
      <c r="AQ1" s="1513"/>
      <c r="AR1" s="1513"/>
      <c r="AS1" s="1513"/>
      <c r="AT1" s="1514"/>
      <c r="AU1" s="1491" t="s">
        <v>301</v>
      </c>
      <c r="AV1" s="1491" t="s">
        <v>302</v>
      </c>
      <c r="AW1" s="1498" t="s">
        <v>1422</v>
      </c>
      <c r="AX1" s="1498"/>
      <c r="AY1" s="1498"/>
    </row>
    <row r="2" spans="1:51" ht="30" customHeight="1" x14ac:dyDescent="0.2">
      <c r="A2" s="1501"/>
      <c r="B2" s="1501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397" t="s">
        <v>363</v>
      </c>
      <c r="T2" s="1276" t="s">
        <v>223</v>
      </c>
      <c r="U2" s="1276"/>
      <c r="V2" s="1276"/>
      <c r="W2" s="1397" t="s">
        <v>395</v>
      </c>
      <c r="X2" s="1397" t="s">
        <v>1356</v>
      </c>
      <c r="Y2" s="1397" t="s">
        <v>396</v>
      </c>
      <c r="Z2" s="1406" t="s">
        <v>1292</v>
      </c>
      <c r="AA2" s="1397" t="s">
        <v>908</v>
      </c>
      <c r="AB2" s="1397" t="s">
        <v>1367</v>
      </c>
      <c r="AC2" s="1397" t="s">
        <v>258</v>
      </c>
      <c r="AD2" s="1397" t="s">
        <v>225</v>
      </c>
      <c r="AE2" s="1397" t="s">
        <v>909</v>
      </c>
      <c r="AF2" s="1493" t="s">
        <v>1421</v>
      </c>
      <c r="AG2" s="1489" t="s">
        <v>947</v>
      </c>
      <c r="AH2" s="1490" t="s">
        <v>223</v>
      </c>
      <c r="AI2" s="1490"/>
      <c r="AJ2" s="1490"/>
      <c r="AK2" s="1490"/>
      <c r="AL2" s="1490"/>
      <c r="AM2" s="1489" t="s">
        <v>948</v>
      </c>
      <c r="AN2" s="1489" t="s">
        <v>1369</v>
      </c>
      <c r="AO2" s="1489" t="s">
        <v>949</v>
      </c>
      <c r="AP2" s="1406" t="s">
        <v>1292</v>
      </c>
      <c r="AQ2" s="1489" t="s">
        <v>950</v>
      </c>
      <c r="AR2" s="1489" t="s">
        <v>1361</v>
      </c>
      <c r="AS2" s="1489" t="s">
        <v>258</v>
      </c>
      <c r="AT2" s="1489" t="s">
        <v>391</v>
      </c>
      <c r="AU2" s="1491"/>
      <c r="AV2" s="1491"/>
      <c r="AW2" s="1488" t="s">
        <v>1390</v>
      </c>
      <c r="AX2" s="1488" t="s">
        <v>1391</v>
      </c>
      <c r="AY2" s="1488" t="s">
        <v>347</v>
      </c>
    </row>
    <row r="3" spans="1:51" ht="95.25" customHeight="1" x14ac:dyDescent="0.2">
      <c r="A3" s="1501"/>
      <c r="B3" s="1501"/>
      <c r="C3" s="1397"/>
      <c r="D3" s="1142" t="s">
        <v>504</v>
      </c>
      <c r="E3" s="1142" t="s">
        <v>300</v>
      </c>
      <c r="F3" s="1142" t="s">
        <v>1287</v>
      </c>
      <c r="G3" s="1142" t="s">
        <v>503</v>
      </c>
      <c r="H3" s="1142" t="s">
        <v>300</v>
      </c>
      <c r="I3" s="1228" t="s">
        <v>1442</v>
      </c>
      <c r="J3" s="1142" t="s">
        <v>503</v>
      </c>
      <c r="K3" s="1142" t="s">
        <v>300</v>
      </c>
      <c r="L3" s="1142" t="s">
        <v>1289</v>
      </c>
      <c r="M3" s="1142" t="s">
        <v>503</v>
      </c>
      <c r="N3" s="1142" t="s">
        <v>300</v>
      </c>
      <c r="O3" s="1142" t="s">
        <v>1289</v>
      </c>
      <c r="P3" s="1142" t="s">
        <v>503</v>
      </c>
      <c r="Q3" s="1142" t="s">
        <v>300</v>
      </c>
      <c r="R3" s="1397"/>
      <c r="S3" s="1397"/>
      <c r="T3" s="1223" t="s">
        <v>1290</v>
      </c>
      <c r="U3" s="1223" t="s">
        <v>1291</v>
      </c>
      <c r="V3" s="1223" t="s">
        <v>224</v>
      </c>
      <c r="W3" s="1397"/>
      <c r="X3" s="1397"/>
      <c r="Y3" s="1397"/>
      <c r="Z3" s="1406"/>
      <c r="AA3" s="1397"/>
      <c r="AB3" s="1397"/>
      <c r="AC3" s="1397"/>
      <c r="AD3" s="1397"/>
      <c r="AE3" s="1397"/>
      <c r="AF3" s="1494"/>
      <c r="AG3" s="1489"/>
      <c r="AH3" s="1223" t="s">
        <v>1420</v>
      </c>
      <c r="AI3" s="1223" t="s">
        <v>1294</v>
      </c>
      <c r="AJ3" s="1223" t="s">
        <v>1295</v>
      </c>
      <c r="AK3" s="1223" t="s">
        <v>1296</v>
      </c>
      <c r="AL3" s="1223" t="s">
        <v>224</v>
      </c>
      <c r="AM3" s="1489"/>
      <c r="AN3" s="1489"/>
      <c r="AO3" s="1489"/>
      <c r="AP3" s="1406"/>
      <c r="AQ3" s="1489"/>
      <c r="AR3" s="1489"/>
      <c r="AS3" s="1489"/>
      <c r="AT3" s="1489"/>
      <c r="AU3" s="1491"/>
      <c r="AV3" s="1491"/>
      <c r="AW3" s="1488"/>
      <c r="AX3" s="1488"/>
      <c r="AY3" s="1488"/>
    </row>
    <row r="4" spans="1:51" ht="14.25" customHeight="1" x14ac:dyDescent="0.2">
      <c r="A4" s="111"/>
      <c r="B4" s="112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  <c r="AT4" s="113">
        <v>44</v>
      </c>
      <c r="AU4" s="1211">
        <v>45</v>
      </c>
      <c r="AV4" s="1211">
        <v>46</v>
      </c>
      <c r="AW4" s="422">
        <v>47</v>
      </c>
      <c r="AX4" s="422">
        <v>48</v>
      </c>
      <c r="AY4" s="422">
        <v>49</v>
      </c>
    </row>
    <row r="5" spans="1:51" ht="33.75" x14ac:dyDescent="0.2">
      <c r="A5" s="111"/>
      <c r="B5" s="112"/>
      <c r="C5" s="676" t="s">
        <v>760</v>
      </c>
      <c r="D5" s="539" t="s">
        <v>1435</v>
      </c>
      <c r="E5" s="539" t="s">
        <v>761</v>
      </c>
      <c r="F5" s="676" t="s">
        <v>898</v>
      </c>
      <c r="G5" s="676" t="s">
        <v>1436</v>
      </c>
      <c r="H5" s="676" t="s">
        <v>803</v>
      </c>
      <c r="I5" s="676" t="s">
        <v>897</v>
      </c>
      <c r="J5" s="676" t="s">
        <v>1437</v>
      </c>
      <c r="K5" s="676" t="s">
        <v>804</v>
      </c>
      <c r="L5" s="676" t="s">
        <v>895</v>
      </c>
      <c r="M5" s="676" t="s">
        <v>1438</v>
      </c>
      <c r="N5" s="676" t="s">
        <v>805</v>
      </c>
      <c r="O5" s="676" t="s">
        <v>896</v>
      </c>
      <c r="P5" s="676" t="s">
        <v>1439</v>
      </c>
      <c r="Q5" s="676" t="s">
        <v>806</v>
      </c>
      <c r="R5" s="676" t="s">
        <v>1222</v>
      </c>
      <c r="S5" s="676"/>
      <c r="T5" s="676" t="s">
        <v>889</v>
      </c>
      <c r="U5" s="676" t="s">
        <v>890</v>
      </c>
      <c r="V5" s="676" t="s">
        <v>819</v>
      </c>
      <c r="W5" s="676" t="s">
        <v>820</v>
      </c>
      <c r="X5" s="676" t="s">
        <v>821</v>
      </c>
      <c r="Y5" s="676" t="s">
        <v>822</v>
      </c>
      <c r="Z5" s="676" t="s">
        <v>765</v>
      </c>
      <c r="AA5" s="538" t="s">
        <v>1225</v>
      </c>
      <c r="AB5" s="538" t="s">
        <v>942</v>
      </c>
      <c r="AC5" s="538" t="s">
        <v>823</v>
      </c>
      <c r="AD5" s="538" t="s">
        <v>943</v>
      </c>
      <c r="AE5" s="538" t="s">
        <v>1226</v>
      </c>
      <c r="AF5" s="538" t="s">
        <v>1440</v>
      </c>
      <c r="AG5" s="538" t="s">
        <v>824</v>
      </c>
      <c r="AH5" s="538" t="s">
        <v>889</v>
      </c>
      <c r="AI5" s="538" t="s">
        <v>825</v>
      </c>
      <c r="AJ5" s="538" t="s">
        <v>890</v>
      </c>
      <c r="AK5" s="538" t="s">
        <v>826</v>
      </c>
      <c r="AL5" s="538" t="s">
        <v>827</v>
      </c>
      <c r="AM5" s="538" t="s">
        <v>828</v>
      </c>
      <c r="AN5" s="538" t="s">
        <v>829</v>
      </c>
      <c r="AO5" s="538" t="s">
        <v>830</v>
      </c>
      <c r="AP5" s="538" t="s">
        <v>765</v>
      </c>
      <c r="AQ5" s="538" t="s">
        <v>792</v>
      </c>
      <c r="AR5" s="538" t="s">
        <v>944</v>
      </c>
      <c r="AS5" s="538" t="s">
        <v>831</v>
      </c>
      <c r="AT5" s="538" t="s">
        <v>945</v>
      </c>
      <c r="AU5" s="651" t="s">
        <v>1394</v>
      </c>
      <c r="AV5" s="651" t="s">
        <v>1395</v>
      </c>
      <c r="AW5" s="651" t="s">
        <v>1396</v>
      </c>
      <c r="AX5" s="651" t="s">
        <v>1392</v>
      </c>
      <c r="AY5" s="651" t="s">
        <v>1397</v>
      </c>
    </row>
    <row r="6" spans="1:51" ht="51" hidden="1" x14ac:dyDescent="0.2">
      <c r="A6" s="114"/>
      <c r="B6" s="110"/>
      <c r="C6" s="484" t="s">
        <v>554</v>
      </c>
      <c r="D6" s="484" t="s">
        <v>554</v>
      </c>
      <c r="E6" s="484" t="s">
        <v>555</v>
      </c>
      <c r="F6" s="484" t="s">
        <v>642</v>
      </c>
      <c r="G6" s="484" t="s">
        <v>554</v>
      </c>
      <c r="H6" s="484" t="s">
        <v>555</v>
      </c>
      <c r="I6" s="484" t="s">
        <v>642</v>
      </c>
      <c r="J6" s="484" t="s">
        <v>554</v>
      </c>
      <c r="K6" s="484" t="s">
        <v>555</v>
      </c>
      <c r="L6" s="484" t="s">
        <v>642</v>
      </c>
      <c r="M6" s="484" t="s">
        <v>554</v>
      </c>
      <c r="N6" s="484" t="s">
        <v>555</v>
      </c>
      <c r="O6" s="484" t="s">
        <v>642</v>
      </c>
      <c r="P6" s="484" t="s">
        <v>554</v>
      </c>
      <c r="Q6" s="484" t="s">
        <v>555</v>
      </c>
      <c r="R6" s="484" t="s">
        <v>555</v>
      </c>
      <c r="S6" s="110"/>
      <c r="T6" s="484" t="s">
        <v>764</v>
      </c>
      <c r="U6" s="484" t="s">
        <v>764</v>
      </c>
      <c r="V6" s="484" t="s">
        <v>555</v>
      </c>
      <c r="W6" s="484" t="s">
        <v>555</v>
      </c>
      <c r="X6" s="484" t="s">
        <v>555</v>
      </c>
      <c r="Y6" s="484" t="s">
        <v>555</v>
      </c>
      <c r="Z6" s="484" t="s">
        <v>765</v>
      </c>
      <c r="AA6" s="484" t="s">
        <v>782</v>
      </c>
      <c r="AB6" s="484" t="s">
        <v>790</v>
      </c>
      <c r="AC6" s="484" t="s">
        <v>555</v>
      </c>
      <c r="AD6" s="484" t="s">
        <v>555</v>
      </c>
      <c r="AE6" s="484" t="s">
        <v>783</v>
      </c>
      <c r="AF6" s="484" t="s">
        <v>554</v>
      </c>
      <c r="AG6" s="484" t="s">
        <v>555</v>
      </c>
      <c r="AH6" s="484" t="s">
        <v>764</v>
      </c>
      <c r="AI6" s="484" t="s">
        <v>555</v>
      </c>
      <c r="AJ6" s="484" t="s">
        <v>764</v>
      </c>
      <c r="AK6" s="484" t="s">
        <v>555</v>
      </c>
      <c r="AL6" s="484" t="s">
        <v>555</v>
      </c>
      <c r="AM6" s="484" t="s">
        <v>555</v>
      </c>
      <c r="AN6" s="484" t="s">
        <v>555</v>
      </c>
      <c r="AO6" s="484" t="s">
        <v>555</v>
      </c>
      <c r="AP6" s="484" t="s">
        <v>765</v>
      </c>
      <c r="AQ6" s="484" t="s">
        <v>555</v>
      </c>
      <c r="AR6" s="484" t="s">
        <v>790</v>
      </c>
      <c r="AS6" s="484" t="s">
        <v>555</v>
      </c>
      <c r="AT6" s="484" t="s">
        <v>555</v>
      </c>
      <c r="AU6" s="484" t="s">
        <v>555</v>
      </c>
      <c r="AV6" s="484" t="s">
        <v>555</v>
      </c>
      <c r="AW6" s="541" t="s">
        <v>789</v>
      </c>
      <c r="AX6" s="541" t="s">
        <v>555</v>
      </c>
      <c r="AY6" s="541" t="s">
        <v>555</v>
      </c>
    </row>
    <row r="7" spans="1:51" ht="15" customHeight="1" x14ac:dyDescent="0.2">
      <c r="A7" s="334">
        <v>1</v>
      </c>
      <c r="B7" s="115" t="s">
        <v>4</v>
      </c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205017</v>
      </c>
      <c r="S7" s="120">
        <v>22780</v>
      </c>
      <c r="T7" s="117"/>
      <c r="U7" s="117"/>
      <c r="V7" s="121"/>
      <c r="W7" s="120"/>
      <c r="X7" s="118"/>
      <c r="Y7" s="120"/>
      <c r="Z7" s="117"/>
      <c r="AA7" s="120"/>
      <c r="AB7" s="117"/>
      <c r="AC7" s="117"/>
      <c r="AD7" s="120"/>
      <c r="AE7" s="122"/>
      <c r="AF7" s="123"/>
      <c r="AG7" s="124"/>
      <c r="AH7" s="116"/>
      <c r="AI7" s="123"/>
      <c r="AJ7" s="116"/>
      <c r="AK7" s="125"/>
      <c r="AL7" s="126"/>
      <c r="AM7" s="124">
        <v>80294</v>
      </c>
      <c r="AN7" s="127"/>
      <c r="AO7" s="124"/>
      <c r="AP7" s="125">
        <v>0</v>
      </c>
      <c r="AQ7" s="124"/>
      <c r="AR7" s="125"/>
      <c r="AS7" s="125"/>
      <c r="AT7" s="124">
        <v>5765</v>
      </c>
      <c r="AU7" s="695"/>
      <c r="AV7" s="696"/>
      <c r="AW7" s="118"/>
      <c r="AX7" s="118"/>
      <c r="AY7" s="118">
        <v>-9</v>
      </c>
    </row>
    <row r="8" spans="1:51" ht="15" customHeight="1" x14ac:dyDescent="0.2">
      <c r="A8" s="339">
        <v>2</v>
      </c>
      <c r="B8" s="133" t="s">
        <v>5</v>
      </c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104110</v>
      </c>
      <c r="S8" s="138">
        <v>11568</v>
      </c>
      <c r="T8" s="135"/>
      <c r="U8" s="135"/>
      <c r="V8" s="139"/>
      <c r="W8" s="138"/>
      <c r="X8" s="136"/>
      <c r="Y8" s="138"/>
      <c r="Z8" s="135"/>
      <c r="AA8" s="138"/>
      <c r="AB8" s="135"/>
      <c r="AC8" s="135"/>
      <c r="AD8" s="138"/>
      <c r="AE8" s="141"/>
      <c r="AF8" s="142"/>
      <c r="AG8" s="143"/>
      <c r="AH8" s="134"/>
      <c r="AI8" s="142"/>
      <c r="AJ8" s="134"/>
      <c r="AK8" s="144"/>
      <c r="AL8" s="145"/>
      <c r="AM8" s="143">
        <v>94693</v>
      </c>
      <c r="AN8" s="146"/>
      <c r="AO8" s="143"/>
      <c r="AP8" s="144">
        <v>0</v>
      </c>
      <c r="AQ8" s="143"/>
      <c r="AR8" s="144"/>
      <c r="AS8" s="144"/>
      <c r="AT8" s="143">
        <v>11384</v>
      </c>
      <c r="AU8" s="697"/>
      <c r="AV8" s="698"/>
      <c r="AW8" s="136"/>
      <c r="AX8" s="136"/>
      <c r="AY8" s="136">
        <v>114</v>
      </c>
    </row>
    <row r="9" spans="1:51" ht="15" customHeight="1" x14ac:dyDescent="0.2">
      <c r="A9" s="339">
        <v>3</v>
      </c>
      <c r="B9" s="133" t="s">
        <v>6</v>
      </c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349614</v>
      </c>
      <c r="S9" s="138">
        <v>38846</v>
      </c>
      <c r="T9" s="135"/>
      <c r="U9" s="135"/>
      <c r="V9" s="139"/>
      <c r="W9" s="138"/>
      <c r="X9" s="136"/>
      <c r="Y9" s="138"/>
      <c r="Z9" s="135"/>
      <c r="AA9" s="138"/>
      <c r="AB9" s="135"/>
      <c r="AC9" s="135"/>
      <c r="AD9" s="138"/>
      <c r="AE9" s="141"/>
      <c r="AF9" s="142"/>
      <c r="AG9" s="143"/>
      <c r="AH9" s="134"/>
      <c r="AI9" s="142"/>
      <c r="AJ9" s="134"/>
      <c r="AK9" s="144"/>
      <c r="AL9" s="145"/>
      <c r="AM9" s="143">
        <v>658944</v>
      </c>
      <c r="AN9" s="146"/>
      <c r="AO9" s="143"/>
      <c r="AP9" s="144">
        <v>0</v>
      </c>
      <c r="AQ9" s="143"/>
      <c r="AR9" s="144"/>
      <c r="AS9" s="144"/>
      <c r="AT9" s="143">
        <v>67719</v>
      </c>
      <c r="AU9" s="697"/>
      <c r="AV9" s="698"/>
      <c r="AW9" s="136"/>
      <c r="AX9" s="136"/>
      <c r="AY9" s="136">
        <v>389</v>
      </c>
    </row>
    <row r="10" spans="1:51" ht="15" customHeight="1" x14ac:dyDescent="0.2">
      <c r="A10" s="339">
        <v>4</v>
      </c>
      <c r="B10" s="133" t="s">
        <v>7</v>
      </c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36479</v>
      </c>
      <c r="S10" s="138">
        <v>4053</v>
      </c>
      <c r="T10" s="135"/>
      <c r="U10" s="135"/>
      <c r="V10" s="139"/>
      <c r="W10" s="138"/>
      <c r="X10" s="136"/>
      <c r="Y10" s="138"/>
      <c r="Z10" s="135"/>
      <c r="AA10" s="138"/>
      <c r="AB10" s="135"/>
      <c r="AC10" s="135"/>
      <c r="AD10" s="138"/>
      <c r="AE10" s="141"/>
      <c r="AF10" s="142"/>
      <c r="AG10" s="143"/>
      <c r="AH10" s="134"/>
      <c r="AI10" s="142"/>
      <c r="AJ10" s="134"/>
      <c r="AK10" s="144"/>
      <c r="AL10" s="145"/>
      <c r="AM10" s="143">
        <v>64018</v>
      </c>
      <c r="AN10" s="146"/>
      <c r="AO10" s="143"/>
      <c r="AP10" s="144">
        <v>0</v>
      </c>
      <c r="AQ10" s="143"/>
      <c r="AR10" s="144"/>
      <c r="AS10" s="144"/>
      <c r="AT10" s="143">
        <v>8546</v>
      </c>
      <c r="AU10" s="697"/>
      <c r="AV10" s="698"/>
      <c r="AW10" s="136"/>
      <c r="AX10" s="136"/>
      <c r="AY10" s="136">
        <v>86</v>
      </c>
    </row>
    <row r="11" spans="1:51" ht="15" customHeight="1" x14ac:dyDescent="0.2">
      <c r="A11" s="344">
        <v>5</v>
      </c>
      <c r="B11" s="147" t="s">
        <v>8</v>
      </c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234565</v>
      </c>
      <c r="S11" s="152">
        <v>26063</v>
      </c>
      <c r="T11" s="149"/>
      <c r="U11" s="149"/>
      <c r="V11" s="153"/>
      <c r="W11" s="152"/>
      <c r="X11" s="150"/>
      <c r="Y11" s="152"/>
      <c r="Z11" s="149"/>
      <c r="AA11" s="152"/>
      <c r="AB11" s="155"/>
      <c r="AC11" s="149"/>
      <c r="AD11" s="156"/>
      <c r="AE11" s="156"/>
      <c r="AF11" s="157"/>
      <c r="AG11" s="158"/>
      <c r="AH11" s="148"/>
      <c r="AI11" s="157"/>
      <c r="AJ11" s="148"/>
      <c r="AK11" s="159"/>
      <c r="AL11" s="160"/>
      <c r="AM11" s="158">
        <v>81658</v>
      </c>
      <c r="AN11" s="161"/>
      <c r="AO11" s="158"/>
      <c r="AP11" s="159">
        <v>0</v>
      </c>
      <c r="AQ11" s="158"/>
      <c r="AR11" s="159"/>
      <c r="AS11" s="159"/>
      <c r="AT11" s="158">
        <v>7124</v>
      </c>
      <c r="AU11" s="699"/>
      <c r="AV11" s="700"/>
      <c r="AW11" s="150"/>
      <c r="AX11" s="150"/>
      <c r="AY11" s="150">
        <v>13</v>
      </c>
    </row>
    <row r="12" spans="1:51" ht="15" customHeight="1" x14ac:dyDescent="0.2">
      <c r="A12" s="334">
        <v>6</v>
      </c>
      <c r="B12" s="115" t="s">
        <v>9</v>
      </c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68455</v>
      </c>
      <c r="S12" s="120">
        <v>7606</v>
      </c>
      <c r="T12" s="117"/>
      <c r="U12" s="117"/>
      <c r="V12" s="121"/>
      <c r="W12" s="120"/>
      <c r="X12" s="118"/>
      <c r="Y12" s="120"/>
      <c r="Z12" s="117"/>
      <c r="AA12" s="120"/>
      <c r="AB12" s="117"/>
      <c r="AC12" s="117"/>
      <c r="AD12" s="120"/>
      <c r="AE12" s="122"/>
      <c r="AF12" s="123"/>
      <c r="AG12" s="124"/>
      <c r="AH12" s="116"/>
      <c r="AI12" s="123"/>
      <c r="AJ12" s="116"/>
      <c r="AK12" s="125"/>
      <c r="AL12" s="126"/>
      <c r="AM12" s="124">
        <v>58278</v>
      </c>
      <c r="AN12" s="127"/>
      <c r="AO12" s="124"/>
      <c r="AP12" s="125">
        <v>0</v>
      </c>
      <c r="AQ12" s="124"/>
      <c r="AR12" s="125"/>
      <c r="AS12" s="125"/>
      <c r="AT12" s="124">
        <v>5625</v>
      </c>
      <c r="AU12" s="695"/>
      <c r="AV12" s="696"/>
      <c r="AW12" s="118"/>
      <c r="AX12" s="118"/>
      <c r="AY12" s="118">
        <v>35</v>
      </c>
    </row>
    <row r="13" spans="1:51" ht="15" customHeight="1" x14ac:dyDescent="0.2">
      <c r="A13" s="339">
        <v>7</v>
      </c>
      <c r="B13" s="133" t="s">
        <v>10</v>
      </c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15899</v>
      </c>
      <c r="S13" s="138">
        <v>1767</v>
      </c>
      <c r="T13" s="135"/>
      <c r="U13" s="135"/>
      <c r="V13" s="139"/>
      <c r="W13" s="138"/>
      <c r="X13" s="136"/>
      <c r="Y13" s="138"/>
      <c r="Z13" s="135"/>
      <c r="AA13" s="138"/>
      <c r="AB13" s="135"/>
      <c r="AC13" s="135"/>
      <c r="AD13" s="138"/>
      <c r="AE13" s="141"/>
      <c r="AF13" s="142"/>
      <c r="AG13" s="143"/>
      <c r="AH13" s="134"/>
      <c r="AI13" s="142"/>
      <c r="AJ13" s="134"/>
      <c r="AK13" s="144"/>
      <c r="AL13" s="145"/>
      <c r="AM13" s="143">
        <v>75460</v>
      </c>
      <c r="AN13" s="146"/>
      <c r="AO13" s="143"/>
      <c r="AP13" s="144">
        <v>0</v>
      </c>
      <c r="AQ13" s="143"/>
      <c r="AR13" s="144"/>
      <c r="AS13" s="144"/>
      <c r="AT13" s="143">
        <v>10878</v>
      </c>
      <c r="AU13" s="697"/>
      <c r="AV13" s="698"/>
      <c r="AW13" s="136"/>
      <c r="AX13" s="136"/>
      <c r="AY13" s="136">
        <v>66</v>
      </c>
    </row>
    <row r="14" spans="1:51" ht="15" customHeight="1" x14ac:dyDescent="0.2">
      <c r="A14" s="339">
        <v>8</v>
      </c>
      <c r="B14" s="133" t="s">
        <v>11</v>
      </c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201439</v>
      </c>
      <c r="S14" s="138">
        <v>22382</v>
      </c>
      <c r="T14" s="135"/>
      <c r="U14" s="135"/>
      <c r="V14" s="139"/>
      <c r="W14" s="138"/>
      <c r="X14" s="136"/>
      <c r="Y14" s="138"/>
      <c r="Z14" s="135"/>
      <c r="AA14" s="138"/>
      <c r="AB14" s="135"/>
      <c r="AC14" s="135"/>
      <c r="AD14" s="138"/>
      <c r="AE14" s="141"/>
      <c r="AF14" s="142"/>
      <c r="AG14" s="143"/>
      <c r="AH14" s="134"/>
      <c r="AI14" s="142"/>
      <c r="AJ14" s="134"/>
      <c r="AK14" s="144"/>
      <c r="AL14" s="145"/>
      <c r="AM14" s="143">
        <v>215519</v>
      </c>
      <c r="AN14" s="146"/>
      <c r="AO14" s="143"/>
      <c r="AP14" s="144">
        <v>0</v>
      </c>
      <c r="AQ14" s="143"/>
      <c r="AR14" s="144"/>
      <c r="AS14" s="144"/>
      <c r="AT14" s="143">
        <v>23095</v>
      </c>
      <c r="AU14" s="697"/>
      <c r="AV14" s="698"/>
      <c r="AW14" s="136"/>
      <c r="AX14" s="136"/>
      <c r="AY14" s="136">
        <v>167</v>
      </c>
    </row>
    <row r="15" spans="1:51" ht="15" customHeight="1" x14ac:dyDescent="0.2">
      <c r="A15" s="339">
        <v>9</v>
      </c>
      <c r="B15" s="133" t="s">
        <v>12</v>
      </c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401087</v>
      </c>
      <c r="S15" s="138">
        <v>44565</v>
      </c>
      <c r="T15" s="135"/>
      <c r="U15" s="135"/>
      <c r="V15" s="139"/>
      <c r="W15" s="138"/>
      <c r="X15" s="136"/>
      <c r="Y15" s="138"/>
      <c r="Z15" s="135"/>
      <c r="AA15" s="138"/>
      <c r="AB15" s="135"/>
      <c r="AC15" s="135"/>
      <c r="AD15" s="138"/>
      <c r="AE15" s="141"/>
      <c r="AF15" s="142"/>
      <c r="AG15" s="143"/>
      <c r="AH15" s="134"/>
      <c r="AI15" s="142"/>
      <c r="AJ15" s="134"/>
      <c r="AK15" s="144"/>
      <c r="AL15" s="145"/>
      <c r="AM15" s="143">
        <v>453206</v>
      </c>
      <c r="AN15" s="146"/>
      <c r="AO15" s="143"/>
      <c r="AP15" s="144">
        <v>-4784</v>
      </c>
      <c r="AQ15" s="143"/>
      <c r="AR15" s="144"/>
      <c r="AS15" s="144"/>
      <c r="AT15" s="143">
        <v>44511</v>
      </c>
      <c r="AU15" s="697"/>
      <c r="AV15" s="698"/>
      <c r="AW15" s="136"/>
      <c r="AX15" s="136"/>
      <c r="AY15" s="136">
        <v>146</v>
      </c>
    </row>
    <row r="16" spans="1:51" ht="15" customHeight="1" x14ac:dyDescent="0.2">
      <c r="A16" s="344">
        <v>10</v>
      </c>
      <c r="B16" s="147" t="s">
        <v>13</v>
      </c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350098</v>
      </c>
      <c r="S16" s="152">
        <v>38900</v>
      </c>
      <c r="T16" s="149"/>
      <c r="U16" s="149"/>
      <c r="V16" s="153"/>
      <c r="W16" s="152"/>
      <c r="X16" s="150"/>
      <c r="Y16" s="152"/>
      <c r="Z16" s="149"/>
      <c r="AA16" s="152"/>
      <c r="AB16" s="155"/>
      <c r="AC16" s="149"/>
      <c r="AD16" s="156"/>
      <c r="AE16" s="156"/>
      <c r="AF16" s="157"/>
      <c r="AG16" s="158"/>
      <c r="AH16" s="148"/>
      <c r="AI16" s="157"/>
      <c r="AJ16" s="148"/>
      <c r="AK16" s="159"/>
      <c r="AL16" s="160"/>
      <c r="AM16" s="158">
        <v>620310</v>
      </c>
      <c r="AN16" s="161"/>
      <c r="AO16" s="158"/>
      <c r="AP16" s="159">
        <v>0</v>
      </c>
      <c r="AQ16" s="158"/>
      <c r="AR16" s="159"/>
      <c r="AS16" s="159"/>
      <c r="AT16" s="158">
        <v>50081</v>
      </c>
      <c r="AU16" s="699"/>
      <c r="AV16" s="700"/>
      <c r="AW16" s="150"/>
      <c r="AX16" s="150"/>
      <c r="AY16" s="150">
        <v>75</v>
      </c>
    </row>
    <row r="17" spans="1:51" ht="15" customHeight="1" x14ac:dyDescent="0.2">
      <c r="A17" s="334">
        <v>11</v>
      </c>
      <c r="B17" s="115" t="s">
        <v>14</v>
      </c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37449</v>
      </c>
      <c r="S17" s="120">
        <v>4161</v>
      </c>
      <c r="T17" s="117"/>
      <c r="U17" s="117"/>
      <c r="V17" s="121"/>
      <c r="W17" s="120"/>
      <c r="X17" s="118"/>
      <c r="Y17" s="120"/>
      <c r="Z17" s="117"/>
      <c r="AA17" s="120"/>
      <c r="AB17" s="117"/>
      <c r="AC17" s="117"/>
      <c r="AD17" s="120"/>
      <c r="AE17" s="122"/>
      <c r="AF17" s="123"/>
      <c r="AG17" s="124"/>
      <c r="AH17" s="116"/>
      <c r="AI17" s="123"/>
      <c r="AJ17" s="116"/>
      <c r="AK17" s="125"/>
      <c r="AL17" s="126"/>
      <c r="AM17" s="124">
        <v>36204</v>
      </c>
      <c r="AN17" s="127"/>
      <c r="AO17" s="124"/>
      <c r="AP17" s="125">
        <v>0</v>
      </c>
      <c r="AQ17" s="124"/>
      <c r="AR17" s="125"/>
      <c r="AS17" s="125"/>
      <c r="AT17" s="124">
        <v>3939</v>
      </c>
      <c r="AU17" s="695"/>
      <c r="AV17" s="696"/>
      <c r="AW17" s="118"/>
      <c r="AX17" s="118"/>
      <c r="AY17" s="118">
        <v>32</v>
      </c>
    </row>
    <row r="18" spans="1:51" ht="15" customHeight="1" x14ac:dyDescent="0.2">
      <c r="A18" s="339">
        <v>12</v>
      </c>
      <c r="B18" s="133" t="s">
        <v>15</v>
      </c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4273</v>
      </c>
      <c r="S18" s="138">
        <v>475</v>
      </c>
      <c r="T18" s="135"/>
      <c r="U18" s="135"/>
      <c r="V18" s="139"/>
      <c r="W18" s="138"/>
      <c r="X18" s="136"/>
      <c r="Y18" s="138"/>
      <c r="Z18" s="135"/>
      <c r="AA18" s="138"/>
      <c r="AB18" s="135"/>
      <c r="AC18" s="135"/>
      <c r="AD18" s="138"/>
      <c r="AE18" s="141"/>
      <c r="AF18" s="142"/>
      <c r="AG18" s="143"/>
      <c r="AH18" s="134"/>
      <c r="AI18" s="142"/>
      <c r="AJ18" s="134"/>
      <c r="AK18" s="144"/>
      <c r="AL18" s="145"/>
      <c r="AM18" s="143">
        <v>9857</v>
      </c>
      <c r="AN18" s="146"/>
      <c r="AO18" s="143"/>
      <c r="AP18" s="144">
        <v>0</v>
      </c>
      <c r="AQ18" s="143"/>
      <c r="AR18" s="144"/>
      <c r="AS18" s="144"/>
      <c r="AT18" s="143">
        <v>-80</v>
      </c>
      <c r="AU18" s="697"/>
      <c r="AV18" s="698"/>
      <c r="AW18" s="136"/>
      <c r="AX18" s="136"/>
      <c r="AY18" s="136">
        <v>-26</v>
      </c>
    </row>
    <row r="19" spans="1:51" ht="15" customHeight="1" x14ac:dyDescent="0.2">
      <c r="A19" s="339">
        <v>13</v>
      </c>
      <c r="B19" s="133" t="s">
        <v>16</v>
      </c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43581</v>
      </c>
      <c r="S19" s="138">
        <v>4842</v>
      </c>
      <c r="T19" s="135"/>
      <c r="U19" s="135"/>
      <c r="V19" s="139"/>
      <c r="W19" s="138"/>
      <c r="X19" s="136"/>
      <c r="Y19" s="138"/>
      <c r="Z19" s="135"/>
      <c r="AA19" s="138"/>
      <c r="AB19" s="135"/>
      <c r="AC19" s="135"/>
      <c r="AD19" s="138"/>
      <c r="AE19" s="141"/>
      <c r="AF19" s="142"/>
      <c r="AG19" s="143"/>
      <c r="AH19" s="134"/>
      <c r="AI19" s="142"/>
      <c r="AJ19" s="134"/>
      <c r="AK19" s="144"/>
      <c r="AL19" s="145"/>
      <c r="AM19" s="143">
        <v>22839</v>
      </c>
      <c r="AN19" s="146"/>
      <c r="AO19" s="143"/>
      <c r="AP19" s="144">
        <v>0</v>
      </c>
      <c r="AQ19" s="143"/>
      <c r="AR19" s="144"/>
      <c r="AS19" s="144"/>
      <c r="AT19" s="143">
        <v>2618</v>
      </c>
      <c r="AU19" s="697"/>
      <c r="AV19" s="698"/>
      <c r="AW19" s="136"/>
      <c r="AX19" s="136"/>
      <c r="AY19" s="136">
        <v>14</v>
      </c>
    </row>
    <row r="20" spans="1:51" ht="15" customHeight="1" x14ac:dyDescent="0.2">
      <c r="A20" s="339">
        <v>14</v>
      </c>
      <c r="B20" s="133" t="s">
        <v>17</v>
      </c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34489</v>
      </c>
      <c r="S20" s="138">
        <v>3832</v>
      </c>
      <c r="T20" s="135"/>
      <c r="U20" s="135"/>
      <c r="V20" s="139"/>
      <c r="W20" s="138"/>
      <c r="X20" s="136"/>
      <c r="Y20" s="138"/>
      <c r="Z20" s="135"/>
      <c r="AA20" s="138"/>
      <c r="AB20" s="135"/>
      <c r="AC20" s="135"/>
      <c r="AD20" s="138"/>
      <c r="AE20" s="141"/>
      <c r="AF20" s="142"/>
      <c r="AG20" s="143"/>
      <c r="AH20" s="134"/>
      <c r="AI20" s="142"/>
      <c r="AJ20" s="134"/>
      <c r="AK20" s="144"/>
      <c r="AL20" s="145"/>
      <c r="AM20" s="143">
        <v>11289</v>
      </c>
      <c r="AN20" s="146"/>
      <c r="AO20" s="143"/>
      <c r="AP20" s="144">
        <v>0</v>
      </c>
      <c r="AQ20" s="143"/>
      <c r="AR20" s="144"/>
      <c r="AS20" s="144"/>
      <c r="AT20" s="143">
        <v>737</v>
      </c>
      <c r="AU20" s="697"/>
      <c r="AV20" s="698"/>
      <c r="AW20" s="136"/>
      <c r="AX20" s="136"/>
      <c r="AY20" s="136">
        <v>-6</v>
      </c>
    </row>
    <row r="21" spans="1:51" ht="15" customHeight="1" x14ac:dyDescent="0.2">
      <c r="A21" s="344">
        <v>15</v>
      </c>
      <c r="B21" s="147" t="s">
        <v>18</v>
      </c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37172</v>
      </c>
      <c r="S21" s="152">
        <v>4130</v>
      </c>
      <c r="T21" s="149"/>
      <c r="U21" s="149"/>
      <c r="V21" s="153"/>
      <c r="W21" s="152"/>
      <c r="X21" s="150"/>
      <c r="Y21" s="152"/>
      <c r="Z21" s="149"/>
      <c r="AA21" s="152"/>
      <c r="AB21" s="155"/>
      <c r="AC21" s="149"/>
      <c r="AD21" s="156"/>
      <c r="AE21" s="156"/>
      <c r="AF21" s="157"/>
      <c r="AG21" s="158"/>
      <c r="AH21" s="148"/>
      <c r="AI21" s="157"/>
      <c r="AJ21" s="148"/>
      <c r="AK21" s="159"/>
      <c r="AL21" s="160"/>
      <c r="AM21" s="158">
        <v>2892</v>
      </c>
      <c r="AN21" s="161"/>
      <c r="AO21" s="158"/>
      <c r="AP21" s="159">
        <v>0</v>
      </c>
      <c r="AQ21" s="158"/>
      <c r="AR21" s="159"/>
      <c r="AS21" s="159"/>
      <c r="AT21" s="158">
        <v>-1072</v>
      </c>
      <c r="AU21" s="699"/>
      <c r="AV21" s="700"/>
      <c r="AW21" s="150"/>
      <c r="AX21" s="150"/>
      <c r="AY21" s="150">
        <v>-40</v>
      </c>
    </row>
    <row r="22" spans="1:51" ht="15" customHeight="1" x14ac:dyDescent="0.2">
      <c r="A22" s="334">
        <v>16</v>
      </c>
      <c r="B22" s="115" t="s">
        <v>19</v>
      </c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16828</v>
      </c>
      <c r="S22" s="120">
        <v>1870</v>
      </c>
      <c r="T22" s="117"/>
      <c r="U22" s="117"/>
      <c r="V22" s="121"/>
      <c r="W22" s="120"/>
      <c r="X22" s="118"/>
      <c r="Y22" s="120"/>
      <c r="Z22" s="117"/>
      <c r="AA22" s="120"/>
      <c r="AB22" s="117"/>
      <c r="AC22" s="117"/>
      <c r="AD22" s="120"/>
      <c r="AE22" s="122"/>
      <c r="AF22" s="123"/>
      <c r="AG22" s="124"/>
      <c r="AH22" s="116"/>
      <c r="AI22" s="123"/>
      <c r="AJ22" s="116"/>
      <c r="AK22" s="125"/>
      <c r="AL22" s="126"/>
      <c r="AM22" s="124">
        <v>91873</v>
      </c>
      <c r="AN22" s="127"/>
      <c r="AO22" s="124"/>
      <c r="AP22" s="125">
        <v>0</v>
      </c>
      <c r="AQ22" s="124"/>
      <c r="AR22" s="125"/>
      <c r="AS22" s="125"/>
      <c r="AT22" s="124">
        <v>9222</v>
      </c>
      <c r="AU22" s="695"/>
      <c r="AV22" s="696"/>
      <c r="AW22" s="118"/>
      <c r="AX22" s="118"/>
      <c r="AY22" s="118">
        <v>-18</v>
      </c>
    </row>
    <row r="23" spans="1:51" ht="15" customHeight="1" x14ac:dyDescent="0.2">
      <c r="A23" s="339">
        <v>17</v>
      </c>
      <c r="B23" s="133" t="s">
        <v>20</v>
      </c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1092258</v>
      </c>
      <c r="S23" s="138">
        <v>121362</v>
      </c>
      <c r="T23" s="135"/>
      <c r="U23" s="135"/>
      <c r="V23" s="139"/>
      <c r="W23" s="138"/>
      <c r="X23" s="136"/>
      <c r="Y23" s="138"/>
      <c r="Z23" s="135"/>
      <c r="AA23" s="138"/>
      <c r="AB23" s="135"/>
      <c r="AC23" s="135"/>
      <c r="AD23" s="138"/>
      <c r="AE23" s="141"/>
      <c r="AF23" s="142"/>
      <c r="AG23" s="143"/>
      <c r="AH23" s="134"/>
      <c r="AI23" s="142"/>
      <c r="AJ23" s="134"/>
      <c r="AK23" s="144"/>
      <c r="AL23" s="145"/>
      <c r="AM23" s="143">
        <v>2085256</v>
      </c>
      <c r="AN23" s="146"/>
      <c r="AO23" s="143"/>
      <c r="AP23" s="144">
        <v>0</v>
      </c>
      <c r="AQ23" s="143"/>
      <c r="AR23" s="144"/>
      <c r="AS23" s="144"/>
      <c r="AT23" s="143">
        <v>186727</v>
      </c>
      <c r="AU23" s="697"/>
      <c r="AV23" s="698"/>
      <c r="AW23" s="136"/>
      <c r="AX23" s="136"/>
      <c r="AY23" s="136">
        <v>356</v>
      </c>
    </row>
    <row r="24" spans="1:51" ht="15" customHeight="1" x14ac:dyDescent="0.2">
      <c r="A24" s="339">
        <v>18</v>
      </c>
      <c r="B24" s="133" t="s">
        <v>21</v>
      </c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13989</v>
      </c>
      <c r="S24" s="138">
        <v>1554</v>
      </c>
      <c r="T24" s="135"/>
      <c r="U24" s="135"/>
      <c r="V24" s="139"/>
      <c r="W24" s="138"/>
      <c r="X24" s="136"/>
      <c r="Y24" s="138"/>
      <c r="Z24" s="135"/>
      <c r="AA24" s="138"/>
      <c r="AB24" s="135"/>
      <c r="AC24" s="135"/>
      <c r="AD24" s="138"/>
      <c r="AE24" s="141"/>
      <c r="AF24" s="142"/>
      <c r="AG24" s="143"/>
      <c r="AH24" s="134"/>
      <c r="AI24" s="142"/>
      <c r="AJ24" s="134"/>
      <c r="AK24" s="144"/>
      <c r="AL24" s="145"/>
      <c r="AM24" s="143">
        <v>10055</v>
      </c>
      <c r="AN24" s="146"/>
      <c r="AO24" s="143"/>
      <c r="AP24" s="144">
        <v>0</v>
      </c>
      <c r="AQ24" s="143"/>
      <c r="AR24" s="144"/>
      <c r="AS24" s="144"/>
      <c r="AT24" s="143">
        <v>1389</v>
      </c>
      <c r="AU24" s="697"/>
      <c r="AV24" s="698"/>
      <c r="AW24" s="136"/>
      <c r="AX24" s="136"/>
      <c r="AY24" s="136">
        <v>13</v>
      </c>
    </row>
    <row r="25" spans="1:51" ht="15" customHeight="1" x14ac:dyDescent="0.2">
      <c r="A25" s="339">
        <v>19</v>
      </c>
      <c r="B25" s="133" t="s">
        <v>22</v>
      </c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152568</v>
      </c>
      <c r="S25" s="138">
        <v>16952</v>
      </c>
      <c r="T25" s="135"/>
      <c r="U25" s="135"/>
      <c r="V25" s="139"/>
      <c r="W25" s="138"/>
      <c r="X25" s="136"/>
      <c r="Y25" s="138"/>
      <c r="Z25" s="135"/>
      <c r="AA25" s="138"/>
      <c r="AB25" s="135"/>
      <c r="AC25" s="135"/>
      <c r="AD25" s="138"/>
      <c r="AE25" s="141"/>
      <c r="AF25" s="142"/>
      <c r="AG25" s="143"/>
      <c r="AH25" s="134"/>
      <c r="AI25" s="142"/>
      <c r="AJ25" s="134"/>
      <c r="AK25" s="144"/>
      <c r="AL25" s="145"/>
      <c r="AM25" s="143">
        <v>132419</v>
      </c>
      <c r="AN25" s="146"/>
      <c r="AO25" s="143"/>
      <c r="AP25" s="144">
        <v>0</v>
      </c>
      <c r="AQ25" s="143"/>
      <c r="AR25" s="144"/>
      <c r="AS25" s="144"/>
      <c r="AT25" s="143">
        <v>11559</v>
      </c>
      <c r="AU25" s="697"/>
      <c r="AV25" s="698"/>
      <c r="AW25" s="136"/>
      <c r="AX25" s="136"/>
      <c r="AY25" s="136">
        <v>41</v>
      </c>
    </row>
    <row r="26" spans="1:51" ht="15" customHeight="1" x14ac:dyDescent="0.2">
      <c r="A26" s="344">
        <v>20</v>
      </c>
      <c r="B26" s="147" t="s">
        <v>23</v>
      </c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135551</v>
      </c>
      <c r="S26" s="152">
        <v>15061</v>
      </c>
      <c r="T26" s="149"/>
      <c r="U26" s="149"/>
      <c r="V26" s="153"/>
      <c r="W26" s="152"/>
      <c r="X26" s="150"/>
      <c r="Y26" s="152"/>
      <c r="Z26" s="149"/>
      <c r="AA26" s="152"/>
      <c r="AB26" s="155"/>
      <c r="AC26" s="149"/>
      <c r="AD26" s="156"/>
      <c r="AE26" s="156"/>
      <c r="AF26" s="157"/>
      <c r="AG26" s="158"/>
      <c r="AH26" s="148"/>
      <c r="AI26" s="157"/>
      <c r="AJ26" s="148"/>
      <c r="AK26" s="159"/>
      <c r="AL26" s="160"/>
      <c r="AM26" s="158">
        <v>42415</v>
      </c>
      <c r="AN26" s="161"/>
      <c r="AO26" s="158"/>
      <c r="AP26" s="159">
        <v>0</v>
      </c>
      <c r="AQ26" s="158"/>
      <c r="AR26" s="159"/>
      <c r="AS26" s="159"/>
      <c r="AT26" s="158">
        <v>3152</v>
      </c>
      <c r="AU26" s="699"/>
      <c r="AV26" s="700"/>
      <c r="AW26" s="150"/>
      <c r="AX26" s="150"/>
      <c r="AY26" s="150">
        <v>-20</v>
      </c>
    </row>
    <row r="27" spans="1:51" ht="15" customHeight="1" x14ac:dyDescent="0.2">
      <c r="A27" s="334">
        <v>21</v>
      </c>
      <c r="B27" s="115" t="s">
        <v>24</v>
      </c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53438</v>
      </c>
      <c r="S27" s="120">
        <v>5938</v>
      </c>
      <c r="T27" s="117"/>
      <c r="U27" s="117"/>
      <c r="V27" s="121"/>
      <c r="W27" s="120"/>
      <c r="X27" s="118"/>
      <c r="Y27" s="120"/>
      <c r="Z27" s="117"/>
      <c r="AA27" s="120"/>
      <c r="AB27" s="117"/>
      <c r="AC27" s="117"/>
      <c r="AD27" s="120"/>
      <c r="AE27" s="122"/>
      <c r="AF27" s="123"/>
      <c r="AG27" s="124"/>
      <c r="AH27" s="116"/>
      <c r="AI27" s="123"/>
      <c r="AJ27" s="116"/>
      <c r="AK27" s="125"/>
      <c r="AL27" s="126"/>
      <c r="AM27" s="124">
        <v>37806</v>
      </c>
      <c r="AN27" s="127"/>
      <c r="AO27" s="124"/>
      <c r="AP27" s="125">
        <v>0</v>
      </c>
      <c r="AQ27" s="124"/>
      <c r="AR27" s="125"/>
      <c r="AS27" s="125"/>
      <c r="AT27" s="124">
        <v>4526</v>
      </c>
      <c r="AU27" s="695"/>
      <c r="AV27" s="696"/>
      <c r="AW27" s="118"/>
      <c r="AX27" s="118"/>
      <c r="AY27" s="118">
        <v>39</v>
      </c>
    </row>
    <row r="28" spans="1:51" ht="15" customHeight="1" x14ac:dyDescent="0.2">
      <c r="A28" s="339">
        <v>22</v>
      </c>
      <c r="B28" s="133" t="s">
        <v>25</v>
      </c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114572</v>
      </c>
      <c r="S28" s="138">
        <v>12730</v>
      </c>
      <c r="T28" s="135"/>
      <c r="U28" s="135"/>
      <c r="V28" s="139"/>
      <c r="W28" s="138"/>
      <c r="X28" s="136"/>
      <c r="Y28" s="138"/>
      <c r="Z28" s="135"/>
      <c r="AA28" s="138"/>
      <c r="AB28" s="135"/>
      <c r="AC28" s="135"/>
      <c r="AD28" s="138"/>
      <c r="AE28" s="141"/>
      <c r="AF28" s="142"/>
      <c r="AG28" s="143"/>
      <c r="AH28" s="134"/>
      <c r="AI28" s="142"/>
      <c r="AJ28" s="134"/>
      <c r="AK28" s="144"/>
      <c r="AL28" s="145"/>
      <c r="AM28" s="143">
        <v>32390</v>
      </c>
      <c r="AN28" s="146"/>
      <c r="AO28" s="143"/>
      <c r="AP28" s="144">
        <v>0</v>
      </c>
      <c r="AQ28" s="143"/>
      <c r="AR28" s="144"/>
      <c r="AS28" s="144"/>
      <c r="AT28" s="143">
        <v>2498</v>
      </c>
      <c r="AU28" s="697"/>
      <c r="AV28" s="698"/>
      <c r="AW28" s="136"/>
      <c r="AX28" s="136"/>
      <c r="AY28" s="136">
        <v>-6</v>
      </c>
    </row>
    <row r="29" spans="1:51" ht="15" customHeight="1" x14ac:dyDescent="0.2">
      <c r="A29" s="339">
        <v>23</v>
      </c>
      <c r="B29" s="133" t="s">
        <v>26</v>
      </c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237848</v>
      </c>
      <c r="S29" s="138">
        <v>26428</v>
      </c>
      <c r="T29" s="135"/>
      <c r="U29" s="135"/>
      <c r="V29" s="139"/>
      <c r="W29" s="138"/>
      <c r="X29" s="136"/>
      <c r="Y29" s="138"/>
      <c r="Z29" s="135"/>
      <c r="AA29" s="138"/>
      <c r="AB29" s="135"/>
      <c r="AC29" s="135"/>
      <c r="AD29" s="138"/>
      <c r="AE29" s="141"/>
      <c r="AF29" s="142"/>
      <c r="AG29" s="143"/>
      <c r="AH29" s="134"/>
      <c r="AI29" s="142"/>
      <c r="AJ29" s="134"/>
      <c r="AK29" s="144"/>
      <c r="AL29" s="145"/>
      <c r="AM29" s="143">
        <v>175165</v>
      </c>
      <c r="AN29" s="146"/>
      <c r="AO29" s="143"/>
      <c r="AP29" s="144">
        <v>0</v>
      </c>
      <c r="AQ29" s="143"/>
      <c r="AR29" s="144"/>
      <c r="AS29" s="144"/>
      <c r="AT29" s="143">
        <v>18885</v>
      </c>
      <c r="AU29" s="697"/>
      <c r="AV29" s="698"/>
      <c r="AW29" s="136"/>
      <c r="AX29" s="136"/>
      <c r="AY29" s="136">
        <v>91</v>
      </c>
    </row>
    <row r="30" spans="1:51" ht="15" customHeight="1" x14ac:dyDescent="0.2">
      <c r="A30" s="339">
        <v>24</v>
      </c>
      <c r="B30" s="133" t="s">
        <v>27</v>
      </c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33554</v>
      </c>
      <c r="S30" s="138">
        <v>3728</v>
      </c>
      <c r="T30" s="135"/>
      <c r="U30" s="135"/>
      <c r="V30" s="139"/>
      <c r="W30" s="138"/>
      <c r="X30" s="136"/>
      <c r="Y30" s="138"/>
      <c r="Z30" s="135"/>
      <c r="AA30" s="138"/>
      <c r="AB30" s="135"/>
      <c r="AC30" s="135"/>
      <c r="AD30" s="138"/>
      <c r="AE30" s="141"/>
      <c r="AF30" s="142"/>
      <c r="AG30" s="143"/>
      <c r="AH30" s="134"/>
      <c r="AI30" s="142"/>
      <c r="AJ30" s="134"/>
      <c r="AK30" s="144"/>
      <c r="AL30" s="145"/>
      <c r="AM30" s="143">
        <v>190336</v>
      </c>
      <c r="AN30" s="146"/>
      <c r="AO30" s="143"/>
      <c r="AP30" s="144">
        <v>0</v>
      </c>
      <c r="AQ30" s="143"/>
      <c r="AR30" s="144"/>
      <c r="AS30" s="144"/>
      <c r="AT30" s="143">
        <v>18683</v>
      </c>
      <c r="AU30" s="697"/>
      <c r="AV30" s="698"/>
      <c r="AW30" s="136"/>
      <c r="AX30" s="136"/>
      <c r="AY30" s="136">
        <v>50</v>
      </c>
    </row>
    <row r="31" spans="1:51" ht="15" customHeight="1" x14ac:dyDescent="0.2">
      <c r="A31" s="344">
        <v>25</v>
      </c>
      <c r="B31" s="147" t="s">
        <v>28</v>
      </c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27441</v>
      </c>
      <c r="S31" s="152">
        <v>3049</v>
      </c>
      <c r="T31" s="149"/>
      <c r="U31" s="149"/>
      <c r="V31" s="153"/>
      <c r="W31" s="152"/>
      <c r="X31" s="150"/>
      <c r="Y31" s="152"/>
      <c r="Z31" s="149"/>
      <c r="AA31" s="152"/>
      <c r="AB31" s="155"/>
      <c r="AC31" s="149"/>
      <c r="AD31" s="156"/>
      <c r="AE31" s="156"/>
      <c r="AF31" s="157"/>
      <c r="AG31" s="158"/>
      <c r="AH31" s="148"/>
      <c r="AI31" s="157"/>
      <c r="AJ31" s="148"/>
      <c r="AK31" s="159"/>
      <c r="AL31" s="160"/>
      <c r="AM31" s="158">
        <v>21821</v>
      </c>
      <c r="AN31" s="161"/>
      <c r="AO31" s="158"/>
      <c r="AP31" s="159">
        <v>0</v>
      </c>
      <c r="AQ31" s="158"/>
      <c r="AR31" s="159"/>
      <c r="AS31" s="159"/>
      <c r="AT31" s="158">
        <v>2012</v>
      </c>
      <c r="AU31" s="699"/>
      <c r="AV31" s="700"/>
      <c r="AW31" s="150"/>
      <c r="AX31" s="150"/>
      <c r="AY31" s="150">
        <v>-5</v>
      </c>
    </row>
    <row r="32" spans="1:51" ht="15" customHeight="1" x14ac:dyDescent="0.2">
      <c r="A32" s="334">
        <v>26</v>
      </c>
      <c r="B32" s="115" t="s">
        <v>29</v>
      </c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846352</v>
      </c>
      <c r="S32" s="120">
        <v>94039</v>
      </c>
      <c r="T32" s="117"/>
      <c r="U32" s="117"/>
      <c r="V32" s="121"/>
      <c r="W32" s="120"/>
      <c r="X32" s="118"/>
      <c r="Y32" s="120"/>
      <c r="Z32" s="117"/>
      <c r="AA32" s="120"/>
      <c r="AB32" s="117"/>
      <c r="AC32" s="117"/>
      <c r="AD32" s="120"/>
      <c r="AE32" s="122"/>
      <c r="AF32" s="123"/>
      <c r="AG32" s="124"/>
      <c r="AH32" s="116"/>
      <c r="AI32" s="123"/>
      <c r="AJ32" s="116"/>
      <c r="AK32" s="125"/>
      <c r="AL32" s="126"/>
      <c r="AM32" s="124">
        <v>1287743</v>
      </c>
      <c r="AN32" s="127"/>
      <c r="AO32" s="124"/>
      <c r="AP32" s="125">
        <v>0</v>
      </c>
      <c r="AQ32" s="124"/>
      <c r="AR32" s="125"/>
      <c r="AS32" s="125"/>
      <c r="AT32" s="124">
        <v>137610</v>
      </c>
      <c r="AU32" s="695"/>
      <c r="AV32" s="696"/>
      <c r="AW32" s="118"/>
      <c r="AX32" s="118"/>
      <c r="AY32" s="118">
        <v>913</v>
      </c>
    </row>
    <row r="33" spans="1:51" ht="15" customHeight="1" x14ac:dyDescent="0.2">
      <c r="A33" s="339">
        <v>27</v>
      </c>
      <c r="B33" s="133" t="s">
        <v>30</v>
      </c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10450</v>
      </c>
      <c r="S33" s="138">
        <v>1161</v>
      </c>
      <c r="T33" s="135"/>
      <c r="U33" s="135"/>
      <c r="V33" s="139"/>
      <c r="W33" s="138"/>
      <c r="X33" s="136"/>
      <c r="Y33" s="138"/>
      <c r="Z33" s="135"/>
      <c r="AA33" s="138"/>
      <c r="AB33" s="135"/>
      <c r="AC33" s="135"/>
      <c r="AD33" s="138"/>
      <c r="AE33" s="141"/>
      <c r="AF33" s="142"/>
      <c r="AG33" s="143"/>
      <c r="AH33" s="134"/>
      <c r="AI33" s="142"/>
      <c r="AJ33" s="134"/>
      <c r="AK33" s="144"/>
      <c r="AL33" s="145"/>
      <c r="AM33" s="143">
        <v>33480</v>
      </c>
      <c r="AN33" s="146"/>
      <c r="AO33" s="143"/>
      <c r="AP33" s="144">
        <v>-3261</v>
      </c>
      <c r="AQ33" s="143"/>
      <c r="AR33" s="144"/>
      <c r="AS33" s="144"/>
      <c r="AT33" s="143">
        <v>4201</v>
      </c>
      <c r="AU33" s="697"/>
      <c r="AV33" s="698"/>
      <c r="AW33" s="136"/>
      <c r="AX33" s="136"/>
      <c r="AY33" s="136">
        <v>68</v>
      </c>
    </row>
    <row r="34" spans="1:51" ht="15" customHeight="1" x14ac:dyDescent="0.2">
      <c r="A34" s="339">
        <v>28</v>
      </c>
      <c r="B34" s="133" t="s">
        <v>31</v>
      </c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440601</v>
      </c>
      <c r="S34" s="138">
        <v>48956</v>
      </c>
      <c r="T34" s="135"/>
      <c r="U34" s="135"/>
      <c r="V34" s="139"/>
      <c r="W34" s="138"/>
      <c r="X34" s="136"/>
      <c r="Y34" s="138"/>
      <c r="Z34" s="135"/>
      <c r="AA34" s="138"/>
      <c r="AB34" s="135"/>
      <c r="AC34" s="135"/>
      <c r="AD34" s="138"/>
      <c r="AE34" s="141"/>
      <c r="AF34" s="142"/>
      <c r="AG34" s="143"/>
      <c r="AH34" s="134"/>
      <c r="AI34" s="142"/>
      <c r="AJ34" s="134"/>
      <c r="AK34" s="144"/>
      <c r="AL34" s="145"/>
      <c r="AM34" s="143">
        <v>621166</v>
      </c>
      <c r="AN34" s="146"/>
      <c r="AO34" s="143"/>
      <c r="AP34" s="144">
        <v>0</v>
      </c>
      <c r="AQ34" s="143"/>
      <c r="AR34" s="144"/>
      <c r="AS34" s="144"/>
      <c r="AT34" s="143">
        <v>59234</v>
      </c>
      <c r="AU34" s="697"/>
      <c r="AV34" s="698"/>
      <c r="AW34" s="136"/>
      <c r="AX34" s="136"/>
      <c r="AY34" s="136">
        <v>152</v>
      </c>
    </row>
    <row r="35" spans="1:51" ht="15" customHeight="1" x14ac:dyDescent="0.2">
      <c r="A35" s="339">
        <v>29</v>
      </c>
      <c r="B35" s="133" t="s">
        <v>32</v>
      </c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310013</v>
      </c>
      <c r="S35" s="138">
        <v>34446</v>
      </c>
      <c r="T35" s="135"/>
      <c r="U35" s="135"/>
      <c r="V35" s="139"/>
      <c r="W35" s="138"/>
      <c r="X35" s="136"/>
      <c r="Y35" s="138"/>
      <c r="Z35" s="135"/>
      <c r="AA35" s="138"/>
      <c r="AB35" s="135"/>
      <c r="AC35" s="135"/>
      <c r="AD35" s="138"/>
      <c r="AE35" s="141"/>
      <c r="AF35" s="142"/>
      <c r="AG35" s="143"/>
      <c r="AH35" s="134"/>
      <c r="AI35" s="142"/>
      <c r="AJ35" s="134"/>
      <c r="AK35" s="144"/>
      <c r="AL35" s="145"/>
      <c r="AM35" s="143">
        <v>270569</v>
      </c>
      <c r="AN35" s="146"/>
      <c r="AO35" s="143"/>
      <c r="AP35" s="144">
        <v>0</v>
      </c>
      <c r="AQ35" s="143"/>
      <c r="AR35" s="144"/>
      <c r="AS35" s="144"/>
      <c r="AT35" s="143">
        <v>21449</v>
      </c>
      <c r="AU35" s="697"/>
      <c r="AV35" s="698"/>
      <c r="AW35" s="136"/>
      <c r="AX35" s="136"/>
      <c r="AY35" s="136">
        <v>-49</v>
      </c>
    </row>
    <row r="36" spans="1:51" ht="15" customHeight="1" x14ac:dyDescent="0.2">
      <c r="A36" s="344">
        <v>30</v>
      </c>
      <c r="B36" s="147" t="s">
        <v>33</v>
      </c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44692</v>
      </c>
      <c r="S36" s="152">
        <v>4966</v>
      </c>
      <c r="T36" s="149"/>
      <c r="U36" s="149"/>
      <c r="V36" s="153"/>
      <c r="W36" s="152"/>
      <c r="X36" s="150"/>
      <c r="Y36" s="152"/>
      <c r="Z36" s="149"/>
      <c r="AA36" s="152"/>
      <c r="AB36" s="155"/>
      <c r="AC36" s="149"/>
      <c r="AD36" s="156"/>
      <c r="AE36" s="156"/>
      <c r="AF36" s="157"/>
      <c r="AG36" s="158"/>
      <c r="AH36" s="148"/>
      <c r="AI36" s="157"/>
      <c r="AJ36" s="148"/>
      <c r="AK36" s="159"/>
      <c r="AL36" s="160"/>
      <c r="AM36" s="158">
        <v>54230</v>
      </c>
      <c r="AN36" s="161"/>
      <c r="AO36" s="158"/>
      <c r="AP36" s="159">
        <v>0</v>
      </c>
      <c r="AQ36" s="158"/>
      <c r="AR36" s="159"/>
      <c r="AS36" s="159"/>
      <c r="AT36" s="158">
        <v>5532</v>
      </c>
      <c r="AU36" s="699"/>
      <c r="AV36" s="700"/>
      <c r="AW36" s="150"/>
      <c r="AX36" s="150"/>
      <c r="AY36" s="150">
        <v>31</v>
      </c>
    </row>
    <row r="37" spans="1:51" ht="15" customHeight="1" x14ac:dyDescent="0.2">
      <c r="A37" s="334">
        <v>31</v>
      </c>
      <c r="B37" s="115" t="s">
        <v>34</v>
      </c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24684</v>
      </c>
      <c r="S37" s="120">
        <v>2743</v>
      </c>
      <c r="T37" s="117"/>
      <c r="U37" s="117"/>
      <c r="V37" s="121"/>
      <c r="W37" s="120"/>
      <c r="X37" s="118"/>
      <c r="Y37" s="120"/>
      <c r="Z37" s="117"/>
      <c r="AA37" s="120"/>
      <c r="AB37" s="117"/>
      <c r="AC37" s="117"/>
      <c r="AD37" s="120"/>
      <c r="AE37" s="122"/>
      <c r="AF37" s="123"/>
      <c r="AG37" s="124"/>
      <c r="AH37" s="116"/>
      <c r="AI37" s="123"/>
      <c r="AJ37" s="116"/>
      <c r="AK37" s="125"/>
      <c r="AL37" s="126"/>
      <c r="AM37" s="124">
        <v>72249</v>
      </c>
      <c r="AN37" s="127"/>
      <c r="AO37" s="124"/>
      <c r="AP37" s="125">
        <v>2844</v>
      </c>
      <c r="AQ37" s="124"/>
      <c r="AR37" s="125"/>
      <c r="AS37" s="125"/>
      <c r="AT37" s="124">
        <v>10400</v>
      </c>
      <c r="AU37" s="695"/>
      <c r="AV37" s="696"/>
      <c r="AW37" s="118"/>
      <c r="AX37" s="118"/>
      <c r="AY37" s="118">
        <v>112</v>
      </c>
    </row>
    <row r="38" spans="1:51" ht="15" customHeight="1" x14ac:dyDescent="0.2">
      <c r="A38" s="339">
        <v>32</v>
      </c>
      <c r="B38" s="133" t="s">
        <v>35</v>
      </c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1476972</v>
      </c>
      <c r="S38" s="138">
        <v>164108</v>
      </c>
      <c r="T38" s="135"/>
      <c r="U38" s="135"/>
      <c r="V38" s="139"/>
      <c r="W38" s="138"/>
      <c r="X38" s="136"/>
      <c r="Y38" s="138"/>
      <c r="Z38" s="135"/>
      <c r="AA38" s="138"/>
      <c r="AB38" s="135"/>
      <c r="AC38" s="135"/>
      <c r="AD38" s="138"/>
      <c r="AE38" s="141"/>
      <c r="AF38" s="142"/>
      <c r="AG38" s="143"/>
      <c r="AH38" s="134"/>
      <c r="AI38" s="142"/>
      <c r="AJ38" s="134"/>
      <c r="AK38" s="144"/>
      <c r="AL38" s="145"/>
      <c r="AM38" s="143">
        <v>743590</v>
      </c>
      <c r="AN38" s="146"/>
      <c r="AO38" s="143"/>
      <c r="AP38" s="144">
        <v>1202</v>
      </c>
      <c r="AQ38" s="143"/>
      <c r="AR38" s="144"/>
      <c r="AS38" s="144"/>
      <c r="AT38" s="143">
        <v>74319</v>
      </c>
      <c r="AU38" s="697"/>
      <c r="AV38" s="698"/>
      <c r="AW38" s="136"/>
      <c r="AX38" s="136"/>
      <c r="AY38" s="136">
        <v>322</v>
      </c>
    </row>
    <row r="39" spans="1:51" ht="15" customHeight="1" x14ac:dyDescent="0.2">
      <c r="A39" s="339">
        <v>33</v>
      </c>
      <c r="B39" s="133" t="s">
        <v>36</v>
      </c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1708797</v>
      </c>
      <c r="S39" s="138">
        <v>189866</v>
      </c>
      <c r="T39" s="135"/>
      <c r="U39" s="135"/>
      <c r="V39" s="139"/>
      <c r="W39" s="138"/>
      <c r="X39" s="136"/>
      <c r="Y39" s="138"/>
      <c r="Z39" s="135"/>
      <c r="AA39" s="138"/>
      <c r="AB39" s="135"/>
      <c r="AC39" s="135"/>
      <c r="AD39" s="138"/>
      <c r="AE39" s="141"/>
      <c r="AF39" s="142"/>
      <c r="AG39" s="143"/>
      <c r="AH39" s="134"/>
      <c r="AI39" s="142"/>
      <c r="AJ39" s="134"/>
      <c r="AK39" s="144"/>
      <c r="AL39" s="145"/>
      <c r="AM39" s="143">
        <v>1090807</v>
      </c>
      <c r="AN39" s="146"/>
      <c r="AO39" s="143"/>
      <c r="AP39" s="144">
        <v>-1688</v>
      </c>
      <c r="AQ39" s="143"/>
      <c r="AR39" s="144"/>
      <c r="AS39" s="144"/>
      <c r="AT39" s="143">
        <v>64659</v>
      </c>
      <c r="AU39" s="697"/>
      <c r="AV39" s="698"/>
      <c r="AW39" s="136"/>
      <c r="AX39" s="136"/>
      <c r="AY39" s="136">
        <v>-377</v>
      </c>
    </row>
    <row r="40" spans="1:51" ht="15" customHeight="1" x14ac:dyDescent="0.2">
      <c r="A40" s="339">
        <v>34</v>
      </c>
      <c r="B40" s="133" t="s">
        <v>37</v>
      </c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138848</v>
      </c>
      <c r="S40" s="138">
        <v>15428</v>
      </c>
      <c r="T40" s="135"/>
      <c r="U40" s="135"/>
      <c r="V40" s="139"/>
      <c r="W40" s="138"/>
      <c r="X40" s="136"/>
      <c r="Y40" s="138"/>
      <c r="Z40" s="135"/>
      <c r="AA40" s="138"/>
      <c r="AB40" s="135"/>
      <c r="AC40" s="135"/>
      <c r="AD40" s="138"/>
      <c r="AE40" s="141"/>
      <c r="AF40" s="142"/>
      <c r="AG40" s="143"/>
      <c r="AH40" s="134"/>
      <c r="AI40" s="142"/>
      <c r="AJ40" s="134"/>
      <c r="AK40" s="144"/>
      <c r="AL40" s="145"/>
      <c r="AM40" s="143">
        <v>88127</v>
      </c>
      <c r="AN40" s="146"/>
      <c r="AO40" s="143"/>
      <c r="AP40" s="144">
        <v>-1376</v>
      </c>
      <c r="AQ40" s="143"/>
      <c r="AR40" s="144"/>
      <c r="AS40" s="144"/>
      <c r="AT40" s="143">
        <v>9244</v>
      </c>
      <c r="AU40" s="697"/>
      <c r="AV40" s="698"/>
      <c r="AW40" s="136"/>
      <c r="AX40" s="136"/>
      <c r="AY40" s="136">
        <v>57</v>
      </c>
    </row>
    <row r="41" spans="1:51" ht="15" customHeight="1" x14ac:dyDescent="0.2">
      <c r="A41" s="344">
        <v>35</v>
      </c>
      <c r="B41" s="147" t="s">
        <v>38</v>
      </c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59207</v>
      </c>
      <c r="S41" s="152">
        <v>6579</v>
      </c>
      <c r="T41" s="149"/>
      <c r="U41" s="149"/>
      <c r="V41" s="153"/>
      <c r="W41" s="152"/>
      <c r="X41" s="150"/>
      <c r="Y41" s="152"/>
      <c r="Z41" s="149"/>
      <c r="AA41" s="152"/>
      <c r="AB41" s="155"/>
      <c r="AC41" s="149"/>
      <c r="AD41" s="156"/>
      <c r="AE41" s="156"/>
      <c r="AF41" s="157"/>
      <c r="AG41" s="158"/>
      <c r="AH41" s="148"/>
      <c r="AI41" s="157"/>
      <c r="AJ41" s="148"/>
      <c r="AK41" s="159"/>
      <c r="AL41" s="160"/>
      <c r="AM41" s="158">
        <v>39901</v>
      </c>
      <c r="AN41" s="161"/>
      <c r="AO41" s="158"/>
      <c r="AP41" s="159">
        <v>0</v>
      </c>
      <c r="AQ41" s="158"/>
      <c r="AR41" s="159"/>
      <c r="AS41" s="159"/>
      <c r="AT41" s="158">
        <v>3735</v>
      </c>
      <c r="AU41" s="699"/>
      <c r="AV41" s="700"/>
      <c r="AW41" s="150"/>
      <c r="AX41" s="150"/>
      <c r="AY41" s="150">
        <v>13</v>
      </c>
    </row>
    <row r="42" spans="1:51" ht="15" customHeight="1" x14ac:dyDescent="0.2">
      <c r="A42" s="334">
        <v>36</v>
      </c>
      <c r="B42" s="115" t="s">
        <v>39</v>
      </c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229693</v>
      </c>
      <c r="S42" s="120">
        <v>25521</v>
      </c>
      <c r="T42" s="117"/>
      <c r="U42" s="117"/>
      <c r="V42" s="121"/>
      <c r="W42" s="120"/>
      <c r="X42" s="118"/>
      <c r="Y42" s="120"/>
      <c r="Z42" s="117"/>
      <c r="AA42" s="120"/>
      <c r="AB42" s="117"/>
      <c r="AC42" s="117"/>
      <c r="AD42" s="120"/>
      <c r="AE42" s="122"/>
      <c r="AF42" s="123"/>
      <c r="AG42" s="124"/>
      <c r="AH42" s="116"/>
      <c r="AI42" s="123"/>
      <c r="AJ42" s="116"/>
      <c r="AK42" s="125"/>
      <c r="AL42" s="126"/>
      <c r="AM42" s="124">
        <v>442262</v>
      </c>
      <c r="AN42" s="127"/>
      <c r="AO42" s="124"/>
      <c r="AP42" s="125">
        <v>-5766</v>
      </c>
      <c r="AQ42" s="124"/>
      <c r="AR42" s="125"/>
      <c r="AS42" s="125"/>
      <c r="AT42" s="124">
        <v>46344</v>
      </c>
      <c r="AU42" s="695"/>
      <c r="AV42" s="696"/>
      <c r="AW42" s="118"/>
      <c r="AX42" s="118"/>
      <c r="AY42" s="118">
        <v>209</v>
      </c>
    </row>
    <row r="43" spans="1:51" ht="15" customHeight="1" x14ac:dyDescent="0.2">
      <c r="A43" s="339">
        <v>37</v>
      </c>
      <c r="B43" s="133" t="s">
        <v>40</v>
      </c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366293</v>
      </c>
      <c r="S43" s="138">
        <v>40699</v>
      </c>
      <c r="T43" s="135"/>
      <c r="U43" s="135"/>
      <c r="V43" s="139"/>
      <c r="W43" s="138"/>
      <c r="X43" s="136"/>
      <c r="Y43" s="138"/>
      <c r="Z43" s="135"/>
      <c r="AA43" s="138"/>
      <c r="AB43" s="135"/>
      <c r="AC43" s="135"/>
      <c r="AD43" s="138"/>
      <c r="AE43" s="141"/>
      <c r="AF43" s="142"/>
      <c r="AG43" s="143"/>
      <c r="AH43" s="134"/>
      <c r="AI43" s="142"/>
      <c r="AJ43" s="134"/>
      <c r="AK43" s="144"/>
      <c r="AL43" s="145"/>
      <c r="AM43" s="143">
        <v>326441</v>
      </c>
      <c r="AN43" s="146"/>
      <c r="AO43" s="143"/>
      <c r="AP43" s="144">
        <v>0</v>
      </c>
      <c r="AQ43" s="143"/>
      <c r="AR43" s="144"/>
      <c r="AS43" s="144"/>
      <c r="AT43" s="143">
        <v>38084</v>
      </c>
      <c r="AU43" s="697"/>
      <c r="AV43" s="698"/>
      <c r="AW43" s="136"/>
      <c r="AX43" s="136"/>
      <c r="AY43" s="136">
        <v>281</v>
      </c>
    </row>
    <row r="44" spans="1:51" ht="15" customHeight="1" x14ac:dyDescent="0.2">
      <c r="A44" s="339">
        <v>38</v>
      </c>
      <c r="B44" s="133" t="s">
        <v>41</v>
      </c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29851</v>
      </c>
      <c r="S44" s="138">
        <v>3317</v>
      </c>
      <c r="T44" s="135"/>
      <c r="U44" s="135"/>
      <c r="V44" s="139"/>
      <c r="W44" s="138"/>
      <c r="X44" s="136"/>
      <c r="Y44" s="138"/>
      <c r="Z44" s="135"/>
      <c r="AA44" s="138"/>
      <c r="AB44" s="135"/>
      <c r="AC44" s="135"/>
      <c r="AD44" s="138"/>
      <c r="AE44" s="141"/>
      <c r="AF44" s="142"/>
      <c r="AG44" s="143"/>
      <c r="AH44" s="134"/>
      <c r="AI44" s="142"/>
      <c r="AJ44" s="134"/>
      <c r="AK44" s="144"/>
      <c r="AL44" s="145"/>
      <c r="AM44" s="143">
        <v>144281</v>
      </c>
      <c r="AN44" s="146"/>
      <c r="AO44" s="143"/>
      <c r="AP44" s="144">
        <v>0</v>
      </c>
      <c r="AQ44" s="143"/>
      <c r="AR44" s="144"/>
      <c r="AS44" s="144"/>
      <c r="AT44" s="143">
        <v>14417</v>
      </c>
      <c r="AU44" s="697"/>
      <c r="AV44" s="698"/>
      <c r="AW44" s="136"/>
      <c r="AX44" s="136"/>
      <c r="AY44" s="136">
        <v>86</v>
      </c>
    </row>
    <row r="45" spans="1:51" ht="15" customHeight="1" x14ac:dyDescent="0.2">
      <c r="A45" s="339">
        <v>39</v>
      </c>
      <c r="B45" s="133" t="s">
        <v>42</v>
      </c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47748</v>
      </c>
      <c r="S45" s="138">
        <v>5305</v>
      </c>
      <c r="T45" s="135"/>
      <c r="U45" s="135"/>
      <c r="V45" s="139"/>
      <c r="W45" s="138"/>
      <c r="X45" s="136"/>
      <c r="Y45" s="138"/>
      <c r="Z45" s="135"/>
      <c r="AA45" s="138"/>
      <c r="AB45" s="135"/>
      <c r="AC45" s="135"/>
      <c r="AD45" s="138"/>
      <c r="AE45" s="141"/>
      <c r="AF45" s="142"/>
      <c r="AG45" s="143"/>
      <c r="AH45" s="134"/>
      <c r="AI45" s="142"/>
      <c r="AJ45" s="134"/>
      <c r="AK45" s="144"/>
      <c r="AL45" s="145"/>
      <c r="AM45" s="143">
        <v>108372</v>
      </c>
      <c r="AN45" s="146"/>
      <c r="AO45" s="143"/>
      <c r="AP45" s="144">
        <v>0</v>
      </c>
      <c r="AQ45" s="143"/>
      <c r="AR45" s="144"/>
      <c r="AS45" s="144"/>
      <c r="AT45" s="143">
        <v>11835</v>
      </c>
      <c r="AU45" s="697"/>
      <c r="AV45" s="698"/>
      <c r="AW45" s="136"/>
      <c r="AX45" s="136"/>
      <c r="AY45" s="136">
        <v>98</v>
      </c>
    </row>
    <row r="46" spans="1:51" ht="15" customHeight="1" x14ac:dyDescent="0.2">
      <c r="A46" s="344">
        <v>40</v>
      </c>
      <c r="B46" s="147" t="s">
        <v>43</v>
      </c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457312</v>
      </c>
      <c r="S46" s="152">
        <v>50812</v>
      </c>
      <c r="T46" s="149"/>
      <c r="U46" s="149"/>
      <c r="V46" s="153"/>
      <c r="W46" s="152"/>
      <c r="X46" s="150"/>
      <c r="Y46" s="152"/>
      <c r="Z46" s="149"/>
      <c r="AA46" s="152"/>
      <c r="AB46" s="155"/>
      <c r="AC46" s="149"/>
      <c r="AD46" s="156"/>
      <c r="AE46" s="156"/>
      <c r="AF46" s="157"/>
      <c r="AG46" s="158"/>
      <c r="AH46" s="148"/>
      <c r="AI46" s="157"/>
      <c r="AJ46" s="148"/>
      <c r="AK46" s="159"/>
      <c r="AL46" s="160"/>
      <c r="AM46" s="158">
        <v>283916</v>
      </c>
      <c r="AN46" s="161"/>
      <c r="AO46" s="158"/>
      <c r="AP46" s="159">
        <v>0</v>
      </c>
      <c r="AQ46" s="158"/>
      <c r="AR46" s="159"/>
      <c r="AS46" s="159"/>
      <c r="AT46" s="158">
        <v>24092</v>
      </c>
      <c r="AU46" s="699"/>
      <c r="AV46" s="700"/>
      <c r="AW46" s="150"/>
      <c r="AX46" s="150"/>
      <c r="AY46" s="150">
        <v>34</v>
      </c>
    </row>
    <row r="47" spans="1:51" ht="15" customHeight="1" x14ac:dyDescent="0.2">
      <c r="A47" s="334">
        <v>41</v>
      </c>
      <c r="B47" s="115" t="s">
        <v>44</v>
      </c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7860</v>
      </c>
      <c r="S47" s="120">
        <v>873</v>
      </c>
      <c r="T47" s="117"/>
      <c r="U47" s="117"/>
      <c r="V47" s="121"/>
      <c r="W47" s="120"/>
      <c r="X47" s="118"/>
      <c r="Y47" s="120"/>
      <c r="Z47" s="117"/>
      <c r="AA47" s="120"/>
      <c r="AB47" s="117"/>
      <c r="AC47" s="117"/>
      <c r="AD47" s="120"/>
      <c r="AE47" s="122"/>
      <c r="AF47" s="123"/>
      <c r="AG47" s="124"/>
      <c r="AH47" s="116"/>
      <c r="AI47" s="123"/>
      <c r="AJ47" s="116"/>
      <c r="AK47" s="125"/>
      <c r="AL47" s="126"/>
      <c r="AM47" s="124">
        <v>29423</v>
      </c>
      <c r="AN47" s="127"/>
      <c r="AO47" s="124"/>
      <c r="AP47" s="125">
        <v>0</v>
      </c>
      <c r="AQ47" s="124"/>
      <c r="AR47" s="125"/>
      <c r="AS47" s="125"/>
      <c r="AT47" s="124">
        <v>1630</v>
      </c>
      <c r="AU47" s="695"/>
      <c r="AV47" s="696"/>
      <c r="AW47" s="118"/>
      <c r="AX47" s="118"/>
      <c r="AY47" s="118">
        <v>-9</v>
      </c>
    </row>
    <row r="48" spans="1:51" ht="15" customHeight="1" x14ac:dyDescent="0.2">
      <c r="A48" s="339">
        <v>42</v>
      </c>
      <c r="B48" s="133" t="s">
        <v>45</v>
      </c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87860</v>
      </c>
      <c r="S48" s="138">
        <v>9762</v>
      </c>
      <c r="T48" s="135"/>
      <c r="U48" s="135"/>
      <c r="V48" s="139"/>
      <c r="W48" s="138"/>
      <c r="X48" s="136"/>
      <c r="Y48" s="138"/>
      <c r="Z48" s="135"/>
      <c r="AA48" s="138"/>
      <c r="AB48" s="135"/>
      <c r="AC48" s="135"/>
      <c r="AD48" s="138"/>
      <c r="AE48" s="141"/>
      <c r="AF48" s="142"/>
      <c r="AG48" s="143"/>
      <c r="AH48" s="134"/>
      <c r="AI48" s="142"/>
      <c r="AJ48" s="134"/>
      <c r="AK48" s="144"/>
      <c r="AL48" s="145"/>
      <c r="AM48" s="143">
        <v>73033</v>
      </c>
      <c r="AN48" s="146"/>
      <c r="AO48" s="143"/>
      <c r="AP48" s="144">
        <v>0</v>
      </c>
      <c r="AQ48" s="143"/>
      <c r="AR48" s="144"/>
      <c r="AS48" s="144"/>
      <c r="AT48" s="143">
        <v>6594</v>
      </c>
      <c r="AU48" s="697"/>
      <c r="AV48" s="698"/>
      <c r="AW48" s="136"/>
      <c r="AX48" s="136"/>
      <c r="AY48" s="136">
        <v>11</v>
      </c>
    </row>
    <row r="49" spans="1:51" ht="15" customHeight="1" x14ac:dyDescent="0.2">
      <c r="A49" s="339">
        <v>43</v>
      </c>
      <c r="B49" s="133" t="s">
        <v>46</v>
      </c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52591</v>
      </c>
      <c r="S49" s="138">
        <v>5843</v>
      </c>
      <c r="T49" s="135"/>
      <c r="U49" s="135"/>
      <c r="V49" s="139"/>
      <c r="W49" s="138"/>
      <c r="X49" s="136"/>
      <c r="Y49" s="138"/>
      <c r="Z49" s="135"/>
      <c r="AA49" s="138"/>
      <c r="AB49" s="135"/>
      <c r="AC49" s="135"/>
      <c r="AD49" s="138"/>
      <c r="AE49" s="141"/>
      <c r="AF49" s="142"/>
      <c r="AG49" s="143"/>
      <c r="AH49" s="134"/>
      <c r="AI49" s="142"/>
      <c r="AJ49" s="134"/>
      <c r="AK49" s="144"/>
      <c r="AL49" s="145"/>
      <c r="AM49" s="143">
        <v>46645</v>
      </c>
      <c r="AN49" s="146"/>
      <c r="AO49" s="143"/>
      <c r="AP49" s="144">
        <v>3453</v>
      </c>
      <c r="AQ49" s="143"/>
      <c r="AR49" s="144"/>
      <c r="AS49" s="144"/>
      <c r="AT49" s="143">
        <v>5051</v>
      </c>
      <c r="AU49" s="697"/>
      <c r="AV49" s="698"/>
      <c r="AW49" s="136"/>
      <c r="AX49" s="136"/>
      <c r="AY49" s="136">
        <v>21</v>
      </c>
    </row>
    <row r="50" spans="1:51" ht="15" customHeight="1" x14ac:dyDescent="0.2">
      <c r="A50" s="339">
        <v>44</v>
      </c>
      <c r="B50" s="133" t="s">
        <v>47</v>
      </c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76268</v>
      </c>
      <c r="S50" s="138">
        <v>8474</v>
      </c>
      <c r="T50" s="135"/>
      <c r="U50" s="135"/>
      <c r="V50" s="139"/>
      <c r="W50" s="138"/>
      <c r="X50" s="136"/>
      <c r="Y50" s="138"/>
      <c r="Z50" s="135"/>
      <c r="AA50" s="138"/>
      <c r="AB50" s="135"/>
      <c r="AC50" s="135"/>
      <c r="AD50" s="138"/>
      <c r="AE50" s="141"/>
      <c r="AF50" s="142"/>
      <c r="AG50" s="143"/>
      <c r="AH50" s="134"/>
      <c r="AI50" s="142"/>
      <c r="AJ50" s="134"/>
      <c r="AK50" s="144"/>
      <c r="AL50" s="145"/>
      <c r="AM50" s="143">
        <v>24956</v>
      </c>
      <c r="AN50" s="146"/>
      <c r="AO50" s="143"/>
      <c r="AP50" s="144">
        <v>0</v>
      </c>
      <c r="AQ50" s="143"/>
      <c r="AR50" s="144"/>
      <c r="AS50" s="144"/>
      <c r="AT50" s="143">
        <v>-244</v>
      </c>
      <c r="AU50" s="697"/>
      <c r="AV50" s="698"/>
      <c r="AW50" s="136"/>
      <c r="AX50" s="136"/>
      <c r="AY50" s="136">
        <v>-75</v>
      </c>
    </row>
    <row r="51" spans="1:51" ht="15" customHeight="1" x14ac:dyDescent="0.2">
      <c r="A51" s="344">
        <v>45</v>
      </c>
      <c r="B51" s="147" t="s">
        <v>48</v>
      </c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22379</v>
      </c>
      <c r="S51" s="152">
        <v>2487</v>
      </c>
      <c r="T51" s="149"/>
      <c r="U51" s="149"/>
      <c r="V51" s="153"/>
      <c r="W51" s="152"/>
      <c r="X51" s="150"/>
      <c r="Y51" s="152"/>
      <c r="Z51" s="149"/>
      <c r="AA51" s="152"/>
      <c r="AB51" s="155"/>
      <c r="AC51" s="149"/>
      <c r="AD51" s="156"/>
      <c r="AE51" s="156"/>
      <c r="AF51" s="157"/>
      <c r="AG51" s="158"/>
      <c r="AH51" s="148"/>
      <c r="AI51" s="157"/>
      <c r="AJ51" s="148"/>
      <c r="AK51" s="159"/>
      <c r="AL51" s="160"/>
      <c r="AM51" s="158">
        <v>175617</v>
      </c>
      <c r="AN51" s="161"/>
      <c r="AO51" s="158"/>
      <c r="AP51" s="159">
        <v>0</v>
      </c>
      <c r="AQ51" s="158"/>
      <c r="AR51" s="159"/>
      <c r="AS51" s="159"/>
      <c r="AT51" s="158">
        <v>22421</v>
      </c>
      <c r="AU51" s="699"/>
      <c r="AV51" s="700"/>
      <c r="AW51" s="150"/>
      <c r="AX51" s="150"/>
      <c r="AY51" s="150">
        <v>168</v>
      </c>
    </row>
    <row r="52" spans="1:51" ht="15" customHeight="1" x14ac:dyDescent="0.2">
      <c r="A52" s="334">
        <v>46</v>
      </c>
      <c r="B52" s="115" t="s">
        <v>49</v>
      </c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60759</v>
      </c>
      <c r="S52" s="120">
        <v>6751</v>
      </c>
      <c r="T52" s="117"/>
      <c r="U52" s="117"/>
      <c r="V52" s="121"/>
      <c r="W52" s="120"/>
      <c r="X52" s="118"/>
      <c r="Y52" s="120"/>
      <c r="Z52" s="117"/>
      <c r="AA52" s="120"/>
      <c r="AB52" s="117"/>
      <c r="AC52" s="117"/>
      <c r="AD52" s="120"/>
      <c r="AE52" s="122"/>
      <c r="AF52" s="123"/>
      <c r="AG52" s="124"/>
      <c r="AH52" s="116"/>
      <c r="AI52" s="123"/>
      <c r="AJ52" s="116"/>
      <c r="AK52" s="125"/>
      <c r="AL52" s="126"/>
      <c r="AM52" s="124">
        <v>29389</v>
      </c>
      <c r="AN52" s="127"/>
      <c r="AO52" s="124"/>
      <c r="AP52" s="125">
        <v>0</v>
      </c>
      <c r="AQ52" s="124"/>
      <c r="AR52" s="125"/>
      <c r="AS52" s="125"/>
      <c r="AT52" s="124">
        <v>2993</v>
      </c>
      <c r="AU52" s="695"/>
      <c r="AV52" s="696"/>
      <c r="AW52" s="118"/>
      <c r="AX52" s="118"/>
      <c r="AY52" s="118">
        <v>20</v>
      </c>
    </row>
    <row r="53" spans="1:51" ht="15" customHeight="1" x14ac:dyDescent="0.2">
      <c r="A53" s="339">
        <v>47</v>
      </c>
      <c r="B53" s="133" t="s">
        <v>50</v>
      </c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12277</v>
      </c>
      <c r="S53" s="138">
        <v>1364</v>
      </c>
      <c r="T53" s="135"/>
      <c r="U53" s="135"/>
      <c r="V53" s="139"/>
      <c r="W53" s="138"/>
      <c r="X53" s="136"/>
      <c r="Y53" s="138"/>
      <c r="Z53" s="135"/>
      <c r="AA53" s="138"/>
      <c r="AB53" s="135"/>
      <c r="AC53" s="135"/>
      <c r="AD53" s="138"/>
      <c r="AE53" s="141"/>
      <c r="AF53" s="142"/>
      <c r="AG53" s="143"/>
      <c r="AH53" s="134"/>
      <c r="AI53" s="142"/>
      <c r="AJ53" s="134"/>
      <c r="AK53" s="144"/>
      <c r="AL53" s="145"/>
      <c r="AM53" s="143">
        <v>100347</v>
      </c>
      <c r="AN53" s="146"/>
      <c r="AO53" s="143"/>
      <c r="AP53" s="144">
        <v>0</v>
      </c>
      <c r="AQ53" s="143"/>
      <c r="AR53" s="144"/>
      <c r="AS53" s="144"/>
      <c r="AT53" s="143">
        <v>11907</v>
      </c>
      <c r="AU53" s="697"/>
      <c r="AV53" s="698"/>
      <c r="AW53" s="136"/>
      <c r="AX53" s="136"/>
      <c r="AY53" s="136">
        <v>107</v>
      </c>
    </row>
    <row r="54" spans="1:51" ht="15" customHeight="1" x14ac:dyDescent="0.2">
      <c r="A54" s="339">
        <v>48</v>
      </c>
      <c r="B54" s="133" t="s">
        <v>73</v>
      </c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169529</v>
      </c>
      <c r="S54" s="138">
        <v>18837</v>
      </c>
      <c r="T54" s="135"/>
      <c r="U54" s="135"/>
      <c r="V54" s="139"/>
      <c r="W54" s="138"/>
      <c r="X54" s="136"/>
      <c r="Y54" s="138"/>
      <c r="Z54" s="135"/>
      <c r="AA54" s="138"/>
      <c r="AB54" s="135"/>
      <c r="AC54" s="135"/>
      <c r="AD54" s="138"/>
      <c r="AE54" s="141"/>
      <c r="AF54" s="142"/>
      <c r="AG54" s="143"/>
      <c r="AH54" s="134"/>
      <c r="AI54" s="142"/>
      <c r="AJ54" s="134"/>
      <c r="AK54" s="144"/>
      <c r="AL54" s="145"/>
      <c r="AM54" s="143">
        <v>410389</v>
      </c>
      <c r="AN54" s="146"/>
      <c r="AO54" s="143"/>
      <c r="AP54" s="144">
        <v>0</v>
      </c>
      <c r="AQ54" s="143"/>
      <c r="AR54" s="144"/>
      <c r="AS54" s="144"/>
      <c r="AT54" s="143">
        <v>55822</v>
      </c>
      <c r="AU54" s="697"/>
      <c r="AV54" s="698"/>
      <c r="AW54" s="136"/>
      <c r="AX54" s="136"/>
      <c r="AY54" s="136">
        <v>424</v>
      </c>
    </row>
    <row r="55" spans="1:51" ht="15" customHeight="1" x14ac:dyDescent="0.2">
      <c r="A55" s="339">
        <v>49</v>
      </c>
      <c r="B55" s="133" t="s">
        <v>51</v>
      </c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310133</v>
      </c>
      <c r="S55" s="138">
        <v>34459</v>
      </c>
      <c r="T55" s="135"/>
      <c r="U55" s="135"/>
      <c r="V55" s="139"/>
      <c r="W55" s="138"/>
      <c r="X55" s="136"/>
      <c r="Y55" s="138"/>
      <c r="Z55" s="135"/>
      <c r="AA55" s="138"/>
      <c r="AB55" s="135"/>
      <c r="AC55" s="135"/>
      <c r="AD55" s="138"/>
      <c r="AE55" s="141"/>
      <c r="AF55" s="142"/>
      <c r="AG55" s="143"/>
      <c r="AH55" s="134"/>
      <c r="AI55" s="142"/>
      <c r="AJ55" s="134"/>
      <c r="AK55" s="144"/>
      <c r="AL55" s="145"/>
      <c r="AM55" s="143">
        <v>217116</v>
      </c>
      <c r="AN55" s="146"/>
      <c r="AO55" s="143"/>
      <c r="AP55" s="144">
        <v>-2444</v>
      </c>
      <c r="AQ55" s="143"/>
      <c r="AR55" s="144"/>
      <c r="AS55" s="144"/>
      <c r="AT55" s="143">
        <v>23648</v>
      </c>
      <c r="AU55" s="697"/>
      <c r="AV55" s="698"/>
      <c r="AW55" s="136"/>
      <c r="AX55" s="136"/>
      <c r="AY55" s="136">
        <v>151</v>
      </c>
    </row>
    <row r="56" spans="1:51" ht="15" customHeight="1" x14ac:dyDescent="0.2">
      <c r="A56" s="344">
        <v>50</v>
      </c>
      <c r="B56" s="147" t="s">
        <v>52</v>
      </c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56216</v>
      </c>
      <c r="S56" s="152">
        <v>6246</v>
      </c>
      <c r="T56" s="149"/>
      <c r="U56" s="149"/>
      <c r="V56" s="153"/>
      <c r="W56" s="152"/>
      <c r="X56" s="150"/>
      <c r="Y56" s="152"/>
      <c r="Z56" s="149"/>
      <c r="AA56" s="152"/>
      <c r="AB56" s="155"/>
      <c r="AC56" s="149"/>
      <c r="AD56" s="156"/>
      <c r="AE56" s="156"/>
      <c r="AF56" s="157"/>
      <c r="AG56" s="158"/>
      <c r="AH56" s="148"/>
      <c r="AI56" s="157"/>
      <c r="AJ56" s="148"/>
      <c r="AK56" s="159"/>
      <c r="AL56" s="160"/>
      <c r="AM56" s="158">
        <v>65886</v>
      </c>
      <c r="AN56" s="161"/>
      <c r="AO56" s="158"/>
      <c r="AP56" s="159">
        <v>0</v>
      </c>
      <c r="AQ56" s="158"/>
      <c r="AR56" s="159"/>
      <c r="AS56" s="159"/>
      <c r="AT56" s="158">
        <v>7245</v>
      </c>
      <c r="AU56" s="699"/>
      <c r="AV56" s="700"/>
      <c r="AW56" s="150"/>
      <c r="AX56" s="150"/>
      <c r="AY56" s="150">
        <v>62</v>
      </c>
    </row>
    <row r="57" spans="1:51" ht="15" customHeight="1" x14ac:dyDescent="0.2">
      <c r="A57" s="334">
        <v>51</v>
      </c>
      <c r="B57" s="115" t="s">
        <v>53</v>
      </c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110962</v>
      </c>
      <c r="S57" s="120">
        <v>12329</v>
      </c>
      <c r="T57" s="117"/>
      <c r="U57" s="117"/>
      <c r="V57" s="121"/>
      <c r="W57" s="120"/>
      <c r="X57" s="118"/>
      <c r="Y57" s="120"/>
      <c r="Z57" s="117"/>
      <c r="AA57" s="120"/>
      <c r="AB57" s="117"/>
      <c r="AC57" s="117"/>
      <c r="AD57" s="120"/>
      <c r="AE57" s="122"/>
      <c r="AF57" s="123"/>
      <c r="AG57" s="124"/>
      <c r="AH57" s="116"/>
      <c r="AI57" s="123"/>
      <c r="AJ57" s="116"/>
      <c r="AK57" s="125"/>
      <c r="AL57" s="126"/>
      <c r="AM57" s="124">
        <v>92761</v>
      </c>
      <c r="AN57" s="127"/>
      <c r="AO57" s="124"/>
      <c r="AP57" s="125">
        <v>-3812</v>
      </c>
      <c r="AQ57" s="124"/>
      <c r="AR57" s="125"/>
      <c r="AS57" s="125"/>
      <c r="AT57" s="124">
        <v>8510</v>
      </c>
      <c r="AU57" s="695"/>
      <c r="AV57" s="696"/>
      <c r="AW57" s="118"/>
      <c r="AX57" s="118"/>
      <c r="AY57" s="118">
        <v>23</v>
      </c>
    </row>
    <row r="58" spans="1:51" ht="15" customHeight="1" x14ac:dyDescent="0.2">
      <c r="A58" s="339">
        <v>52</v>
      </c>
      <c r="B58" s="133" t="s">
        <v>54</v>
      </c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1561790</v>
      </c>
      <c r="S58" s="138">
        <v>173532</v>
      </c>
      <c r="T58" s="135"/>
      <c r="U58" s="135"/>
      <c r="V58" s="139"/>
      <c r="W58" s="138"/>
      <c r="X58" s="136"/>
      <c r="Y58" s="138"/>
      <c r="Z58" s="135"/>
      <c r="AA58" s="138"/>
      <c r="AB58" s="135"/>
      <c r="AC58" s="135"/>
      <c r="AD58" s="138"/>
      <c r="AE58" s="141"/>
      <c r="AF58" s="142"/>
      <c r="AG58" s="143"/>
      <c r="AH58" s="134"/>
      <c r="AI58" s="142"/>
      <c r="AJ58" s="134"/>
      <c r="AK58" s="144"/>
      <c r="AL58" s="145"/>
      <c r="AM58" s="143">
        <v>2135873</v>
      </c>
      <c r="AN58" s="146"/>
      <c r="AO58" s="143"/>
      <c r="AP58" s="144">
        <v>-2683</v>
      </c>
      <c r="AQ58" s="143"/>
      <c r="AR58" s="144"/>
      <c r="AS58" s="144"/>
      <c r="AT58" s="143">
        <v>209292</v>
      </c>
      <c r="AU58" s="697"/>
      <c r="AV58" s="698"/>
      <c r="AW58" s="136"/>
      <c r="AX58" s="136"/>
      <c r="AY58" s="136">
        <v>1057</v>
      </c>
    </row>
    <row r="59" spans="1:51" ht="15" customHeight="1" x14ac:dyDescent="0.2">
      <c r="A59" s="339">
        <v>53</v>
      </c>
      <c r="B59" s="133" t="s">
        <v>55</v>
      </c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1083854</v>
      </c>
      <c r="S59" s="138">
        <v>120428</v>
      </c>
      <c r="T59" s="135"/>
      <c r="U59" s="135"/>
      <c r="V59" s="139"/>
      <c r="W59" s="138"/>
      <c r="X59" s="136"/>
      <c r="Y59" s="138"/>
      <c r="Z59" s="135"/>
      <c r="AA59" s="138"/>
      <c r="AB59" s="135"/>
      <c r="AC59" s="135"/>
      <c r="AD59" s="138"/>
      <c r="AE59" s="141"/>
      <c r="AF59" s="142"/>
      <c r="AG59" s="143"/>
      <c r="AH59" s="134"/>
      <c r="AI59" s="142"/>
      <c r="AJ59" s="134"/>
      <c r="AK59" s="144"/>
      <c r="AL59" s="145"/>
      <c r="AM59" s="143">
        <v>586514</v>
      </c>
      <c r="AN59" s="146"/>
      <c r="AO59" s="143"/>
      <c r="AP59" s="144">
        <v>0</v>
      </c>
      <c r="AQ59" s="143"/>
      <c r="AR59" s="144"/>
      <c r="AS59" s="144"/>
      <c r="AT59" s="143">
        <v>55853</v>
      </c>
      <c r="AU59" s="697"/>
      <c r="AV59" s="698"/>
      <c r="AW59" s="136"/>
      <c r="AX59" s="136"/>
      <c r="AY59" s="136">
        <v>223</v>
      </c>
    </row>
    <row r="60" spans="1:51" ht="15" customHeight="1" x14ac:dyDescent="0.2">
      <c r="A60" s="339">
        <v>54</v>
      </c>
      <c r="B60" s="133" t="s">
        <v>56</v>
      </c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39890</v>
      </c>
      <c r="S60" s="138">
        <v>4432</v>
      </c>
      <c r="T60" s="135"/>
      <c r="U60" s="135"/>
      <c r="V60" s="139"/>
      <c r="W60" s="138"/>
      <c r="X60" s="136"/>
      <c r="Y60" s="138"/>
      <c r="Z60" s="135"/>
      <c r="AA60" s="138"/>
      <c r="AB60" s="135"/>
      <c r="AC60" s="135"/>
      <c r="AD60" s="138"/>
      <c r="AE60" s="141"/>
      <c r="AF60" s="142"/>
      <c r="AG60" s="143"/>
      <c r="AH60" s="134"/>
      <c r="AI60" s="142"/>
      <c r="AJ60" s="134"/>
      <c r="AK60" s="144"/>
      <c r="AL60" s="145"/>
      <c r="AM60" s="143">
        <v>45124</v>
      </c>
      <c r="AN60" s="146"/>
      <c r="AO60" s="143"/>
      <c r="AP60" s="144">
        <v>0</v>
      </c>
      <c r="AQ60" s="143"/>
      <c r="AR60" s="144"/>
      <c r="AS60" s="144"/>
      <c r="AT60" s="143">
        <v>3867</v>
      </c>
      <c r="AU60" s="697"/>
      <c r="AV60" s="698"/>
      <c r="AW60" s="136"/>
      <c r="AX60" s="136"/>
      <c r="AY60" s="136">
        <v>11</v>
      </c>
    </row>
    <row r="61" spans="1:51" ht="15" customHeight="1" x14ac:dyDescent="0.2">
      <c r="A61" s="344">
        <v>55</v>
      </c>
      <c r="B61" s="147" t="s">
        <v>57</v>
      </c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511890</v>
      </c>
      <c r="S61" s="152">
        <v>56877</v>
      </c>
      <c r="T61" s="149"/>
      <c r="U61" s="149"/>
      <c r="V61" s="153"/>
      <c r="W61" s="152"/>
      <c r="X61" s="150"/>
      <c r="Y61" s="152"/>
      <c r="Z61" s="149"/>
      <c r="AA61" s="152"/>
      <c r="AB61" s="155"/>
      <c r="AC61" s="149"/>
      <c r="AD61" s="156"/>
      <c r="AE61" s="156"/>
      <c r="AF61" s="157"/>
      <c r="AG61" s="158"/>
      <c r="AH61" s="148"/>
      <c r="AI61" s="157"/>
      <c r="AJ61" s="148"/>
      <c r="AK61" s="159"/>
      <c r="AL61" s="160"/>
      <c r="AM61" s="158">
        <v>466651</v>
      </c>
      <c r="AN61" s="161"/>
      <c r="AO61" s="158"/>
      <c r="AP61" s="159">
        <v>-3470</v>
      </c>
      <c r="AQ61" s="158"/>
      <c r="AR61" s="159"/>
      <c r="AS61" s="159"/>
      <c r="AT61" s="158">
        <v>52400</v>
      </c>
      <c r="AU61" s="699"/>
      <c r="AV61" s="700"/>
      <c r="AW61" s="150"/>
      <c r="AX61" s="150"/>
      <c r="AY61" s="150">
        <v>390</v>
      </c>
    </row>
    <row r="62" spans="1:51" ht="15" customHeight="1" x14ac:dyDescent="0.2">
      <c r="A62" s="334">
        <v>56</v>
      </c>
      <c r="B62" s="115" t="s">
        <v>58</v>
      </c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45021</v>
      </c>
      <c r="S62" s="120">
        <v>5002</v>
      </c>
      <c r="T62" s="117"/>
      <c r="U62" s="117"/>
      <c r="V62" s="121"/>
      <c r="W62" s="120"/>
      <c r="X62" s="118"/>
      <c r="Y62" s="120"/>
      <c r="Z62" s="117"/>
      <c r="AA62" s="120"/>
      <c r="AB62" s="117"/>
      <c r="AC62" s="117"/>
      <c r="AD62" s="120"/>
      <c r="AE62" s="122"/>
      <c r="AF62" s="123"/>
      <c r="AG62" s="124"/>
      <c r="AH62" s="116"/>
      <c r="AI62" s="123"/>
      <c r="AJ62" s="116"/>
      <c r="AK62" s="125"/>
      <c r="AL62" s="126"/>
      <c r="AM62" s="124">
        <v>33454</v>
      </c>
      <c r="AN62" s="127"/>
      <c r="AO62" s="124"/>
      <c r="AP62" s="125">
        <v>0</v>
      </c>
      <c r="AQ62" s="124"/>
      <c r="AR62" s="125"/>
      <c r="AS62" s="125"/>
      <c r="AT62" s="124">
        <v>3330</v>
      </c>
      <c r="AU62" s="695"/>
      <c r="AV62" s="696"/>
      <c r="AW62" s="118"/>
      <c r="AX62" s="118"/>
      <c r="AY62" s="118">
        <v>12</v>
      </c>
    </row>
    <row r="63" spans="1:51" ht="15" customHeight="1" x14ac:dyDescent="0.2">
      <c r="A63" s="339">
        <v>57</v>
      </c>
      <c r="B63" s="133" t="s">
        <v>59</v>
      </c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107788</v>
      </c>
      <c r="S63" s="138">
        <v>11976</v>
      </c>
      <c r="T63" s="135"/>
      <c r="U63" s="135"/>
      <c r="V63" s="139"/>
      <c r="W63" s="138"/>
      <c r="X63" s="136"/>
      <c r="Y63" s="138"/>
      <c r="Z63" s="135"/>
      <c r="AA63" s="138"/>
      <c r="AB63" s="135"/>
      <c r="AC63" s="135"/>
      <c r="AD63" s="138"/>
      <c r="AE63" s="141"/>
      <c r="AF63" s="142"/>
      <c r="AG63" s="143"/>
      <c r="AH63" s="134"/>
      <c r="AI63" s="142"/>
      <c r="AJ63" s="134"/>
      <c r="AK63" s="144"/>
      <c r="AL63" s="145"/>
      <c r="AM63" s="143">
        <v>35762</v>
      </c>
      <c r="AN63" s="146"/>
      <c r="AO63" s="143"/>
      <c r="AP63" s="144">
        <v>0</v>
      </c>
      <c r="AQ63" s="143"/>
      <c r="AR63" s="144"/>
      <c r="AS63" s="144"/>
      <c r="AT63" s="143">
        <v>2785</v>
      </c>
      <c r="AU63" s="697"/>
      <c r="AV63" s="698"/>
      <c r="AW63" s="136"/>
      <c r="AX63" s="136"/>
      <c r="AY63" s="136">
        <v>0</v>
      </c>
    </row>
    <row r="64" spans="1:51" ht="15" customHeight="1" x14ac:dyDescent="0.2">
      <c r="A64" s="339">
        <v>58</v>
      </c>
      <c r="B64" s="133" t="s">
        <v>60</v>
      </c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124580</v>
      </c>
      <c r="S64" s="138">
        <v>13842</v>
      </c>
      <c r="T64" s="135"/>
      <c r="U64" s="135"/>
      <c r="V64" s="139"/>
      <c r="W64" s="138"/>
      <c r="X64" s="136"/>
      <c r="Y64" s="138"/>
      <c r="Z64" s="135"/>
      <c r="AA64" s="138"/>
      <c r="AB64" s="135"/>
      <c r="AC64" s="135"/>
      <c r="AD64" s="138"/>
      <c r="AE64" s="141"/>
      <c r="AF64" s="142"/>
      <c r="AG64" s="143"/>
      <c r="AH64" s="134"/>
      <c r="AI64" s="142"/>
      <c r="AJ64" s="134"/>
      <c r="AK64" s="144"/>
      <c r="AL64" s="145"/>
      <c r="AM64" s="143">
        <v>49575</v>
      </c>
      <c r="AN64" s="146"/>
      <c r="AO64" s="143"/>
      <c r="AP64" s="144">
        <v>0</v>
      </c>
      <c r="AQ64" s="143"/>
      <c r="AR64" s="144"/>
      <c r="AS64" s="144"/>
      <c r="AT64" s="143">
        <v>4868</v>
      </c>
      <c r="AU64" s="697"/>
      <c r="AV64" s="698"/>
      <c r="AW64" s="136"/>
      <c r="AX64" s="136"/>
      <c r="AY64" s="136">
        <v>20</v>
      </c>
    </row>
    <row r="65" spans="1:51" ht="15" customHeight="1" x14ac:dyDescent="0.2">
      <c r="A65" s="339">
        <v>59</v>
      </c>
      <c r="B65" s="133" t="s">
        <v>61</v>
      </c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246976</v>
      </c>
      <c r="S65" s="138">
        <v>27442</v>
      </c>
      <c r="T65" s="135"/>
      <c r="U65" s="135"/>
      <c r="V65" s="139"/>
      <c r="W65" s="138"/>
      <c r="X65" s="136"/>
      <c r="Y65" s="138"/>
      <c r="Z65" s="135"/>
      <c r="AA65" s="138"/>
      <c r="AB65" s="135"/>
      <c r="AC65" s="135"/>
      <c r="AD65" s="138"/>
      <c r="AE65" s="141"/>
      <c r="AF65" s="142"/>
      <c r="AG65" s="143"/>
      <c r="AH65" s="134"/>
      <c r="AI65" s="142"/>
      <c r="AJ65" s="134"/>
      <c r="AK65" s="144"/>
      <c r="AL65" s="145"/>
      <c r="AM65" s="143">
        <v>59617</v>
      </c>
      <c r="AN65" s="146"/>
      <c r="AO65" s="143"/>
      <c r="AP65" s="144">
        <v>2067</v>
      </c>
      <c r="AQ65" s="143"/>
      <c r="AR65" s="144"/>
      <c r="AS65" s="144"/>
      <c r="AT65" s="143">
        <v>5533</v>
      </c>
      <c r="AU65" s="697"/>
      <c r="AV65" s="698"/>
      <c r="AW65" s="136"/>
      <c r="AX65" s="136"/>
      <c r="AY65" s="136">
        <v>3</v>
      </c>
    </row>
    <row r="66" spans="1:51" ht="15" customHeight="1" x14ac:dyDescent="0.2">
      <c r="A66" s="344">
        <v>60</v>
      </c>
      <c r="B66" s="147" t="s">
        <v>62</v>
      </c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180687</v>
      </c>
      <c r="S66" s="152">
        <v>20076</v>
      </c>
      <c r="T66" s="149"/>
      <c r="U66" s="149"/>
      <c r="V66" s="153"/>
      <c r="W66" s="152"/>
      <c r="X66" s="150"/>
      <c r="Y66" s="152"/>
      <c r="Z66" s="149"/>
      <c r="AA66" s="152"/>
      <c r="AB66" s="155"/>
      <c r="AC66" s="149"/>
      <c r="AD66" s="156"/>
      <c r="AE66" s="156"/>
      <c r="AF66" s="157"/>
      <c r="AG66" s="158"/>
      <c r="AH66" s="148"/>
      <c r="AI66" s="157"/>
      <c r="AJ66" s="148"/>
      <c r="AK66" s="159"/>
      <c r="AL66" s="160"/>
      <c r="AM66" s="158">
        <v>132860</v>
      </c>
      <c r="AN66" s="161"/>
      <c r="AO66" s="158"/>
      <c r="AP66" s="159">
        <v>0</v>
      </c>
      <c r="AQ66" s="158"/>
      <c r="AR66" s="159"/>
      <c r="AS66" s="159"/>
      <c r="AT66" s="158">
        <v>11561</v>
      </c>
      <c r="AU66" s="699"/>
      <c r="AV66" s="700"/>
      <c r="AW66" s="150"/>
      <c r="AX66" s="150"/>
      <c r="AY66" s="150">
        <v>37</v>
      </c>
    </row>
    <row r="67" spans="1:51" ht="15" customHeight="1" x14ac:dyDescent="0.2">
      <c r="A67" s="334">
        <v>61</v>
      </c>
      <c r="B67" s="115" t="s">
        <v>63</v>
      </c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87628</v>
      </c>
      <c r="S67" s="120">
        <v>9736</v>
      </c>
      <c r="T67" s="117"/>
      <c r="U67" s="117"/>
      <c r="V67" s="121"/>
      <c r="W67" s="120"/>
      <c r="X67" s="118"/>
      <c r="Y67" s="120"/>
      <c r="Z67" s="117"/>
      <c r="AA67" s="120"/>
      <c r="AB67" s="117"/>
      <c r="AC67" s="117"/>
      <c r="AD67" s="120"/>
      <c r="AE67" s="122"/>
      <c r="AF67" s="123"/>
      <c r="AG67" s="124"/>
      <c r="AH67" s="116"/>
      <c r="AI67" s="123"/>
      <c r="AJ67" s="116"/>
      <c r="AK67" s="125"/>
      <c r="AL67" s="126"/>
      <c r="AM67" s="124">
        <v>268394</v>
      </c>
      <c r="AN67" s="127"/>
      <c r="AO67" s="124"/>
      <c r="AP67" s="125">
        <v>0</v>
      </c>
      <c r="AQ67" s="124"/>
      <c r="AR67" s="125"/>
      <c r="AS67" s="125"/>
      <c r="AT67" s="124">
        <v>26608</v>
      </c>
      <c r="AU67" s="695"/>
      <c r="AV67" s="696"/>
      <c r="AW67" s="118"/>
      <c r="AX67" s="118"/>
      <c r="AY67" s="118">
        <v>129</v>
      </c>
    </row>
    <row r="68" spans="1:51" ht="15" customHeight="1" x14ac:dyDescent="0.2">
      <c r="A68" s="339">
        <v>62</v>
      </c>
      <c r="B68" s="133" t="s">
        <v>64</v>
      </c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64508</v>
      </c>
      <c r="S68" s="138">
        <v>7168</v>
      </c>
      <c r="T68" s="135"/>
      <c r="U68" s="135"/>
      <c r="V68" s="139"/>
      <c r="W68" s="138"/>
      <c r="X68" s="136"/>
      <c r="Y68" s="138"/>
      <c r="Z68" s="135"/>
      <c r="AA68" s="138"/>
      <c r="AB68" s="135"/>
      <c r="AC68" s="135"/>
      <c r="AD68" s="138"/>
      <c r="AE68" s="141"/>
      <c r="AF68" s="142"/>
      <c r="AG68" s="143"/>
      <c r="AH68" s="134"/>
      <c r="AI68" s="142"/>
      <c r="AJ68" s="134"/>
      <c r="AK68" s="144"/>
      <c r="AL68" s="145"/>
      <c r="AM68" s="143">
        <v>36734</v>
      </c>
      <c r="AN68" s="146"/>
      <c r="AO68" s="143"/>
      <c r="AP68" s="144">
        <v>0</v>
      </c>
      <c r="AQ68" s="143"/>
      <c r="AR68" s="144"/>
      <c r="AS68" s="144"/>
      <c r="AT68" s="143">
        <v>4101</v>
      </c>
      <c r="AU68" s="697"/>
      <c r="AV68" s="698"/>
      <c r="AW68" s="136"/>
      <c r="AX68" s="136"/>
      <c r="AY68" s="136">
        <v>37</v>
      </c>
    </row>
    <row r="69" spans="1:51" ht="15" customHeight="1" x14ac:dyDescent="0.2">
      <c r="A69" s="339">
        <v>63</v>
      </c>
      <c r="B69" s="133" t="s">
        <v>65</v>
      </c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46501</v>
      </c>
      <c r="S69" s="138">
        <v>5167</v>
      </c>
      <c r="T69" s="135"/>
      <c r="U69" s="135"/>
      <c r="V69" s="139"/>
      <c r="W69" s="138"/>
      <c r="X69" s="136"/>
      <c r="Y69" s="138"/>
      <c r="Z69" s="135"/>
      <c r="AA69" s="138"/>
      <c r="AB69" s="135"/>
      <c r="AC69" s="135"/>
      <c r="AD69" s="138"/>
      <c r="AE69" s="141"/>
      <c r="AF69" s="142"/>
      <c r="AG69" s="143"/>
      <c r="AH69" s="134"/>
      <c r="AI69" s="142"/>
      <c r="AJ69" s="134"/>
      <c r="AK69" s="144"/>
      <c r="AL69" s="145"/>
      <c r="AM69" s="143">
        <v>82390</v>
      </c>
      <c r="AN69" s="146"/>
      <c r="AO69" s="143"/>
      <c r="AP69" s="144">
        <v>0</v>
      </c>
      <c r="AQ69" s="143"/>
      <c r="AR69" s="144"/>
      <c r="AS69" s="144"/>
      <c r="AT69" s="143">
        <v>4203</v>
      </c>
      <c r="AU69" s="697"/>
      <c r="AV69" s="698"/>
      <c r="AW69" s="136"/>
      <c r="AX69" s="136"/>
      <c r="AY69" s="136">
        <v>-67</v>
      </c>
    </row>
    <row r="70" spans="1:51" ht="15" customHeight="1" x14ac:dyDescent="0.2">
      <c r="A70" s="339">
        <v>64</v>
      </c>
      <c r="B70" s="133" t="s">
        <v>66</v>
      </c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34112</v>
      </c>
      <c r="S70" s="138">
        <v>3790</v>
      </c>
      <c r="T70" s="135"/>
      <c r="U70" s="135"/>
      <c r="V70" s="139"/>
      <c r="W70" s="138"/>
      <c r="X70" s="136"/>
      <c r="Y70" s="138"/>
      <c r="Z70" s="135"/>
      <c r="AA70" s="138"/>
      <c r="AB70" s="135"/>
      <c r="AC70" s="135"/>
      <c r="AD70" s="138"/>
      <c r="AE70" s="141"/>
      <c r="AF70" s="142"/>
      <c r="AG70" s="143"/>
      <c r="AH70" s="134"/>
      <c r="AI70" s="142"/>
      <c r="AJ70" s="134"/>
      <c r="AK70" s="144"/>
      <c r="AL70" s="145"/>
      <c r="AM70" s="143">
        <v>13556</v>
      </c>
      <c r="AN70" s="146"/>
      <c r="AO70" s="143"/>
      <c r="AP70" s="144">
        <v>0</v>
      </c>
      <c r="AQ70" s="143"/>
      <c r="AR70" s="144"/>
      <c r="AS70" s="144"/>
      <c r="AT70" s="143">
        <v>1028</v>
      </c>
      <c r="AU70" s="697"/>
      <c r="AV70" s="698"/>
      <c r="AW70" s="136"/>
      <c r="AX70" s="136"/>
      <c r="AY70" s="136">
        <v>-7</v>
      </c>
    </row>
    <row r="71" spans="1:51" ht="15" customHeight="1" x14ac:dyDescent="0.2">
      <c r="A71" s="344">
        <v>65</v>
      </c>
      <c r="B71" s="147" t="s">
        <v>67</v>
      </c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62542</v>
      </c>
      <c r="S71" s="152">
        <v>6949</v>
      </c>
      <c r="T71" s="149"/>
      <c r="U71" s="149"/>
      <c r="V71" s="153"/>
      <c r="W71" s="152"/>
      <c r="X71" s="150"/>
      <c r="Y71" s="152"/>
      <c r="Z71" s="149"/>
      <c r="AA71" s="152"/>
      <c r="AB71" s="155"/>
      <c r="AC71" s="149"/>
      <c r="AD71" s="156"/>
      <c r="AE71" s="156"/>
      <c r="AF71" s="157"/>
      <c r="AG71" s="158"/>
      <c r="AH71" s="148"/>
      <c r="AI71" s="157"/>
      <c r="AJ71" s="148"/>
      <c r="AK71" s="159"/>
      <c r="AL71" s="160"/>
      <c r="AM71" s="158">
        <v>21562</v>
      </c>
      <c r="AN71" s="161"/>
      <c r="AO71" s="158"/>
      <c r="AP71" s="159">
        <v>0</v>
      </c>
      <c r="AQ71" s="158"/>
      <c r="AR71" s="159"/>
      <c r="AS71" s="159"/>
      <c r="AT71" s="158">
        <v>-1218</v>
      </c>
      <c r="AU71" s="699"/>
      <c r="AV71" s="700"/>
      <c r="AW71" s="150"/>
      <c r="AX71" s="150"/>
      <c r="AY71" s="150">
        <v>-84</v>
      </c>
    </row>
    <row r="72" spans="1:51" ht="15" customHeight="1" x14ac:dyDescent="0.2">
      <c r="A72" s="334">
        <v>66</v>
      </c>
      <c r="B72" s="115" t="s">
        <v>68</v>
      </c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145920</v>
      </c>
      <c r="S72" s="120">
        <v>16213</v>
      </c>
      <c r="T72" s="117"/>
      <c r="U72" s="117"/>
      <c r="V72" s="121"/>
      <c r="W72" s="120"/>
      <c r="X72" s="118"/>
      <c r="Y72" s="120"/>
      <c r="Z72" s="117"/>
      <c r="AA72" s="120"/>
      <c r="AB72" s="117"/>
      <c r="AC72" s="117"/>
      <c r="AD72" s="120"/>
      <c r="AE72" s="122"/>
      <c r="AF72" s="123"/>
      <c r="AG72" s="124"/>
      <c r="AH72" s="116"/>
      <c r="AI72" s="123"/>
      <c r="AJ72" s="116"/>
      <c r="AK72" s="125"/>
      <c r="AL72" s="126"/>
      <c r="AM72" s="124">
        <v>90368</v>
      </c>
      <c r="AN72" s="127"/>
      <c r="AO72" s="124"/>
      <c r="AP72" s="125">
        <v>0</v>
      </c>
      <c r="AQ72" s="124"/>
      <c r="AR72" s="125"/>
      <c r="AS72" s="125"/>
      <c r="AT72" s="124">
        <v>7204</v>
      </c>
      <c r="AU72" s="695"/>
      <c r="AV72" s="696"/>
      <c r="AW72" s="701"/>
      <c r="AX72" s="701"/>
      <c r="AY72" s="701">
        <v>-19</v>
      </c>
    </row>
    <row r="73" spans="1:51" ht="15" customHeight="1" x14ac:dyDescent="0.2">
      <c r="A73" s="339">
        <v>67</v>
      </c>
      <c r="B73" s="133" t="s">
        <v>2</v>
      </c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200892</v>
      </c>
      <c r="S73" s="138">
        <v>22321</v>
      </c>
      <c r="T73" s="135"/>
      <c r="U73" s="135"/>
      <c r="V73" s="139"/>
      <c r="W73" s="138"/>
      <c r="X73" s="136"/>
      <c r="Y73" s="138"/>
      <c r="Z73" s="135"/>
      <c r="AA73" s="138"/>
      <c r="AB73" s="135"/>
      <c r="AC73" s="135"/>
      <c r="AD73" s="138"/>
      <c r="AE73" s="141"/>
      <c r="AF73" s="142"/>
      <c r="AG73" s="143"/>
      <c r="AH73" s="134"/>
      <c r="AI73" s="142"/>
      <c r="AJ73" s="134"/>
      <c r="AK73" s="144"/>
      <c r="AL73" s="145"/>
      <c r="AM73" s="143">
        <v>177727</v>
      </c>
      <c r="AN73" s="146"/>
      <c r="AO73" s="143"/>
      <c r="AP73" s="144">
        <v>0</v>
      </c>
      <c r="AQ73" s="143"/>
      <c r="AR73" s="144"/>
      <c r="AS73" s="144"/>
      <c r="AT73" s="143">
        <v>13024</v>
      </c>
      <c r="AU73" s="697"/>
      <c r="AV73" s="698"/>
      <c r="AW73" s="701"/>
      <c r="AX73" s="701"/>
      <c r="AY73" s="701">
        <v>-46</v>
      </c>
    </row>
    <row r="74" spans="1:51" ht="15" customHeight="1" x14ac:dyDescent="0.2">
      <c r="A74" s="339">
        <v>68</v>
      </c>
      <c r="B74" s="133" t="s">
        <v>1</v>
      </c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81050</v>
      </c>
      <c r="S74" s="138">
        <v>9006</v>
      </c>
      <c r="T74" s="135"/>
      <c r="U74" s="135"/>
      <c r="V74" s="139"/>
      <c r="W74" s="138"/>
      <c r="X74" s="136"/>
      <c r="Y74" s="138"/>
      <c r="Z74" s="135"/>
      <c r="AA74" s="138"/>
      <c r="AB74" s="135"/>
      <c r="AC74" s="135"/>
      <c r="AD74" s="138"/>
      <c r="AE74" s="141"/>
      <c r="AF74" s="142"/>
      <c r="AG74" s="143"/>
      <c r="AH74" s="134"/>
      <c r="AI74" s="142"/>
      <c r="AJ74" s="134"/>
      <c r="AK74" s="144"/>
      <c r="AL74" s="145"/>
      <c r="AM74" s="143">
        <v>29549</v>
      </c>
      <c r="AN74" s="146"/>
      <c r="AO74" s="143"/>
      <c r="AP74" s="144">
        <v>0</v>
      </c>
      <c r="AQ74" s="143"/>
      <c r="AR74" s="144"/>
      <c r="AS74" s="144"/>
      <c r="AT74" s="143">
        <v>1711</v>
      </c>
      <c r="AU74" s="697"/>
      <c r="AV74" s="698"/>
      <c r="AW74" s="701"/>
      <c r="AX74" s="701"/>
      <c r="AY74" s="701">
        <v>-18</v>
      </c>
    </row>
    <row r="75" spans="1:51" ht="15" customHeight="1" x14ac:dyDescent="0.2">
      <c r="A75" s="339">
        <v>69</v>
      </c>
      <c r="B75" s="133" t="s">
        <v>74</v>
      </c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179135</v>
      </c>
      <c r="S75" s="138">
        <v>19904</v>
      </c>
      <c r="T75" s="135"/>
      <c r="U75" s="135"/>
      <c r="V75" s="139"/>
      <c r="W75" s="138"/>
      <c r="X75" s="136"/>
      <c r="Y75" s="138"/>
      <c r="Z75" s="135"/>
      <c r="AA75" s="138"/>
      <c r="AB75" s="135"/>
      <c r="AC75" s="135"/>
      <c r="AD75" s="138"/>
      <c r="AE75" s="141"/>
      <c r="AF75" s="142"/>
      <c r="AG75" s="143"/>
      <c r="AH75" s="134"/>
      <c r="AI75" s="142"/>
      <c r="AJ75" s="134"/>
      <c r="AK75" s="144"/>
      <c r="AL75" s="145"/>
      <c r="AM75" s="143">
        <v>64298</v>
      </c>
      <c r="AN75" s="146"/>
      <c r="AO75" s="143"/>
      <c r="AP75" s="144">
        <v>0</v>
      </c>
      <c r="AQ75" s="143"/>
      <c r="AR75" s="144"/>
      <c r="AS75" s="144"/>
      <c r="AT75" s="143">
        <v>1932</v>
      </c>
      <c r="AU75" s="697"/>
      <c r="AV75" s="698"/>
      <c r="AW75" s="1174"/>
      <c r="AX75" s="1174"/>
      <c r="AY75" s="1174">
        <v>-85</v>
      </c>
    </row>
    <row r="76" spans="1:51" s="19" customFormat="1" ht="15" customHeight="1" thickBot="1" x14ac:dyDescent="0.25">
      <c r="A76" s="1499" t="s">
        <v>365</v>
      </c>
      <c r="B76" s="1500"/>
      <c r="C76" s="913">
        <v>3227</v>
      </c>
      <c r="D76" s="914">
        <v>3842.0687972663704</v>
      </c>
      <c r="E76" s="915">
        <v>12915411.328743961</v>
      </c>
      <c r="F76" s="916">
        <v>1995</v>
      </c>
      <c r="G76" s="917">
        <v>513.31702026090829</v>
      </c>
      <c r="H76" s="918">
        <v>1081310.1461702292</v>
      </c>
      <c r="I76" s="1109">
        <v>1983.5</v>
      </c>
      <c r="J76" s="917">
        <v>142.53865570034958</v>
      </c>
      <c r="K76" s="918">
        <v>293010.02697077527</v>
      </c>
      <c r="L76" s="916">
        <v>392</v>
      </c>
      <c r="M76" s="917">
        <v>3542.9202412458553</v>
      </c>
      <c r="N76" s="918">
        <v>1461675.7506277773</v>
      </c>
      <c r="O76" s="916">
        <v>150</v>
      </c>
      <c r="P76" s="917">
        <v>1375.1476936011543</v>
      </c>
      <c r="Q76" s="918">
        <v>213478.06948929842</v>
      </c>
      <c r="R76" s="919">
        <v>15964885</v>
      </c>
      <c r="S76" s="919">
        <v>1773874</v>
      </c>
      <c r="T76" s="917">
        <v>1374234</v>
      </c>
      <c r="U76" s="917">
        <v>-33903</v>
      </c>
      <c r="V76" s="920">
        <v>1340331</v>
      </c>
      <c r="W76" s="919">
        <v>17305216</v>
      </c>
      <c r="X76" s="918">
        <v>-43265</v>
      </c>
      <c r="Y76" s="919">
        <v>17261951</v>
      </c>
      <c r="Z76" s="918">
        <v>-18809</v>
      </c>
      <c r="AA76" s="919">
        <v>17243142</v>
      </c>
      <c r="AB76" s="917">
        <v>11060050</v>
      </c>
      <c r="AC76" s="917">
        <v>6183092</v>
      </c>
      <c r="AD76" s="919">
        <v>1545781</v>
      </c>
      <c r="AE76" s="921">
        <v>17243142</v>
      </c>
      <c r="AF76" s="917">
        <v>5119.2</v>
      </c>
      <c r="AG76" s="922">
        <v>15194888</v>
      </c>
      <c r="AH76" s="916">
        <v>268</v>
      </c>
      <c r="AI76" s="917">
        <v>1286258</v>
      </c>
      <c r="AJ76" s="916">
        <v>-4</v>
      </c>
      <c r="AK76" s="917">
        <v>26555</v>
      </c>
      <c r="AL76" s="920">
        <v>1312813</v>
      </c>
      <c r="AM76" s="922">
        <v>16507701</v>
      </c>
      <c r="AN76" s="917">
        <v>-41275</v>
      </c>
      <c r="AO76" s="922">
        <v>16466426</v>
      </c>
      <c r="AP76" s="917">
        <v>-19718</v>
      </c>
      <c r="AQ76" s="922">
        <v>16446708</v>
      </c>
      <c r="AR76" s="917">
        <v>10133388</v>
      </c>
      <c r="AS76" s="917">
        <v>6313320</v>
      </c>
      <c r="AT76" s="922">
        <v>1578337</v>
      </c>
      <c r="AU76" s="1176">
        <v>33689850</v>
      </c>
      <c r="AV76" s="1177">
        <v>3124118</v>
      </c>
      <c r="AW76" s="917">
        <v>41275</v>
      </c>
      <c r="AX76" s="917">
        <v>35232</v>
      </c>
      <c r="AY76" s="917">
        <v>6043</v>
      </c>
    </row>
    <row r="77" spans="1:51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>
        <v>308562</v>
      </c>
      <c r="S77" s="860"/>
      <c r="T77" s="860"/>
      <c r="U77" s="860"/>
      <c r="V77" s="860"/>
      <c r="W77" s="861">
        <v>308562</v>
      </c>
      <c r="X77" s="910">
        <v>-771</v>
      </c>
      <c r="Y77" s="861">
        <v>307791</v>
      </c>
      <c r="Z77" s="860"/>
      <c r="AA77" s="861">
        <v>307791</v>
      </c>
      <c r="AB77" s="860">
        <v>206870</v>
      </c>
      <c r="AC77" s="860">
        <v>100921</v>
      </c>
      <c r="AD77" s="861">
        <v>25230</v>
      </c>
      <c r="AE77" s="912">
        <v>307791</v>
      </c>
      <c r="AF77" s="860"/>
      <c r="AG77" s="860"/>
      <c r="AH77" s="911"/>
      <c r="AI77" s="860"/>
      <c r="AJ77" s="911"/>
      <c r="AK77" s="860"/>
      <c r="AL77" s="860"/>
      <c r="AM77" s="860"/>
      <c r="AN77" s="860"/>
      <c r="AO77" s="860"/>
      <c r="AP77" s="860"/>
      <c r="AQ77" s="860"/>
      <c r="AR77" s="860"/>
      <c r="AS77" s="860"/>
      <c r="AT77" s="860"/>
      <c r="AU77" s="1175">
        <v>307791</v>
      </c>
      <c r="AV77" s="1175">
        <v>25230</v>
      </c>
      <c r="AW77" s="860">
        <v>0</v>
      </c>
      <c r="AX77" s="860"/>
      <c r="AY77" s="860">
        <v>0</v>
      </c>
    </row>
    <row r="78" spans="1:51" s="1116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/>
      <c r="AA78" s="705"/>
      <c r="AB78" s="705"/>
      <c r="AC78" s="704"/>
      <c r="AD78" s="705"/>
      <c r="AE78" s="705"/>
      <c r="AF78" s="705"/>
      <c r="AG78" s="705"/>
      <c r="AH78" s="703"/>
      <c r="AI78" s="705"/>
      <c r="AJ78" s="703"/>
      <c r="AK78" s="705"/>
      <c r="AL78" s="705"/>
      <c r="AM78" s="705"/>
      <c r="AN78" s="705"/>
      <c r="AO78" s="705"/>
      <c r="AP78" s="705"/>
      <c r="AQ78" s="705"/>
      <c r="AR78" s="705"/>
      <c r="AS78" s="705"/>
      <c r="AT78" s="705"/>
      <c r="AU78" s="924">
        <v>0</v>
      </c>
      <c r="AV78" s="924">
        <v>0</v>
      </c>
      <c r="AW78" s="705"/>
      <c r="AX78" s="705"/>
      <c r="AY78" s="705"/>
    </row>
    <row r="79" spans="1:51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704"/>
      <c r="AA79" s="141">
        <v>0</v>
      </c>
      <c r="AB79" s="705">
        <v>0</v>
      </c>
      <c r="AC79" s="704">
        <v>0</v>
      </c>
      <c r="AD79" s="141">
        <v>0</v>
      </c>
      <c r="AE79" s="141">
        <v>0</v>
      </c>
      <c r="AF79" s="704"/>
      <c r="AG79" s="704"/>
      <c r="AH79" s="703"/>
      <c r="AI79" s="704"/>
      <c r="AJ79" s="703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6">
        <v>0</v>
      </c>
      <c r="AV79" s="706">
        <v>0</v>
      </c>
      <c r="AW79" s="704"/>
      <c r="AX79" s="704"/>
      <c r="AY79" s="704"/>
    </row>
    <row r="80" spans="1:51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4"/>
      <c r="AA80" s="707"/>
      <c r="AB80" s="705"/>
      <c r="AC80" s="704"/>
      <c r="AD80" s="707"/>
      <c r="AE80" s="141">
        <v>0</v>
      </c>
      <c r="AF80" s="704"/>
      <c r="AG80" s="704"/>
      <c r="AH80" s="703"/>
      <c r="AI80" s="704"/>
      <c r="AJ80" s="703"/>
      <c r="AK80" s="704"/>
      <c r="AL80" s="704"/>
      <c r="AM80" s="704"/>
      <c r="AN80" s="704"/>
      <c r="AO80" s="704"/>
      <c r="AP80" s="704"/>
      <c r="AQ80" s="704"/>
      <c r="AR80" s="704"/>
      <c r="AS80" s="704"/>
      <c r="AT80" s="704"/>
      <c r="AU80" s="706">
        <v>0</v>
      </c>
      <c r="AV80" s="704"/>
      <c r="AW80" s="704"/>
      <c r="AX80" s="704"/>
      <c r="AY80" s="704"/>
    </row>
    <row r="81" spans="1:51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4"/>
      <c r="AA81" s="705"/>
      <c r="AB81" s="705"/>
      <c r="AC81" s="704"/>
      <c r="AD81" s="705"/>
      <c r="AE81" s="141">
        <v>73505</v>
      </c>
      <c r="AF81" s="704"/>
      <c r="AG81" s="704"/>
      <c r="AH81" s="703"/>
      <c r="AI81" s="704"/>
      <c r="AJ81" s="703"/>
      <c r="AK81" s="704"/>
      <c r="AL81" s="704"/>
      <c r="AM81" s="704"/>
      <c r="AN81" s="704"/>
      <c r="AO81" s="704"/>
      <c r="AP81" s="704"/>
      <c r="AQ81" s="704"/>
      <c r="AR81" s="704"/>
      <c r="AS81" s="704"/>
      <c r="AT81" s="704"/>
      <c r="AU81" s="706">
        <v>0</v>
      </c>
      <c r="AV81" s="704"/>
      <c r="AW81" s="704"/>
      <c r="AX81" s="704"/>
      <c r="AY81" s="704"/>
    </row>
    <row r="82" spans="1:51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4"/>
      <c r="AA82" s="707"/>
      <c r="AB82" s="705"/>
      <c r="AC82" s="704"/>
      <c r="AD82" s="707"/>
      <c r="AE82" s="141">
        <v>0</v>
      </c>
      <c r="AF82" s="704"/>
      <c r="AG82" s="704"/>
      <c r="AH82" s="703"/>
      <c r="AI82" s="704"/>
      <c r="AJ82" s="703"/>
      <c r="AK82" s="704"/>
      <c r="AL82" s="704"/>
      <c r="AM82" s="704"/>
      <c r="AN82" s="704"/>
      <c r="AO82" s="704"/>
      <c r="AP82" s="704"/>
      <c r="AQ82" s="704"/>
      <c r="AR82" s="704"/>
      <c r="AS82" s="704"/>
      <c r="AT82" s="704"/>
      <c r="AU82" s="706">
        <v>0</v>
      </c>
      <c r="AV82" s="704"/>
      <c r="AW82" s="704"/>
      <c r="AX82" s="704"/>
      <c r="AY82" s="704"/>
    </row>
    <row r="83" spans="1:51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09"/>
      <c r="AA83" s="156">
        <v>127971</v>
      </c>
      <c r="AB83" s="155">
        <v>85314</v>
      </c>
      <c r="AC83" s="709">
        <v>42657</v>
      </c>
      <c r="AD83" s="156">
        <v>10664</v>
      </c>
      <c r="AE83" s="156">
        <v>127971</v>
      </c>
      <c r="AF83" s="709"/>
      <c r="AG83" s="709"/>
      <c r="AH83" s="708"/>
      <c r="AI83" s="709"/>
      <c r="AJ83" s="708"/>
      <c r="AK83" s="709"/>
      <c r="AL83" s="709"/>
      <c r="AM83" s="709"/>
      <c r="AN83" s="709"/>
      <c r="AO83" s="709"/>
      <c r="AP83" s="709"/>
      <c r="AQ83" s="709"/>
      <c r="AR83" s="709"/>
      <c r="AS83" s="709"/>
      <c r="AT83" s="709"/>
      <c r="AU83" s="710">
        <v>127971</v>
      </c>
      <c r="AV83" s="710">
        <v>10664</v>
      </c>
      <c r="AW83" s="709"/>
      <c r="AX83" s="709"/>
      <c r="AY83" s="709"/>
    </row>
    <row r="84" spans="1:51" s="19" customFormat="1" ht="15" customHeight="1" thickBot="1" x14ac:dyDescent="0.25">
      <c r="A84" s="1499" t="s">
        <v>366</v>
      </c>
      <c r="B84" s="1500"/>
      <c r="C84" s="913">
        <v>3227</v>
      </c>
      <c r="D84" s="914">
        <v>3842.0687972663704</v>
      </c>
      <c r="E84" s="915">
        <v>12915411.328743961</v>
      </c>
      <c r="F84" s="916">
        <v>1995</v>
      </c>
      <c r="G84" s="917">
        <v>513.31702026090829</v>
      </c>
      <c r="H84" s="918">
        <v>1081310.1461702292</v>
      </c>
      <c r="I84" s="1109">
        <v>1983.5</v>
      </c>
      <c r="J84" s="917">
        <v>142.53865570034958</v>
      </c>
      <c r="K84" s="918">
        <v>293010.02697077527</v>
      </c>
      <c r="L84" s="916">
        <v>392</v>
      </c>
      <c r="M84" s="917">
        <v>3542.9202412458553</v>
      </c>
      <c r="N84" s="918">
        <v>1461675.7506277773</v>
      </c>
      <c r="O84" s="916">
        <v>150</v>
      </c>
      <c r="P84" s="917">
        <v>1375.1476936011543</v>
      </c>
      <c r="Q84" s="918">
        <v>213478.06948929842</v>
      </c>
      <c r="R84" s="919">
        <v>16273447</v>
      </c>
      <c r="S84" s="919">
        <v>1773874</v>
      </c>
      <c r="T84" s="917">
        <v>1374234</v>
      </c>
      <c r="U84" s="917">
        <v>-33903</v>
      </c>
      <c r="V84" s="920">
        <v>1340331</v>
      </c>
      <c r="W84" s="919">
        <v>17613778</v>
      </c>
      <c r="X84" s="918">
        <v>-44036</v>
      </c>
      <c r="Y84" s="919">
        <v>17569742</v>
      </c>
      <c r="Z84" s="918">
        <v>-18809</v>
      </c>
      <c r="AA84" s="919">
        <v>17678904</v>
      </c>
      <c r="AB84" s="917">
        <v>11352234</v>
      </c>
      <c r="AC84" s="917">
        <v>6326670</v>
      </c>
      <c r="AD84" s="919">
        <v>1581675</v>
      </c>
      <c r="AE84" s="921">
        <v>17752409</v>
      </c>
      <c r="AF84" s="917">
        <v>5119.2</v>
      </c>
      <c r="AG84" s="922">
        <v>15194888</v>
      </c>
      <c r="AH84" s="916">
        <v>268</v>
      </c>
      <c r="AI84" s="917">
        <v>1286258</v>
      </c>
      <c r="AJ84" s="916">
        <v>-4</v>
      </c>
      <c r="AK84" s="917">
        <v>26555</v>
      </c>
      <c r="AL84" s="920">
        <v>1312813</v>
      </c>
      <c r="AM84" s="922">
        <v>16507701</v>
      </c>
      <c r="AN84" s="917">
        <v>-41275</v>
      </c>
      <c r="AO84" s="922">
        <v>16466426</v>
      </c>
      <c r="AP84" s="917">
        <v>-19718</v>
      </c>
      <c r="AQ84" s="922">
        <v>16446708</v>
      </c>
      <c r="AR84" s="917">
        <v>10133388</v>
      </c>
      <c r="AS84" s="917">
        <v>6313320</v>
      </c>
      <c r="AT84" s="922">
        <v>1578337</v>
      </c>
      <c r="AU84" s="702">
        <v>34125612</v>
      </c>
      <c r="AV84" s="702">
        <v>3160012</v>
      </c>
      <c r="AW84" s="917">
        <v>41275</v>
      </c>
      <c r="AX84" s="917">
        <v>35232</v>
      </c>
      <c r="AY84" s="917">
        <v>6043</v>
      </c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06"/>
      <c r="Z85" s="13"/>
      <c r="AA85" s="13"/>
      <c r="AB85" s="13"/>
      <c r="AC85" s="13"/>
      <c r="AD85" s="13"/>
      <c r="AE85" s="13"/>
      <c r="AF85" s="13"/>
      <c r="AG85" s="13"/>
      <c r="AW85" s="1115"/>
      <c r="AY85" s="1115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06"/>
      <c r="Z86" s="13"/>
      <c r="AA86" s="13"/>
      <c r="AB86" s="13"/>
      <c r="AC86" s="13"/>
      <c r="AD86" s="13"/>
      <c r="AE86" s="13"/>
      <c r="AF86" s="13"/>
      <c r="AG86" s="13"/>
    </row>
    <row r="87" spans="1:51" ht="16.149999999999999" customHeight="1" x14ac:dyDescent="0.2">
      <c r="D87" s="13"/>
      <c r="E87" s="13"/>
      <c r="F87" s="13"/>
      <c r="G87" s="13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13"/>
      <c r="S87" s="13"/>
      <c r="T87" s="13"/>
      <c r="U87" s="13"/>
      <c r="V87" s="13"/>
      <c r="W87" s="13"/>
      <c r="X87" s="13"/>
      <c r="Y87" s="106"/>
      <c r="Z87" s="13"/>
      <c r="AA87" s="13"/>
      <c r="AB87" s="13"/>
      <c r="AC87" s="13"/>
      <c r="AD87" s="13"/>
      <c r="AE87" s="13"/>
      <c r="AF87" s="13"/>
      <c r="AG87" s="13"/>
    </row>
    <row r="88" spans="1:51" ht="16.149999999999999" customHeight="1" x14ac:dyDescent="0.2">
      <c r="H88" s="10"/>
      <c r="I88" s="10"/>
      <c r="J88" s="1146"/>
      <c r="K88" s="1145"/>
      <c r="L88" s="1145"/>
      <c r="M88" s="1146"/>
      <c r="N88" s="1145"/>
      <c r="O88" s="1145"/>
      <c r="P88" s="1146"/>
      <c r="Q88" s="1145"/>
    </row>
    <row r="89" spans="1:51" x14ac:dyDescent="0.2">
      <c r="H89" s="10"/>
      <c r="I89" s="10"/>
      <c r="J89" s="1146"/>
      <c r="K89" s="1145"/>
      <c r="L89" s="1145"/>
      <c r="M89" s="1146"/>
      <c r="N89" s="1145"/>
      <c r="O89" s="1145"/>
      <c r="P89" s="1146"/>
      <c r="Q89" s="1145"/>
    </row>
    <row r="90" spans="1:51" ht="13.5" thickBot="1" x14ac:dyDescent="0.25">
      <c r="H90" s="10"/>
      <c r="I90" s="10"/>
      <c r="J90" s="10"/>
      <c r="K90" s="10"/>
      <c r="L90" s="10"/>
      <c r="M90" s="10"/>
      <c r="N90" s="10"/>
      <c r="O90" s="10"/>
      <c r="P90" s="10"/>
      <c r="Q90" s="10"/>
      <c r="AX90" s="917"/>
    </row>
    <row r="91" spans="1:51" ht="13.5" thickTop="1" x14ac:dyDescent="0.2">
      <c r="B91" s="752"/>
      <c r="AX91" s="13"/>
    </row>
    <row r="92" spans="1:51" x14ac:dyDescent="0.2">
      <c r="B92" s="751"/>
    </row>
    <row r="93" spans="1:51" x14ac:dyDescent="0.2">
      <c r="B93" s="751"/>
    </row>
    <row r="94" spans="1:51" x14ac:dyDescent="0.2">
      <c r="B94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50">
    <mergeCell ref="AN2:AN3"/>
    <mergeCell ref="AP2:AP3"/>
    <mergeCell ref="AO2:AO3"/>
    <mergeCell ref="W2:W3"/>
    <mergeCell ref="X2:X3"/>
    <mergeCell ref="AW1:AY1"/>
    <mergeCell ref="AV1:AV3"/>
    <mergeCell ref="A84:B84"/>
    <mergeCell ref="A1:B3"/>
    <mergeCell ref="C1:K1"/>
    <mergeCell ref="C2:C3"/>
    <mergeCell ref="D2:E2"/>
    <mergeCell ref="F2:H2"/>
    <mergeCell ref="I2:K2"/>
    <mergeCell ref="A79:B79"/>
    <mergeCell ref="A77:B77"/>
    <mergeCell ref="A76:B76"/>
    <mergeCell ref="A78:B78"/>
    <mergeCell ref="A80:B80"/>
    <mergeCell ref="S2:S3"/>
    <mergeCell ref="Z2:Z3"/>
    <mergeCell ref="A81:B81"/>
    <mergeCell ref="A83:B83"/>
    <mergeCell ref="AW2:AW3"/>
    <mergeCell ref="AX2:AX3"/>
    <mergeCell ref="AY2:AY3"/>
    <mergeCell ref="Y2:Y3"/>
    <mergeCell ref="AA2:AA3"/>
    <mergeCell ref="AG2:AG3"/>
    <mergeCell ref="A82:B82"/>
    <mergeCell ref="AU1:AU3"/>
    <mergeCell ref="AR2:AR3"/>
    <mergeCell ref="AS2:AS3"/>
    <mergeCell ref="AQ2:AQ3"/>
    <mergeCell ref="AM1:AT1"/>
    <mergeCell ref="AT2:AT3"/>
    <mergeCell ref="AM2:AM3"/>
    <mergeCell ref="L1:V1"/>
    <mergeCell ref="R2:R3"/>
    <mergeCell ref="T2:V2"/>
    <mergeCell ref="AF1:AL1"/>
    <mergeCell ref="W1:AE1"/>
    <mergeCell ref="L2:N2"/>
    <mergeCell ref="AH2:AL2"/>
    <mergeCell ref="O2:Q2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8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.7109375" style="8" customWidth="1"/>
    <col min="2" max="2" width="18.5703125" style="8" customWidth="1"/>
    <col min="3" max="3" width="16" style="8" customWidth="1"/>
    <col min="4" max="4" width="16.85546875" style="8" bestFit="1" customWidth="1"/>
    <col min="5" max="5" width="13.7109375" style="8" customWidth="1"/>
    <col min="6" max="7" width="16" style="8" customWidth="1"/>
    <col min="8" max="8" width="13.7109375" style="8" bestFit="1" customWidth="1"/>
    <col min="9" max="9" width="13.85546875" style="8" customWidth="1"/>
    <col min="10" max="10" width="15.5703125" style="8" bestFit="1" customWidth="1"/>
    <col min="11" max="16384" width="8.85546875" style="8"/>
  </cols>
  <sheetData>
    <row r="1" spans="1:10" ht="18.600000000000001" customHeight="1" x14ac:dyDescent="0.2">
      <c r="A1" s="1341" t="s">
        <v>0</v>
      </c>
      <c r="B1" s="1342"/>
      <c r="C1" s="1517" t="s">
        <v>295</v>
      </c>
      <c r="D1" s="1518"/>
      <c r="E1" s="1519"/>
      <c r="F1" s="1522" t="s">
        <v>296</v>
      </c>
      <c r="G1" s="1523"/>
      <c r="H1" s="1524"/>
      <c r="I1" s="1525" t="s">
        <v>262</v>
      </c>
      <c r="J1" s="1515" t="s">
        <v>1057</v>
      </c>
    </row>
    <row r="2" spans="1:10" ht="72.599999999999994" customHeight="1" x14ac:dyDescent="0.2">
      <c r="A2" s="1325"/>
      <c r="B2" s="1326"/>
      <c r="C2" s="1520" t="s">
        <v>1262</v>
      </c>
      <c r="D2" s="1520" t="s">
        <v>1249</v>
      </c>
      <c r="E2" s="15" t="s">
        <v>1263</v>
      </c>
      <c r="F2" s="1521" t="s">
        <v>1264</v>
      </c>
      <c r="G2" s="1521" t="s">
        <v>1250</v>
      </c>
      <c r="H2" s="16" t="s">
        <v>263</v>
      </c>
      <c r="I2" s="1526"/>
      <c r="J2" s="1516"/>
    </row>
    <row r="3" spans="1:10" ht="15.75" customHeight="1" x14ac:dyDescent="0.2">
      <c r="A3" s="1343"/>
      <c r="B3" s="1344"/>
      <c r="C3" s="1520"/>
      <c r="D3" s="1520"/>
      <c r="E3" s="257">
        <f>'7_Local Revenue'!AD76*J77</f>
        <v>14.756489999999999</v>
      </c>
      <c r="F3" s="1521"/>
      <c r="G3" s="1521"/>
      <c r="H3" s="258">
        <f>'7_Local Revenue'!AG76*J77</f>
        <v>7.2889200000000008E-3</v>
      </c>
      <c r="I3" s="1527"/>
      <c r="J3" s="1348"/>
    </row>
    <row r="4" spans="1:10" x14ac:dyDescent="0.2">
      <c r="A4" s="259"/>
      <c r="B4" s="259"/>
      <c r="C4" s="260">
        <v>1</v>
      </c>
      <c r="D4" s="261">
        <f t="shared" ref="D4:J4" si="0">1+C4</f>
        <v>2</v>
      </c>
      <c r="E4" s="261">
        <f t="shared" si="0"/>
        <v>3</v>
      </c>
      <c r="F4" s="261">
        <f t="shared" si="0"/>
        <v>4</v>
      </c>
      <c r="G4" s="261">
        <f t="shared" si="0"/>
        <v>5</v>
      </c>
      <c r="H4" s="261">
        <f t="shared" si="0"/>
        <v>6</v>
      </c>
      <c r="I4" s="262">
        <f t="shared" si="0"/>
        <v>7</v>
      </c>
      <c r="J4" s="261">
        <f t="shared" si="0"/>
        <v>8</v>
      </c>
    </row>
    <row r="5" spans="1:10" s="438" customFormat="1" ht="14.25" customHeight="1" x14ac:dyDescent="0.2">
      <c r="A5" s="730"/>
      <c r="B5" s="730"/>
      <c r="C5" s="731" t="s">
        <v>1383</v>
      </c>
      <c r="D5" s="732" t="s">
        <v>233</v>
      </c>
      <c r="E5" s="732" t="s">
        <v>1405</v>
      </c>
      <c r="F5" s="732" t="s">
        <v>1384</v>
      </c>
      <c r="G5" s="732" t="s">
        <v>1385</v>
      </c>
      <c r="H5" s="732" t="s">
        <v>1406</v>
      </c>
      <c r="I5" s="732" t="s">
        <v>1386</v>
      </c>
      <c r="J5" s="732" t="s">
        <v>553</v>
      </c>
    </row>
    <row r="6" spans="1:10" s="438" customFormat="1" ht="11.25" hidden="1" x14ac:dyDescent="0.2">
      <c r="A6" s="730"/>
      <c r="B6" s="730"/>
      <c r="C6" s="731" t="s">
        <v>554</v>
      </c>
      <c r="D6" s="732" t="s">
        <v>554</v>
      </c>
      <c r="E6" s="732" t="s">
        <v>555</v>
      </c>
      <c r="F6" s="732" t="s">
        <v>554</v>
      </c>
      <c r="G6" s="732" t="s">
        <v>554</v>
      </c>
      <c r="H6" s="732" t="s">
        <v>555</v>
      </c>
      <c r="I6" s="732" t="s">
        <v>554</v>
      </c>
      <c r="J6" s="732" t="s">
        <v>555</v>
      </c>
    </row>
    <row r="7" spans="1:10" ht="16.899999999999999" customHeight="1" x14ac:dyDescent="0.2">
      <c r="A7" s="442">
        <v>1</v>
      </c>
      <c r="B7" s="444" t="s">
        <v>4</v>
      </c>
      <c r="C7" s="446">
        <f>'7_Local Revenue'!AF7</f>
        <v>11471237</v>
      </c>
      <c r="D7" s="446">
        <f>'7_Local Revenue'!H7</f>
        <v>384550087</v>
      </c>
      <c r="E7" s="446">
        <f t="shared" ref="E7:E38" si="1">ROUND(D7*$E$3/1000,0)</f>
        <v>5674610</v>
      </c>
      <c r="F7" s="446">
        <f>'7_Local Revenue'!AK7</f>
        <v>12645302</v>
      </c>
      <c r="G7" s="446">
        <f>'7_Local Revenue'!AO7</f>
        <v>843020133</v>
      </c>
      <c r="H7" s="446">
        <f t="shared" ref="H7:H38" si="2">ROUND(G7*$H$3,0)</f>
        <v>6144706</v>
      </c>
      <c r="I7" s="446">
        <f>'7_Local Revenue'!AR7</f>
        <v>497690</v>
      </c>
      <c r="J7" s="448">
        <f t="shared" ref="J7:J38" si="3">E7+H7+I7</f>
        <v>12317006</v>
      </c>
    </row>
    <row r="8" spans="1:10" ht="16.899999999999999" customHeight="1" x14ac:dyDescent="0.2">
      <c r="A8" s="47">
        <v>2</v>
      </c>
      <c r="B8" s="263" t="s">
        <v>5</v>
      </c>
      <c r="C8" s="49">
        <f>'7_Local Revenue'!AF8</f>
        <v>5247171</v>
      </c>
      <c r="D8" s="49">
        <f>'7_Local Revenue'!H8</f>
        <v>104135670.10000001</v>
      </c>
      <c r="E8" s="49">
        <f t="shared" si="1"/>
        <v>1536677</v>
      </c>
      <c r="F8" s="49">
        <f>'7_Local Revenue'!AK8</f>
        <v>7116432</v>
      </c>
      <c r="G8" s="49">
        <f>'7_Local Revenue'!AO8</f>
        <v>284657280</v>
      </c>
      <c r="H8" s="49">
        <f t="shared" si="2"/>
        <v>2074844</v>
      </c>
      <c r="I8" s="49">
        <f>'7_Local Revenue'!AR8</f>
        <v>87579</v>
      </c>
      <c r="J8" s="264">
        <f t="shared" si="3"/>
        <v>3699100</v>
      </c>
    </row>
    <row r="9" spans="1:10" ht="16.899999999999999" customHeight="1" x14ac:dyDescent="0.2">
      <c r="A9" s="47">
        <v>3</v>
      </c>
      <c r="B9" s="263" t="s">
        <v>6</v>
      </c>
      <c r="C9" s="49">
        <f>'7_Local Revenue'!AF9</f>
        <v>80979011</v>
      </c>
      <c r="D9" s="49">
        <f>'7_Local Revenue'!H9</f>
        <v>1315203755</v>
      </c>
      <c r="E9" s="49">
        <f t="shared" si="1"/>
        <v>19407791</v>
      </c>
      <c r="F9" s="49">
        <f>'7_Local Revenue'!AK9</f>
        <v>70144479</v>
      </c>
      <c r="G9" s="49">
        <f>'7_Local Revenue'!AO9</f>
        <v>3507223950</v>
      </c>
      <c r="H9" s="49">
        <f t="shared" si="2"/>
        <v>25563875</v>
      </c>
      <c r="I9" s="49">
        <f>'7_Local Revenue'!AR9</f>
        <v>203989</v>
      </c>
      <c r="J9" s="264">
        <f t="shared" si="3"/>
        <v>45175655</v>
      </c>
    </row>
    <row r="10" spans="1:10" ht="16.899999999999999" customHeight="1" x14ac:dyDescent="0.2">
      <c r="A10" s="47">
        <v>4</v>
      </c>
      <c r="B10" s="263" t="s">
        <v>7</v>
      </c>
      <c r="C10" s="49">
        <f>'7_Local Revenue'!AF10</f>
        <v>7699989</v>
      </c>
      <c r="D10" s="49">
        <f>'7_Local Revenue'!H10</f>
        <v>196416591.80000001</v>
      </c>
      <c r="E10" s="49">
        <f t="shared" si="1"/>
        <v>2898419</v>
      </c>
      <c r="F10" s="49">
        <f>'7_Local Revenue'!AK10</f>
        <v>7615348</v>
      </c>
      <c r="G10" s="49">
        <f>'7_Local Revenue'!AO10</f>
        <v>252029859.99999997</v>
      </c>
      <c r="H10" s="49">
        <f t="shared" si="2"/>
        <v>1837025</v>
      </c>
      <c r="I10" s="49">
        <f>'7_Local Revenue'!AR10</f>
        <v>105783</v>
      </c>
      <c r="J10" s="264">
        <f t="shared" si="3"/>
        <v>4841227</v>
      </c>
    </row>
    <row r="11" spans="1:10" ht="16.899999999999999" customHeight="1" x14ac:dyDescent="0.2">
      <c r="A11" s="443">
        <v>5</v>
      </c>
      <c r="B11" s="445" t="s">
        <v>8</v>
      </c>
      <c r="C11" s="447">
        <f>'7_Local Revenue'!AF11</f>
        <v>3412375</v>
      </c>
      <c r="D11" s="447">
        <f>'7_Local Revenue'!H11</f>
        <v>145204264</v>
      </c>
      <c r="E11" s="447">
        <f t="shared" si="1"/>
        <v>2142705</v>
      </c>
      <c r="F11" s="447">
        <f>'7_Local Revenue'!AK11</f>
        <v>7987577</v>
      </c>
      <c r="G11" s="447">
        <f>'7_Local Revenue'!AO11</f>
        <v>456432971</v>
      </c>
      <c r="H11" s="447">
        <f t="shared" si="2"/>
        <v>3326903</v>
      </c>
      <c r="I11" s="447">
        <f>'7_Local Revenue'!AR11</f>
        <v>407904</v>
      </c>
      <c r="J11" s="449">
        <f t="shared" si="3"/>
        <v>5877512</v>
      </c>
    </row>
    <row r="12" spans="1:10" ht="16.899999999999999" customHeight="1" x14ac:dyDescent="0.2">
      <c r="A12" s="442">
        <v>6</v>
      </c>
      <c r="B12" s="444" t="s">
        <v>9</v>
      </c>
      <c r="C12" s="446">
        <f>'7_Local Revenue'!AF12</f>
        <v>13653807</v>
      </c>
      <c r="D12" s="446">
        <f>'7_Local Revenue'!H12</f>
        <v>258074813.70000002</v>
      </c>
      <c r="E12" s="446">
        <f t="shared" si="1"/>
        <v>3808278</v>
      </c>
      <c r="F12" s="446">
        <f>'7_Local Revenue'!AK12</f>
        <v>10935838</v>
      </c>
      <c r="G12" s="446">
        <f>'7_Local Revenue'!AO12</f>
        <v>546791900</v>
      </c>
      <c r="H12" s="446">
        <f t="shared" si="2"/>
        <v>3985522</v>
      </c>
      <c r="I12" s="446">
        <f>'7_Local Revenue'!AR12</f>
        <v>323754</v>
      </c>
      <c r="J12" s="448">
        <f t="shared" si="3"/>
        <v>8117554</v>
      </c>
    </row>
    <row r="13" spans="1:10" ht="16.899999999999999" customHeight="1" x14ac:dyDescent="0.2">
      <c r="A13" s="47">
        <v>7</v>
      </c>
      <c r="B13" s="263" t="s">
        <v>10</v>
      </c>
      <c r="C13" s="49">
        <f>'7_Local Revenue'!AF13</f>
        <v>22917778</v>
      </c>
      <c r="D13" s="49">
        <f>'7_Local Revenue'!H13</f>
        <v>351463864</v>
      </c>
      <c r="E13" s="49">
        <f t="shared" si="1"/>
        <v>5186373</v>
      </c>
      <c r="F13" s="49">
        <f>'7_Local Revenue'!AK13</f>
        <v>4055962</v>
      </c>
      <c r="G13" s="49">
        <f>'7_Local Revenue'!AO13</f>
        <v>202798100</v>
      </c>
      <c r="H13" s="49">
        <f t="shared" si="2"/>
        <v>1478179</v>
      </c>
      <c r="I13" s="49">
        <f>'7_Local Revenue'!AR13</f>
        <v>125035</v>
      </c>
      <c r="J13" s="264">
        <f t="shared" si="3"/>
        <v>6789587</v>
      </c>
    </row>
    <row r="14" spans="1:10" ht="16.899999999999999" customHeight="1" x14ac:dyDescent="0.2">
      <c r="A14" s="47">
        <v>8</v>
      </c>
      <c r="B14" s="263" t="s">
        <v>11</v>
      </c>
      <c r="C14" s="49">
        <f>'7_Local Revenue'!AF14</f>
        <v>63828280</v>
      </c>
      <c r="D14" s="49">
        <f>'7_Local Revenue'!H14</f>
        <v>987115313</v>
      </c>
      <c r="E14" s="49">
        <f t="shared" si="1"/>
        <v>14566357</v>
      </c>
      <c r="F14" s="49">
        <f>'7_Local Revenue'!AK14</f>
        <v>47264606</v>
      </c>
      <c r="G14" s="49">
        <f>'7_Local Revenue'!AO14</f>
        <v>2700834629</v>
      </c>
      <c r="H14" s="49">
        <f t="shared" si="2"/>
        <v>19686168</v>
      </c>
      <c r="I14" s="49">
        <f>'7_Local Revenue'!AR14</f>
        <v>654046</v>
      </c>
      <c r="J14" s="264">
        <f t="shared" si="3"/>
        <v>34906571</v>
      </c>
    </row>
    <row r="15" spans="1:10" ht="16.899999999999999" customHeight="1" x14ac:dyDescent="0.2">
      <c r="A15" s="47">
        <v>9</v>
      </c>
      <c r="B15" s="263" t="s">
        <v>12</v>
      </c>
      <c r="C15" s="49">
        <f>'7_Local Revenue'!AF15</f>
        <v>131168067</v>
      </c>
      <c r="D15" s="49">
        <f>'7_Local Revenue'!H15</f>
        <v>1779917820</v>
      </c>
      <c r="E15" s="49">
        <f t="shared" si="1"/>
        <v>26265340</v>
      </c>
      <c r="F15" s="49">
        <f>'7_Local Revenue'!AK15</f>
        <v>79578095</v>
      </c>
      <c r="G15" s="49">
        <f>'7_Local Revenue'!AO15</f>
        <v>5305206333</v>
      </c>
      <c r="H15" s="49">
        <f t="shared" si="2"/>
        <v>38669225</v>
      </c>
      <c r="I15" s="49">
        <f>'7_Local Revenue'!AR15</f>
        <v>1976843</v>
      </c>
      <c r="J15" s="264">
        <f t="shared" si="3"/>
        <v>66911408</v>
      </c>
    </row>
    <row r="16" spans="1:10" ht="16.899999999999999" customHeight="1" x14ac:dyDescent="0.2">
      <c r="A16" s="443">
        <v>10</v>
      </c>
      <c r="B16" s="445" t="s">
        <v>13</v>
      </c>
      <c r="C16" s="447">
        <f>'7_Local Revenue'!AF16</f>
        <v>61742759</v>
      </c>
      <c r="D16" s="447">
        <f>'7_Local Revenue'!H16</f>
        <v>2242535002</v>
      </c>
      <c r="E16" s="447">
        <f t="shared" si="1"/>
        <v>33091945</v>
      </c>
      <c r="F16" s="447">
        <f>'7_Local Revenue'!AK16</f>
        <v>177229483</v>
      </c>
      <c r="G16" s="447">
        <f>'7_Local Revenue'!AO16</f>
        <v>7089179320</v>
      </c>
      <c r="H16" s="447">
        <f t="shared" si="2"/>
        <v>51672461</v>
      </c>
      <c r="I16" s="447">
        <f>'7_Local Revenue'!AR16</f>
        <v>1011329</v>
      </c>
      <c r="J16" s="449">
        <f t="shared" si="3"/>
        <v>85775735</v>
      </c>
    </row>
    <row r="17" spans="1:10" ht="16.899999999999999" customHeight="1" x14ac:dyDescent="0.2">
      <c r="A17" s="442">
        <v>11</v>
      </c>
      <c r="B17" s="444" t="s">
        <v>14</v>
      </c>
      <c r="C17" s="446">
        <f>'7_Local Revenue'!AF17</f>
        <v>3191511</v>
      </c>
      <c r="D17" s="446">
        <f>'7_Local Revenue'!H17</f>
        <v>61630077</v>
      </c>
      <c r="E17" s="446">
        <f t="shared" si="1"/>
        <v>909444</v>
      </c>
      <c r="F17" s="446">
        <f>'7_Local Revenue'!AK17</f>
        <v>2275194</v>
      </c>
      <c r="G17" s="446">
        <f>'7_Local Revenue'!AO17</f>
        <v>113759700</v>
      </c>
      <c r="H17" s="446">
        <f t="shared" si="2"/>
        <v>829185</v>
      </c>
      <c r="I17" s="446">
        <f>'7_Local Revenue'!AR17</f>
        <v>79041</v>
      </c>
      <c r="J17" s="448">
        <f t="shared" si="3"/>
        <v>1817670</v>
      </c>
    </row>
    <row r="18" spans="1:10" ht="16.899999999999999" customHeight="1" x14ac:dyDescent="0.2">
      <c r="A18" s="47">
        <v>12</v>
      </c>
      <c r="B18" s="263" t="s">
        <v>15</v>
      </c>
      <c r="C18" s="49">
        <f>'7_Local Revenue'!AF18</f>
        <v>9257377</v>
      </c>
      <c r="D18" s="49">
        <f>'7_Local Revenue'!H18</f>
        <v>255217824</v>
      </c>
      <c r="E18" s="49">
        <f t="shared" si="1"/>
        <v>3766119</v>
      </c>
      <c r="F18" s="49">
        <f>'7_Local Revenue'!AK18</f>
        <v>0</v>
      </c>
      <c r="G18" s="49">
        <f>'7_Local Revenue'!AO18</f>
        <v>255800540</v>
      </c>
      <c r="H18" s="49">
        <f t="shared" si="2"/>
        <v>1864510</v>
      </c>
      <c r="I18" s="49">
        <f>'7_Local Revenue'!AR18</f>
        <v>424273</v>
      </c>
      <c r="J18" s="264">
        <f t="shared" si="3"/>
        <v>6054902</v>
      </c>
    </row>
    <row r="19" spans="1:10" ht="16.899999999999999" customHeight="1" x14ac:dyDescent="0.2">
      <c r="A19" s="47">
        <v>13</v>
      </c>
      <c r="B19" s="263" t="s">
        <v>16</v>
      </c>
      <c r="C19" s="49">
        <f>'7_Local Revenue'!AF19</f>
        <v>907501</v>
      </c>
      <c r="D19" s="49">
        <f>'7_Local Revenue'!H19</f>
        <v>39278813</v>
      </c>
      <c r="E19" s="49">
        <f t="shared" si="1"/>
        <v>579617</v>
      </c>
      <c r="F19" s="49">
        <f>'7_Local Revenue'!AK19</f>
        <v>2635794</v>
      </c>
      <c r="G19" s="49">
        <f>'7_Local Revenue'!AO19</f>
        <v>87859800</v>
      </c>
      <c r="H19" s="49">
        <f t="shared" si="2"/>
        <v>640403</v>
      </c>
      <c r="I19" s="49">
        <f>'7_Local Revenue'!AR19</f>
        <v>126908</v>
      </c>
      <c r="J19" s="264">
        <f t="shared" si="3"/>
        <v>1346928</v>
      </c>
    </row>
    <row r="20" spans="1:10" ht="16.899999999999999" customHeight="1" x14ac:dyDescent="0.2">
      <c r="A20" s="47">
        <v>14</v>
      </c>
      <c r="B20" s="263" t="s">
        <v>17</v>
      </c>
      <c r="C20" s="49">
        <f>'7_Local Revenue'!AF20</f>
        <v>4331980</v>
      </c>
      <c r="D20" s="49">
        <f>'7_Local Revenue'!H20</f>
        <v>129045564</v>
      </c>
      <c r="E20" s="49">
        <f t="shared" si="1"/>
        <v>1904260</v>
      </c>
      <c r="F20" s="49">
        <f>'7_Local Revenue'!AK20</f>
        <v>2657604</v>
      </c>
      <c r="G20" s="49">
        <f>'7_Local Revenue'!AO20</f>
        <v>132880200</v>
      </c>
      <c r="H20" s="49">
        <f t="shared" si="2"/>
        <v>968553</v>
      </c>
      <c r="I20" s="49">
        <f>'7_Local Revenue'!AR20</f>
        <v>134454</v>
      </c>
      <c r="J20" s="264">
        <f t="shared" si="3"/>
        <v>3007267</v>
      </c>
    </row>
    <row r="21" spans="1:10" ht="16.899999999999999" customHeight="1" x14ac:dyDescent="0.2">
      <c r="A21" s="443">
        <v>15</v>
      </c>
      <c r="B21" s="445" t="s">
        <v>18</v>
      </c>
      <c r="C21" s="447">
        <f>'7_Local Revenue'!AF21</f>
        <v>5285222</v>
      </c>
      <c r="D21" s="447">
        <f>'7_Local Revenue'!H21</f>
        <v>131476860</v>
      </c>
      <c r="E21" s="447">
        <f t="shared" si="1"/>
        <v>1940137</v>
      </c>
      <c r="F21" s="447">
        <f>'7_Local Revenue'!AK21</f>
        <v>5451884</v>
      </c>
      <c r="G21" s="447">
        <f>'7_Local Revenue'!AO21</f>
        <v>272594200</v>
      </c>
      <c r="H21" s="447">
        <f t="shared" si="2"/>
        <v>1986917</v>
      </c>
      <c r="I21" s="447">
        <f>'7_Local Revenue'!AR21</f>
        <v>171272</v>
      </c>
      <c r="J21" s="449">
        <f t="shared" si="3"/>
        <v>4098326</v>
      </c>
    </row>
    <row r="22" spans="1:10" ht="16.899999999999999" customHeight="1" x14ac:dyDescent="0.2">
      <c r="A22" s="442">
        <v>16</v>
      </c>
      <c r="B22" s="444" t="s">
        <v>19</v>
      </c>
      <c r="C22" s="446">
        <f>'7_Local Revenue'!AF22</f>
        <v>41373928</v>
      </c>
      <c r="D22" s="446">
        <f>'7_Local Revenue'!H22</f>
        <v>692049158</v>
      </c>
      <c r="E22" s="446">
        <f t="shared" si="1"/>
        <v>10212216</v>
      </c>
      <c r="F22" s="446">
        <f>'7_Local Revenue'!AK22</f>
        <v>27642271</v>
      </c>
      <c r="G22" s="446">
        <f>'7_Local Revenue'!AO22</f>
        <v>1105690840</v>
      </c>
      <c r="H22" s="446">
        <f t="shared" si="2"/>
        <v>8059292</v>
      </c>
      <c r="I22" s="446">
        <f>'7_Local Revenue'!AR22</f>
        <v>768167</v>
      </c>
      <c r="J22" s="448">
        <f t="shared" si="3"/>
        <v>19039675</v>
      </c>
    </row>
    <row r="23" spans="1:10" ht="16.899999999999999" customHeight="1" x14ac:dyDescent="0.2">
      <c r="A23" s="47">
        <v>17</v>
      </c>
      <c r="B23" s="263" t="s">
        <v>20</v>
      </c>
      <c r="C23" s="49">
        <f>'7_Local Revenue'!AF23</f>
        <v>164280721</v>
      </c>
      <c r="D23" s="49">
        <f>'7_Local Revenue'!H23</f>
        <v>3767798005.4200001</v>
      </c>
      <c r="E23" s="49">
        <f t="shared" si="1"/>
        <v>55599474</v>
      </c>
      <c r="F23" s="49">
        <f>'7_Local Revenue'!AK23</f>
        <v>182207657</v>
      </c>
      <c r="G23" s="49">
        <f>'7_Local Revenue'!AO23</f>
        <v>9110382850</v>
      </c>
      <c r="H23" s="49">
        <f t="shared" si="2"/>
        <v>66404852</v>
      </c>
      <c r="I23" s="49">
        <f>'7_Local Revenue'!AR23</f>
        <v>4027183</v>
      </c>
      <c r="J23" s="264">
        <f t="shared" si="3"/>
        <v>126031509</v>
      </c>
    </row>
    <row r="24" spans="1:10" ht="16.899999999999999" customHeight="1" x14ac:dyDescent="0.2">
      <c r="A24" s="47">
        <v>18</v>
      </c>
      <c r="B24" s="263" t="s">
        <v>21</v>
      </c>
      <c r="C24" s="49">
        <f>'7_Local Revenue'!AF24</f>
        <v>731981</v>
      </c>
      <c r="D24" s="49">
        <f>'7_Local Revenue'!H24</f>
        <v>44614553</v>
      </c>
      <c r="E24" s="49">
        <f t="shared" si="1"/>
        <v>658354</v>
      </c>
      <c r="F24" s="49">
        <f>'7_Local Revenue'!AK24</f>
        <v>1727954</v>
      </c>
      <c r="G24" s="49">
        <f>'7_Local Revenue'!AO24</f>
        <v>57598467</v>
      </c>
      <c r="H24" s="49">
        <f t="shared" si="2"/>
        <v>419831</v>
      </c>
      <c r="I24" s="49">
        <f>'7_Local Revenue'!AR24</f>
        <v>192376</v>
      </c>
      <c r="J24" s="264">
        <f t="shared" si="3"/>
        <v>1270561</v>
      </c>
    </row>
    <row r="25" spans="1:10" ht="16.899999999999999" customHeight="1" x14ac:dyDescent="0.2">
      <c r="A25" s="47">
        <v>19</v>
      </c>
      <c r="B25" s="263" t="s">
        <v>22</v>
      </c>
      <c r="C25" s="49">
        <f>'7_Local Revenue'!AF25</f>
        <v>3683223</v>
      </c>
      <c r="D25" s="49">
        <f>'7_Local Revenue'!H25</f>
        <v>167161183.20000002</v>
      </c>
      <c r="E25" s="49">
        <f t="shared" si="1"/>
        <v>2466712</v>
      </c>
      <c r="F25" s="49">
        <f>'7_Local Revenue'!AK25</f>
        <v>3825792</v>
      </c>
      <c r="G25" s="49">
        <f>'7_Local Revenue'!AO25</f>
        <v>191289600</v>
      </c>
      <c r="H25" s="49">
        <f t="shared" si="2"/>
        <v>1394295</v>
      </c>
      <c r="I25" s="49">
        <f>'7_Local Revenue'!AR25</f>
        <v>49940</v>
      </c>
      <c r="J25" s="264">
        <f t="shared" si="3"/>
        <v>3910947</v>
      </c>
    </row>
    <row r="26" spans="1:10" ht="16.899999999999999" customHeight="1" x14ac:dyDescent="0.2">
      <c r="A26" s="443">
        <v>20</v>
      </c>
      <c r="B26" s="445" t="s">
        <v>23</v>
      </c>
      <c r="C26" s="447">
        <f>'7_Local Revenue'!AF26</f>
        <v>7318144</v>
      </c>
      <c r="D26" s="447">
        <f>'7_Local Revenue'!H26</f>
        <v>243046381</v>
      </c>
      <c r="E26" s="447">
        <f t="shared" si="1"/>
        <v>3586511</v>
      </c>
      <c r="F26" s="447">
        <f>'7_Local Revenue'!AK26</f>
        <v>7429042</v>
      </c>
      <c r="G26" s="447">
        <f>'7_Local Revenue'!AO26</f>
        <v>371452100</v>
      </c>
      <c r="H26" s="447">
        <f t="shared" si="2"/>
        <v>2707485</v>
      </c>
      <c r="I26" s="447">
        <f>'7_Local Revenue'!AR26</f>
        <v>411803</v>
      </c>
      <c r="J26" s="449">
        <f t="shared" si="3"/>
        <v>6705799</v>
      </c>
    </row>
    <row r="27" spans="1:10" ht="16.899999999999999" customHeight="1" x14ac:dyDescent="0.2">
      <c r="A27" s="442">
        <v>21</v>
      </c>
      <c r="B27" s="444" t="s">
        <v>24</v>
      </c>
      <c r="C27" s="446">
        <f>'7_Local Revenue'!AF27</f>
        <v>2596800</v>
      </c>
      <c r="D27" s="446">
        <f>'7_Local Revenue'!H27</f>
        <v>107786772</v>
      </c>
      <c r="E27" s="446">
        <f t="shared" si="1"/>
        <v>1590554</v>
      </c>
      <c r="F27" s="446">
        <f>'7_Local Revenue'!AK27</f>
        <v>5176733</v>
      </c>
      <c r="G27" s="446">
        <f>'7_Local Revenue'!AO27</f>
        <v>258836650</v>
      </c>
      <c r="H27" s="446">
        <f t="shared" si="2"/>
        <v>1886640</v>
      </c>
      <c r="I27" s="446">
        <f>'7_Local Revenue'!AR27</f>
        <v>80628</v>
      </c>
      <c r="J27" s="448">
        <f t="shared" si="3"/>
        <v>3557822</v>
      </c>
    </row>
    <row r="28" spans="1:10" ht="16.899999999999999" customHeight="1" x14ac:dyDescent="0.2">
      <c r="A28" s="47">
        <v>22</v>
      </c>
      <c r="B28" s="263" t="s">
        <v>25</v>
      </c>
      <c r="C28" s="49">
        <f>'7_Local Revenue'!AF28</f>
        <v>3259043</v>
      </c>
      <c r="D28" s="49">
        <f>'7_Local Revenue'!H28</f>
        <v>55363143.000000007</v>
      </c>
      <c r="E28" s="49">
        <f t="shared" si="1"/>
        <v>816966</v>
      </c>
      <c r="F28" s="49">
        <f>'7_Local Revenue'!AK28</f>
        <v>2641488</v>
      </c>
      <c r="G28" s="49">
        <f>'7_Local Revenue'!AO28</f>
        <v>132074400</v>
      </c>
      <c r="H28" s="49">
        <f t="shared" si="2"/>
        <v>962680</v>
      </c>
      <c r="I28" s="49">
        <f>'7_Local Revenue'!AR28</f>
        <v>441010</v>
      </c>
      <c r="J28" s="264">
        <f t="shared" si="3"/>
        <v>2220656</v>
      </c>
    </row>
    <row r="29" spans="1:10" ht="16.899999999999999" customHeight="1" x14ac:dyDescent="0.2">
      <c r="A29" s="47">
        <v>23</v>
      </c>
      <c r="B29" s="263" t="s">
        <v>26</v>
      </c>
      <c r="C29" s="49">
        <f>'7_Local Revenue'!AF29</f>
        <v>19435497</v>
      </c>
      <c r="D29" s="49">
        <f>'7_Local Revenue'!H29</f>
        <v>605492258</v>
      </c>
      <c r="E29" s="49">
        <f t="shared" si="1"/>
        <v>8934940</v>
      </c>
      <c r="F29" s="49">
        <f>'7_Local Revenue'!AK29</f>
        <v>25957369</v>
      </c>
      <c r="G29" s="49">
        <f>'7_Local Revenue'!AO29</f>
        <v>1297868450</v>
      </c>
      <c r="H29" s="49">
        <f t="shared" si="2"/>
        <v>9460059</v>
      </c>
      <c r="I29" s="49">
        <f>'7_Local Revenue'!AR29</f>
        <v>520287</v>
      </c>
      <c r="J29" s="264">
        <f t="shared" si="3"/>
        <v>18915286</v>
      </c>
    </row>
    <row r="30" spans="1:10" ht="16.899999999999999" customHeight="1" x14ac:dyDescent="0.2">
      <c r="A30" s="47">
        <v>24</v>
      </c>
      <c r="B30" s="263" t="s">
        <v>27</v>
      </c>
      <c r="C30" s="49">
        <f>'7_Local Revenue'!AF30</f>
        <v>34170720</v>
      </c>
      <c r="D30" s="49">
        <f>'7_Local Revenue'!H30</f>
        <v>594891280</v>
      </c>
      <c r="E30" s="49">
        <f t="shared" si="1"/>
        <v>8778507</v>
      </c>
      <c r="F30" s="49">
        <f>'7_Local Revenue'!AK30</f>
        <v>26063619</v>
      </c>
      <c r="G30" s="49">
        <f>'7_Local Revenue'!AO30</f>
        <v>1303180950</v>
      </c>
      <c r="H30" s="49">
        <f t="shared" si="2"/>
        <v>9498782</v>
      </c>
      <c r="I30" s="49">
        <f>'7_Local Revenue'!AR30</f>
        <v>137051</v>
      </c>
      <c r="J30" s="264">
        <f t="shared" si="3"/>
        <v>18414340</v>
      </c>
    </row>
    <row r="31" spans="1:10" ht="16.899999999999999" customHeight="1" x14ac:dyDescent="0.2">
      <c r="A31" s="443">
        <v>25</v>
      </c>
      <c r="B31" s="445" t="s">
        <v>28</v>
      </c>
      <c r="C31" s="447">
        <f>'7_Local Revenue'!AF31</f>
        <v>5533484</v>
      </c>
      <c r="D31" s="447">
        <f>'7_Local Revenue'!H31</f>
        <v>213236750</v>
      </c>
      <c r="E31" s="447">
        <f t="shared" si="1"/>
        <v>3146626</v>
      </c>
      <c r="F31" s="447">
        <f>'7_Local Revenue'!AK31</f>
        <v>5137992</v>
      </c>
      <c r="G31" s="447">
        <f>'7_Local Revenue'!AO31</f>
        <v>171266400</v>
      </c>
      <c r="H31" s="447">
        <f t="shared" si="2"/>
        <v>1248347</v>
      </c>
      <c r="I31" s="447">
        <f>'7_Local Revenue'!AR31</f>
        <v>88749</v>
      </c>
      <c r="J31" s="449">
        <f t="shared" si="3"/>
        <v>4483722</v>
      </c>
    </row>
    <row r="32" spans="1:10" ht="16.899999999999999" customHeight="1" x14ac:dyDescent="0.2">
      <c r="A32" s="442">
        <v>26</v>
      </c>
      <c r="B32" s="444" t="s">
        <v>29</v>
      </c>
      <c r="C32" s="446">
        <f>'7_Local Revenue'!AF32</f>
        <v>85064827</v>
      </c>
      <c r="D32" s="446">
        <f>'7_Local Revenue'!H32</f>
        <v>3718039200</v>
      </c>
      <c r="E32" s="446">
        <f t="shared" si="1"/>
        <v>54865208</v>
      </c>
      <c r="F32" s="446">
        <f>'7_Local Revenue'!AK32</f>
        <v>204699984</v>
      </c>
      <c r="G32" s="446">
        <f>'7_Local Revenue'!AO32</f>
        <v>10234999200</v>
      </c>
      <c r="H32" s="446">
        <f t="shared" si="2"/>
        <v>74602090</v>
      </c>
      <c r="I32" s="446">
        <f>'7_Local Revenue'!AR32</f>
        <v>1846710</v>
      </c>
      <c r="J32" s="448">
        <f t="shared" si="3"/>
        <v>131314008</v>
      </c>
    </row>
    <row r="33" spans="1:10" ht="16.899999999999999" customHeight="1" x14ac:dyDescent="0.2">
      <c r="A33" s="47">
        <v>27</v>
      </c>
      <c r="B33" s="263" t="s">
        <v>30</v>
      </c>
      <c r="C33" s="49">
        <f>'7_Local Revenue'!AF33</f>
        <v>8626692</v>
      </c>
      <c r="D33" s="49">
        <f>'7_Local Revenue'!H33</f>
        <v>221471933</v>
      </c>
      <c r="E33" s="49">
        <f t="shared" si="1"/>
        <v>3268148</v>
      </c>
      <c r="F33" s="49">
        <f>'7_Local Revenue'!AK33</f>
        <v>11337990</v>
      </c>
      <c r="G33" s="49">
        <f>'7_Local Revenue'!AO33</f>
        <v>453519600</v>
      </c>
      <c r="H33" s="49">
        <f t="shared" si="2"/>
        <v>3305668</v>
      </c>
      <c r="I33" s="49">
        <f>'7_Local Revenue'!AR33</f>
        <v>318956</v>
      </c>
      <c r="J33" s="264">
        <f t="shared" si="3"/>
        <v>6892772</v>
      </c>
    </row>
    <row r="34" spans="1:10" ht="16.899999999999999" customHeight="1" x14ac:dyDescent="0.2">
      <c r="A34" s="47">
        <v>28</v>
      </c>
      <c r="B34" s="263" t="s">
        <v>31</v>
      </c>
      <c r="C34" s="49">
        <f>'7_Local Revenue'!AF34</f>
        <v>73993911</v>
      </c>
      <c r="D34" s="49">
        <f>'7_Local Revenue'!H34</f>
        <v>2286166528</v>
      </c>
      <c r="E34" s="49">
        <f t="shared" si="1"/>
        <v>33735794</v>
      </c>
      <c r="F34" s="49">
        <f>'7_Local Revenue'!AK34</f>
        <v>117792765</v>
      </c>
      <c r="G34" s="49">
        <f>'7_Local Revenue'!AO34</f>
        <v>5889638250</v>
      </c>
      <c r="H34" s="49">
        <f t="shared" si="2"/>
        <v>42929102</v>
      </c>
      <c r="I34" s="49">
        <f>'7_Local Revenue'!AR34</f>
        <v>2441655</v>
      </c>
      <c r="J34" s="264">
        <f t="shared" si="3"/>
        <v>79106551</v>
      </c>
    </row>
    <row r="35" spans="1:10" ht="16.899999999999999" customHeight="1" x14ac:dyDescent="0.2">
      <c r="A35" s="47">
        <v>29</v>
      </c>
      <c r="B35" s="263" t="s">
        <v>32</v>
      </c>
      <c r="C35" s="49">
        <f>'7_Local Revenue'!AF35</f>
        <v>41086493</v>
      </c>
      <c r="D35" s="49">
        <f>'7_Local Revenue'!H35</f>
        <v>961662449</v>
      </c>
      <c r="E35" s="49">
        <f t="shared" si="1"/>
        <v>14190762</v>
      </c>
      <c r="F35" s="49">
        <f>'7_Local Revenue'!AK35</f>
        <v>30084691</v>
      </c>
      <c r="G35" s="49">
        <f>'7_Local Revenue'!AO35</f>
        <v>1504234550</v>
      </c>
      <c r="H35" s="49">
        <f t="shared" si="2"/>
        <v>10964245</v>
      </c>
      <c r="I35" s="49">
        <f>'7_Local Revenue'!AR35</f>
        <v>755829</v>
      </c>
      <c r="J35" s="264">
        <f t="shared" si="3"/>
        <v>25910836</v>
      </c>
    </row>
    <row r="36" spans="1:10" ht="16.899999999999999" customHeight="1" x14ac:dyDescent="0.2">
      <c r="A36" s="443">
        <v>30</v>
      </c>
      <c r="B36" s="445" t="s">
        <v>33</v>
      </c>
      <c r="C36" s="447">
        <f>'7_Local Revenue'!AF36</f>
        <v>3596784</v>
      </c>
      <c r="D36" s="447">
        <f>'7_Local Revenue'!H36</f>
        <v>82032600</v>
      </c>
      <c r="E36" s="447">
        <f t="shared" si="1"/>
        <v>1210513</v>
      </c>
      <c r="F36" s="447">
        <f>'7_Local Revenue'!AK36</f>
        <v>9033474</v>
      </c>
      <c r="G36" s="447">
        <f>'7_Local Revenue'!AO36</f>
        <v>270738557.94999999</v>
      </c>
      <c r="H36" s="447">
        <f t="shared" si="2"/>
        <v>1973392</v>
      </c>
      <c r="I36" s="447">
        <f>'7_Local Revenue'!AR36</f>
        <v>57409</v>
      </c>
      <c r="J36" s="449">
        <f t="shared" si="3"/>
        <v>3241314</v>
      </c>
    </row>
    <row r="37" spans="1:10" ht="16.899999999999999" customHeight="1" x14ac:dyDescent="0.2">
      <c r="A37" s="442">
        <v>31</v>
      </c>
      <c r="B37" s="444" t="s">
        <v>34</v>
      </c>
      <c r="C37" s="446">
        <f>'7_Local Revenue'!AF37</f>
        <v>20124690</v>
      </c>
      <c r="D37" s="446">
        <f>'7_Local Revenue'!H37</f>
        <v>471179353</v>
      </c>
      <c r="E37" s="446">
        <f t="shared" si="1"/>
        <v>6952953</v>
      </c>
      <c r="F37" s="446">
        <f>'7_Local Revenue'!AK37</f>
        <v>17792666</v>
      </c>
      <c r="G37" s="446">
        <f>'7_Local Revenue'!AO37</f>
        <v>889633300</v>
      </c>
      <c r="H37" s="446">
        <f t="shared" si="2"/>
        <v>6484466</v>
      </c>
      <c r="I37" s="446">
        <f>'7_Local Revenue'!AR37</f>
        <v>325212</v>
      </c>
      <c r="J37" s="448">
        <f t="shared" si="3"/>
        <v>13762631</v>
      </c>
    </row>
    <row r="38" spans="1:10" ht="16.899999999999999" customHeight="1" x14ac:dyDescent="0.2">
      <c r="A38" s="47">
        <v>32</v>
      </c>
      <c r="B38" s="263" t="s">
        <v>35</v>
      </c>
      <c r="C38" s="49">
        <f>'7_Local Revenue'!AF38</f>
        <v>18270090</v>
      </c>
      <c r="D38" s="49">
        <f>'7_Local Revenue'!H38</f>
        <v>539919105</v>
      </c>
      <c r="E38" s="49">
        <f t="shared" si="1"/>
        <v>7967311</v>
      </c>
      <c r="F38" s="49">
        <f>'7_Local Revenue'!AK38</f>
        <v>50287841</v>
      </c>
      <c r="G38" s="49">
        <f>'7_Local Revenue'!AO38</f>
        <v>2011513640</v>
      </c>
      <c r="H38" s="49">
        <f t="shared" si="2"/>
        <v>14661762</v>
      </c>
      <c r="I38" s="49">
        <f>'7_Local Revenue'!AR38</f>
        <v>981989</v>
      </c>
      <c r="J38" s="264">
        <f t="shared" si="3"/>
        <v>23611062</v>
      </c>
    </row>
    <row r="39" spans="1:10" ht="16.899999999999999" customHeight="1" x14ac:dyDescent="0.2">
      <c r="A39" s="47">
        <v>33</v>
      </c>
      <c r="B39" s="263" t="s">
        <v>36</v>
      </c>
      <c r="C39" s="49">
        <f>'7_Local Revenue'!AF39</f>
        <v>2311623</v>
      </c>
      <c r="D39" s="49">
        <f>'7_Local Revenue'!H39</f>
        <v>104841671</v>
      </c>
      <c r="E39" s="49">
        <f t="shared" ref="E39:E70" si="4">ROUND(D39*$E$3/1000,0)</f>
        <v>1547095</v>
      </c>
      <c r="F39" s="49">
        <f>'7_Local Revenue'!AK39</f>
        <v>3282361</v>
      </c>
      <c r="G39" s="49">
        <f>'7_Local Revenue'!AO39</f>
        <v>131294440</v>
      </c>
      <c r="H39" s="49">
        <f t="shared" ref="H39:H70" si="5">ROUND(G39*$H$3,0)</f>
        <v>956995</v>
      </c>
      <c r="I39" s="49">
        <f>'7_Local Revenue'!AR39</f>
        <v>124677</v>
      </c>
      <c r="J39" s="264">
        <f t="shared" ref="J39:J70" si="6">E39+H39+I39</f>
        <v>2628767</v>
      </c>
    </row>
    <row r="40" spans="1:10" ht="16.899999999999999" customHeight="1" x14ac:dyDescent="0.2">
      <c r="A40" s="47">
        <v>34</v>
      </c>
      <c r="B40" s="263" t="s">
        <v>37</v>
      </c>
      <c r="C40" s="49">
        <f>'7_Local Revenue'!AF40</f>
        <v>5601296</v>
      </c>
      <c r="D40" s="49">
        <f>'7_Local Revenue'!H40</f>
        <v>146054449</v>
      </c>
      <c r="E40" s="49">
        <f t="shared" si="4"/>
        <v>2155251</v>
      </c>
      <c r="F40" s="49">
        <f>'7_Local Revenue'!AK40</f>
        <v>5989734</v>
      </c>
      <c r="G40" s="49">
        <f>'7_Local Revenue'!AO40</f>
        <v>299486700</v>
      </c>
      <c r="H40" s="49">
        <f t="shared" si="5"/>
        <v>2182935</v>
      </c>
      <c r="I40" s="49">
        <f>'7_Local Revenue'!AR40</f>
        <v>213177</v>
      </c>
      <c r="J40" s="264">
        <f>E40+H40+I40</f>
        <v>4551363</v>
      </c>
    </row>
    <row r="41" spans="1:10" ht="16.899999999999999" customHeight="1" x14ac:dyDescent="0.2">
      <c r="A41" s="443">
        <v>35</v>
      </c>
      <c r="B41" s="445" t="s">
        <v>38</v>
      </c>
      <c r="C41" s="447">
        <f>'7_Local Revenue'!AF41</f>
        <v>9322050</v>
      </c>
      <c r="D41" s="447">
        <f>'7_Local Revenue'!H41</f>
        <v>351040926</v>
      </c>
      <c r="E41" s="447">
        <f t="shared" si="4"/>
        <v>5180132</v>
      </c>
      <c r="F41" s="447">
        <f>'7_Local Revenue'!AK41</f>
        <v>15758220</v>
      </c>
      <c r="G41" s="447">
        <f>'7_Local Revenue'!AO41</f>
        <v>630328800</v>
      </c>
      <c r="H41" s="447">
        <f t="shared" si="5"/>
        <v>4594416</v>
      </c>
      <c r="I41" s="447">
        <f>'7_Local Revenue'!AR41</f>
        <v>705915</v>
      </c>
      <c r="J41" s="449">
        <f t="shared" si="6"/>
        <v>10480463</v>
      </c>
    </row>
    <row r="42" spans="1:10" s="82" customFormat="1" ht="16.899999999999999" customHeight="1" x14ac:dyDescent="0.2">
      <c r="A42" s="442">
        <v>36</v>
      </c>
      <c r="B42" s="444" t="s">
        <v>39</v>
      </c>
      <c r="C42" s="446">
        <f>'7_Local Revenue'!AF42</f>
        <v>173510889</v>
      </c>
      <c r="D42" s="446">
        <f>'7_Local Revenue'!H42</f>
        <v>3868662170</v>
      </c>
      <c r="E42" s="446">
        <f t="shared" si="4"/>
        <v>57087875</v>
      </c>
      <c r="F42" s="446">
        <f>'7_Local Revenue'!AK42</f>
        <v>148006505</v>
      </c>
      <c r="G42" s="446">
        <f>'7_Local Revenue'!AO42</f>
        <v>9867100333</v>
      </c>
      <c r="H42" s="446">
        <f t="shared" si="5"/>
        <v>71920505</v>
      </c>
      <c r="I42" s="446">
        <f>'7_Local Revenue'!AR42</f>
        <v>2839663</v>
      </c>
      <c r="J42" s="448">
        <f t="shared" si="6"/>
        <v>131848043</v>
      </c>
    </row>
    <row r="43" spans="1:10" s="82" customFormat="1" ht="16.899999999999999" customHeight="1" x14ac:dyDescent="0.2">
      <c r="A43" s="47">
        <v>37</v>
      </c>
      <c r="B43" s="263" t="s">
        <v>40</v>
      </c>
      <c r="C43" s="49">
        <f>'7_Local Revenue'!AF43</f>
        <v>29104114</v>
      </c>
      <c r="D43" s="49">
        <f>'7_Local Revenue'!H43</f>
        <v>719506535</v>
      </c>
      <c r="E43" s="49">
        <f t="shared" si="4"/>
        <v>10617391</v>
      </c>
      <c r="F43" s="49">
        <f>'7_Local Revenue'!AK43</f>
        <v>45653738</v>
      </c>
      <c r="G43" s="49">
        <f>'7_Local Revenue'!AO43</f>
        <v>1521791267</v>
      </c>
      <c r="H43" s="49">
        <f t="shared" si="5"/>
        <v>11092215</v>
      </c>
      <c r="I43" s="49">
        <f>'7_Local Revenue'!AR43</f>
        <v>813252</v>
      </c>
      <c r="J43" s="264">
        <f t="shared" si="6"/>
        <v>22522858</v>
      </c>
    </row>
    <row r="44" spans="1:10" s="82" customFormat="1" ht="16.899999999999999" customHeight="1" x14ac:dyDescent="0.2">
      <c r="A44" s="47">
        <v>38</v>
      </c>
      <c r="B44" s="263" t="s">
        <v>41</v>
      </c>
      <c r="C44" s="49">
        <f>'7_Local Revenue'!AF44</f>
        <v>25979625</v>
      </c>
      <c r="D44" s="49">
        <f>'7_Local Revenue'!H44</f>
        <v>985281976</v>
      </c>
      <c r="E44" s="49">
        <f t="shared" si="4"/>
        <v>14539304</v>
      </c>
      <c r="F44" s="49">
        <f>'7_Local Revenue'!AK44</f>
        <v>16883890</v>
      </c>
      <c r="G44" s="49">
        <f>'7_Local Revenue'!AO44</f>
        <v>675355600</v>
      </c>
      <c r="H44" s="49">
        <f t="shared" si="5"/>
        <v>4922613</v>
      </c>
      <c r="I44" s="49">
        <f>'7_Local Revenue'!AR44</f>
        <v>94633</v>
      </c>
      <c r="J44" s="264">
        <f t="shared" si="6"/>
        <v>19556550</v>
      </c>
    </row>
    <row r="45" spans="1:10" s="82" customFormat="1" ht="16.899999999999999" customHeight="1" x14ac:dyDescent="0.2">
      <c r="A45" s="47">
        <v>39</v>
      </c>
      <c r="B45" s="263" t="s">
        <v>42</v>
      </c>
      <c r="C45" s="49">
        <f>'7_Local Revenue'!AF45</f>
        <v>8104568</v>
      </c>
      <c r="D45" s="49">
        <f>'7_Local Revenue'!H45</f>
        <v>492536593</v>
      </c>
      <c r="E45" s="49">
        <f t="shared" si="4"/>
        <v>7268111</v>
      </c>
      <c r="F45" s="49">
        <f>'7_Local Revenue'!AK45</f>
        <v>7018036</v>
      </c>
      <c r="G45" s="49">
        <f>'7_Local Revenue'!AO45</f>
        <v>350901800</v>
      </c>
      <c r="H45" s="49">
        <f t="shared" si="5"/>
        <v>2557695</v>
      </c>
      <c r="I45" s="49">
        <f>'7_Local Revenue'!AR45</f>
        <v>154406</v>
      </c>
      <c r="J45" s="264">
        <f t="shared" si="6"/>
        <v>9980212</v>
      </c>
    </row>
    <row r="46" spans="1:10" s="82" customFormat="1" ht="16.899999999999999" customHeight="1" x14ac:dyDescent="0.2">
      <c r="A46" s="443">
        <v>40</v>
      </c>
      <c r="B46" s="445" t="s">
        <v>43</v>
      </c>
      <c r="C46" s="447">
        <f>'7_Local Revenue'!AF46</f>
        <v>40312143</v>
      </c>
      <c r="D46" s="447">
        <f>'7_Local Revenue'!H46</f>
        <v>844277422</v>
      </c>
      <c r="E46" s="447">
        <f t="shared" si="4"/>
        <v>12458571</v>
      </c>
      <c r="F46" s="447">
        <f>'7_Local Revenue'!AK46</f>
        <v>51970756</v>
      </c>
      <c r="G46" s="447">
        <f>'7_Local Revenue'!AO46</f>
        <v>2598537800</v>
      </c>
      <c r="H46" s="447">
        <f t="shared" si="5"/>
        <v>18940534</v>
      </c>
      <c r="I46" s="447">
        <f>'7_Local Revenue'!AR46</f>
        <v>994907</v>
      </c>
      <c r="J46" s="449">
        <f t="shared" si="6"/>
        <v>32394012</v>
      </c>
    </row>
    <row r="47" spans="1:10" s="82" customFormat="1" ht="16.899999999999999" customHeight="1" x14ac:dyDescent="0.2">
      <c r="A47" s="442">
        <v>41</v>
      </c>
      <c r="B47" s="444" t="s">
        <v>44</v>
      </c>
      <c r="C47" s="446">
        <f>'7_Local Revenue'!AF47</f>
        <v>12183435</v>
      </c>
      <c r="D47" s="446">
        <f>'7_Local Revenue'!H47</f>
        <v>231410490</v>
      </c>
      <c r="E47" s="446">
        <f t="shared" si="4"/>
        <v>3414807</v>
      </c>
      <c r="F47" s="446">
        <f>'7_Local Revenue'!AK47</f>
        <v>4808006</v>
      </c>
      <c r="G47" s="446">
        <f>'7_Local Revenue'!AO47</f>
        <v>240400300</v>
      </c>
      <c r="H47" s="446">
        <f t="shared" si="5"/>
        <v>1752259</v>
      </c>
      <c r="I47" s="446">
        <f>'7_Local Revenue'!AR47</f>
        <v>78773</v>
      </c>
      <c r="J47" s="448">
        <f t="shared" si="6"/>
        <v>5245839</v>
      </c>
    </row>
    <row r="48" spans="1:10" s="82" customFormat="1" ht="16.899999999999999" customHeight="1" x14ac:dyDescent="0.2">
      <c r="A48" s="47">
        <v>42</v>
      </c>
      <c r="B48" s="263" t="s">
        <v>45</v>
      </c>
      <c r="C48" s="49">
        <f>'7_Local Revenue'!AF48</f>
        <v>6790069</v>
      </c>
      <c r="D48" s="49">
        <f>'7_Local Revenue'!H48</f>
        <v>209961729</v>
      </c>
      <c r="E48" s="49">
        <f t="shared" si="4"/>
        <v>3098298</v>
      </c>
      <c r="F48" s="49">
        <f>'7_Local Revenue'!AK48</f>
        <v>6207098</v>
      </c>
      <c r="G48" s="49">
        <f>'7_Local Revenue'!AO48</f>
        <v>310354900</v>
      </c>
      <c r="H48" s="49">
        <f t="shared" si="5"/>
        <v>2262152</v>
      </c>
      <c r="I48" s="49">
        <f>'7_Local Revenue'!AR48</f>
        <v>213876</v>
      </c>
      <c r="J48" s="264">
        <f t="shared" si="6"/>
        <v>5574326</v>
      </c>
    </row>
    <row r="49" spans="1:10" s="82" customFormat="1" ht="16.899999999999999" customHeight="1" x14ac:dyDescent="0.2">
      <c r="A49" s="47">
        <v>43</v>
      </c>
      <c r="B49" s="263" t="s">
        <v>46</v>
      </c>
      <c r="C49" s="49">
        <f>'7_Local Revenue'!AF49</f>
        <v>6676651</v>
      </c>
      <c r="D49" s="49">
        <f>'7_Local Revenue'!H49</f>
        <v>180028223</v>
      </c>
      <c r="E49" s="49">
        <f t="shared" si="4"/>
        <v>2656585</v>
      </c>
      <c r="F49" s="49">
        <f>'7_Local Revenue'!AK49</f>
        <v>11328604</v>
      </c>
      <c r="G49" s="49">
        <f>'7_Local Revenue'!AO49</f>
        <v>446383677.99999994</v>
      </c>
      <c r="H49" s="49">
        <f t="shared" si="5"/>
        <v>3253655</v>
      </c>
      <c r="I49" s="49">
        <f>'7_Local Revenue'!AR49</f>
        <v>149536</v>
      </c>
      <c r="J49" s="264">
        <f t="shared" si="6"/>
        <v>6059776</v>
      </c>
    </row>
    <row r="50" spans="1:10" s="82" customFormat="1" ht="16.899999999999999" customHeight="1" x14ac:dyDescent="0.2">
      <c r="A50" s="47">
        <v>44</v>
      </c>
      <c r="B50" s="263" t="s">
        <v>47</v>
      </c>
      <c r="C50" s="49">
        <f>'7_Local Revenue'!AF50</f>
        <v>14286650</v>
      </c>
      <c r="D50" s="49">
        <f>'7_Local Revenue'!H50</f>
        <v>342956418.20000005</v>
      </c>
      <c r="E50" s="49">
        <f t="shared" si="4"/>
        <v>5060833</v>
      </c>
      <c r="F50" s="49">
        <f>'7_Local Revenue'!AK50</f>
        <v>15351712</v>
      </c>
      <c r="G50" s="49">
        <f>'7_Local Revenue'!AO50</f>
        <v>767585600</v>
      </c>
      <c r="H50" s="49">
        <f t="shared" si="5"/>
        <v>5594870</v>
      </c>
      <c r="I50" s="49">
        <f>'7_Local Revenue'!AR50</f>
        <v>118458</v>
      </c>
      <c r="J50" s="264">
        <f t="shared" si="6"/>
        <v>10774161</v>
      </c>
    </row>
    <row r="51" spans="1:10" ht="16.899999999999999" customHeight="1" x14ac:dyDescent="0.2">
      <c r="A51" s="443">
        <v>45</v>
      </c>
      <c r="B51" s="445" t="s">
        <v>48</v>
      </c>
      <c r="C51" s="447">
        <f>'7_Local Revenue'!AF51</f>
        <v>78099493</v>
      </c>
      <c r="D51" s="447">
        <f>'7_Local Revenue'!H51</f>
        <v>1394828729.8000002</v>
      </c>
      <c r="E51" s="447">
        <f t="shared" si="4"/>
        <v>20582776</v>
      </c>
      <c r="F51" s="447">
        <f>'7_Local Revenue'!AK51</f>
        <v>56750746</v>
      </c>
      <c r="G51" s="447">
        <f>'7_Local Revenue'!AO51</f>
        <v>1891691533</v>
      </c>
      <c r="H51" s="447">
        <f t="shared" si="5"/>
        <v>13788388</v>
      </c>
      <c r="I51" s="447">
        <f>'7_Local Revenue'!AR51</f>
        <v>277937</v>
      </c>
      <c r="J51" s="449">
        <f t="shared" si="6"/>
        <v>34649101</v>
      </c>
    </row>
    <row r="52" spans="1:10" ht="16.899999999999999" customHeight="1" x14ac:dyDescent="0.2">
      <c r="A52" s="442">
        <v>46</v>
      </c>
      <c r="B52" s="444" t="s">
        <v>49</v>
      </c>
      <c r="C52" s="446">
        <f>'7_Local Revenue'!AF52</f>
        <v>2028231</v>
      </c>
      <c r="D52" s="446">
        <f>'7_Local Revenue'!H52</f>
        <v>47131910</v>
      </c>
      <c r="E52" s="446">
        <f t="shared" si="4"/>
        <v>695502</v>
      </c>
      <c r="F52" s="446">
        <f>'7_Local Revenue'!AK52</f>
        <v>1544552</v>
      </c>
      <c r="G52" s="446">
        <f>'7_Local Revenue'!AO52</f>
        <v>77227600</v>
      </c>
      <c r="H52" s="446">
        <f t="shared" si="5"/>
        <v>562906</v>
      </c>
      <c r="I52" s="446">
        <f>'7_Local Revenue'!AR52</f>
        <v>31491</v>
      </c>
      <c r="J52" s="448">
        <f t="shared" si="6"/>
        <v>1289899</v>
      </c>
    </row>
    <row r="53" spans="1:10" ht="16.899999999999999" customHeight="1" x14ac:dyDescent="0.2">
      <c r="A53" s="47">
        <v>47</v>
      </c>
      <c r="B53" s="263" t="s">
        <v>50</v>
      </c>
      <c r="C53" s="49">
        <f>'7_Local Revenue'!AF53</f>
        <v>27315066</v>
      </c>
      <c r="D53" s="49">
        <f>'7_Local Revenue'!H53</f>
        <v>600306530</v>
      </c>
      <c r="E53" s="49">
        <f t="shared" si="4"/>
        <v>8858417</v>
      </c>
      <c r="F53" s="49">
        <f>'7_Local Revenue'!AK53</f>
        <v>25806278</v>
      </c>
      <c r="G53" s="49">
        <f>'7_Local Revenue'!AO53</f>
        <v>903671195.99999988</v>
      </c>
      <c r="H53" s="49">
        <f t="shared" si="5"/>
        <v>6586787</v>
      </c>
      <c r="I53" s="49">
        <f>'7_Local Revenue'!AR53</f>
        <v>70987</v>
      </c>
      <c r="J53" s="264">
        <f t="shared" si="6"/>
        <v>15516191</v>
      </c>
    </row>
    <row r="54" spans="1:10" ht="16.899999999999999" customHeight="1" x14ac:dyDescent="0.2">
      <c r="A54" s="47">
        <v>48</v>
      </c>
      <c r="B54" s="263" t="s">
        <v>73</v>
      </c>
      <c r="C54" s="49">
        <f>'7_Local Revenue'!AF54</f>
        <v>15782160</v>
      </c>
      <c r="D54" s="49">
        <f>'7_Local Revenue'!H54</f>
        <v>450710689</v>
      </c>
      <c r="E54" s="49">
        <f t="shared" si="4"/>
        <v>6650908</v>
      </c>
      <c r="F54" s="49">
        <f>'7_Local Revenue'!AK54</f>
        <v>25904818</v>
      </c>
      <c r="G54" s="49">
        <f>'7_Local Revenue'!AO54</f>
        <v>1036192720</v>
      </c>
      <c r="H54" s="49">
        <f t="shared" si="5"/>
        <v>7552726</v>
      </c>
      <c r="I54" s="49">
        <f>'7_Local Revenue'!AR54</f>
        <v>271406</v>
      </c>
      <c r="J54" s="264">
        <f t="shared" si="6"/>
        <v>14475040</v>
      </c>
    </row>
    <row r="55" spans="1:10" ht="16.899999999999999" customHeight="1" x14ac:dyDescent="0.2">
      <c r="A55" s="47">
        <v>49</v>
      </c>
      <c r="B55" s="263" t="s">
        <v>51</v>
      </c>
      <c r="C55" s="49">
        <f>'7_Local Revenue'!AF55</f>
        <v>13158054</v>
      </c>
      <c r="D55" s="49">
        <f>'7_Local Revenue'!H55</f>
        <v>646362712</v>
      </c>
      <c r="E55" s="49">
        <f t="shared" si="4"/>
        <v>9538045</v>
      </c>
      <c r="F55" s="49">
        <f>'7_Local Revenue'!AK55</f>
        <v>23570797</v>
      </c>
      <c r="G55" s="49">
        <f>'7_Local Revenue'!AO55</f>
        <v>1178539850</v>
      </c>
      <c r="H55" s="49">
        <f t="shared" si="5"/>
        <v>8590283</v>
      </c>
      <c r="I55" s="49">
        <f>'7_Local Revenue'!AR55</f>
        <v>591771</v>
      </c>
      <c r="J55" s="264">
        <f t="shared" si="6"/>
        <v>18720099</v>
      </c>
    </row>
    <row r="56" spans="1:10" ht="16.899999999999999" customHeight="1" x14ac:dyDescent="0.2">
      <c r="A56" s="443">
        <v>50</v>
      </c>
      <c r="B56" s="445" t="s">
        <v>52</v>
      </c>
      <c r="C56" s="447">
        <f>'7_Local Revenue'!AF56</f>
        <v>12767564</v>
      </c>
      <c r="D56" s="447">
        <f>'7_Local Revenue'!H56</f>
        <v>385050480</v>
      </c>
      <c r="E56" s="447">
        <f t="shared" si="4"/>
        <v>5681994</v>
      </c>
      <c r="F56" s="447">
        <f>'7_Local Revenue'!AK56</f>
        <v>16117594</v>
      </c>
      <c r="G56" s="447">
        <f>'7_Local Revenue'!AO56</f>
        <v>805879700</v>
      </c>
      <c r="H56" s="447">
        <f t="shared" si="5"/>
        <v>5873993</v>
      </c>
      <c r="I56" s="447">
        <f>'7_Local Revenue'!AR56</f>
        <v>317302</v>
      </c>
      <c r="J56" s="449">
        <f t="shared" si="6"/>
        <v>11873289</v>
      </c>
    </row>
    <row r="57" spans="1:10" ht="16.899999999999999" customHeight="1" x14ac:dyDescent="0.2">
      <c r="A57" s="442">
        <v>51</v>
      </c>
      <c r="B57" s="444" t="s">
        <v>53</v>
      </c>
      <c r="C57" s="446">
        <f>'7_Local Revenue'!AF57</f>
        <v>22049409</v>
      </c>
      <c r="D57" s="446">
        <f>'7_Local Revenue'!H57</f>
        <v>592836446</v>
      </c>
      <c r="E57" s="446">
        <f t="shared" si="4"/>
        <v>8748185</v>
      </c>
      <c r="F57" s="446">
        <f>'7_Local Revenue'!AK57</f>
        <v>15042514</v>
      </c>
      <c r="G57" s="446">
        <f>'7_Local Revenue'!AO57</f>
        <v>859572229</v>
      </c>
      <c r="H57" s="446">
        <f t="shared" si="5"/>
        <v>6265353</v>
      </c>
      <c r="I57" s="446">
        <f>'7_Local Revenue'!AR57</f>
        <v>537113</v>
      </c>
      <c r="J57" s="448">
        <f t="shared" si="6"/>
        <v>15550651</v>
      </c>
    </row>
    <row r="58" spans="1:10" ht="16.899999999999999" customHeight="1" x14ac:dyDescent="0.2">
      <c r="A58" s="47">
        <v>52</v>
      </c>
      <c r="B58" s="263" t="s">
        <v>54</v>
      </c>
      <c r="C58" s="49">
        <f>'7_Local Revenue'!AF58</f>
        <v>132313585</v>
      </c>
      <c r="D58" s="49">
        <f>'7_Local Revenue'!H58</f>
        <v>2069008313</v>
      </c>
      <c r="E58" s="49">
        <f t="shared" si="4"/>
        <v>30531300</v>
      </c>
      <c r="F58" s="49">
        <f>'7_Local Revenue'!AK58</f>
        <v>102644290</v>
      </c>
      <c r="G58" s="49">
        <f>'7_Local Revenue'!AO58</f>
        <v>5132214500</v>
      </c>
      <c r="H58" s="49">
        <f t="shared" si="5"/>
        <v>37408301</v>
      </c>
      <c r="I58" s="49">
        <f>'7_Local Revenue'!AR58</f>
        <v>2013937</v>
      </c>
      <c r="J58" s="264">
        <f t="shared" si="6"/>
        <v>69953538</v>
      </c>
    </row>
    <row r="59" spans="1:10" ht="16.899999999999999" customHeight="1" x14ac:dyDescent="0.2">
      <c r="A59" s="47">
        <v>53</v>
      </c>
      <c r="B59" s="263" t="s">
        <v>55</v>
      </c>
      <c r="C59" s="49">
        <f>'7_Local Revenue'!AF59</f>
        <v>7249694</v>
      </c>
      <c r="D59" s="49">
        <f>'7_Local Revenue'!H59</f>
        <v>582087471</v>
      </c>
      <c r="E59" s="49">
        <f t="shared" si="4"/>
        <v>8589568</v>
      </c>
      <c r="F59" s="49">
        <f>'7_Local Revenue'!AK59</f>
        <v>44742210</v>
      </c>
      <c r="G59" s="49">
        <f>'7_Local Revenue'!AO59</f>
        <v>2237110500</v>
      </c>
      <c r="H59" s="49">
        <f t="shared" si="5"/>
        <v>16306119</v>
      </c>
      <c r="I59" s="49">
        <f>'7_Local Revenue'!AR59</f>
        <v>247014</v>
      </c>
      <c r="J59" s="264">
        <f t="shared" si="6"/>
        <v>25142701</v>
      </c>
    </row>
    <row r="60" spans="1:10" ht="16.899999999999999" customHeight="1" x14ac:dyDescent="0.2">
      <c r="A60" s="47">
        <v>54</v>
      </c>
      <c r="B60" s="263" t="s">
        <v>56</v>
      </c>
      <c r="C60" s="49">
        <f>'7_Local Revenue'!AF60</f>
        <v>2105044.75</v>
      </c>
      <c r="D60" s="49">
        <f>'7_Local Revenue'!H60</f>
        <v>55211229</v>
      </c>
      <c r="E60" s="49">
        <f t="shared" si="4"/>
        <v>814724</v>
      </c>
      <c r="F60" s="49">
        <f>'7_Local Revenue'!AK60</f>
        <v>743696</v>
      </c>
      <c r="G60" s="49">
        <f>'7_Local Revenue'!AO60</f>
        <v>49579733</v>
      </c>
      <c r="H60" s="49">
        <f t="shared" si="5"/>
        <v>361383</v>
      </c>
      <c r="I60" s="49">
        <f>'7_Local Revenue'!AR60</f>
        <v>28217</v>
      </c>
      <c r="J60" s="264">
        <f t="shared" si="6"/>
        <v>1204324</v>
      </c>
    </row>
    <row r="61" spans="1:10" ht="16.899999999999999" customHeight="1" x14ac:dyDescent="0.2">
      <c r="A61" s="443">
        <v>55</v>
      </c>
      <c r="B61" s="445" t="s">
        <v>57</v>
      </c>
      <c r="C61" s="447">
        <f>'7_Local Revenue'!AF61</f>
        <v>8704915</v>
      </c>
      <c r="D61" s="447">
        <f>'7_Local Revenue'!H61</f>
        <v>948226968</v>
      </c>
      <c r="E61" s="447">
        <f t="shared" si="4"/>
        <v>13992502</v>
      </c>
      <c r="F61" s="447">
        <f>'7_Local Revenue'!AK61</f>
        <v>56643112</v>
      </c>
      <c r="G61" s="447">
        <f>'7_Local Revenue'!AO61</f>
        <v>2195469457</v>
      </c>
      <c r="H61" s="447">
        <f t="shared" si="5"/>
        <v>16002601</v>
      </c>
      <c r="I61" s="447">
        <f>'7_Local Revenue'!AR61</f>
        <v>348455</v>
      </c>
      <c r="J61" s="449">
        <f t="shared" si="6"/>
        <v>30343558</v>
      </c>
    </row>
    <row r="62" spans="1:10" ht="16.899999999999999" customHeight="1" x14ac:dyDescent="0.2">
      <c r="A62" s="442">
        <v>56</v>
      </c>
      <c r="B62" s="444" t="s">
        <v>58</v>
      </c>
      <c r="C62" s="446">
        <f>'7_Local Revenue'!AF62</f>
        <v>5226933</v>
      </c>
      <c r="D62" s="446">
        <f>'7_Local Revenue'!H62</f>
        <v>152980207</v>
      </c>
      <c r="E62" s="446">
        <f t="shared" si="4"/>
        <v>2257451</v>
      </c>
      <c r="F62" s="446">
        <f>'7_Local Revenue'!AK62</f>
        <v>7479384</v>
      </c>
      <c r="G62" s="446">
        <f>'7_Local Revenue'!AO62</f>
        <v>249312800</v>
      </c>
      <c r="H62" s="446">
        <f t="shared" si="5"/>
        <v>1817221</v>
      </c>
      <c r="I62" s="446">
        <f>'7_Local Revenue'!AR62</f>
        <v>101549</v>
      </c>
      <c r="J62" s="448">
        <f t="shared" si="6"/>
        <v>4176221</v>
      </c>
    </row>
    <row r="63" spans="1:10" ht="16.899999999999999" customHeight="1" x14ac:dyDescent="0.2">
      <c r="A63" s="47">
        <v>57</v>
      </c>
      <c r="B63" s="263" t="s">
        <v>59</v>
      </c>
      <c r="C63" s="49">
        <f>'7_Local Revenue'!AF63</f>
        <v>12138271</v>
      </c>
      <c r="D63" s="49">
        <f>'7_Local Revenue'!H63</f>
        <v>312323359</v>
      </c>
      <c r="E63" s="49">
        <f t="shared" si="4"/>
        <v>4608797</v>
      </c>
      <c r="F63" s="49">
        <f>'7_Local Revenue'!AK63</f>
        <v>11142376</v>
      </c>
      <c r="G63" s="49">
        <f>'7_Local Revenue'!AO63</f>
        <v>742825067</v>
      </c>
      <c r="H63" s="49">
        <f t="shared" si="5"/>
        <v>5414392</v>
      </c>
      <c r="I63" s="49">
        <f>'7_Local Revenue'!AR63</f>
        <v>949392</v>
      </c>
      <c r="J63" s="264">
        <f t="shared" si="6"/>
        <v>10972581</v>
      </c>
    </row>
    <row r="64" spans="1:10" ht="16.899999999999999" customHeight="1" x14ac:dyDescent="0.2">
      <c r="A64" s="47">
        <v>58</v>
      </c>
      <c r="B64" s="263" t="s">
        <v>60</v>
      </c>
      <c r="C64" s="49">
        <f>'7_Local Revenue'!AF64</f>
        <v>7791164</v>
      </c>
      <c r="D64" s="49">
        <f>'7_Local Revenue'!H64</f>
        <v>140347539</v>
      </c>
      <c r="E64" s="49">
        <f t="shared" si="4"/>
        <v>2071037</v>
      </c>
      <c r="F64" s="49">
        <f>'7_Local Revenue'!AK64</f>
        <v>12011781</v>
      </c>
      <c r="G64" s="49">
        <f>'7_Local Revenue'!AO64</f>
        <v>600589050</v>
      </c>
      <c r="H64" s="49">
        <f t="shared" si="5"/>
        <v>4377646</v>
      </c>
      <c r="I64" s="49">
        <f>'7_Local Revenue'!AR64</f>
        <v>357723</v>
      </c>
      <c r="J64" s="264">
        <f t="shared" si="6"/>
        <v>6806406</v>
      </c>
    </row>
    <row r="65" spans="1:10" ht="16.899999999999999" customHeight="1" x14ac:dyDescent="0.2">
      <c r="A65" s="47">
        <v>59</v>
      </c>
      <c r="B65" s="263" t="s">
        <v>61</v>
      </c>
      <c r="C65" s="49">
        <f>'7_Local Revenue'!AF65</f>
        <v>2967723</v>
      </c>
      <c r="D65" s="49">
        <f>'7_Local Revenue'!H65</f>
        <v>99650485</v>
      </c>
      <c r="E65" s="49">
        <f t="shared" si="4"/>
        <v>1470491</v>
      </c>
      <c r="F65" s="49">
        <f>'7_Local Revenue'!AK65</f>
        <v>4883287</v>
      </c>
      <c r="G65" s="49">
        <f>'7_Local Revenue'!AO65</f>
        <v>244164350</v>
      </c>
      <c r="H65" s="49">
        <f t="shared" si="5"/>
        <v>1779694</v>
      </c>
      <c r="I65" s="49">
        <f>'7_Local Revenue'!AR65</f>
        <v>160456</v>
      </c>
      <c r="J65" s="264">
        <f t="shared" si="6"/>
        <v>3410641</v>
      </c>
    </row>
    <row r="66" spans="1:10" ht="16.899999999999999" customHeight="1" x14ac:dyDescent="0.2">
      <c r="A66" s="443">
        <v>60</v>
      </c>
      <c r="B66" s="445" t="s">
        <v>62</v>
      </c>
      <c r="C66" s="447">
        <f>'7_Local Revenue'!AF66</f>
        <v>11278671</v>
      </c>
      <c r="D66" s="447">
        <f>'7_Local Revenue'!H66</f>
        <v>251718988</v>
      </c>
      <c r="E66" s="447">
        <f t="shared" si="4"/>
        <v>3714489</v>
      </c>
      <c r="F66" s="447">
        <f>'7_Local Revenue'!AK66</f>
        <v>13859960</v>
      </c>
      <c r="G66" s="447">
        <f>'7_Local Revenue'!AO66</f>
        <v>650702347</v>
      </c>
      <c r="H66" s="447">
        <f t="shared" si="5"/>
        <v>4742917</v>
      </c>
      <c r="I66" s="447">
        <f>'7_Local Revenue'!AR66</f>
        <v>281980</v>
      </c>
      <c r="J66" s="449">
        <f t="shared" si="6"/>
        <v>8739386</v>
      </c>
    </row>
    <row r="67" spans="1:10" ht="16.899999999999999" customHeight="1" x14ac:dyDescent="0.2">
      <c r="A67" s="442">
        <v>61</v>
      </c>
      <c r="B67" s="444" t="s">
        <v>63</v>
      </c>
      <c r="C67" s="446">
        <f>'7_Local Revenue'!AF67</f>
        <v>25696809</v>
      </c>
      <c r="D67" s="446">
        <f>'7_Local Revenue'!H67</f>
        <v>427957220</v>
      </c>
      <c r="E67" s="446">
        <f t="shared" si="4"/>
        <v>6315146</v>
      </c>
      <c r="F67" s="446">
        <f>'7_Local Revenue'!AK67</f>
        <v>15450518</v>
      </c>
      <c r="G67" s="446">
        <f>'7_Local Revenue'!AO67</f>
        <v>772525900</v>
      </c>
      <c r="H67" s="446">
        <f t="shared" si="5"/>
        <v>5630879</v>
      </c>
      <c r="I67" s="446">
        <f>'7_Local Revenue'!AR67</f>
        <v>237727</v>
      </c>
      <c r="J67" s="448">
        <f t="shared" si="6"/>
        <v>12183752</v>
      </c>
    </row>
    <row r="68" spans="1:10" ht="16.899999999999999" customHeight="1" x14ac:dyDescent="0.2">
      <c r="A68" s="47">
        <v>62</v>
      </c>
      <c r="B68" s="263" t="s">
        <v>64</v>
      </c>
      <c r="C68" s="49">
        <f>'7_Local Revenue'!AF68</f>
        <v>1707093</v>
      </c>
      <c r="D68" s="49">
        <f>'7_Local Revenue'!H68</f>
        <v>62589603</v>
      </c>
      <c r="E68" s="49">
        <f t="shared" si="4"/>
        <v>923603</v>
      </c>
      <c r="F68" s="49">
        <f>'7_Local Revenue'!AK68</f>
        <v>2698917</v>
      </c>
      <c r="G68" s="49">
        <f>'7_Local Revenue'!AO68</f>
        <v>134945850</v>
      </c>
      <c r="H68" s="49">
        <f t="shared" si="5"/>
        <v>983610</v>
      </c>
      <c r="I68" s="49">
        <f>'7_Local Revenue'!AR68</f>
        <v>87916</v>
      </c>
      <c r="J68" s="264">
        <f t="shared" si="6"/>
        <v>1995129</v>
      </c>
    </row>
    <row r="69" spans="1:10" ht="16.899999999999999" customHeight="1" x14ac:dyDescent="0.2">
      <c r="A69" s="47">
        <v>63</v>
      </c>
      <c r="B69" s="263" t="s">
        <v>65</v>
      </c>
      <c r="C69" s="49">
        <f>'7_Local Revenue'!AF69</f>
        <v>11995185</v>
      </c>
      <c r="D69" s="49">
        <f>'7_Local Revenue'!H69</f>
        <v>312743795.10000002</v>
      </c>
      <c r="E69" s="49">
        <f t="shared" si="4"/>
        <v>4615001</v>
      </c>
      <c r="F69" s="49">
        <f>'7_Local Revenue'!AK69</f>
        <v>8415568</v>
      </c>
      <c r="G69" s="49">
        <f>'7_Local Revenue'!AO69</f>
        <v>280518933</v>
      </c>
      <c r="H69" s="49">
        <f t="shared" si="5"/>
        <v>2044680</v>
      </c>
      <c r="I69" s="49">
        <f>'7_Local Revenue'!AR69</f>
        <v>56972</v>
      </c>
      <c r="J69" s="264">
        <f t="shared" si="6"/>
        <v>6716653</v>
      </c>
    </row>
    <row r="70" spans="1:10" ht="16.899999999999999" customHeight="1" x14ac:dyDescent="0.2">
      <c r="A70" s="47">
        <v>64</v>
      </c>
      <c r="B70" s="263" t="s">
        <v>66</v>
      </c>
      <c r="C70" s="49">
        <f>'7_Local Revenue'!AF70</f>
        <v>2743089</v>
      </c>
      <c r="D70" s="49">
        <f>'7_Local Revenue'!H70</f>
        <v>69745996</v>
      </c>
      <c r="E70" s="49">
        <f t="shared" si="4"/>
        <v>1029206</v>
      </c>
      <c r="F70" s="49">
        <f>'7_Local Revenue'!AK70</f>
        <v>4392577</v>
      </c>
      <c r="G70" s="49">
        <f>'7_Local Revenue'!AO70</f>
        <v>219628850</v>
      </c>
      <c r="H70" s="49">
        <f t="shared" si="5"/>
        <v>1600857</v>
      </c>
      <c r="I70" s="49">
        <f>'7_Local Revenue'!AR70</f>
        <v>252633</v>
      </c>
      <c r="J70" s="264">
        <f t="shared" si="6"/>
        <v>2882696</v>
      </c>
    </row>
    <row r="71" spans="1:10" ht="16.899999999999999" customHeight="1" x14ac:dyDescent="0.2">
      <c r="A71" s="443">
        <v>65</v>
      </c>
      <c r="B71" s="445" t="s">
        <v>67</v>
      </c>
      <c r="C71" s="447">
        <f>'7_Local Revenue'!AF71</f>
        <v>14321903</v>
      </c>
      <c r="D71" s="447">
        <f>'7_Local Revenue'!H71</f>
        <v>395614066</v>
      </c>
      <c r="E71" s="447">
        <f>ROUND(D71*$E$3/1000,0)</f>
        <v>5837875</v>
      </c>
      <c r="F71" s="447">
        <f>'7_Local Revenue'!AK71</f>
        <v>28593192</v>
      </c>
      <c r="G71" s="447">
        <f>'7_Local Revenue'!AO71</f>
        <v>1429659600</v>
      </c>
      <c r="H71" s="447">
        <f>ROUND(G71*$H$3,0)</f>
        <v>10420674</v>
      </c>
      <c r="I71" s="447">
        <f>'7_Local Revenue'!AR71</f>
        <v>262643</v>
      </c>
      <c r="J71" s="449">
        <f>E71+H71+I71</f>
        <v>16521192</v>
      </c>
    </row>
    <row r="72" spans="1:10" ht="16.899999999999999" customHeight="1" x14ac:dyDescent="0.2">
      <c r="A72" s="442">
        <v>66</v>
      </c>
      <c r="B72" s="444" t="s">
        <v>68</v>
      </c>
      <c r="C72" s="446">
        <f>'7_Local Revenue'!AF72</f>
        <v>5596171</v>
      </c>
      <c r="D72" s="446">
        <f>'7_Local Revenue'!H72</f>
        <v>87460680</v>
      </c>
      <c r="E72" s="446">
        <f>ROUND(D72*$E$3/1000,0)</f>
        <v>1290613</v>
      </c>
      <c r="F72" s="446">
        <f>'7_Local Revenue'!AK72</f>
        <v>2874357</v>
      </c>
      <c r="G72" s="446">
        <f>'7_Local Revenue'!AO72</f>
        <v>287435700</v>
      </c>
      <c r="H72" s="446">
        <f>ROUND(G72*$H$3,0)</f>
        <v>2095096</v>
      </c>
      <c r="I72" s="446">
        <f>'7_Local Revenue'!AR72</f>
        <v>195545</v>
      </c>
      <c r="J72" s="448">
        <f>E72+H72+I72</f>
        <v>3581254</v>
      </c>
    </row>
    <row r="73" spans="1:10" ht="16.899999999999999" customHeight="1" x14ac:dyDescent="0.2">
      <c r="A73" s="47">
        <v>67</v>
      </c>
      <c r="B73" s="263" t="s">
        <v>2</v>
      </c>
      <c r="C73" s="49">
        <f>'7_Local Revenue'!AF73</f>
        <v>21809814</v>
      </c>
      <c r="D73" s="49">
        <f>'7_Local Revenue'!H73</f>
        <v>279960000.10000002</v>
      </c>
      <c r="E73" s="49">
        <f>ROUND(D73*$E$3/1000,0)</f>
        <v>4131227</v>
      </c>
      <c r="F73" s="49">
        <f>'7_Local Revenue'!AK73</f>
        <v>9952324</v>
      </c>
      <c r="G73" s="49">
        <f>'7_Local Revenue'!AO73</f>
        <v>497616200</v>
      </c>
      <c r="H73" s="49">
        <f>ROUND(G73*$H$3,0)</f>
        <v>3627085</v>
      </c>
      <c r="I73" s="49">
        <f>'7_Local Revenue'!AR73</f>
        <v>95098</v>
      </c>
      <c r="J73" s="264">
        <f>E73+H73+I73</f>
        <v>7853410</v>
      </c>
    </row>
    <row r="74" spans="1:10" ht="16.899999999999999" customHeight="1" x14ac:dyDescent="0.2">
      <c r="A74" s="47">
        <v>68</v>
      </c>
      <c r="B74" s="263" t="s">
        <v>1</v>
      </c>
      <c r="C74" s="49">
        <f>'7_Local Revenue'!AF74</f>
        <v>1959025</v>
      </c>
      <c r="D74" s="49">
        <f>'7_Local Revenue'!H74</f>
        <v>45470570.109999999</v>
      </c>
      <c r="E74" s="49">
        <f>ROUND(D74*$E$3/1000,0)</f>
        <v>670986</v>
      </c>
      <c r="F74" s="49">
        <f>'7_Local Revenue'!AK74</f>
        <v>3620296</v>
      </c>
      <c r="G74" s="49">
        <f>'7_Local Revenue'!AO74</f>
        <v>181014800</v>
      </c>
      <c r="H74" s="49">
        <f>ROUND(G74*$H$3,0)</f>
        <v>1319402</v>
      </c>
      <c r="I74" s="49">
        <f>'7_Local Revenue'!AR74</f>
        <v>43248</v>
      </c>
      <c r="J74" s="264">
        <f>E74+H74+I74</f>
        <v>2033636</v>
      </c>
    </row>
    <row r="75" spans="1:10" ht="16.899999999999999" customHeight="1" x14ac:dyDescent="0.2">
      <c r="A75" s="443">
        <v>69</v>
      </c>
      <c r="B75" s="445" t="s">
        <v>74</v>
      </c>
      <c r="C75" s="447">
        <f>'7_Local Revenue'!AF75</f>
        <v>9306403</v>
      </c>
      <c r="D75" s="447">
        <f>'7_Local Revenue'!H75</f>
        <v>163910215.36000001</v>
      </c>
      <c r="E75" s="447">
        <f>ROUND(D75*$E$3/1000,0)</f>
        <v>2418739</v>
      </c>
      <c r="F75" s="447">
        <f>'7_Local Revenue'!AK75</f>
        <v>9151610</v>
      </c>
      <c r="G75" s="447">
        <f>'7_Local Revenue'!AO75</f>
        <v>366064400</v>
      </c>
      <c r="H75" s="447">
        <f>ROUND(G75*$H$3,0)</f>
        <v>2668214</v>
      </c>
      <c r="I75" s="447">
        <f>'7_Local Revenue'!AR75</f>
        <v>4000</v>
      </c>
      <c r="J75" s="449">
        <f>E75+H75+I75</f>
        <v>5090953</v>
      </c>
    </row>
    <row r="76" spans="1:10" s="33" customFormat="1" ht="16.899999999999999" customHeight="1" thickBot="1" x14ac:dyDescent="0.25">
      <c r="A76" s="450"/>
      <c r="B76" s="194" t="s">
        <v>3</v>
      </c>
      <c r="C76" s="40">
        <f t="shared" ref="C76:J76" si="7">SUM(C7:C75)</f>
        <v>1748535675.75</v>
      </c>
      <c r="D76" s="40">
        <f t="shared" si="7"/>
        <v>42203969773.889999</v>
      </c>
      <c r="E76" s="40">
        <f t="shared" si="7"/>
        <v>622782456</v>
      </c>
      <c r="F76" s="40">
        <f t="shared" si="7"/>
        <v>2002728340</v>
      </c>
      <c r="G76" s="40">
        <f t="shared" si="7"/>
        <v>98168660803.949997</v>
      </c>
      <c r="H76" s="40">
        <f t="shared" si="7"/>
        <v>715543515</v>
      </c>
      <c r="I76" s="40">
        <f t="shared" si="7"/>
        <v>34098639</v>
      </c>
      <c r="J76" s="451">
        <f t="shared" si="7"/>
        <v>1372424610</v>
      </c>
    </row>
    <row r="77" spans="1:10" ht="15" hidden="1" customHeight="1" thickTop="1" x14ac:dyDescent="0.2">
      <c r="A77" s="5"/>
      <c r="B77" s="5"/>
      <c r="C77" s="485" t="s">
        <v>552</v>
      </c>
      <c r="D77" s="486"/>
      <c r="E77" s="487">
        <f>'7_Local Revenue'!AD76</f>
        <v>41.3</v>
      </c>
      <c r="F77" s="485" t="s">
        <v>551</v>
      </c>
      <c r="G77" s="488"/>
      <c r="H77" s="489">
        <f>'7_Local Revenue'!AG76</f>
        <v>2.0400000000000001E-2</v>
      </c>
      <c r="I77" s="265">
        <f>'3_Levels 1&amp;2'!W76</f>
        <v>0.35</v>
      </c>
      <c r="J77" s="265">
        <v>0.35730000000000001</v>
      </c>
    </row>
    <row r="78" spans="1:10" ht="13.5" thickTop="1" x14ac:dyDescent="0.2"/>
  </sheetData>
  <sheetProtection password="D893" sheet="1" formatCells="0" formatColumn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FY2020-21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" style="8" bestFit="1" customWidth="1"/>
    <col min="2" max="2" width="17.5703125" style="8" bestFit="1" customWidth="1"/>
    <col min="3" max="3" width="16" style="8" customWidth="1"/>
    <col min="4" max="4" width="15.85546875" style="8" customWidth="1"/>
    <col min="5" max="6" width="16.28515625" style="8" bestFit="1" customWidth="1"/>
    <col min="7" max="7" width="10.7109375" style="8" customWidth="1"/>
    <col min="8" max="8" width="16.28515625" style="8" customWidth="1"/>
    <col min="9" max="9" width="9.5703125" style="8" customWidth="1"/>
    <col min="10" max="10" width="14.7109375" style="8" customWidth="1"/>
    <col min="11" max="11" width="9.5703125" style="8" customWidth="1"/>
    <col min="12" max="12" width="16.5703125" style="8" customWidth="1"/>
    <col min="13" max="15" width="9.5703125" style="8" customWidth="1"/>
    <col min="16" max="16" width="14.42578125" style="8" customWidth="1"/>
    <col min="17" max="17" width="16.7109375" style="8" customWidth="1"/>
    <col min="18" max="18" width="9.5703125" style="8" customWidth="1"/>
    <col min="19" max="19" width="15.42578125" style="8" customWidth="1"/>
    <col min="20" max="22" width="9.5703125" style="8" customWidth="1"/>
    <col min="23" max="24" width="13.85546875" style="8" customWidth="1"/>
    <col min="25" max="25" width="12.5703125" style="8" customWidth="1"/>
    <col min="26" max="26" width="15.5703125" style="8" bestFit="1" customWidth="1"/>
    <col min="27" max="27" width="13.7109375" style="8" bestFit="1" customWidth="1"/>
    <col min="28" max="30" width="10.7109375" style="8" customWidth="1"/>
    <col min="31" max="31" width="13.85546875" style="8" customWidth="1"/>
    <col min="32" max="32" width="15.5703125" style="8" bestFit="1" customWidth="1"/>
    <col min="33" max="33" width="14.5703125" style="8" customWidth="1"/>
    <col min="34" max="35" width="16.28515625" style="8" customWidth="1"/>
    <col min="36" max="36" width="13.85546875" style="8" customWidth="1"/>
    <col min="37" max="37" width="17.28515625" style="8" customWidth="1"/>
    <col min="38" max="39" width="18.5703125" style="8" customWidth="1"/>
    <col min="40" max="40" width="12.28515625" style="8" customWidth="1"/>
    <col min="41" max="41" width="18.5703125" style="8" customWidth="1"/>
    <col min="42" max="43" width="9.5703125" style="8" customWidth="1"/>
    <col min="44" max="44" width="22" style="8" customWidth="1"/>
    <col min="45" max="45" width="18.7109375" style="8" customWidth="1"/>
    <col min="46" max="46" width="12.28515625" style="8" customWidth="1"/>
    <col min="47" max="16384" width="8.85546875" style="8"/>
  </cols>
  <sheetData>
    <row r="1" spans="1:46" s="432" customFormat="1" ht="29.25" customHeight="1" x14ac:dyDescent="0.2">
      <c r="A1" s="1341" t="s">
        <v>79</v>
      </c>
      <c r="B1" s="1342"/>
      <c r="C1" s="1538" t="s">
        <v>1241</v>
      </c>
      <c r="D1" s="1539"/>
      <c r="E1" s="1540"/>
      <c r="F1" s="1540"/>
      <c r="G1" s="1540"/>
      <c r="H1" s="1541"/>
      <c r="I1" s="1536" t="s">
        <v>1056</v>
      </c>
      <c r="J1" s="1537"/>
      <c r="K1" s="1528" t="s">
        <v>354</v>
      </c>
      <c r="L1" s="1529"/>
      <c r="M1" s="1529"/>
      <c r="N1" s="1529"/>
      <c r="O1" s="1529"/>
      <c r="P1" s="1530"/>
      <c r="Q1" s="1533" t="s">
        <v>1180</v>
      </c>
      <c r="R1" s="1528" t="s">
        <v>356</v>
      </c>
      <c r="S1" s="1529"/>
      <c r="T1" s="1529"/>
      <c r="U1" s="1529"/>
      <c r="V1" s="1529"/>
      <c r="W1" s="1530"/>
      <c r="X1" s="1533" t="s">
        <v>1186</v>
      </c>
      <c r="Y1" s="1528" t="s">
        <v>1271</v>
      </c>
      <c r="Z1" s="1529"/>
      <c r="AA1" s="1529"/>
      <c r="AB1" s="1529"/>
      <c r="AC1" s="1529"/>
      <c r="AD1" s="1529"/>
      <c r="AE1" s="1147"/>
      <c r="AF1" s="1533" t="s">
        <v>1389</v>
      </c>
      <c r="AG1" s="1528" t="s">
        <v>1270</v>
      </c>
      <c r="AH1" s="1529"/>
      <c r="AI1" s="1529"/>
      <c r="AJ1" s="1147"/>
      <c r="AK1" s="1533" t="s">
        <v>1388</v>
      </c>
      <c r="AL1" s="1528" t="s">
        <v>1267</v>
      </c>
      <c r="AM1" s="1529"/>
      <c r="AN1" s="1529"/>
      <c r="AO1" s="1529"/>
      <c r="AP1" s="1529"/>
      <c r="AQ1" s="1530"/>
      <c r="AR1" s="1550" t="s">
        <v>1265</v>
      </c>
      <c r="AS1" s="1547" t="s">
        <v>1266</v>
      </c>
      <c r="AT1" s="1544" t="s">
        <v>80</v>
      </c>
    </row>
    <row r="2" spans="1:46" s="33" customFormat="1" ht="64.5" customHeight="1" x14ac:dyDescent="0.2">
      <c r="A2" s="1325"/>
      <c r="B2" s="1326"/>
      <c r="C2" s="1531" t="s">
        <v>1257</v>
      </c>
      <c r="D2" s="1531" t="s">
        <v>1258</v>
      </c>
      <c r="E2" s="1542" t="s">
        <v>1259</v>
      </c>
      <c r="F2" s="1531" t="s">
        <v>1261</v>
      </c>
      <c r="G2" s="1531" t="s">
        <v>1273</v>
      </c>
      <c r="H2" s="424" t="s">
        <v>1260</v>
      </c>
      <c r="I2" s="1531" t="s">
        <v>516</v>
      </c>
      <c r="J2" s="1531" t="s">
        <v>515</v>
      </c>
      <c r="K2" s="1531" t="s">
        <v>516</v>
      </c>
      <c r="L2" s="1531" t="s">
        <v>515</v>
      </c>
      <c r="M2" s="1531" t="s">
        <v>1170</v>
      </c>
      <c r="N2" s="1531" t="s">
        <v>1171</v>
      </c>
      <c r="O2" s="1531" t="s">
        <v>1172</v>
      </c>
      <c r="P2" s="1531" t="s">
        <v>1173</v>
      </c>
      <c r="Q2" s="1534" t="s">
        <v>355</v>
      </c>
      <c r="R2" s="1531" t="s">
        <v>516</v>
      </c>
      <c r="S2" s="1531" t="s">
        <v>515</v>
      </c>
      <c r="T2" s="1531" t="s">
        <v>1170</v>
      </c>
      <c r="U2" s="1531" t="s">
        <v>1171</v>
      </c>
      <c r="V2" s="1531" t="s">
        <v>1172</v>
      </c>
      <c r="W2" s="1531" t="s">
        <v>1173</v>
      </c>
      <c r="X2" s="1534" t="s">
        <v>355</v>
      </c>
      <c r="Y2" s="1531" t="s">
        <v>1174</v>
      </c>
      <c r="Z2" s="1531" t="s">
        <v>1175</v>
      </c>
      <c r="AA2" s="1531" t="s">
        <v>1176</v>
      </c>
      <c r="AB2" s="1531" t="s">
        <v>1187</v>
      </c>
      <c r="AC2" s="1531" t="s">
        <v>1188</v>
      </c>
      <c r="AD2" s="1531" t="s">
        <v>1177</v>
      </c>
      <c r="AE2" s="1531" t="s">
        <v>1372</v>
      </c>
      <c r="AF2" s="1534" t="s">
        <v>355</v>
      </c>
      <c r="AG2" s="1532" t="s">
        <v>517</v>
      </c>
      <c r="AH2" s="1532" t="s">
        <v>1178</v>
      </c>
      <c r="AI2" s="1532" t="s">
        <v>1179</v>
      </c>
      <c r="AJ2" s="1531" t="s">
        <v>1372</v>
      </c>
      <c r="AK2" s="1534" t="s">
        <v>355</v>
      </c>
      <c r="AL2" s="1532" t="s">
        <v>1269</v>
      </c>
      <c r="AM2" s="1532" t="s">
        <v>1268</v>
      </c>
      <c r="AN2" s="1532" t="s">
        <v>520</v>
      </c>
      <c r="AO2" s="108" t="s">
        <v>518</v>
      </c>
      <c r="AP2" s="1532" t="s">
        <v>521</v>
      </c>
      <c r="AQ2" s="1532" t="s">
        <v>519</v>
      </c>
      <c r="AR2" s="1551"/>
      <c r="AS2" s="1548"/>
      <c r="AT2" s="1545"/>
    </row>
    <row r="3" spans="1:46" s="33" customFormat="1" ht="16.149999999999999" customHeight="1" x14ac:dyDescent="0.2">
      <c r="A3" s="1343"/>
      <c r="B3" s="1344"/>
      <c r="C3" s="1531"/>
      <c r="D3" s="1531"/>
      <c r="E3" s="1543"/>
      <c r="F3" s="1531"/>
      <c r="G3" s="1531"/>
      <c r="H3" s="7">
        <v>0.1</v>
      </c>
      <c r="I3" s="1531"/>
      <c r="J3" s="1531"/>
      <c r="K3" s="1531"/>
      <c r="L3" s="1531"/>
      <c r="M3" s="1531"/>
      <c r="N3" s="1531"/>
      <c r="O3" s="1531"/>
      <c r="P3" s="1531"/>
      <c r="Q3" s="1535"/>
      <c r="R3" s="1531"/>
      <c r="S3" s="1531"/>
      <c r="T3" s="1531"/>
      <c r="U3" s="1531"/>
      <c r="V3" s="1531"/>
      <c r="W3" s="1531"/>
      <c r="X3" s="1535"/>
      <c r="Y3" s="1531"/>
      <c r="Z3" s="1531"/>
      <c r="AA3" s="1531"/>
      <c r="AB3" s="1531"/>
      <c r="AC3" s="1531"/>
      <c r="AD3" s="1531"/>
      <c r="AE3" s="1531"/>
      <c r="AF3" s="1535"/>
      <c r="AG3" s="1532"/>
      <c r="AH3" s="1532"/>
      <c r="AI3" s="1532"/>
      <c r="AJ3" s="1531"/>
      <c r="AK3" s="1535"/>
      <c r="AL3" s="1532"/>
      <c r="AM3" s="1532"/>
      <c r="AN3" s="1532"/>
      <c r="AO3" s="7">
        <v>0.15</v>
      </c>
      <c r="AP3" s="1532"/>
      <c r="AQ3" s="1532"/>
      <c r="AR3" s="1552"/>
      <c r="AS3" s="1549"/>
      <c r="AT3" s="1546"/>
    </row>
    <row r="4" spans="1:46" ht="15" customHeight="1" x14ac:dyDescent="0.2">
      <c r="A4" s="433"/>
      <c r="B4" s="433"/>
      <c r="C4" s="434">
        <v>1</v>
      </c>
      <c r="D4" s="435">
        <f>C4+1</f>
        <v>2</v>
      </c>
      <c r="E4" s="435">
        <v>3</v>
      </c>
      <c r="F4" s="436" t="s">
        <v>75</v>
      </c>
      <c r="G4" s="436" t="s">
        <v>76</v>
      </c>
      <c r="H4" s="436" t="s">
        <v>77</v>
      </c>
      <c r="I4" s="435">
        <f>E4+1</f>
        <v>4</v>
      </c>
      <c r="J4" s="435">
        <f t="shared" ref="J4:AT4" si="0">I4+1</f>
        <v>5</v>
      </c>
      <c r="K4" s="435">
        <f t="shared" si="0"/>
        <v>6</v>
      </c>
      <c r="L4" s="435">
        <f t="shared" si="0"/>
        <v>7</v>
      </c>
      <c r="M4" s="435">
        <f t="shared" si="0"/>
        <v>8</v>
      </c>
      <c r="N4" s="435">
        <f t="shared" si="0"/>
        <v>9</v>
      </c>
      <c r="O4" s="435">
        <f t="shared" si="0"/>
        <v>10</v>
      </c>
      <c r="P4" s="435">
        <f t="shared" si="0"/>
        <v>11</v>
      </c>
      <c r="Q4" s="435">
        <f t="shared" si="0"/>
        <v>12</v>
      </c>
      <c r="R4" s="435">
        <f t="shared" si="0"/>
        <v>13</v>
      </c>
      <c r="S4" s="435">
        <f t="shared" si="0"/>
        <v>14</v>
      </c>
      <c r="T4" s="435">
        <f t="shared" si="0"/>
        <v>15</v>
      </c>
      <c r="U4" s="435">
        <f t="shared" si="0"/>
        <v>16</v>
      </c>
      <c r="V4" s="435">
        <f t="shared" si="0"/>
        <v>17</v>
      </c>
      <c r="W4" s="435">
        <f t="shared" si="0"/>
        <v>18</v>
      </c>
      <c r="X4" s="435">
        <f t="shared" si="0"/>
        <v>19</v>
      </c>
      <c r="Y4" s="435">
        <f t="shared" si="0"/>
        <v>20</v>
      </c>
      <c r="Z4" s="435">
        <f t="shared" si="0"/>
        <v>21</v>
      </c>
      <c r="AA4" s="435">
        <f t="shared" si="0"/>
        <v>22</v>
      </c>
      <c r="AB4" s="435">
        <f t="shared" si="0"/>
        <v>23</v>
      </c>
      <c r="AC4" s="435">
        <f t="shared" si="0"/>
        <v>24</v>
      </c>
      <c r="AD4" s="435">
        <f t="shared" si="0"/>
        <v>25</v>
      </c>
      <c r="AE4" s="435">
        <f t="shared" ref="AE4:AK4" si="1">AD4+1</f>
        <v>26</v>
      </c>
      <c r="AF4" s="435">
        <f t="shared" si="1"/>
        <v>27</v>
      </c>
      <c r="AG4" s="435">
        <f t="shared" si="1"/>
        <v>28</v>
      </c>
      <c r="AH4" s="435">
        <f t="shared" si="1"/>
        <v>29</v>
      </c>
      <c r="AI4" s="435">
        <f t="shared" si="1"/>
        <v>30</v>
      </c>
      <c r="AJ4" s="435">
        <f t="shared" si="1"/>
        <v>31</v>
      </c>
      <c r="AK4" s="435">
        <f t="shared" si="1"/>
        <v>32</v>
      </c>
      <c r="AL4" s="435">
        <f t="shared" si="0"/>
        <v>33</v>
      </c>
      <c r="AM4" s="435">
        <f t="shared" si="0"/>
        <v>34</v>
      </c>
      <c r="AN4" s="435">
        <f t="shared" si="0"/>
        <v>35</v>
      </c>
      <c r="AO4" s="435">
        <f t="shared" si="0"/>
        <v>36</v>
      </c>
      <c r="AP4" s="435">
        <f t="shared" si="0"/>
        <v>37</v>
      </c>
      <c r="AQ4" s="435">
        <f t="shared" si="0"/>
        <v>38</v>
      </c>
      <c r="AR4" s="435">
        <f t="shared" si="0"/>
        <v>39</v>
      </c>
      <c r="AS4" s="435">
        <f t="shared" si="0"/>
        <v>40</v>
      </c>
      <c r="AT4" s="435">
        <f t="shared" si="0"/>
        <v>41</v>
      </c>
    </row>
    <row r="5" spans="1:46" s="438" customFormat="1" ht="33.75" x14ac:dyDescent="0.2">
      <c r="A5" s="733"/>
      <c r="B5" s="733"/>
      <c r="C5" s="734" t="s">
        <v>1189</v>
      </c>
      <c r="D5" s="734" t="s">
        <v>1190</v>
      </c>
      <c r="E5" s="735" t="s">
        <v>556</v>
      </c>
      <c r="F5" s="736" t="s">
        <v>557</v>
      </c>
      <c r="G5" s="736" t="s">
        <v>1018</v>
      </c>
      <c r="H5" s="736" t="s">
        <v>1019</v>
      </c>
      <c r="I5" s="735" t="s">
        <v>558</v>
      </c>
      <c r="J5" s="735" t="s">
        <v>1181</v>
      </c>
      <c r="K5" s="735" t="s">
        <v>559</v>
      </c>
      <c r="L5" s="735" t="s">
        <v>1182</v>
      </c>
      <c r="M5" s="735" t="s">
        <v>560</v>
      </c>
      <c r="N5" s="735" t="s">
        <v>561</v>
      </c>
      <c r="O5" s="735" t="s">
        <v>562</v>
      </c>
      <c r="P5" s="735" t="s">
        <v>1183</v>
      </c>
      <c r="Q5" s="735" t="s">
        <v>563</v>
      </c>
      <c r="R5" s="735" t="s">
        <v>564</v>
      </c>
      <c r="S5" s="735" t="s">
        <v>1184</v>
      </c>
      <c r="T5" s="735" t="s">
        <v>565</v>
      </c>
      <c r="U5" s="735" t="s">
        <v>566</v>
      </c>
      <c r="V5" s="735" t="s">
        <v>567</v>
      </c>
      <c r="W5" s="735" t="s">
        <v>1185</v>
      </c>
      <c r="X5" s="735" t="s">
        <v>568</v>
      </c>
      <c r="Y5" s="735" t="s">
        <v>569</v>
      </c>
      <c r="Z5" s="735" t="s">
        <v>570</v>
      </c>
      <c r="AA5" s="735" t="s">
        <v>571</v>
      </c>
      <c r="AB5" s="735" t="s">
        <v>1020</v>
      </c>
      <c r="AC5" s="735" t="s">
        <v>1021</v>
      </c>
      <c r="AD5" s="735" t="s">
        <v>1373</v>
      </c>
      <c r="AE5" s="1148" t="s">
        <v>1372</v>
      </c>
      <c r="AF5" s="735" t="s">
        <v>1374</v>
      </c>
      <c r="AG5" s="735" t="s">
        <v>572</v>
      </c>
      <c r="AH5" s="735" t="s">
        <v>573</v>
      </c>
      <c r="AI5" s="735" t="s">
        <v>574</v>
      </c>
      <c r="AJ5" s="1148" t="s">
        <v>1372</v>
      </c>
      <c r="AK5" s="735" t="s">
        <v>1375</v>
      </c>
      <c r="AL5" s="736" t="s">
        <v>575</v>
      </c>
      <c r="AM5" s="735" t="s">
        <v>1376</v>
      </c>
      <c r="AN5" s="736" t="s">
        <v>1377</v>
      </c>
      <c r="AO5" s="736" t="s">
        <v>1378</v>
      </c>
      <c r="AP5" s="735" t="s">
        <v>1379</v>
      </c>
      <c r="AQ5" s="735" t="s">
        <v>1380</v>
      </c>
      <c r="AR5" s="735" t="s">
        <v>576</v>
      </c>
      <c r="AS5" s="735" t="s">
        <v>1381</v>
      </c>
      <c r="AT5" s="735" t="s">
        <v>1382</v>
      </c>
    </row>
    <row r="6" spans="1:46" s="601" customFormat="1" ht="33.75" hidden="1" x14ac:dyDescent="0.2">
      <c r="A6" s="733"/>
      <c r="B6" s="733"/>
      <c r="C6" s="734" t="s">
        <v>1191</v>
      </c>
      <c r="D6" s="734" t="s">
        <v>1191</v>
      </c>
      <c r="E6" s="735" t="s">
        <v>555</v>
      </c>
      <c r="F6" s="736" t="s">
        <v>577</v>
      </c>
      <c r="G6" s="736" t="s">
        <v>555</v>
      </c>
      <c r="H6" s="736" t="s">
        <v>555</v>
      </c>
      <c r="I6" s="735" t="s">
        <v>578</v>
      </c>
      <c r="J6" s="735" t="s">
        <v>578</v>
      </c>
      <c r="K6" s="735" t="s">
        <v>578</v>
      </c>
      <c r="L6" s="735" t="s">
        <v>578</v>
      </c>
      <c r="M6" s="735" t="s">
        <v>578</v>
      </c>
      <c r="N6" s="735" t="s">
        <v>578</v>
      </c>
      <c r="O6" s="735" t="s">
        <v>578</v>
      </c>
      <c r="P6" s="735" t="s">
        <v>578</v>
      </c>
      <c r="Q6" s="735" t="s">
        <v>555</v>
      </c>
      <c r="R6" s="735" t="s">
        <v>578</v>
      </c>
      <c r="S6" s="735" t="s">
        <v>578</v>
      </c>
      <c r="T6" s="735" t="s">
        <v>578</v>
      </c>
      <c r="U6" s="735" t="s">
        <v>578</v>
      </c>
      <c r="V6" s="735" t="s">
        <v>578</v>
      </c>
      <c r="W6" s="735" t="s">
        <v>578</v>
      </c>
      <c r="X6" s="735" t="s">
        <v>555</v>
      </c>
      <c r="Y6" s="735" t="s">
        <v>555</v>
      </c>
      <c r="Z6" s="735" t="s">
        <v>555</v>
      </c>
      <c r="AA6" s="735" t="s">
        <v>555</v>
      </c>
      <c r="AB6" s="735" t="s">
        <v>555</v>
      </c>
      <c r="AC6" s="735" t="s">
        <v>555</v>
      </c>
      <c r="AD6" s="735" t="s">
        <v>555</v>
      </c>
      <c r="AE6" s="1148"/>
      <c r="AF6" s="735" t="s">
        <v>555</v>
      </c>
      <c r="AG6" s="735" t="s">
        <v>578</v>
      </c>
      <c r="AH6" s="735" t="s">
        <v>578</v>
      </c>
      <c r="AI6" s="735" t="s">
        <v>578</v>
      </c>
      <c r="AJ6" s="1148"/>
      <c r="AK6" s="735" t="s">
        <v>555</v>
      </c>
      <c r="AL6" s="736" t="s">
        <v>577</v>
      </c>
      <c r="AM6" s="735" t="s">
        <v>555</v>
      </c>
      <c r="AN6" s="735" t="s">
        <v>555</v>
      </c>
      <c r="AO6" s="735" t="s">
        <v>555</v>
      </c>
      <c r="AP6" s="735" t="s">
        <v>555</v>
      </c>
      <c r="AQ6" s="735" t="s">
        <v>555</v>
      </c>
      <c r="AR6" s="735" t="s">
        <v>578</v>
      </c>
      <c r="AS6" s="735" t="s">
        <v>555</v>
      </c>
      <c r="AT6" s="735" t="s">
        <v>555</v>
      </c>
    </row>
    <row r="7" spans="1:46" ht="15" customHeight="1" x14ac:dyDescent="0.2">
      <c r="A7" s="47">
        <v>1</v>
      </c>
      <c r="B7" s="48" t="s">
        <v>4</v>
      </c>
      <c r="C7" s="49">
        <v>473900619</v>
      </c>
      <c r="D7" s="49">
        <v>89350532</v>
      </c>
      <c r="E7" s="49">
        <f>C7-D7</f>
        <v>384550087</v>
      </c>
      <c r="F7" s="49">
        <v>380822348</v>
      </c>
      <c r="G7" s="50">
        <f>(E7-F7)/F7</f>
        <v>9.7886561006130871E-3</v>
      </c>
      <c r="H7" s="51">
        <f t="shared" ref="H7:H38" si="2">IF((E7-F7)/F7&gt;$H$3,F7*(1+$H$3),E7)</f>
        <v>384550087</v>
      </c>
      <c r="I7" s="52">
        <v>5.23</v>
      </c>
      <c r="J7" s="53">
        <v>2010245</v>
      </c>
      <c r="K7" s="52">
        <v>20.38</v>
      </c>
      <c r="L7" s="53">
        <v>7611504</v>
      </c>
      <c r="M7" s="54">
        <v>0</v>
      </c>
      <c r="N7" s="54">
        <v>13.45</v>
      </c>
      <c r="O7" s="54">
        <v>3</v>
      </c>
      <c r="P7" s="53">
        <v>1849488</v>
      </c>
      <c r="Q7" s="49">
        <f>J7+L7+P7</f>
        <v>11471237</v>
      </c>
      <c r="R7" s="55">
        <v>0</v>
      </c>
      <c r="S7" s="53">
        <v>0</v>
      </c>
      <c r="T7" s="54">
        <v>0</v>
      </c>
      <c r="U7" s="54">
        <v>0</v>
      </c>
      <c r="V7" s="54">
        <v>0</v>
      </c>
      <c r="W7" s="53">
        <v>0</v>
      </c>
      <c r="X7" s="49">
        <f>S7+W7</f>
        <v>0</v>
      </c>
      <c r="Y7" s="56">
        <f>I7+K7+R7</f>
        <v>25.61</v>
      </c>
      <c r="Z7" s="49">
        <f>J7+L7+S7</f>
        <v>9621749</v>
      </c>
      <c r="AA7" s="49">
        <f>P7+W7</f>
        <v>1849488</v>
      </c>
      <c r="AB7" s="57">
        <f t="shared" ref="AB7:AB38" si="3">ROUND((X7/E7)*1000,2)</f>
        <v>0</v>
      </c>
      <c r="AC7" s="58">
        <f t="shared" ref="AC7:AC38" si="4">ROUND((Q7/E7)*1000,2)</f>
        <v>29.83</v>
      </c>
      <c r="AD7" s="59">
        <f t="shared" ref="AD7:AD38" si="5">ROUND((AF7/E7)*1000,2)</f>
        <v>29.83</v>
      </c>
      <c r="AE7" s="60">
        <v>0</v>
      </c>
      <c r="AF7" s="60">
        <f>X7+Q7+AE7</f>
        <v>11471237</v>
      </c>
      <c r="AG7" s="61">
        <v>1.4999999999999999E-2</v>
      </c>
      <c r="AH7" s="62">
        <v>12645302</v>
      </c>
      <c r="AI7" s="62">
        <v>0</v>
      </c>
      <c r="AJ7" s="62">
        <v>0</v>
      </c>
      <c r="AK7" s="63">
        <f>AH7+AI7+AJ7</f>
        <v>12645302</v>
      </c>
      <c r="AL7" s="60">
        <v>838462133</v>
      </c>
      <c r="AM7" s="60">
        <f t="shared" ref="AM7:AM17" si="6">ROUND(AK7/AG7,0)</f>
        <v>843020133</v>
      </c>
      <c r="AN7" s="64">
        <f>(AM7-AL7)/AL7</f>
        <v>5.4361429343166299E-3</v>
      </c>
      <c r="AO7" s="60">
        <f>IF((AM7-AL7)/AL7&gt;$AO$3,AL7*(1+$AO$3),AM7)</f>
        <v>843020133</v>
      </c>
      <c r="AP7" s="50">
        <f t="shared" ref="AP7:AP38" si="7">AH7/AM7</f>
        <v>1.5000000005931057E-2</v>
      </c>
      <c r="AQ7" s="50">
        <f t="shared" ref="AQ7:AQ38" si="8">AI7/AM7</f>
        <v>0</v>
      </c>
      <c r="AR7" s="60">
        <v>497690</v>
      </c>
      <c r="AS7" s="60">
        <f t="shared" ref="AS7:AS38" si="9">AR7+AF7+AK7</f>
        <v>24614229</v>
      </c>
      <c r="AT7" s="60">
        <f>ROUND(AS7/'3_Levels 1&amp;2'!C7,2)</f>
        <v>2609.65</v>
      </c>
    </row>
    <row r="8" spans="1:46" ht="15" customHeight="1" x14ac:dyDescent="0.2">
      <c r="A8" s="47">
        <v>2</v>
      </c>
      <c r="B8" s="48" t="s">
        <v>5</v>
      </c>
      <c r="C8" s="49">
        <v>146152900</v>
      </c>
      <c r="D8" s="49">
        <v>28379269</v>
      </c>
      <c r="E8" s="49">
        <f t="shared" ref="E8:E71" si="10">C8-D8</f>
        <v>117773631</v>
      </c>
      <c r="F8" s="49">
        <v>94668791</v>
      </c>
      <c r="G8" s="50">
        <f t="shared" ref="G8:G71" si="11">(E8-F8)/F8</f>
        <v>0.24405973453278812</v>
      </c>
      <c r="H8" s="51">
        <f t="shared" si="2"/>
        <v>104135670.10000001</v>
      </c>
      <c r="I8" s="52">
        <v>4.28</v>
      </c>
      <c r="J8" s="53">
        <v>495822</v>
      </c>
      <c r="K8" s="52">
        <v>5.15</v>
      </c>
      <c r="L8" s="53">
        <v>598404</v>
      </c>
      <c r="M8" s="54">
        <v>0</v>
      </c>
      <c r="N8" s="54">
        <v>91.41</v>
      </c>
      <c r="O8" s="54">
        <v>6</v>
      </c>
      <c r="P8" s="53">
        <v>2403589</v>
      </c>
      <c r="Q8" s="49">
        <f t="shared" ref="Q8:Q71" si="12">J8+L8+P8</f>
        <v>3497815</v>
      </c>
      <c r="R8" s="54">
        <v>0</v>
      </c>
      <c r="S8" s="53">
        <v>0</v>
      </c>
      <c r="T8" s="54">
        <v>0</v>
      </c>
      <c r="U8" s="54">
        <v>27.5</v>
      </c>
      <c r="V8" s="54">
        <v>5</v>
      </c>
      <c r="W8" s="53">
        <v>1749356</v>
      </c>
      <c r="X8" s="49">
        <f t="shared" ref="X8:X71" si="13">S8+W8</f>
        <v>1749356</v>
      </c>
      <c r="Y8" s="56">
        <f t="shared" ref="Y8:Y71" si="14">I8+K8+R8</f>
        <v>9.43</v>
      </c>
      <c r="Z8" s="49">
        <f t="shared" ref="Z8:Z71" si="15">J8+L8+S8</f>
        <v>1094226</v>
      </c>
      <c r="AA8" s="49">
        <f t="shared" ref="AA8:AA71" si="16">P8+W8</f>
        <v>4152945</v>
      </c>
      <c r="AB8" s="57">
        <f t="shared" si="3"/>
        <v>14.85</v>
      </c>
      <c r="AC8" s="58">
        <f t="shared" si="4"/>
        <v>29.7</v>
      </c>
      <c r="AD8" s="59">
        <f t="shared" si="5"/>
        <v>44.55</v>
      </c>
      <c r="AE8" s="60">
        <v>0</v>
      </c>
      <c r="AF8" s="60">
        <f t="shared" ref="AF8:AF71" si="17">X8+Q8+AE8</f>
        <v>5247171</v>
      </c>
      <c r="AG8" s="61">
        <v>2.5000000000000001E-2</v>
      </c>
      <c r="AH8" s="62">
        <v>7116432</v>
      </c>
      <c r="AI8" s="62">
        <v>0</v>
      </c>
      <c r="AJ8" s="62">
        <v>0</v>
      </c>
      <c r="AK8" s="63">
        <f t="shared" ref="AK8:AK71" si="18">AH8+AI8+AJ8</f>
        <v>7116432</v>
      </c>
      <c r="AL8" s="60">
        <v>261249767</v>
      </c>
      <c r="AM8" s="60">
        <f t="shared" si="6"/>
        <v>284657280</v>
      </c>
      <c r="AN8" s="64">
        <f t="shared" ref="AN8:AN71" si="19">(AM8-AL8)/AL8</f>
        <v>8.9598215794772368E-2</v>
      </c>
      <c r="AO8" s="60">
        <f t="shared" ref="AO8:AO71" si="20">IF((AM8-AL8)/AL8&gt;$AO$3,AL8*(1+$AO$3),AM8)</f>
        <v>284657280</v>
      </c>
      <c r="AP8" s="50">
        <f t="shared" si="7"/>
        <v>2.5000000000000001E-2</v>
      </c>
      <c r="AQ8" s="50">
        <f t="shared" si="8"/>
        <v>0</v>
      </c>
      <c r="AR8" s="60">
        <v>87579</v>
      </c>
      <c r="AS8" s="60">
        <f t="shared" si="9"/>
        <v>12451182</v>
      </c>
      <c r="AT8" s="60">
        <f>ROUND(AS8/'3_Levels 1&amp;2'!C8,2)</f>
        <v>3154.59</v>
      </c>
    </row>
    <row r="9" spans="1:46" ht="15" customHeight="1" x14ac:dyDescent="0.2">
      <c r="A9" s="47">
        <v>3</v>
      </c>
      <c r="B9" s="48" t="s">
        <v>6</v>
      </c>
      <c r="C9" s="49">
        <v>1543396510</v>
      </c>
      <c r="D9" s="49">
        <v>228192755</v>
      </c>
      <c r="E9" s="49">
        <f t="shared" si="10"/>
        <v>1315203755</v>
      </c>
      <c r="F9" s="49">
        <v>1219303978</v>
      </c>
      <c r="G9" s="50">
        <f t="shared" si="11"/>
        <v>7.8651245899568456E-2</v>
      </c>
      <c r="H9" s="51">
        <f t="shared" si="2"/>
        <v>1315203755</v>
      </c>
      <c r="I9" s="52">
        <v>3.61</v>
      </c>
      <c r="J9" s="53">
        <v>4743468</v>
      </c>
      <c r="K9" s="52">
        <v>42.9</v>
      </c>
      <c r="L9" s="53">
        <v>56406689</v>
      </c>
      <c r="M9" s="54">
        <v>0</v>
      </c>
      <c r="N9" s="54">
        <v>0</v>
      </c>
      <c r="O9" s="54">
        <v>0</v>
      </c>
      <c r="P9" s="53">
        <v>0</v>
      </c>
      <c r="Q9" s="49">
        <f t="shared" si="12"/>
        <v>61150157</v>
      </c>
      <c r="R9" s="54">
        <v>15.08</v>
      </c>
      <c r="S9" s="53">
        <v>19828854</v>
      </c>
      <c r="T9" s="54">
        <v>0</v>
      </c>
      <c r="U9" s="54">
        <v>0</v>
      </c>
      <c r="V9" s="54">
        <v>0</v>
      </c>
      <c r="W9" s="53">
        <v>0</v>
      </c>
      <c r="X9" s="49">
        <f t="shared" si="13"/>
        <v>19828854</v>
      </c>
      <c r="Y9" s="56">
        <f t="shared" si="14"/>
        <v>61.589999999999996</v>
      </c>
      <c r="Z9" s="49">
        <f t="shared" si="15"/>
        <v>80979011</v>
      </c>
      <c r="AA9" s="49">
        <f t="shared" si="16"/>
        <v>0</v>
      </c>
      <c r="AB9" s="57">
        <f t="shared" si="3"/>
        <v>15.08</v>
      </c>
      <c r="AC9" s="58">
        <f t="shared" si="4"/>
        <v>46.49</v>
      </c>
      <c r="AD9" s="59">
        <f t="shared" si="5"/>
        <v>61.57</v>
      </c>
      <c r="AE9" s="60">
        <v>0</v>
      </c>
      <c r="AF9" s="60">
        <f t="shared" si="17"/>
        <v>80979011</v>
      </c>
      <c r="AG9" s="61">
        <v>0.02</v>
      </c>
      <c r="AH9" s="62">
        <v>70144479</v>
      </c>
      <c r="AI9" s="62">
        <v>0</v>
      </c>
      <c r="AJ9" s="62">
        <v>0</v>
      </c>
      <c r="AK9" s="63">
        <f t="shared" si="18"/>
        <v>70144479</v>
      </c>
      <c r="AL9" s="60">
        <v>3240480150</v>
      </c>
      <c r="AM9" s="60">
        <f t="shared" si="6"/>
        <v>3507223950</v>
      </c>
      <c r="AN9" s="61">
        <f t="shared" si="19"/>
        <v>8.2316134539506439E-2</v>
      </c>
      <c r="AO9" s="60">
        <f t="shared" si="20"/>
        <v>3507223950</v>
      </c>
      <c r="AP9" s="50">
        <f t="shared" si="7"/>
        <v>0.02</v>
      </c>
      <c r="AQ9" s="50">
        <f t="shared" si="8"/>
        <v>0</v>
      </c>
      <c r="AR9" s="60">
        <v>203989</v>
      </c>
      <c r="AS9" s="60">
        <f t="shared" si="9"/>
        <v>151327479</v>
      </c>
      <c r="AT9" s="60">
        <f>ROUND(AS9/'3_Levels 1&amp;2'!C9,2)</f>
        <v>6662.89</v>
      </c>
    </row>
    <row r="10" spans="1:46" ht="15" customHeight="1" x14ac:dyDescent="0.2">
      <c r="A10" s="47">
        <v>4</v>
      </c>
      <c r="B10" s="48" t="s">
        <v>7</v>
      </c>
      <c r="C10" s="49">
        <v>237774777</v>
      </c>
      <c r="D10" s="49">
        <v>36825094</v>
      </c>
      <c r="E10" s="49">
        <f t="shared" si="10"/>
        <v>200949683</v>
      </c>
      <c r="F10" s="49">
        <v>178560538</v>
      </c>
      <c r="G10" s="50">
        <f t="shared" si="11"/>
        <v>0.12538685899344681</v>
      </c>
      <c r="H10" s="51">
        <f t="shared" si="2"/>
        <v>196416591.80000001</v>
      </c>
      <c r="I10" s="52">
        <v>5.49</v>
      </c>
      <c r="J10" s="53">
        <v>1073791</v>
      </c>
      <c r="K10" s="52">
        <v>33.880000000000003</v>
      </c>
      <c r="L10" s="53">
        <v>6626198</v>
      </c>
      <c r="M10" s="54">
        <v>0</v>
      </c>
      <c r="N10" s="54">
        <v>0</v>
      </c>
      <c r="O10" s="54">
        <v>0</v>
      </c>
      <c r="P10" s="53">
        <v>0</v>
      </c>
      <c r="Q10" s="49">
        <f t="shared" si="12"/>
        <v>7699989</v>
      </c>
      <c r="R10" s="54">
        <v>0</v>
      </c>
      <c r="S10" s="53">
        <v>0</v>
      </c>
      <c r="T10" s="54">
        <v>0</v>
      </c>
      <c r="U10" s="54">
        <v>0</v>
      </c>
      <c r="V10" s="54">
        <v>0</v>
      </c>
      <c r="W10" s="53">
        <v>0</v>
      </c>
      <c r="X10" s="49">
        <f t="shared" si="13"/>
        <v>0</v>
      </c>
      <c r="Y10" s="56">
        <f t="shared" si="14"/>
        <v>39.370000000000005</v>
      </c>
      <c r="Z10" s="49">
        <f t="shared" si="15"/>
        <v>7699989</v>
      </c>
      <c r="AA10" s="49">
        <f t="shared" si="16"/>
        <v>0</v>
      </c>
      <c r="AB10" s="57">
        <f t="shared" si="3"/>
        <v>0</v>
      </c>
      <c r="AC10" s="58">
        <f t="shared" si="4"/>
        <v>38.32</v>
      </c>
      <c r="AD10" s="59">
        <f t="shared" si="5"/>
        <v>38.32</v>
      </c>
      <c r="AE10" s="60">
        <v>0</v>
      </c>
      <c r="AF10" s="60">
        <f t="shared" si="17"/>
        <v>7699989</v>
      </c>
      <c r="AG10" s="61">
        <v>0.03</v>
      </c>
      <c r="AH10" s="62">
        <v>7000918</v>
      </c>
      <c r="AI10" s="62">
        <v>0</v>
      </c>
      <c r="AJ10" s="62">
        <v>614430</v>
      </c>
      <c r="AK10" s="63">
        <f t="shared" si="18"/>
        <v>7615348</v>
      </c>
      <c r="AL10" s="60">
        <v>219156400</v>
      </c>
      <c r="AM10" s="60">
        <f t="shared" si="6"/>
        <v>253844933</v>
      </c>
      <c r="AN10" s="61">
        <f t="shared" si="19"/>
        <v>0.15828208986824022</v>
      </c>
      <c r="AO10" s="60">
        <f t="shared" si="20"/>
        <v>252029859.99999997</v>
      </c>
      <c r="AP10" s="50">
        <f t="shared" si="7"/>
        <v>2.7579506580105738E-2</v>
      </c>
      <c r="AQ10" s="50">
        <f t="shared" si="8"/>
        <v>0</v>
      </c>
      <c r="AR10" s="60">
        <v>105783</v>
      </c>
      <c r="AS10" s="60">
        <f t="shared" si="9"/>
        <v>15421120</v>
      </c>
      <c r="AT10" s="60">
        <f>ROUND(AS10/'3_Levels 1&amp;2'!C10,2)</f>
        <v>5037.9399999999996</v>
      </c>
    </row>
    <row r="11" spans="1:46" ht="15" customHeight="1" x14ac:dyDescent="0.2">
      <c r="A11" s="66">
        <v>5</v>
      </c>
      <c r="B11" s="67" t="s">
        <v>8</v>
      </c>
      <c r="C11" s="68">
        <v>206795870</v>
      </c>
      <c r="D11" s="68">
        <v>61591606</v>
      </c>
      <c r="E11" s="68">
        <f t="shared" si="10"/>
        <v>145204264</v>
      </c>
      <c r="F11" s="68">
        <v>140812795</v>
      </c>
      <c r="G11" s="69">
        <f t="shared" si="11"/>
        <v>3.1186576475525536E-2</v>
      </c>
      <c r="H11" s="70">
        <f t="shared" si="2"/>
        <v>145204264</v>
      </c>
      <c r="I11" s="71">
        <v>3.62</v>
      </c>
      <c r="J11" s="72">
        <v>522986</v>
      </c>
      <c r="K11" s="71">
        <v>20</v>
      </c>
      <c r="L11" s="72">
        <v>2889389</v>
      </c>
      <c r="M11" s="73">
        <v>0</v>
      </c>
      <c r="N11" s="73">
        <v>0</v>
      </c>
      <c r="O11" s="73">
        <v>0</v>
      </c>
      <c r="P11" s="72">
        <v>0</v>
      </c>
      <c r="Q11" s="68">
        <f t="shared" si="12"/>
        <v>3412375</v>
      </c>
      <c r="R11" s="73">
        <v>0</v>
      </c>
      <c r="S11" s="72">
        <v>0</v>
      </c>
      <c r="T11" s="73">
        <v>0</v>
      </c>
      <c r="U11" s="73">
        <v>0</v>
      </c>
      <c r="V11" s="73">
        <v>0</v>
      </c>
      <c r="W11" s="72">
        <v>0</v>
      </c>
      <c r="X11" s="68">
        <f t="shared" si="13"/>
        <v>0</v>
      </c>
      <c r="Y11" s="74">
        <f t="shared" si="14"/>
        <v>23.62</v>
      </c>
      <c r="Z11" s="68">
        <f t="shared" si="15"/>
        <v>3412375</v>
      </c>
      <c r="AA11" s="68">
        <f t="shared" si="16"/>
        <v>0</v>
      </c>
      <c r="AB11" s="75">
        <f t="shared" si="3"/>
        <v>0</v>
      </c>
      <c r="AC11" s="76">
        <f t="shared" si="4"/>
        <v>23.5</v>
      </c>
      <c r="AD11" s="77">
        <f t="shared" si="5"/>
        <v>23.5</v>
      </c>
      <c r="AE11" s="78">
        <v>0</v>
      </c>
      <c r="AF11" s="78">
        <f t="shared" si="17"/>
        <v>3412375</v>
      </c>
      <c r="AG11" s="79">
        <v>1.7500000000000002E-2</v>
      </c>
      <c r="AH11" s="80">
        <v>7987577</v>
      </c>
      <c r="AI11" s="80">
        <v>0</v>
      </c>
      <c r="AJ11" s="1149">
        <v>0</v>
      </c>
      <c r="AK11" s="81">
        <f t="shared" si="18"/>
        <v>7987577</v>
      </c>
      <c r="AL11" s="439">
        <v>454513486</v>
      </c>
      <c r="AM11" s="439">
        <f t="shared" si="6"/>
        <v>456432971</v>
      </c>
      <c r="AN11" s="441">
        <f t="shared" si="19"/>
        <v>4.2231640185039524E-3</v>
      </c>
      <c r="AO11" s="439">
        <f t="shared" si="20"/>
        <v>456432971</v>
      </c>
      <c r="AP11" s="440">
        <f t="shared" si="7"/>
        <v>1.7500000016431767E-2</v>
      </c>
      <c r="AQ11" s="440">
        <f t="shared" si="8"/>
        <v>0</v>
      </c>
      <c r="AR11" s="439">
        <v>407904</v>
      </c>
      <c r="AS11" s="439">
        <f t="shared" si="9"/>
        <v>11807856</v>
      </c>
      <c r="AT11" s="439">
        <f>ROUND(AS11/'3_Levels 1&amp;2'!C11,2)</f>
        <v>2284.36</v>
      </c>
    </row>
    <row r="12" spans="1:46" ht="15" customHeight="1" x14ac:dyDescent="0.2">
      <c r="A12" s="47">
        <v>6</v>
      </c>
      <c r="B12" s="48" t="s">
        <v>9</v>
      </c>
      <c r="C12" s="49">
        <v>319599357</v>
      </c>
      <c r="D12" s="49">
        <v>56970041</v>
      </c>
      <c r="E12" s="49">
        <f t="shared" si="10"/>
        <v>262629316</v>
      </c>
      <c r="F12" s="49">
        <v>234613467</v>
      </c>
      <c r="G12" s="50">
        <f t="shared" si="11"/>
        <v>0.11941279142343521</v>
      </c>
      <c r="H12" s="51">
        <f t="shared" si="2"/>
        <v>258074813.70000002</v>
      </c>
      <c r="I12" s="52">
        <v>4.8600000000000003</v>
      </c>
      <c r="J12" s="53">
        <v>1295320</v>
      </c>
      <c r="K12" s="52">
        <v>30.12</v>
      </c>
      <c r="L12" s="53">
        <v>8037041</v>
      </c>
      <c r="M12" s="54">
        <v>0</v>
      </c>
      <c r="N12" s="54">
        <v>0</v>
      </c>
      <c r="O12" s="54">
        <v>0</v>
      </c>
      <c r="P12" s="53">
        <v>0</v>
      </c>
      <c r="Q12" s="49">
        <f t="shared" si="12"/>
        <v>9332361</v>
      </c>
      <c r="R12" s="55">
        <v>17.8</v>
      </c>
      <c r="S12" s="53">
        <v>4321446</v>
      </c>
      <c r="T12" s="54">
        <v>0</v>
      </c>
      <c r="U12" s="54">
        <v>0</v>
      </c>
      <c r="V12" s="54">
        <v>0</v>
      </c>
      <c r="W12" s="53">
        <v>0</v>
      </c>
      <c r="X12" s="49">
        <f t="shared" si="13"/>
        <v>4321446</v>
      </c>
      <c r="Y12" s="56">
        <f t="shared" si="14"/>
        <v>52.78</v>
      </c>
      <c r="Z12" s="49">
        <f t="shared" si="15"/>
        <v>13653807</v>
      </c>
      <c r="AA12" s="49">
        <f t="shared" si="16"/>
        <v>0</v>
      </c>
      <c r="AB12" s="57">
        <f t="shared" si="3"/>
        <v>16.45</v>
      </c>
      <c r="AC12" s="58">
        <f t="shared" si="4"/>
        <v>35.53</v>
      </c>
      <c r="AD12" s="59">
        <f t="shared" si="5"/>
        <v>51.99</v>
      </c>
      <c r="AE12" s="60">
        <v>0</v>
      </c>
      <c r="AF12" s="60">
        <f t="shared" si="17"/>
        <v>13653807</v>
      </c>
      <c r="AG12" s="61">
        <v>0.02</v>
      </c>
      <c r="AH12" s="62">
        <v>10935838</v>
      </c>
      <c r="AI12" s="62">
        <v>0</v>
      </c>
      <c r="AJ12" s="62">
        <v>0</v>
      </c>
      <c r="AK12" s="63">
        <f t="shared" si="18"/>
        <v>10935838</v>
      </c>
      <c r="AL12" s="60">
        <v>538232500</v>
      </c>
      <c r="AM12" s="60">
        <f t="shared" si="6"/>
        <v>546791900</v>
      </c>
      <c r="AN12" s="64">
        <f t="shared" si="19"/>
        <v>1.5902792937996128E-2</v>
      </c>
      <c r="AO12" s="65">
        <f t="shared" si="20"/>
        <v>546791900</v>
      </c>
      <c r="AP12" s="50">
        <f t="shared" si="7"/>
        <v>0.02</v>
      </c>
      <c r="AQ12" s="50">
        <f t="shared" si="8"/>
        <v>0</v>
      </c>
      <c r="AR12" s="60">
        <v>323754</v>
      </c>
      <c r="AS12" s="60">
        <f t="shared" si="9"/>
        <v>24913399</v>
      </c>
      <c r="AT12" s="60">
        <f>ROUND(AS12/'3_Levels 1&amp;2'!C12,2)</f>
        <v>4306.55</v>
      </c>
    </row>
    <row r="13" spans="1:46" ht="15" customHeight="1" x14ac:dyDescent="0.2">
      <c r="A13" s="47">
        <v>7</v>
      </c>
      <c r="B13" s="48" t="s">
        <v>10</v>
      </c>
      <c r="C13" s="49">
        <v>368907561</v>
      </c>
      <c r="D13" s="49">
        <v>17443697</v>
      </c>
      <c r="E13" s="49">
        <f t="shared" si="10"/>
        <v>351463864</v>
      </c>
      <c r="F13" s="49">
        <v>359774044</v>
      </c>
      <c r="G13" s="50">
        <f t="shared" si="11"/>
        <v>-2.309833112919063E-2</v>
      </c>
      <c r="H13" s="51">
        <f t="shared" si="2"/>
        <v>351463864</v>
      </c>
      <c r="I13" s="52">
        <v>5.88</v>
      </c>
      <c r="J13" s="53">
        <v>2056931</v>
      </c>
      <c r="K13" s="52">
        <v>53.06</v>
      </c>
      <c r="L13" s="53">
        <v>18561357</v>
      </c>
      <c r="M13" s="54">
        <v>0</v>
      </c>
      <c r="N13" s="54">
        <v>0</v>
      </c>
      <c r="O13" s="54">
        <v>0</v>
      </c>
      <c r="P13" s="53">
        <v>0</v>
      </c>
      <c r="Q13" s="49">
        <f t="shared" si="12"/>
        <v>20618288</v>
      </c>
      <c r="R13" s="54">
        <v>0</v>
      </c>
      <c r="S13" s="53">
        <v>0</v>
      </c>
      <c r="T13" s="54">
        <v>0</v>
      </c>
      <c r="U13" s="54">
        <v>48</v>
      </c>
      <c r="V13" s="54">
        <v>4</v>
      </c>
      <c r="W13" s="53">
        <v>2299490</v>
      </c>
      <c r="X13" s="49">
        <f t="shared" si="13"/>
        <v>2299490</v>
      </c>
      <c r="Y13" s="56">
        <f t="shared" si="14"/>
        <v>58.940000000000005</v>
      </c>
      <c r="Z13" s="49">
        <f t="shared" si="15"/>
        <v>20618288</v>
      </c>
      <c r="AA13" s="49">
        <f t="shared" si="16"/>
        <v>2299490</v>
      </c>
      <c r="AB13" s="57">
        <f t="shared" si="3"/>
        <v>6.54</v>
      </c>
      <c r="AC13" s="58">
        <f t="shared" si="4"/>
        <v>58.66</v>
      </c>
      <c r="AD13" s="59">
        <f t="shared" si="5"/>
        <v>65.209999999999994</v>
      </c>
      <c r="AE13" s="60">
        <v>0</v>
      </c>
      <c r="AF13" s="60">
        <f t="shared" si="17"/>
        <v>22917778</v>
      </c>
      <c r="AG13" s="61">
        <v>0.02</v>
      </c>
      <c r="AH13" s="62">
        <v>4055962</v>
      </c>
      <c r="AI13" s="62">
        <v>0</v>
      </c>
      <c r="AJ13" s="62">
        <v>0</v>
      </c>
      <c r="AK13" s="63">
        <f t="shared" si="18"/>
        <v>4055962</v>
      </c>
      <c r="AL13" s="60">
        <v>254166100</v>
      </c>
      <c r="AM13" s="60">
        <f t="shared" si="6"/>
        <v>202798100</v>
      </c>
      <c r="AN13" s="64">
        <f t="shared" si="19"/>
        <v>-0.20210405715002905</v>
      </c>
      <c r="AO13" s="65">
        <f t="shared" si="20"/>
        <v>202798100</v>
      </c>
      <c r="AP13" s="50">
        <f t="shared" si="7"/>
        <v>0.02</v>
      </c>
      <c r="AQ13" s="50">
        <f t="shared" si="8"/>
        <v>0</v>
      </c>
      <c r="AR13" s="60">
        <v>125035</v>
      </c>
      <c r="AS13" s="60">
        <f t="shared" si="9"/>
        <v>27098775</v>
      </c>
      <c r="AT13" s="60">
        <f>ROUND(AS13/'3_Levels 1&amp;2'!C13,2)</f>
        <v>13015.74</v>
      </c>
    </row>
    <row r="14" spans="1:46" ht="15" customHeight="1" x14ac:dyDescent="0.2">
      <c r="A14" s="47">
        <v>8</v>
      </c>
      <c r="B14" s="48" t="s">
        <v>11</v>
      </c>
      <c r="C14" s="49">
        <v>1181661960</v>
      </c>
      <c r="D14" s="49">
        <v>194546647</v>
      </c>
      <c r="E14" s="49">
        <f t="shared" si="10"/>
        <v>987115313</v>
      </c>
      <c r="F14" s="49">
        <v>962926141</v>
      </c>
      <c r="G14" s="50">
        <f t="shared" si="11"/>
        <v>2.5120485331179724E-2</v>
      </c>
      <c r="H14" s="51">
        <f t="shared" si="2"/>
        <v>987115313</v>
      </c>
      <c r="I14" s="52">
        <v>3.47</v>
      </c>
      <c r="J14" s="53">
        <v>3391555</v>
      </c>
      <c r="K14" s="52">
        <v>48.06</v>
      </c>
      <c r="L14" s="53">
        <v>46916795</v>
      </c>
      <c r="M14" s="54">
        <v>0</v>
      </c>
      <c r="N14" s="54">
        <v>0</v>
      </c>
      <c r="O14" s="54">
        <v>0</v>
      </c>
      <c r="P14" s="53">
        <v>0</v>
      </c>
      <c r="Q14" s="49">
        <f t="shared" si="12"/>
        <v>50308350</v>
      </c>
      <c r="R14" s="54">
        <v>13.83</v>
      </c>
      <c r="S14" s="53">
        <v>13519930</v>
      </c>
      <c r="T14" s="54">
        <v>0</v>
      </c>
      <c r="U14" s="54">
        <v>0</v>
      </c>
      <c r="V14" s="54">
        <v>0</v>
      </c>
      <c r="W14" s="53">
        <v>0</v>
      </c>
      <c r="X14" s="49">
        <f t="shared" si="13"/>
        <v>13519930</v>
      </c>
      <c r="Y14" s="56">
        <f t="shared" si="14"/>
        <v>65.36</v>
      </c>
      <c r="Z14" s="49">
        <f t="shared" si="15"/>
        <v>63828280</v>
      </c>
      <c r="AA14" s="49">
        <f t="shared" si="16"/>
        <v>0</v>
      </c>
      <c r="AB14" s="57">
        <f t="shared" si="3"/>
        <v>13.7</v>
      </c>
      <c r="AC14" s="58">
        <f t="shared" si="4"/>
        <v>50.97</v>
      </c>
      <c r="AD14" s="59">
        <f t="shared" si="5"/>
        <v>64.66</v>
      </c>
      <c r="AE14" s="60">
        <v>0</v>
      </c>
      <c r="AF14" s="60">
        <f t="shared" si="17"/>
        <v>63828280</v>
      </c>
      <c r="AG14" s="61">
        <v>1.7500000000000002E-2</v>
      </c>
      <c r="AH14" s="62">
        <v>47264606</v>
      </c>
      <c r="AI14" s="62">
        <v>0</v>
      </c>
      <c r="AJ14" s="62">
        <v>0</v>
      </c>
      <c r="AK14" s="63">
        <f t="shared" si="18"/>
        <v>47264606</v>
      </c>
      <c r="AL14" s="60">
        <v>2624833143</v>
      </c>
      <c r="AM14" s="60">
        <f t="shared" si="6"/>
        <v>2700834629</v>
      </c>
      <c r="AN14" s="61">
        <f t="shared" si="19"/>
        <v>2.8954787546280232E-2</v>
      </c>
      <c r="AO14" s="60">
        <f t="shared" si="20"/>
        <v>2700834629</v>
      </c>
      <c r="AP14" s="50">
        <f t="shared" si="7"/>
        <v>1.7499999997223081E-2</v>
      </c>
      <c r="AQ14" s="50">
        <f t="shared" si="8"/>
        <v>0</v>
      </c>
      <c r="AR14" s="60">
        <v>654046</v>
      </c>
      <c r="AS14" s="60">
        <f t="shared" si="9"/>
        <v>111746932</v>
      </c>
      <c r="AT14" s="60">
        <f>ROUND(AS14/'3_Levels 1&amp;2'!C14,2)</f>
        <v>4994.72</v>
      </c>
    </row>
    <row r="15" spans="1:46" ht="15" customHeight="1" x14ac:dyDescent="0.2">
      <c r="A15" s="47">
        <v>9</v>
      </c>
      <c r="B15" s="48" t="s">
        <v>12</v>
      </c>
      <c r="C15" s="49">
        <v>2114072827</v>
      </c>
      <c r="D15" s="49">
        <v>334155007</v>
      </c>
      <c r="E15" s="49">
        <f t="shared" si="10"/>
        <v>1779917820</v>
      </c>
      <c r="F15" s="49">
        <v>1758349507</v>
      </c>
      <c r="G15" s="50">
        <f t="shared" si="11"/>
        <v>1.2266226318565459E-2</v>
      </c>
      <c r="H15" s="51">
        <f t="shared" si="2"/>
        <v>1779917820</v>
      </c>
      <c r="I15" s="52">
        <v>7.7</v>
      </c>
      <c r="J15" s="53">
        <v>13681849</v>
      </c>
      <c r="K15" s="52">
        <v>61.12</v>
      </c>
      <c r="L15" s="53">
        <v>108601900</v>
      </c>
      <c r="M15" s="54">
        <v>0</v>
      </c>
      <c r="N15" s="54">
        <v>0</v>
      </c>
      <c r="O15" s="54">
        <v>0</v>
      </c>
      <c r="P15" s="53">
        <v>0</v>
      </c>
      <c r="Q15" s="49">
        <f t="shared" si="12"/>
        <v>122283749</v>
      </c>
      <c r="R15" s="54">
        <v>5</v>
      </c>
      <c r="S15" s="53">
        <v>8884318</v>
      </c>
      <c r="T15" s="54">
        <v>0</v>
      </c>
      <c r="U15" s="54">
        <v>0</v>
      </c>
      <c r="V15" s="54">
        <v>0</v>
      </c>
      <c r="W15" s="53">
        <v>0</v>
      </c>
      <c r="X15" s="49">
        <f t="shared" si="13"/>
        <v>8884318</v>
      </c>
      <c r="Y15" s="56">
        <f t="shared" si="14"/>
        <v>73.819999999999993</v>
      </c>
      <c r="Z15" s="49">
        <f t="shared" si="15"/>
        <v>131168067</v>
      </c>
      <c r="AA15" s="49">
        <f t="shared" si="16"/>
        <v>0</v>
      </c>
      <c r="AB15" s="57">
        <f t="shared" si="3"/>
        <v>4.99</v>
      </c>
      <c r="AC15" s="58">
        <f t="shared" si="4"/>
        <v>68.7</v>
      </c>
      <c r="AD15" s="59">
        <f t="shared" si="5"/>
        <v>73.69</v>
      </c>
      <c r="AE15" s="60">
        <v>0</v>
      </c>
      <c r="AF15" s="60">
        <f t="shared" si="17"/>
        <v>131168067</v>
      </c>
      <c r="AG15" s="61">
        <v>1.4999999999999999E-2</v>
      </c>
      <c r="AH15" s="62">
        <v>79578095</v>
      </c>
      <c r="AI15" s="62">
        <v>0</v>
      </c>
      <c r="AJ15" s="62">
        <v>0</v>
      </c>
      <c r="AK15" s="63">
        <f t="shared" si="18"/>
        <v>79578095</v>
      </c>
      <c r="AL15" s="60">
        <v>5230950333</v>
      </c>
      <c r="AM15" s="60">
        <f t="shared" si="6"/>
        <v>5305206333</v>
      </c>
      <c r="AN15" s="61">
        <f t="shared" si="19"/>
        <v>1.4195508516215155E-2</v>
      </c>
      <c r="AO15" s="60">
        <f t="shared" si="20"/>
        <v>5305206333</v>
      </c>
      <c r="AP15" s="50">
        <f t="shared" si="7"/>
        <v>1.5000000000942471E-2</v>
      </c>
      <c r="AQ15" s="50">
        <f t="shared" si="8"/>
        <v>0</v>
      </c>
      <c r="AR15" s="60">
        <v>1976843</v>
      </c>
      <c r="AS15" s="60">
        <f t="shared" si="9"/>
        <v>212723005</v>
      </c>
      <c r="AT15" s="60">
        <f>ROUND(AS15/'3_Levels 1&amp;2'!C15,2)</f>
        <v>5611.56</v>
      </c>
    </row>
    <row r="16" spans="1:46" ht="15" customHeight="1" x14ac:dyDescent="0.2">
      <c r="A16" s="66">
        <v>10</v>
      </c>
      <c r="B16" s="67" t="s">
        <v>13</v>
      </c>
      <c r="C16" s="68">
        <v>2536211349</v>
      </c>
      <c r="D16" s="68">
        <v>293676347</v>
      </c>
      <c r="E16" s="68">
        <f t="shared" si="10"/>
        <v>2242535002</v>
      </c>
      <c r="F16" s="68">
        <v>2143208511</v>
      </c>
      <c r="G16" s="69">
        <f t="shared" si="11"/>
        <v>4.6344763232418873E-2</v>
      </c>
      <c r="H16" s="70">
        <f t="shared" si="2"/>
        <v>2242535002</v>
      </c>
      <c r="I16" s="71">
        <v>5.13</v>
      </c>
      <c r="J16" s="72">
        <v>11352598</v>
      </c>
      <c r="K16" s="71">
        <v>12.1</v>
      </c>
      <c r="L16" s="72">
        <v>26822400</v>
      </c>
      <c r="M16" s="73">
        <v>0</v>
      </c>
      <c r="N16" s="73">
        <v>0</v>
      </c>
      <c r="O16" s="73">
        <v>0</v>
      </c>
      <c r="P16" s="72">
        <v>307438</v>
      </c>
      <c r="Q16" s="68">
        <f t="shared" si="12"/>
        <v>38482436</v>
      </c>
      <c r="R16" s="73">
        <v>0</v>
      </c>
      <c r="S16" s="72">
        <v>0</v>
      </c>
      <c r="T16" s="73">
        <v>0</v>
      </c>
      <c r="U16" s="73">
        <v>33</v>
      </c>
      <c r="V16" s="73">
        <v>10</v>
      </c>
      <c r="W16" s="72">
        <v>23260323</v>
      </c>
      <c r="X16" s="68">
        <f t="shared" si="13"/>
        <v>23260323</v>
      </c>
      <c r="Y16" s="74">
        <f t="shared" si="14"/>
        <v>17.23</v>
      </c>
      <c r="Z16" s="68">
        <f t="shared" si="15"/>
        <v>38174998</v>
      </c>
      <c r="AA16" s="68">
        <f t="shared" si="16"/>
        <v>23567761</v>
      </c>
      <c r="AB16" s="75">
        <f t="shared" si="3"/>
        <v>10.37</v>
      </c>
      <c r="AC16" s="76">
        <f t="shared" si="4"/>
        <v>17.16</v>
      </c>
      <c r="AD16" s="77">
        <f t="shared" si="5"/>
        <v>27.53</v>
      </c>
      <c r="AE16" s="78">
        <v>0</v>
      </c>
      <c r="AF16" s="78">
        <f t="shared" si="17"/>
        <v>61742759</v>
      </c>
      <c r="AG16" s="79">
        <v>2.5000000000000001E-2</v>
      </c>
      <c r="AH16" s="80">
        <v>177229483</v>
      </c>
      <c r="AI16" s="80">
        <v>0</v>
      </c>
      <c r="AJ16" s="1149">
        <v>0</v>
      </c>
      <c r="AK16" s="81">
        <f t="shared" si="18"/>
        <v>177229483</v>
      </c>
      <c r="AL16" s="78">
        <v>8073925720</v>
      </c>
      <c r="AM16" s="78">
        <f t="shared" si="6"/>
        <v>7089179320</v>
      </c>
      <c r="AN16" s="79">
        <f t="shared" si="19"/>
        <v>-0.12196624469317015</v>
      </c>
      <c r="AO16" s="78">
        <f t="shared" si="20"/>
        <v>7089179320</v>
      </c>
      <c r="AP16" s="69">
        <f t="shared" si="7"/>
        <v>2.5000000000000001E-2</v>
      </c>
      <c r="AQ16" s="69">
        <f t="shared" si="8"/>
        <v>0</v>
      </c>
      <c r="AR16" s="78">
        <v>1011329</v>
      </c>
      <c r="AS16" s="78">
        <f t="shared" si="9"/>
        <v>239983571</v>
      </c>
      <c r="AT16" s="78">
        <f>ROUND(AS16/'3_Levels 1&amp;2'!C16,2)</f>
        <v>7334.69</v>
      </c>
    </row>
    <row r="17" spans="1:46" ht="15" customHeight="1" x14ac:dyDescent="0.2">
      <c r="A17" s="47">
        <v>11</v>
      </c>
      <c r="B17" s="48" t="s">
        <v>14</v>
      </c>
      <c r="C17" s="49">
        <v>76415341</v>
      </c>
      <c r="D17" s="49">
        <v>14785264</v>
      </c>
      <c r="E17" s="49">
        <f t="shared" si="10"/>
        <v>61630077</v>
      </c>
      <c r="F17" s="49">
        <v>61321061</v>
      </c>
      <c r="G17" s="50">
        <f t="shared" si="11"/>
        <v>5.0393126759499477E-3</v>
      </c>
      <c r="H17" s="51">
        <f t="shared" si="2"/>
        <v>61630077</v>
      </c>
      <c r="I17" s="52">
        <v>5.4</v>
      </c>
      <c r="J17" s="53">
        <v>329967</v>
      </c>
      <c r="K17" s="52">
        <v>32.83</v>
      </c>
      <c r="L17" s="53">
        <v>2006076</v>
      </c>
      <c r="M17" s="54">
        <v>0</v>
      </c>
      <c r="N17" s="54">
        <v>0</v>
      </c>
      <c r="O17" s="54">
        <v>0</v>
      </c>
      <c r="P17" s="53">
        <v>0</v>
      </c>
      <c r="Q17" s="49">
        <f t="shared" si="12"/>
        <v>2336043</v>
      </c>
      <c r="R17" s="55">
        <v>14</v>
      </c>
      <c r="S17" s="53">
        <v>855468</v>
      </c>
      <c r="T17" s="54">
        <v>0</v>
      </c>
      <c r="U17" s="54">
        <v>0</v>
      </c>
      <c r="V17" s="54">
        <v>0</v>
      </c>
      <c r="W17" s="53">
        <v>0</v>
      </c>
      <c r="X17" s="49">
        <f t="shared" si="13"/>
        <v>855468</v>
      </c>
      <c r="Y17" s="56">
        <f t="shared" si="14"/>
        <v>52.23</v>
      </c>
      <c r="Z17" s="49">
        <f t="shared" si="15"/>
        <v>3191511</v>
      </c>
      <c r="AA17" s="49">
        <f t="shared" si="16"/>
        <v>0</v>
      </c>
      <c r="AB17" s="57">
        <f t="shared" si="3"/>
        <v>13.88</v>
      </c>
      <c r="AC17" s="58">
        <f t="shared" si="4"/>
        <v>37.9</v>
      </c>
      <c r="AD17" s="59">
        <f t="shared" si="5"/>
        <v>51.78</v>
      </c>
      <c r="AE17" s="60">
        <v>0</v>
      </c>
      <c r="AF17" s="60">
        <f t="shared" si="17"/>
        <v>3191511</v>
      </c>
      <c r="AG17" s="61">
        <v>0.02</v>
      </c>
      <c r="AH17" s="62">
        <v>2275194</v>
      </c>
      <c r="AI17" s="62">
        <v>0</v>
      </c>
      <c r="AJ17" s="62">
        <v>0</v>
      </c>
      <c r="AK17" s="63">
        <f t="shared" si="18"/>
        <v>2275194</v>
      </c>
      <c r="AL17" s="60">
        <v>106459500</v>
      </c>
      <c r="AM17" s="60">
        <f t="shared" si="6"/>
        <v>113759700</v>
      </c>
      <c r="AN17" s="64">
        <f t="shared" si="19"/>
        <v>6.8572555760641377E-2</v>
      </c>
      <c r="AO17" s="65">
        <f t="shared" si="20"/>
        <v>113759700</v>
      </c>
      <c r="AP17" s="50">
        <f t="shared" si="7"/>
        <v>0.02</v>
      </c>
      <c r="AQ17" s="50">
        <f t="shared" si="8"/>
        <v>0</v>
      </c>
      <c r="AR17" s="60">
        <v>79041</v>
      </c>
      <c r="AS17" s="60">
        <f t="shared" si="9"/>
        <v>5545746</v>
      </c>
      <c r="AT17" s="60">
        <f>ROUND(AS17/'3_Levels 1&amp;2'!C17,2)</f>
        <v>3589.48</v>
      </c>
    </row>
    <row r="18" spans="1:46" ht="15" customHeight="1" x14ac:dyDescent="0.2">
      <c r="A18" s="47">
        <v>12</v>
      </c>
      <c r="B18" s="785" t="s">
        <v>15</v>
      </c>
      <c r="C18" s="49">
        <v>267467732</v>
      </c>
      <c r="D18" s="49">
        <v>12249908</v>
      </c>
      <c r="E18" s="49">
        <f t="shared" si="10"/>
        <v>255217824</v>
      </c>
      <c r="F18" s="49">
        <v>257495030</v>
      </c>
      <c r="G18" s="50">
        <f t="shared" si="11"/>
        <v>-8.8436891383884188E-3</v>
      </c>
      <c r="H18" s="51">
        <f t="shared" si="2"/>
        <v>255217824</v>
      </c>
      <c r="I18" s="52">
        <v>4.84</v>
      </c>
      <c r="J18" s="53">
        <v>1306104</v>
      </c>
      <c r="K18" s="52">
        <v>29.46</v>
      </c>
      <c r="L18" s="53">
        <v>7951273</v>
      </c>
      <c r="M18" s="54">
        <v>0</v>
      </c>
      <c r="N18" s="54">
        <v>0</v>
      </c>
      <c r="O18" s="54">
        <v>0</v>
      </c>
      <c r="P18" s="53">
        <v>0</v>
      </c>
      <c r="Q18" s="49">
        <f t="shared" si="12"/>
        <v>9257377</v>
      </c>
      <c r="R18" s="54">
        <v>0</v>
      </c>
      <c r="S18" s="53">
        <v>0</v>
      </c>
      <c r="T18" s="54">
        <v>0</v>
      </c>
      <c r="U18" s="54">
        <v>0</v>
      </c>
      <c r="V18" s="54">
        <v>0</v>
      </c>
      <c r="W18" s="53">
        <v>0</v>
      </c>
      <c r="X18" s="49">
        <f t="shared" si="13"/>
        <v>0</v>
      </c>
      <c r="Y18" s="56">
        <f t="shared" si="14"/>
        <v>34.299999999999997</v>
      </c>
      <c r="Z18" s="49">
        <f t="shared" si="15"/>
        <v>9257377</v>
      </c>
      <c r="AA18" s="49">
        <f t="shared" si="16"/>
        <v>0</v>
      </c>
      <c r="AB18" s="57">
        <f t="shared" si="3"/>
        <v>0</v>
      </c>
      <c r="AC18" s="58">
        <f t="shared" si="4"/>
        <v>36.270000000000003</v>
      </c>
      <c r="AD18" s="59">
        <f t="shared" si="5"/>
        <v>36.270000000000003</v>
      </c>
      <c r="AE18" s="60">
        <v>0</v>
      </c>
      <c r="AF18" s="60">
        <f t="shared" si="17"/>
        <v>9257377</v>
      </c>
      <c r="AG18" s="61">
        <v>0</v>
      </c>
      <c r="AH18" s="62">
        <v>0</v>
      </c>
      <c r="AI18" s="62">
        <v>0</v>
      </c>
      <c r="AJ18" s="62">
        <v>0</v>
      </c>
      <c r="AK18" s="63">
        <f t="shared" si="18"/>
        <v>0</v>
      </c>
      <c r="AL18" s="60">
        <v>351063173</v>
      </c>
      <c r="AM18" s="60">
        <v>255800540</v>
      </c>
      <c r="AN18" s="64">
        <f t="shared" si="19"/>
        <v>-0.27135467439075417</v>
      </c>
      <c r="AO18" s="65">
        <f t="shared" si="20"/>
        <v>255800540</v>
      </c>
      <c r="AP18" s="50">
        <f t="shared" si="7"/>
        <v>0</v>
      </c>
      <c r="AQ18" s="50">
        <f t="shared" si="8"/>
        <v>0</v>
      </c>
      <c r="AR18" s="60">
        <v>424273</v>
      </c>
      <c r="AS18" s="60">
        <f t="shared" si="9"/>
        <v>9681650</v>
      </c>
      <c r="AT18" s="60">
        <f>ROUND(AS18/'3_Levels 1&amp;2'!C18,2)</f>
        <v>7551.99</v>
      </c>
    </row>
    <row r="19" spans="1:46" ht="15" customHeight="1" x14ac:dyDescent="0.2">
      <c r="A19" s="47">
        <v>13</v>
      </c>
      <c r="B19" s="48" t="s">
        <v>16</v>
      </c>
      <c r="C19" s="49">
        <v>53616904</v>
      </c>
      <c r="D19" s="49">
        <v>14338091</v>
      </c>
      <c r="E19" s="49">
        <f t="shared" si="10"/>
        <v>39278813</v>
      </c>
      <c r="F19" s="49">
        <v>39183469</v>
      </c>
      <c r="G19" s="50">
        <f t="shared" si="11"/>
        <v>2.4332710306991961E-3</v>
      </c>
      <c r="H19" s="51">
        <f t="shared" si="2"/>
        <v>39278813</v>
      </c>
      <c r="I19" s="52">
        <v>4.16</v>
      </c>
      <c r="J19" s="53">
        <v>163512</v>
      </c>
      <c r="K19" s="52">
        <v>13.27</v>
      </c>
      <c r="L19" s="53">
        <v>522410</v>
      </c>
      <c r="M19" s="54">
        <v>0</v>
      </c>
      <c r="N19" s="54">
        <v>5.56</v>
      </c>
      <c r="O19" s="54">
        <v>4</v>
      </c>
      <c r="P19" s="53">
        <v>176701</v>
      </c>
      <c r="Q19" s="49">
        <f t="shared" si="12"/>
        <v>862623</v>
      </c>
      <c r="R19" s="54">
        <v>0</v>
      </c>
      <c r="S19" s="53">
        <v>0</v>
      </c>
      <c r="T19" s="54">
        <v>0</v>
      </c>
      <c r="U19" s="54">
        <v>13.25</v>
      </c>
      <c r="V19" s="54">
        <v>1</v>
      </c>
      <c r="W19" s="53">
        <v>44878</v>
      </c>
      <c r="X19" s="49">
        <f t="shared" si="13"/>
        <v>44878</v>
      </c>
      <c r="Y19" s="56">
        <f t="shared" si="14"/>
        <v>17.43</v>
      </c>
      <c r="Z19" s="49">
        <f t="shared" si="15"/>
        <v>685922</v>
      </c>
      <c r="AA19" s="49">
        <f t="shared" si="16"/>
        <v>221579</v>
      </c>
      <c r="AB19" s="57">
        <f t="shared" si="3"/>
        <v>1.1399999999999999</v>
      </c>
      <c r="AC19" s="58">
        <f t="shared" si="4"/>
        <v>21.96</v>
      </c>
      <c r="AD19" s="59">
        <f t="shared" si="5"/>
        <v>23.1</v>
      </c>
      <c r="AE19" s="60">
        <v>0</v>
      </c>
      <c r="AF19" s="60">
        <f t="shared" si="17"/>
        <v>907501</v>
      </c>
      <c r="AG19" s="61">
        <v>0.03</v>
      </c>
      <c r="AH19" s="62">
        <v>2635794</v>
      </c>
      <c r="AI19" s="62">
        <v>0</v>
      </c>
      <c r="AJ19" s="62">
        <v>0</v>
      </c>
      <c r="AK19" s="63">
        <f t="shared" si="18"/>
        <v>2635794</v>
      </c>
      <c r="AL19" s="60">
        <v>88004967</v>
      </c>
      <c r="AM19" s="60">
        <f t="shared" ref="AM19:AM50" si="21">ROUND(AK19/AG19,0)</f>
        <v>87859800</v>
      </c>
      <c r="AN19" s="61">
        <f t="shared" si="19"/>
        <v>-1.649531895171326E-3</v>
      </c>
      <c r="AO19" s="60">
        <f t="shared" si="20"/>
        <v>87859800</v>
      </c>
      <c r="AP19" s="50">
        <f t="shared" si="7"/>
        <v>0.03</v>
      </c>
      <c r="AQ19" s="50">
        <f t="shared" si="8"/>
        <v>0</v>
      </c>
      <c r="AR19" s="60">
        <v>126908</v>
      </c>
      <c r="AS19" s="60">
        <f t="shared" si="9"/>
        <v>3670203</v>
      </c>
      <c r="AT19" s="60">
        <f>ROUND(AS19/'3_Levels 1&amp;2'!C19,2)</f>
        <v>3053.41</v>
      </c>
    </row>
    <row r="20" spans="1:46" ht="15" customHeight="1" x14ac:dyDescent="0.2">
      <c r="A20" s="47">
        <v>14</v>
      </c>
      <c r="B20" s="48" t="s">
        <v>17</v>
      </c>
      <c r="C20" s="49">
        <v>148501301</v>
      </c>
      <c r="D20" s="49">
        <v>19455737</v>
      </c>
      <c r="E20" s="49">
        <f t="shared" si="10"/>
        <v>129045564</v>
      </c>
      <c r="F20" s="49">
        <v>130688915</v>
      </c>
      <c r="G20" s="50">
        <f t="shared" si="11"/>
        <v>-1.2574524778937831E-2</v>
      </c>
      <c r="H20" s="51">
        <f t="shared" si="2"/>
        <v>129045564</v>
      </c>
      <c r="I20" s="52">
        <v>5.29</v>
      </c>
      <c r="J20" s="53">
        <v>671376</v>
      </c>
      <c r="K20" s="52">
        <v>20.3</v>
      </c>
      <c r="L20" s="53">
        <v>2575710</v>
      </c>
      <c r="M20" s="54">
        <v>0</v>
      </c>
      <c r="N20" s="54">
        <v>11.88</v>
      </c>
      <c r="O20" s="54">
        <v>3</v>
      </c>
      <c r="P20" s="53">
        <v>549173</v>
      </c>
      <c r="Q20" s="49">
        <f t="shared" si="12"/>
        <v>3796259</v>
      </c>
      <c r="R20" s="54">
        <v>0</v>
      </c>
      <c r="S20" s="53">
        <v>0</v>
      </c>
      <c r="T20" s="54">
        <v>0</v>
      </c>
      <c r="U20" s="54">
        <v>17.5</v>
      </c>
      <c r="V20" s="54">
        <v>1</v>
      </c>
      <c r="W20" s="53">
        <v>535721</v>
      </c>
      <c r="X20" s="49">
        <f t="shared" si="13"/>
        <v>535721</v>
      </c>
      <c r="Y20" s="56">
        <f t="shared" si="14"/>
        <v>25.59</v>
      </c>
      <c r="Z20" s="49">
        <f t="shared" si="15"/>
        <v>3247086</v>
      </c>
      <c r="AA20" s="49">
        <f t="shared" si="16"/>
        <v>1084894</v>
      </c>
      <c r="AB20" s="57">
        <f t="shared" si="3"/>
        <v>4.1500000000000004</v>
      </c>
      <c r="AC20" s="58">
        <f t="shared" si="4"/>
        <v>29.42</v>
      </c>
      <c r="AD20" s="59">
        <f t="shared" si="5"/>
        <v>33.57</v>
      </c>
      <c r="AE20" s="60">
        <v>0</v>
      </c>
      <c r="AF20" s="60">
        <f t="shared" si="17"/>
        <v>4331980</v>
      </c>
      <c r="AG20" s="61">
        <v>0.02</v>
      </c>
      <c r="AH20" s="62">
        <v>2657604</v>
      </c>
      <c r="AI20" s="62">
        <v>0</v>
      </c>
      <c r="AJ20" s="62">
        <v>0</v>
      </c>
      <c r="AK20" s="63">
        <f t="shared" si="18"/>
        <v>2657604</v>
      </c>
      <c r="AL20" s="60">
        <v>136956200</v>
      </c>
      <c r="AM20" s="60">
        <f t="shared" si="21"/>
        <v>132880200</v>
      </c>
      <c r="AN20" s="61">
        <f t="shared" si="19"/>
        <v>-2.976133975679816E-2</v>
      </c>
      <c r="AO20" s="60">
        <f t="shared" si="20"/>
        <v>132880200</v>
      </c>
      <c r="AP20" s="50">
        <f t="shared" si="7"/>
        <v>0.02</v>
      </c>
      <c r="AQ20" s="50">
        <f t="shared" si="8"/>
        <v>0</v>
      </c>
      <c r="AR20" s="60">
        <v>134454</v>
      </c>
      <c r="AS20" s="60">
        <f t="shared" si="9"/>
        <v>7124038</v>
      </c>
      <c r="AT20" s="60">
        <f>ROUND(AS20/'3_Levels 1&amp;2'!C20,2)</f>
        <v>4170.9799999999996</v>
      </c>
    </row>
    <row r="21" spans="1:46" ht="15" customHeight="1" x14ac:dyDescent="0.2">
      <c r="A21" s="66">
        <v>15</v>
      </c>
      <c r="B21" s="67" t="s">
        <v>18</v>
      </c>
      <c r="C21" s="68">
        <v>159576850</v>
      </c>
      <c r="D21" s="68">
        <v>28099990</v>
      </c>
      <c r="E21" s="68">
        <f t="shared" si="10"/>
        <v>131476860</v>
      </c>
      <c r="F21" s="68">
        <v>135459321</v>
      </c>
      <c r="G21" s="69">
        <f t="shared" si="11"/>
        <v>-2.939968228542944E-2</v>
      </c>
      <c r="H21" s="70">
        <f t="shared" si="2"/>
        <v>131476860</v>
      </c>
      <c r="I21" s="71">
        <v>2.81</v>
      </c>
      <c r="J21" s="72">
        <v>367524</v>
      </c>
      <c r="K21" s="71">
        <v>37.6</v>
      </c>
      <c r="L21" s="72">
        <v>4917698</v>
      </c>
      <c r="M21" s="73">
        <v>0</v>
      </c>
      <c r="N21" s="73">
        <v>0</v>
      </c>
      <c r="O21" s="73">
        <v>0</v>
      </c>
      <c r="P21" s="72">
        <v>0</v>
      </c>
      <c r="Q21" s="68">
        <f t="shared" si="12"/>
        <v>5285222</v>
      </c>
      <c r="R21" s="73"/>
      <c r="S21" s="72"/>
      <c r="T21" s="73"/>
      <c r="U21" s="73"/>
      <c r="V21" s="73"/>
      <c r="W21" s="72"/>
      <c r="X21" s="68">
        <f t="shared" si="13"/>
        <v>0</v>
      </c>
      <c r="Y21" s="74">
        <f t="shared" si="14"/>
        <v>40.410000000000004</v>
      </c>
      <c r="Z21" s="68">
        <f t="shared" si="15"/>
        <v>5285222</v>
      </c>
      <c r="AA21" s="68">
        <f t="shared" si="16"/>
        <v>0</v>
      </c>
      <c r="AB21" s="75">
        <f t="shared" si="3"/>
        <v>0</v>
      </c>
      <c r="AC21" s="76">
        <f t="shared" si="4"/>
        <v>40.200000000000003</v>
      </c>
      <c r="AD21" s="77">
        <f t="shared" si="5"/>
        <v>40.200000000000003</v>
      </c>
      <c r="AE21" s="78">
        <v>0</v>
      </c>
      <c r="AF21" s="78">
        <f t="shared" si="17"/>
        <v>5285222</v>
      </c>
      <c r="AG21" s="79">
        <v>0.02</v>
      </c>
      <c r="AH21" s="80">
        <v>5451884</v>
      </c>
      <c r="AI21" s="80">
        <v>0</v>
      </c>
      <c r="AJ21" s="1149">
        <v>0</v>
      </c>
      <c r="AK21" s="81">
        <f t="shared" si="18"/>
        <v>5451884</v>
      </c>
      <c r="AL21" s="78">
        <v>250070350</v>
      </c>
      <c r="AM21" s="78">
        <f t="shared" si="21"/>
        <v>272594200</v>
      </c>
      <c r="AN21" s="79">
        <f t="shared" si="19"/>
        <v>9.0070054286723711E-2</v>
      </c>
      <c r="AO21" s="78">
        <f t="shared" si="20"/>
        <v>272594200</v>
      </c>
      <c r="AP21" s="69">
        <f t="shared" si="7"/>
        <v>0.02</v>
      </c>
      <c r="AQ21" s="69">
        <f t="shared" si="8"/>
        <v>0</v>
      </c>
      <c r="AR21" s="78">
        <v>171272</v>
      </c>
      <c r="AS21" s="78">
        <f t="shared" si="9"/>
        <v>10908378</v>
      </c>
      <c r="AT21" s="78">
        <f>ROUND(AS21/'3_Levels 1&amp;2'!C21,2)</f>
        <v>3097.21</v>
      </c>
    </row>
    <row r="22" spans="1:46" ht="15" customHeight="1" x14ac:dyDescent="0.2">
      <c r="A22" s="47">
        <v>16</v>
      </c>
      <c r="B22" s="48" t="s">
        <v>19</v>
      </c>
      <c r="C22" s="49">
        <v>734167721</v>
      </c>
      <c r="D22" s="49">
        <v>42118563</v>
      </c>
      <c r="E22" s="49">
        <f t="shared" si="10"/>
        <v>692049158</v>
      </c>
      <c r="F22" s="49">
        <v>678096471</v>
      </c>
      <c r="G22" s="50">
        <f t="shared" si="11"/>
        <v>2.0576256619391844E-2</v>
      </c>
      <c r="H22" s="51">
        <f t="shared" si="2"/>
        <v>692049158</v>
      </c>
      <c r="I22" s="52">
        <v>5.32</v>
      </c>
      <c r="J22" s="53">
        <v>3686283</v>
      </c>
      <c r="K22" s="52">
        <v>51.34</v>
      </c>
      <c r="L22" s="53">
        <v>35574558</v>
      </c>
      <c r="M22" s="54">
        <v>0</v>
      </c>
      <c r="N22" s="54">
        <v>0</v>
      </c>
      <c r="O22" s="54">
        <v>0</v>
      </c>
      <c r="P22" s="53">
        <v>0</v>
      </c>
      <c r="Q22" s="49">
        <f t="shared" si="12"/>
        <v>39260841</v>
      </c>
      <c r="R22" s="55">
        <v>0</v>
      </c>
      <c r="S22" s="53">
        <v>0</v>
      </c>
      <c r="T22" s="54">
        <v>0</v>
      </c>
      <c r="U22" s="54">
        <v>4</v>
      </c>
      <c r="V22" s="54">
        <v>3</v>
      </c>
      <c r="W22" s="53">
        <v>2113087</v>
      </c>
      <c r="X22" s="49">
        <f t="shared" si="13"/>
        <v>2113087</v>
      </c>
      <c r="Y22" s="56">
        <f t="shared" si="14"/>
        <v>56.660000000000004</v>
      </c>
      <c r="Z22" s="49">
        <f t="shared" si="15"/>
        <v>39260841</v>
      </c>
      <c r="AA22" s="49">
        <f t="shared" si="16"/>
        <v>2113087</v>
      </c>
      <c r="AB22" s="57">
        <f t="shared" si="3"/>
        <v>3.05</v>
      </c>
      <c r="AC22" s="58">
        <f t="shared" si="4"/>
        <v>56.73</v>
      </c>
      <c r="AD22" s="59">
        <f t="shared" si="5"/>
        <v>59.78</v>
      </c>
      <c r="AE22" s="60">
        <v>0</v>
      </c>
      <c r="AF22" s="60">
        <f t="shared" si="17"/>
        <v>41373928</v>
      </c>
      <c r="AG22" s="61">
        <v>2.5000000000000001E-2</v>
      </c>
      <c r="AH22" s="62">
        <v>25330375</v>
      </c>
      <c r="AI22" s="62">
        <v>2311896</v>
      </c>
      <c r="AJ22" s="62">
        <v>0</v>
      </c>
      <c r="AK22" s="63">
        <f t="shared" si="18"/>
        <v>27642271</v>
      </c>
      <c r="AL22" s="60">
        <v>1246673880</v>
      </c>
      <c r="AM22" s="60">
        <f t="shared" si="21"/>
        <v>1105690840</v>
      </c>
      <c r="AN22" s="64">
        <f t="shared" si="19"/>
        <v>-0.11308734566573256</v>
      </c>
      <c r="AO22" s="65">
        <f t="shared" si="20"/>
        <v>1105690840</v>
      </c>
      <c r="AP22" s="50">
        <f t="shared" si="7"/>
        <v>2.29090936486369E-2</v>
      </c>
      <c r="AQ22" s="50">
        <f t="shared" si="8"/>
        <v>2.0909063513630988E-3</v>
      </c>
      <c r="AR22" s="60">
        <v>768167</v>
      </c>
      <c r="AS22" s="60">
        <f t="shared" si="9"/>
        <v>69784366</v>
      </c>
      <c r="AT22" s="60">
        <f>ROUND(AS22/'3_Levels 1&amp;2'!C22,2)</f>
        <v>14517.24</v>
      </c>
    </row>
    <row r="23" spans="1:46" s="82" customFormat="1" ht="15" customHeight="1" x14ac:dyDescent="0.2">
      <c r="A23" s="47">
        <v>17</v>
      </c>
      <c r="B23" s="785" t="s">
        <v>20</v>
      </c>
      <c r="C23" s="60">
        <v>4324752631.4200001</v>
      </c>
      <c r="D23" s="49">
        <v>556954626</v>
      </c>
      <c r="E23" s="49">
        <f>C23-D23</f>
        <v>3767798005.4200001</v>
      </c>
      <c r="F23" s="49">
        <v>3719190454</v>
      </c>
      <c r="G23" s="50">
        <f t="shared" si="11"/>
        <v>1.3069390239943888E-2</v>
      </c>
      <c r="H23" s="51">
        <f t="shared" si="2"/>
        <v>3767798005.4200001</v>
      </c>
      <c r="I23" s="52">
        <v>5.25</v>
      </c>
      <c r="J23" s="53">
        <v>19850190</v>
      </c>
      <c r="K23" s="52">
        <v>38.200000000000003</v>
      </c>
      <c r="L23" s="53">
        <v>144430531</v>
      </c>
      <c r="M23" s="54">
        <v>0</v>
      </c>
      <c r="N23" s="54">
        <v>0</v>
      </c>
      <c r="O23" s="54">
        <v>0</v>
      </c>
      <c r="P23" s="53">
        <v>0</v>
      </c>
      <c r="Q23" s="49">
        <f>J23+L23+P23</f>
        <v>164280721</v>
      </c>
      <c r="R23" s="54">
        <v>0</v>
      </c>
      <c r="S23" s="53">
        <v>0</v>
      </c>
      <c r="T23" s="54">
        <v>0</v>
      </c>
      <c r="U23" s="54">
        <v>0</v>
      </c>
      <c r="V23" s="54">
        <v>0</v>
      </c>
      <c r="W23" s="53">
        <v>0</v>
      </c>
      <c r="X23" s="49">
        <f t="shared" si="13"/>
        <v>0</v>
      </c>
      <c r="Y23" s="56">
        <f t="shared" si="14"/>
        <v>43.45</v>
      </c>
      <c r="Z23" s="49">
        <f t="shared" si="15"/>
        <v>164280721</v>
      </c>
      <c r="AA23" s="49">
        <f t="shared" si="16"/>
        <v>0</v>
      </c>
      <c r="AB23" s="57">
        <f t="shared" si="3"/>
        <v>0</v>
      </c>
      <c r="AC23" s="58">
        <f t="shared" si="4"/>
        <v>43.6</v>
      </c>
      <c r="AD23" s="59">
        <f t="shared" si="5"/>
        <v>43.6</v>
      </c>
      <c r="AE23" s="60">
        <v>0</v>
      </c>
      <c r="AF23" s="60">
        <f t="shared" si="17"/>
        <v>164280721</v>
      </c>
      <c r="AG23" s="61">
        <v>0.02</v>
      </c>
      <c r="AH23" s="62">
        <v>182207657</v>
      </c>
      <c r="AI23" s="62">
        <v>0</v>
      </c>
      <c r="AJ23" s="62">
        <v>0</v>
      </c>
      <c r="AK23" s="63">
        <f t="shared" si="18"/>
        <v>182207657</v>
      </c>
      <c r="AL23" s="60">
        <v>8970790500</v>
      </c>
      <c r="AM23" s="60">
        <f t="shared" si="21"/>
        <v>9110382850</v>
      </c>
      <c r="AN23" s="64">
        <f t="shared" si="19"/>
        <v>1.5560763569275193E-2</v>
      </c>
      <c r="AO23" s="65">
        <f t="shared" si="20"/>
        <v>9110382850</v>
      </c>
      <c r="AP23" s="50">
        <f t="shared" si="7"/>
        <v>0.02</v>
      </c>
      <c r="AQ23" s="50">
        <f t="shared" si="8"/>
        <v>0</v>
      </c>
      <c r="AR23" s="60">
        <v>4027183</v>
      </c>
      <c r="AS23" s="60">
        <f t="shared" si="9"/>
        <v>350515561</v>
      </c>
      <c r="AT23" s="60">
        <f>ROUND(AS23/'3_Levels 1&amp;2'!C23,2)</f>
        <v>7753.4</v>
      </c>
    </row>
    <row r="24" spans="1:46" ht="15" customHeight="1" x14ac:dyDescent="0.2">
      <c r="A24" s="47">
        <v>18</v>
      </c>
      <c r="B24" s="48" t="s">
        <v>21</v>
      </c>
      <c r="C24" s="49">
        <v>49851773</v>
      </c>
      <c r="D24" s="49">
        <v>5237220</v>
      </c>
      <c r="E24" s="49">
        <f t="shared" si="10"/>
        <v>44614553</v>
      </c>
      <c r="F24" s="49">
        <v>43215782</v>
      </c>
      <c r="G24" s="50">
        <f t="shared" si="11"/>
        <v>3.2367133840132754E-2</v>
      </c>
      <c r="H24" s="51">
        <f t="shared" si="2"/>
        <v>44614553</v>
      </c>
      <c r="I24" s="52">
        <v>8.1999999999999993</v>
      </c>
      <c r="J24" s="53">
        <v>366941</v>
      </c>
      <c r="K24" s="52">
        <v>8.24</v>
      </c>
      <c r="L24" s="53">
        <v>365040</v>
      </c>
      <c r="M24" s="54">
        <v>0</v>
      </c>
      <c r="N24" s="54">
        <v>0</v>
      </c>
      <c r="O24" s="54">
        <v>0</v>
      </c>
      <c r="P24" s="53">
        <v>0</v>
      </c>
      <c r="Q24" s="49">
        <f t="shared" si="12"/>
        <v>731981</v>
      </c>
      <c r="R24" s="54">
        <v>0</v>
      </c>
      <c r="S24" s="53">
        <v>0</v>
      </c>
      <c r="T24" s="54">
        <v>0</v>
      </c>
      <c r="U24" s="54">
        <v>0</v>
      </c>
      <c r="V24" s="54">
        <v>0</v>
      </c>
      <c r="W24" s="53">
        <v>0</v>
      </c>
      <c r="X24" s="49">
        <f t="shared" si="13"/>
        <v>0</v>
      </c>
      <c r="Y24" s="56">
        <f t="shared" si="14"/>
        <v>16.439999999999998</v>
      </c>
      <c r="Z24" s="49">
        <f t="shared" si="15"/>
        <v>731981</v>
      </c>
      <c r="AA24" s="49">
        <f t="shared" si="16"/>
        <v>0</v>
      </c>
      <c r="AB24" s="57">
        <f t="shared" si="3"/>
        <v>0</v>
      </c>
      <c r="AC24" s="58">
        <f t="shared" si="4"/>
        <v>16.41</v>
      </c>
      <c r="AD24" s="59">
        <f t="shared" si="5"/>
        <v>16.41</v>
      </c>
      <c r="AE24" s="60">
        <v>0</v>
      </c>
      <c r="AF24" s="60">
        <f t="shared" si="17"/>
        <v>731981</v>
      </c>
      <c r="AG24" s="61">
        <v>0.03</v>
      </c>
      <c r="AH24" s="62">
        <v>1727954</v>
      </c>
      <c r="AI24" s="62">
        <v>0</v>
      </c>
      <c r="AJ24" s="62">
        <v>0</v>
      </c>
      <c r="AK24" s="63">
        <f t="shared" si="18"/>
        <v>1727954</v>
      </c>
      <c r="AL24" s="60">
        <v>96375200</v>
      </c>
      <c r="AM24" s="60">
        <f t="shared" si="21"/>
        <v>57598467</v>
      </c>
      <c r="AN24" s="61">
        <f t="shared" si="19"/>
        <v>-0.40235177722069576</v>
      </c>
      <c r="AO24" s="60">
        <f t="shared" si="20"/>
        <v>57598467</v>
      </c>
      <c r="AP24" s="50">
        <f t="shared" si="7"/>
        <v>2.9999999826384269E-2</v>
      </c>
      <c r="AQ24" s="50">
        <f t="shared" si="8"/>
        <v>0</v>
      </c>
      <c r="AR24" s="60">
        <v>192376</v>
      </c>
      <c r="AS24" s="60">
        <f t="shared" si="9"/>
        <v>2652311</v>
      </c>
      <c r="AT24" s="60">
        <f>ROUND(AS24/'3_Levels 1&amp;2'!C24,2)</f>
        <v>3017.42</v>
      </c>
    </row>
    <row r="25" spans="1:46" ht="15" customHeight="1" x14ac:dyDescent="0.2">
      <c r="A25" s="47">
        <v>19</v>
      </c>
      <c r="B25" s="48" t="s">
        <v>22</v>
      </c>
      <c r="C25" s="49">
        <v>221132763</v>
      </c>
      <c r="D25" s="49">
        <v>36056324</v>
      </c>
      <c r="E25" s="49">
        <f t="shared" si="10"/>
        <v>185076439</v>
      </c>
      <c r="F25" s="49">
        <v>151964712</v>
      </c>
      <c r="G25" s="50">
        <f t="shared" si="11"/>
        <v>0.21789089430182976</v>
      </c>
      <c r="H25" s="51">
        <f t="shared" si="2"/>
        <v>167161183.20000002</v>
      </c>
      <c r="I25" s="52">
        <v>3.34</v>
      </c>
      <c r="J25" s="53">
        <v>605173</v>
      </c>
      <c r="K25" s="52">
        <v>17</v>
      </c>
      <c r="L25" s="53">
        <v>3078050</v>
      </c>
      <c r="M25" s="54">
        <v>0</v>
      </c>
      <c r="N25" s="54">
        <v>0</v>
      </c>
      <c r="O25" s="54">
        <v>0</v>
      </c>
      <c r="P25" s="53">
        <v>0</v>
      </c>
      <c r="Q25" s="49">
        <f t="shared" si="12"/>
        <v>3683223</v>
      </c>
      <c r="R25" s="54"/>
      <c r="S25" s="53"/>
      <c r="T25" s="54"/>
      <c r="U25" s="54"/>
      <c r="V25" s="54"/>
      <c r="W25" s="53"/>
      <c r="X25" s="49">
        <f t="shared" si="13"/>
        <v>0</v>
      </c>
      <c r="Y25" s="56">
        <f t="shared" si="14"/>
        <v>20.34</v>
      </c>
      <c r="Z25" s="49">
        <f t="shared" si="15"/>
        <v>3683223</v>
      </c>
      <c r="AA25" s="49">
        <f t="shared" si="16"/>
        <v>0</v>
      </c>
      <c r="AB25" s="57">
        <f t="shared" si="3"/>
        <v>0</v>
      </c>
      <c r="AC25" s="58">
        <f t="shared" si="4"/>
        <v>19.899999999999999</v>
      </c>
      <c r="AD25" s="59">
        <f t="shared" si="5"/>
        <v>19.899999999999999</v>
      </c>
      <c r="AE25" s="60">
        <v>0</v>
      </c>
      <c r="AF25" s="60">
        <f t="shared" si="17"/>
        <v>3683223</v>
      </c>
      <c r="AG25" s="61">
        <v>0.02</v>
      </c>
      <c r="AH25" s="62">
        <v>3825792</v>
      </c>
      <c r="AI25" s="62">
        <v>0</v>
      </c>
      <c r="AJ25" s="62">
        <v>0</v>
      </c>
      <c r="AK25" s="63">
        <f t="shared" si="18"/>
        <v>3825792</v>
      </c>
      <c r="AL25" s="60">
        <v>187324850</v>
      </c>
      <c r="AM25" s="60">
        <f t="shared" si="21"/>
        <v>191289600</v>
      </c>
      <c r="AN25" s="61">
        <f t="shared" si="19"/>
        <v>2.1165104362822124E-2</v>
      </c>
      <c r="AO25" s="60">
        <f t="shared" si="20"/>
        <v>191289600</v>
      </c>
      <c r="AP25" s="50">
        <f t="shared" si="7"/>
        <v>0.02</v>
      </c>
      <c r="AQ25" s="50">
        <f t="shared" si="8"/>
        <v>0</v>
      </c>
      <c r="AR25" s="60">
        <v>49940</v>
      </c>
      <c r="AS25" s="60">
        <f t="shared" si="9"/>
        <v>7558955</v>
      </c>
      <c r="AT25" s="60">
        <f>ROUND(AS25/'3_Levels 1&amp;2'!C25,2)</f>
        <v>4220.5200000000004</v>
      </c>
    </row>
    <row r="26" spans="1:46" ht="15" customHeight="1" x14ac:dyDescent="0.2">
      <c r="A26" s="66">
        <v>20</v>
      </c>
      <c r="B26" s="67" t="s">
        <v>23</v>
      </c>
      <c r="C26" s="68">
        <v>295092410</v>
      </c>
      <c r="D26" s="68">
        <v>52046029</v>
      </c>
      <c r="E26" s="68">
        <f t="shared" si="10"/>
        <v>243046381</v>
      </c>
      <c r="F26" s="68">
        <v>244167860</v>
      </c>
      <c r="G26" s="69">
        <f t="shared" si="11"/>
        <v>-4.5930656065872062E-3</v>
      </c>
      <c r="H26" s="70">
        <f t="shared" si="2"/>
        <v>243046381</v>
      </c>
      <c r="I26" s="71">
        <v>4.5</v>
      </c>
      <c r="J26" s="72">
        <v>1063877</v>
      </c>
      <c r="K26" s="71">
        <v>10.35</v>
      </c>
      <c r="L26" s="72">
        <v>2446909</v>
      </c>
      <c r="M26" s="73">
        <v>0</v>
      </c>
      <c r="N26" s="73">
        <v>11.96</v>
      </c>
      <c r="O26" s="73">
        <v>3</v>
      </c>
      <c r="P26" s="72">
        <v>3302463</v>
      </c>
      <c r="Q26" s="68">
        <f t="shared" si="12"/>
        <v>6813249</v>
      </c>
      <c r="R26" s="73">
        <v>0</v>
      </c>
      <c r="S26" s="72">
        <v>0</v>
      </c>
      <c r="T26" s="73">
        <v>0</v>
      </c>
      <c r="U26" s="73">
        <v>11.75</v>
      </c>
      <c r="V26" s="73">
        <v>1</v>
      </c>
      <c r="W26" s="72">
        <v>504895</v>
      </c>
      <c r="X26" s="68">
        <f t="shared" si="13"/>
        <v>504895</v>
      </c>
      <c r="Y26" s="74">
        <f t="shared" si="14"/>
        <v>14.85</v>
      </c>
      <c r="Z26" s="68">
        <f t="shared" si="15"/>
        <v>3510786</v>
      </c>
      <c r="AA26" s="68">
        <f t="shared" si="16"/>
        <v>3807358</v>
      </c>
      <c r="AB26" s="75">
        <f t="shared" si="3"/>
        <v>2.08</v>
      </c>
      <c r="AC26" s="76">
        <f t="shared" si="4"/>
        <v>28.03</v>
      </c>
      <c r="AD26" s="77">
        <f t="shared" si="5"/>
        <v>30.11</v>
      </c>
      <c r="AE26" s="78">
        <v>0</v>
      </c>
      <c r="AF26" s="78">
        <f t="shared" si="17"/>
        <v>7318144</v>
      </c>
      <c r="AG26" s="79">
        <v>0.02</v>
      </c>
      <c r="AH26" s="80">
        <v>7429042</v>
      </c>
      <c r="AI26" s="80">
        <v>0</v>
      </c>
      <c r="AJ26" s="1149">
        <v>0</v>
      </c>
      <c r="AK26" s="81">
        <f t="shared" si="18"/>
        <v>7429042</v>
      </c>
      <c r="AL26" s="78">
        <v>363002450</v>
      </c>
      <c r="AM26" s="78">
        <f t="shared" si="21"/>
        <v>371452100</v>
      </c>
      <c r="AN26" s="79">
        <f t="shared" si="19"/>
        <v>2.3277115622773344E-2</v>
      </c>
      <c r="AO26" s="78">
        <f t="shared" si="20"/>
        <v>371452100</v>
      </c>
      <c r="AP26" s="69">
        <f t="shared" si="7"/>
        <v>0.02</v>
      </c>
      <c r="AQ26" s="69">
        <f t="shared" si="8"/>
        <v>0</v>
      </c>
      <c r="AR26" s="78">
        <v>411803</v>
      </c>
      <c r="AS26" s="78">
        <f t="shared" si="9"/>
        <v>15158989</v>
      </c>
      <c r="AT26" s="78">
        <f>ROUND(AS26/'3_Levels 1&amp;2'!C26,2)</f>
        <v>2726.44</v>
      </c>
    </row>
    <row r="27" spans="1:46" ht="15" customHeight="1" x14ac:dyDescent="0.2">
      <c r="A27" s="47">
        <v>21</v>
      </c>
      <c r="B27" s="48" t="s">
        <v>24</v>
      </c>
      <c r="C27" s="49">
        <v>137229105</v>
      </c>
      <c r="D27" s="49">
        <v>29442333</v>
      </c>
      <c r="E27" s="49">
        <f t="shared" si="10"/>
        <v>107786772</v>
      </c>
      <c r="F27" s="49">
        <v>99943572</v>
      </c>
      <c r="G27" s="50">
        <f t="shared" si="11"/>
        <v>7.8476282596743691E-2</v>
      </c>
      <c r="H27" s="51">
        <f t="shared" si="2"/>
        <v>107786772</v>
      </c>
      <c r="I27" s="52">
        <v>4.6100000000000003</v>
      </c>
      <c r="J27" s="53">
        <v>483103</v>
      </c>
      <c r="K27" s="52">
        <v>20.170000000000002</v>
      </c>
      <c r="L27" s="53">
        <v>2113697</v>
      </c>
      <c r="M27" s="54">
        <v>0</v>
      </c>
      <c r="N27" s="54">
        <v>0</v>
      </c>
      <c r="O27" s="54">
        <v>0</v>
      </c>
      <c r="P27" s="53">
        <v>0</v>
      </c>
      <c r="Q27" s="49">
        <f t="shared" si="12"/>
        <v>2596800</v>
      </c>
      <c r="R27" s="55">
        <v>0</v>
      </c>
      <c r="S27" s="53">
        <v>0</v>
      </c>
      <c r="T27" s="54">
        <v>0</v>
      </c>
      <c r="U27" s="54">
        <v>0</v>
      </c>
      <c r="V27" s="54">
        <v>0</v>
      </c>
      <c r="W27" s="53">
        <v>0</v>
      </c>
      <c r="X27" s="49">
        <f t="shared" si="13"/>
        <v>0</v>
      </c>
      <c r="Y27" s="56">
        <f t="shared" si="14"/>
        <v>24.78</v>
      </c>
      <c r="Z27" s="49">
        <f t="shared" si="15"/>
        <v>2596800</v>
      </c>
      <c r="AA27" s="49">
        <f t="shared" si="16"/>
        <v>0</v>
      </c>
      <c r="AB27" s="57">
        <f t="shared" si="3"/>
        <v>0</v>
      </c>
      <c r="AC27" s="58">
        <f t="shared" si="4"/>
        <v>24.09</v>
      </c>
      <c r="AD27" s="59">
        <f t="shared" si="5"/>
        <v>24.09</v>
      </c>
      <c r="AE27" s="60">
        <v>0</v>
      </c>
      <c r="AF27" s="60">
        <f t="shared" si="17"/>
        <v>2596800</v>
      </c>
      <c r="AG27" s="61">
        <v>0.02</v>
      </c>
      <c r="AH27" s="62">
        <v>5176733</v>
      </c>
      <c r="AI27" s="62">
        <v>0</v>
      </c>
      <c r="AJ27" s="62">
        <v>0</v>
      </c>
      <c r="AK27" s="63">
        <f t="shared" si="18"/>
        <v>5176733</v>
      </c>
      <c r="AL27" s="60">
        <v>259681250</v>
      </c>
      <c r="AM27" s="60">
        <f t="shared" si="21"/>
        <v>258836650</v>
      </c>
      <c r="AN27" s="64">
        <f t="shared" si="19"/>
        <v>-3.2524489157380442E-3</v>
      </c>
      <c r="AO27" s="65">
        <f t="shared" si="20"/>
        <v>258836650</v>
      </c>
      <c r="AP27" s="50">
        <f t="shared" si="7"/>
        <v>0.02</v>
      </c>
      <c r="AQ27" s="50">
        <f t="shared" si="8"/>
        <v>0</v>
      </c>
      <c r="AR27" s="60">
        <v>80628</v>
      </c>
      <c r="AS27" s="60">
        <f t="shared" si="9"/>
        <v>7854161</v>
      </c>
      <c r="AT27" s="60">
        <f>ROUND(AS27/'3_Levels 1&amp;2'!C27,2)</f>
        <v>2729.03</v>
      </c>
    </row>
    <row r="28" spans="1:46" ht="15" customHeight="1" x14ac:dyDescent="0.2">
      <c r="A28" s="47">
        <v>22</v>
      </c>
      <c r="B28" s="48" t="s">
        <v>25</v>
      </c>
      <c r="C28" s="49">
        <v>89802613</v>
      </c>
      <c r="D28" s="49">
        <v>33363816</v>
      </c>
      <c r="E28" s="49">
        <f t="shared" si="10"/>
        <v>56438797</v>
      </c>
      <c r="F28" s="49">
        <v>50330130</v>
      </c>
      <c r="G28" s="50">
        <f t="shared" si="11"/>
        <v>0.12137196943461104</v>
      </c>
      <c r="H28" s="51">
        <f t="shared" si="2"/>
        <v>55363143.000000007</v>
      </c>
      <c r="I28" s="52">
        <v>5.63</v>
      </c>
      <c r="J28" s="53">
        <v>313627</v>
      </c>
      <c r="K28" s="52">
        <v>23.06</v>
      </c>
      <c r="L28" s="53">
        <v>1857286</v>
      </c>
      <c r="M28" s="54">
        <v>0</v>
      </c>
      <c r="N28" s="54">
        <v>15.86</v>
      </c>
      <c r="O28" s="54">
        <v>8</v>
      </c>
      <c r="P28" s="53">
        <v>0</v>
      </c>
      <c r="Q28" s="49">
        <f t="shared" si="12"/>
        <v>2170913</v>
      </c>
      <c r="R28" s="54">
        <v>59</v>
      </c>
      <c r="S28" s="53">
        <v>1088130</v>
      </c>
      <c r="T28" s="54">
        <v>0</v>
      </c>
      <c r="U28" s="54">
        <v>23</v>
      </c>
      <c r="V28" s="54">
        <v>0</v>
      </c>
      <c r="W28" s="53">
        <v>0</v>
      </c>
      <c r="X28" s="49">
        <f t="shared" si="13"/>
        <v>1088130</v>
      </c>
      <c r="Y28" s="56">
        <f t="shared" si="14"/>
        <v>87.69</v>
      </c>
      <c r="Z28" s="49">
        <f t="shared" si="15"/>
        <v>3259043</v>
      </c>
      <c r="AA28" s="49">
        <f t="shared" si="16"/>
        <v>0</v>
      </c>
      <c r="AB28" s="57">
        <f t="shared" si="3"/>
        <v>19.28</v>
      </c>
      <c r="AC28" s="58">
        <f t="shared" si="4"/>
        <v>38.46</v>
      </c>
      <c r="AD28" s="59">
        <f t="shared" si="5"/>
        <v>57.74</v>
      </c>
      <c r="AE28" s="60">
        <v>0</v>
      </c>
      <c r="AF28" s="60">
        <f t="shared" si="17"/>
        <v>3259043</v>
      </c>
      <c r="AG28" s="61">
        <v>0.02</v>
      </c>
      <c r="AH28" s="62">
        <v>2641488</v>
      </c>
      <c r="AI28" s="62">
        <v>0</v>
      </c>
      <c r="AJ28" s="62">
        <v>0</v>
      </c>
      <c r="AK28" s="63">
        <f t="shared" si="18"/>
        <v>2641488</v>
      </c>
      <c r="AL28" s="60">
        <v>124371800</v>
      </c>
      <c r="AM28" s="60">
        <f t="shared" si="21"/>
        <v>132074400</v>
      </c>
      <c r="AN28" s="64">
        <f t="shared" si="19"/>
        <v>6.1932045688813706E-2</v>
      </c>
      <c r="AO28" s="65">
        <f t="shared" si="20"/>
        <v>132074400</v>
      </c>
      <c r="AP28" s="50">
        <f t="shared" si="7"/>
        <v>0.02</v>
      </c>
      <c r="AQ28" s="50">
        <f t="shared" si="8"/>
        <v>0</v>
      </c>
      <c r="AR28" s="60">
        <v>441010</v>
      </c>
      <c r="AS28" s="60">
        <f t="shared" si="9"/>
        <v>6341541</v>
      </c>
      <c r="AT28" s="60">
        <f>ROUND(AS28/'3_Levels 1&amp;2'!C28,2)</f>
        <v>2230.58</v>
      </c>
    </row>
    <row r="29" spans="1:46" ht="15" customHeight="1" x14ac:dyDescent="0.2">
      <c r="A29" s="47">
        <v>23</v>
      </c>
      <c r="B29" s="48" t="s">
        <v>26</v>
      </c>
      <c r="C29" s="49">
        <v>717659895</v>
      </c>
      <c r="D29" s="49">
        <v>112167637</v>
      </c>
      <c r="E29" s="49">
        <f t="shared" si="10"/>
        <v>605492258</v>
      </c>
      <c r="F29" s="49">
        <v>628544622</v>
      </c>
      <c r="G29" s="50">
        <f t="shared" si="11"/>
        <v>-3.6675779559848021E-2</v>
      </c>
      <c r="H29" s="51">
        <f t="shared" si="2"/>
        <v>605492258</v>
      </c>
      <c r="I29" s="52">
        <v>4.47</v>
      </c>
      <c r="J29" s="53">
        <v>2671713</v>
      </c>
      <c r="K29" s="52">
        <v>6.15</v>
      </c>
      <c r="L29" s="53">
        <v>3676140</v>
      </c>
      <c r="M29" s="54">
        <v>0</v>
      </c>
      <c r="N29" s="54">
        <v>0</v>
      </c>
      <c r="O29" s="54">
        <v>0</v>
      </c>
      <c r="P29" s="53">
        <v>0</v>
      </c>
      <c r="Q29" s="49">
        <f t="shared" si="12"/>
        <v>6347853</v>
      </c>
      <c r="R29" s="54">
        <v>21.9</v>
      </c>
      <c r="S29" s="53">
        <v>13087644</v>
      </c>
      <c r="T29" s="54">
        <v>0</v>
      </c>
      <c r="U29" s="54">
        <v>0</v>
      </c>
      <c r="V29" s="54">
        <v>0</v>
      </c>
      <c r="W29" s="53">
        <v>0</v>
      </c>
      <c r="X29" s="49">
        <f t="shared" si="13"/>
        <v>13087644</v>
      </c>
      <c r="Y29" s="56">
        <f t="shared" si="14"/>
        <v>32.519999999999996</v>
      </c>
      <c r="Z29" s="49">
        <f t="shared" si="15"/>
        <v>19435497</v>
      </c>
      <c r="AA29" s="49">
        <f t="shared" si="16"/>
        <v>0</v>
      </c>
      <c r="AB29" s="57">
        <f t="shared" si="3"/>
        <v>21.61</v>
      </c>
      <c r="AC29" s="58">
        <f t="shared" si="4"/>
        <v>10.48</v>
      </c>
      <c r="AD29" s="59">
        <f t="shared" si="5"/>
        <v>32.1</v>
      </c>
      <c r="AE29" s="60">
        <v>0</v>
      </c>
      <c r="AF29" s="60">
        <f t="shared" si="17"/>
        <v>19435497</v>
      </c>
      <c r="AG29" s="61">
        <v>0.02</v>
      </c>
      <c r="AH29" s="62">
        <v>25957369</v>
      </c>
      <c r="AI29" s="62">
        <v>0</v>
      </c>
      <c r="AJ29" s="62">
        <v>0</v>
      </c>
      <c r="AK29" s="63">
        <f t="shared" si="18"/>
        <v>25957369</v>
      </c>
      <c r="AL29" s="60">
        <v>1171691750</v>
      </c>
      <c r="AM29" s="60">
        <f t="shared" si="21"/>
        <v>1297868450</v>
      </c>
      <c r="AN29" s="61">
        <f t="shared" si="19"/>
        <v>0.10768762347264116</v>
      </c>
      <c r="AO29" s="60">
        <f t="shared" si="20"/>
        <v>1297868450</v>
      </c>
      <c r="AP29" s="50">
        <f t="shared" si="7"/>
        <v>0.02</v>
      </c>
      <c r="AQ29" s="50">
        <f t="shared" si="8"/>
        <v>0</v>
      </c>
      <c r="AR29" s="60">
        <v>520287</v>
      </c>
      <c r="AS29" s="60">
        <f t="shared" si="9"/>
        <v>45913153</v>
      </c>
      <c r="AT29" s="60">
        <f>ROUND(AS29/'3_Levels 1&amp;2'!C29,2)</f>
        <v>3811.17</v>
      </c>
    </row>
    <row r="30" spans="1:46" ht="15" customHeight="1" x14ac:dyDescent="0.2">
      <c r="A30" s="47">
        <v>24</v>
      </c>
      <c r="B30" s="48" t="s">
        <v>27</v>
      </c>
      <c r="C30" s="49">
        <v>643093225</v>
      </c>
      <c r="D30" s="49">
        <v>48201945</v>
      </c>
      <c r="E30" s="49">
        <f t="shared" si="10"/>
        <v>594891280</v>
      </c>
      <c r="F30" s="49">
        <v>572147130</v>
      </c>
      <c r="G30" s="50">
        <f t="shared" si="11"/>
        <v>3.9752274908728458E-2</v>
      </c>
      <c r="H30" s="51">
        <f t="shared" si="2"/>
        <v>594891280</v>
      </c>
      <c r="I30" s="52">
        <v>3.49</v>
      </c>
      <c r="J30" s="53">
        <v>2058062</v>
      </c>
      <c r="K30" s="52">
        <v>54.34</v>
      </c>
      <c r="L30" s="53">
        <v>28947658</v>
      </c>
      <c r="M30" s="54">
        <v>0</v>
      </c>
      <c r="N30" s="54">
        <v>0</v>
      </c>
      <c r="O30" s="54">
        <v>0</v>
      </c>
      <c r="P30" s="53">
        <v>0</v>
      </c>
      <c r="Q30" s="49">
        <f t="shared" si="12"/>
        <v>31005720</v>
      </c>
      <c r="R30" s="54">
        <v>0</v>
      </c>
      <c r="S30" s="53">
        <v>3165000</v>
      </c>
      <c r="T30" s="54">
        <v>0</v>
      </c>
      <c r="U30" s="54">
        <v>0</v>
      </c>
      <c r="V30" s="54">
        <v>0</v>
      </c>
      <c r="W30" s="53">
        <v>0</v>
      </c>
      <c r="X30" s="49">
        <f t="shared" si="13"/>
        <v>3165000</v>
      </c>
      <c r="Y30" s="56">
        <f t="shared" si="14"/>
        <v>57.830000000000005</v>
      </c>
      <c r="Z30" s="49">
        <f t="shared" si="15"/>
        <v>34170720</v>
      </c>
      <c r="AA30" s="49">
        <f t="shared" si="16"/>
        <v>0</v>
      </c>
      <c r="AB30" s="57">
        <f t="shared" si="3"/>
        <v>5.32</v>
      </c>
      <c r="AC30" s="58">
        <f t="shared" si="4"/>
        <v>52.12</v>
      </c>
      <c r="AD30" s="59">
        <f t="shared" si="5"/>
        <v>57.44</v>
      </c>
      <c r="AE30" s="60">
        <v>0</v>
      </c>
      <c r="AF30" s="60">
        <f t="shared" si="17"/>
        <v>34170720</v>
      </c>
      <c r="AG30" s="61">
        <v>0.02</v>
      </c>
      <c r="AH30" s="62">
        <v>26063619</v>
      </c>
      <c r="AI30" s="62">
        <v>0</v>
      </c>
      <c r="AJ30" s="62">
        <v>0</v>
      </c>
      <c r="AK30" s="63">
        <f t="shared" si="18"/>
        <v>26063619</v>
      </c>
      <c r="AL30" s="60">
        <v>1171925800</v>
      </c>
      <c r="AM30" s="60">
        <f t="shared" si="21"/>
        <v>1303180950</v>
      </c>
      <c r="AN30" s="61">
        <f t="shared" si="19"/>
        <v>0.11199953956129305</v>
      </c>
      <c r="AO30" s="60">
        <f t="shared" si="20"/>
        <v>1303180950</v>
      </c>
      <c r="AP30" s="50">
        <f t="shared" si="7"/>
        <v>0.02</v>
      </c>
      <c r="AQ30" s="50">
        <f t="shared" si="8"/>
        <v>0</v>
      </c>
      <c r="AR30" s="60">
        <v>137051</v>
      </c>
      <c r="AS30" s="60">
        <f t="shared" si="9"/>
        <v>60371390</v>
      </c>
      <c r="AT30" s="60">
        <f>ROUND(AS30/'3_Levels 1&amp;2'!C30,2)</f>
        <v>13837.13</v>
      </c>
    </row>
    <row r="31" spans="1:46" ht="15" customHeight="1" x14ac:dyDescent="0.2">
      <c r="A31" s="66">
        <v>25</v>
      </c>
      <c r="B31" s="67" t="s">
        <v>28</v>
      </c>
      <c r="C31" s="68">
        <v>234219700</v>
      </c>
      <c r="D31" s="68">
        <v>20982950</v>
      </c>
      <c r="E31" s="68">
        <f t="shared" si="10"/>
        <v>213236750</v>
      </c>
      <c r="F31" s="68">
        <v>224096560</v>
      </c>
      <c r="G31" s="69">
        <f t="shared" si="11"/>
        <v>-4.8460404746953727E-2</v>
      </c>
      <c r="H31" s="70">
        <f t="shared" si="2"/>
        <v>213236750</v>
      </c>
      <c r="I31" s="71">
        <v>4.9800000000000004</v>
      </c>
      <c r="J31" s="72">
        <v>1058775</v>
      </c>
      <c r="K31" s="71">
        <v>21.05</v>
      </c>
      <c r="L31" s="72">
        <v>4474709</v>
      </c>
      <c r="M31" s="73">
        <v>0</v>
      </c>
      <c r="N31" s="73">
        <v>0</v>
      </c>
      <c r="O31" s="73">
        <v>0</v>
      </c>
      <c r="P31" s="72">
        <v>0</v>
      </c>
      <c r="Q31" s="68">
        <f t="shared" si="12"/>
        <v>5533484</v>
      </c>
      <c r="R31" s="73">
        <v>0</v>
      </c>
      <c r="S31" s="72">
        <v>0</v>
      </c>
      <c r="T31" s="73">
        <v>0</v>
      </c>
      <c r="U31" s="73">
        <v>0</v>
      </c>
      <c r="V31" s="73">
        <v>0</v>
      </c>
      <c r="W31" s="72">
        <v>0</v>
      </c>
      <c r="X31" s="68">
        <f t="shared" si="13"/>
        <v>0</v>
      </c>
      <c r="Y31" s="74">
        <f t="shared" si="14"/>
        <v>26.03</v>
      </c>
      <c r="Z31" s="68">
        <f t="shared" si="15"/>
        <v>5533484</v>
      </c>
      <c r="AA31" s="68">
        <f t="shared" si="16"/>
        <v>0</v>
      </c>
      <c r="AB31" s="75">
        <f t="shared" si="3"/>
        <v>0</v>
      </c>
      <c r="AC31" s="76">
        <f t="shared" si="4"/>
        <v>25.95</v>
      </c>
      <c r="AD31" s="77">
        <f t="shared" si="5"/>
        <v>25.95</v>
      </c>
      <c r="AE31" s="78">
        <v>0</v>
      </c>
      <c r="AF31" s="78">
        <f t="shared" si="17"/>
        <v>5533484</v>
      </c>
      <c r="AG31" s="79">
        <v>0.03</v>
      </c>
      <c r="AH31" s="80">
        <v>5137992</v>
      </c>
      <c r="AI31" s="80">
        <v>0</v>
      </c>
      <c r="AJ31" s="1149">
        <v>0</v>
      </c>
      <c r="AK31" s="81">
        <f t="shared" si="18"/>
        <v>5137992</v>
      </c>
      <c r="AL31" s="78">
        <v>192845900</v>
      </c>
      <c r="AM31" s="78">
        <f t="shared" si="21"/>
        <v>171266400</v>
      </c>
      <c r="AN31" s="79">
        <f t="shared" si="19"/>
        <v>-0.11190022707249675</v>
      </c>
      <c r="AO31" s="78">
        <f t="shared" si="20"/>
        <v>171266400</v>
      </c>
      <c r="AP31" s="69">
        <f t="shared" si="7"/>
        <v>0.03</v>
      </c>
      <c r="AQ31" s="69">
        <f t="shared" si="8"/>
        <v>0</v>
      </c>
      <c r="AR31" s="78">
        <v>88749</v>
      </c>
      <c r="AS31" s="78">
        <f t="shared" si="9"/>
        <v>10760225</v>
      </c>
      <c r="AT31" s="78">
        <f>ROUND(AS31/'3_Levels 1&amp;2'!C31,2)</f>
        <v>4871.08</v>
      </c>
    </row>
    <row r="32" spans="1:46" s="82" customFormat="1" ht="15" customHeight="1" x14ac:dyDescent="0.2">
      <c r="A32" s="47">
        <v>26</v>
      </c>
      <c r="B32" s="48" t="s">
        <v>29</v>
      </c>
      <c r="C32" s="49">
        <v>4464280730</v>
      </c>
      <c r="D32" s="49">
        <v>746241530</v>
      </c>
      <c r="E32" s="49">
        <f t="shared" si="10"/>
        <v>3718039200</v>
      </c>
      <c r="F32" s="49">
        <v>3639502387</v>
      </c>
      <c r="G32" s="50">
        <f t="shared" si="11"/>
        <v>2.1578997524641548E-2</v>
      </c>
      <c r="H32" s="51">
        <f t="shared" si="2"/>
        <v>3718039200</v>
      </c>
      <c r="I32" s="52">
        <v>2.91</v>
      </c>
      <c r="J32" s="53">
        <v>5095876</v>
      </c>
      <c r="K32" s="52">
        <v>20</v>
      </c>
      <c r="L32" s="53">
        <v>74262740</v>
      </c>
      <c r="M32" s="54">
        <v>0</v>
      </c>
      <c r="N32" s="54">
        <v>0</v>
      </c>
      <c r="O32" s="54">
        <v>0</v>
      </c>
      <c r="P32" s="53">
        <v>0</v>
      </c>
      <c r="Q32" s="49">
        <f t="shared" si="12"/>
        <v>79358616</v>
      </c>
      <c r="R32" s="55">
        <v>0</v>
      </c>
      <c r="S32" s="53">
        <v>5706211</v>
      </c>
      <c r="T32" s="54">
        <v>0</v>
      </c>
      <c r="U32" s="54">
        <v>0</v>
      </c>
      <c r="V32" s="54">
        <v>0</v>
      </c>
      <c r="W32" s="53">
        <v>0</v>
      </c>
      <c r="X32" s="49">
        <f t="shared" si="13"/>
        <v>5706211</v>
      </c>
      <c r="Y32" s="56">
        <f t="shared" si="14"/>
        <v>22.91</v>
      </c>
      <c r="Z32" s="49">
        <f t="shared" si="15"/>
        <v>85064827</v>
      </c>
      <c r="AA32" s="49">
        <f t="shared" si="16"/>
        <v>0</v>
      </c>
      <c r="AB32" s="57">
        <f t="shared" si="3"/>
        <v>1.53</v>
      </c>
      <c r="AC32" s="58">
        <f t="shared" si="4"/>
        <v>21.34</v>
      </c>
      <c r="AD32" s="59">
        <f t="shared" si="5"/>
        <v>22.88</v>
      </c>
      <c r="AE32" s="60">
        <v>0</v>
      </c>
      <c r="AF32" s="60">
        <f t="shared" si="17"/>
        <v>85064827</v>
      </c>
      <c r="AG32" s="61">
        <v>0.02</v>
      </c>
      <c r="AH32" s="62">
        <v>191677887</v>
      </c>
      <c r="AI32" s="62">
        <v>13022097</v>
      </c>
      <c r="AJ32" s="62">
        <v>0</v>
      </c>
      <c r="AK32" s="63">
        <f t="shared" si="18"/>
        <v>204699984</v>
      </c>
      <c r="AL32" s="60">
        <v>9737189850</v>
      </c>
      <c r="AM32" s="60">
        <f t="shared" si="21"/>
        <v>10234999200</v>
      </c>
      <c r="AN32" s="64">
        <f t="shared" si="19"/>
        <v>5.1124539797280426E-2</v>
      </c>
      <c r="AO32" s="65">
        <f t="shared" si="20"/>
        <v>10234999200</v>
      </c>
      <c r="AP32" s="50">
        <f t="shared" si="7"/>
        <v>1.8727689495080763E-2</v>
      </c>
      <c r="AQ32" s="50">
        <f t="shared" si="8"/>
        <v>1.2723105049192384E-3</v>
      </c>
      <c r="AR32" s="60">
        <v>1846710</v>
      </c>
      <c r="AS32" s="60">
        <f t="shared" si="9"/>
        <v>291611521</v>
      </c>
      <c r="AT32" s="60">
        <f>ROUND(AS32/'3_Levels 1&amp;2'!C32,2)</f>
        <v>5731.47</v>
      </c>
    </row>
    <row r="33" spans="1:46" ht="15" customHeight="1" x14ac:dyDescent="0.2">
      <c r="A33" s="47">
        <v>27</v>
      </c>
      <c r="B33" s="48" t="s">
        <v>30</v>
      </c>
      <c r="C33" s="49">
        <v>272616389</v>
      </c>
      <c r="D33" s="49">
        <v>51144456</v>
      </c>
      <c r="E33" s="49">
        <f t="shared" si="10"/>
        <v>221471933</v>
      </c>
      <c r="F33" s="49">
        <v>216671031</v>
      </c>
      <c r="G33" s="50">
        <f t="shared" si="11"/>
        <v>2.2157562909275123E-2</v>
      </c>
      <c r="H33" s="51">
        <f t="shared" si="2"/>
        <v>221471933</v>
      </c>
      <c r="I33" s="52">
        <v>6.48</v>
      </c>
      <c r="J33" s="53">
        <v>1402926</v>
      </c>
      <c r="K33" s="52">
        <v>10.77</v>
      </c>
      <c r="L33" s="53">
        <v>2331696</v>
      </c>
      <c r="M33" s="54">
        <v>0</v>
      </c>
      <c r="N33" s="54">
        <v>18.91</v>
      </c>
      <c r="O33" s="54">
        <v>7</v>
      </c>
      <c r="P33" s="53">
        <v>2571888</v>
      </c>
      <c r="Q33" s="49">
        <f t="shared" si="12"/>
        <v>6306510</v>
      </c>
      <c r="R33" s="54">
        <v>0</v>
      </c>
      <c r="S33" s="53">
        <v>0</v>
      </c>
      <c r="T33" s="54">
        <v>0</v>
      </c>
      <c r="U33" s="54">
        <v>13.77</v>
      </c>
      <c r="V33" s="54">
        <v>7</v>
      </c>
      <c r="W33" s="53">
        <v>2320182</v>
      </c>
      <c r="X33" s="49">
        <f t="shared" si="13"/>
        <v>2320182</v>
      </c>
      <c r="Y33" s="56">
        <f t="shared" si="14"/>
        <v>17.25</v>
      </c>
      <c r="Z33" s="49">
        <f t="shared" si="15"/>
        <v>3734622</v>
      </c>
      <c r="AA33" s="49">
        <f t="shared" si="16"/>
        <v>4892070</v>
      </c>
      <c r="AB33" s="57">
        <f t="shared" si="3"/>
        <v>10.48</v>
      </c>
      <c r="AC33" s="58">
        <f t="shared" si="4"/>
        <v>28.48</v>
      </c>
      <c r="AD33" s="59">
        <f t="shared" si="5"/>
        <v>38.950000000000003</v>
      </c>
      <c r="AE33" s="60">
        <v>0</v>
      </c>
      <c r="AF33" s="60">
        <f t="shared" si="17"/>
        <v>8626692</v>
      </c>
      <c r="AG33" s="61">
        <v>2.5000000000000001E-2</v>
      </c>
      <c r="AH33" s="62">
        <v>9978618</v>
      </c>
      <c r="AI33" s="62">
        <v>1359372</v>
      </c>
      <c r="AJ33" s="62">
        <v>0</v>
      </c>
      <c r="AK33" s="63">
        <f t="shared" si="18"/>
        <v>11337990</v>
      </c>
      <c r="AL33" s="60">
        <v>465998760</v>
      </c>
      <c r="AM33" s="60">
        <f t="shared" si="21"/>
        <v>453519600</v>
      </c>
      <c r="AN33" s="64">
        <f t="shared" si="19"/>
        <v>-2.6779384563169223E-2</v>
      </c>
      <c r="AO33" s="65">
        <f t="shared" si="20"/>
        <v>453519600</v>
      </c>
      <c r="AP33" s="50">
        <f t="shared" si="7"/>
        <v>2.200261686595243E-2</v>
      </c>
      <c r="AQ33" s="50">
        <f t="shared" si="8"/>
        <v>2.9973831340475692E-3</v>
      </c>
      <c r="AR33" s="60">
        <v>318956</v>
      </c>
      <c r="AS33" s="60">
        <f t="shared" si="9"/>
        <v>20283638</v>
      </c>
      <c r="AT33" s="60">
        <f>ROUND(AS33/'3_Levels 1&amp;2'!C33,2)</f>
        <v>3695.32</v>
      </c>
    </row>
    <row r="34" spans="1:46" ht="15" customHeight="1" x14ac:dyDescent="0.2">
      <c r="A34" s="47">
        <v>28</v>
      </c>
      <c r="B34" s="48" t="s">
        <v>31</v>
      </c>
      <c r="C34" s="49">
        <v>2680216083</v>
      </c>
      <c r="D34" s="49">
        <v>394049555</v>
      </c>
      <c r="E34" s="49">
        <f t="shared" si="10"/>
        <v>2286166528</v>
      </c>
      <c r="F34" s="49">
        <v>2276953641</v>
      </c>
      <c r="G34" s="50">
        <f t="shared" si="11"/>
        <v>4.0461460585354096E-3</v>
      </c>
      <c r="H34" s="51">
        <f t="shared" si="2"/>
        <v>2286166528</v>
      </c>
      <c r="I34" s="52">
        <v>4.59</v>
      </c>
      <c r="J34" s="53">
        <v>10093305</v>
      </c>
      <c r="K34" s="52">
        <v>28.97</v>
      </c>
      <c r="L34" s="53">
        <v>63900606</v>
      </c>
      <c r="M34" s="54">
        <v>0</v>
      </c>
      <c r="N34" s="54">
        <v>0</v>
      </c>
      <c r="O34" s="54">
        <v>0</v>
      </c>
      <c r="P34" s="53">
        <v>0</v>
      </c>
      <c r="Q34" s="49">
        <f t="shared" si="12"/>
        <v>73993911</v>
      </c>
      <c r="R34" s="54">
        <v>0</v>
      </c>
      <c r="S34" s="53">
        <v>0</v>
      </c>
      <c r="T34" s="54">
        <v>0</v>
      </c>
      <c r="U34" s="54">
        <v>0</v>
      </c>
      <c r="V34" s="54">
        <v>0</v>
      </c>
      <c r="W34" s="53">
        <v>0</v>
      </c>
      <c r="X34" s="49">
        <f t="shared" si="13"/>
        <v>0</v>
      </c>
      <c r="Y34" s="56">
        <f t="shared" si="14"/>
        <v>33.56</v>
      </c>
      <c r="Z34" s="49">
        <f t="shared" si="15"/>
        <v>73993911</v>
      </c>
      <c r="AA34" s="49">
        <f t="shared" si="16"/>
        <v>0</v>
      </c>
      <c r="AB34" s="57">
        <f t="shared" si="3"/>
        <v>0</v>
      </c>
      <c r="AC34" s="58">
        <f t="shared" si="4"/>
        <v>32.369999999999997</v>
      </c>
      <c r="AD34" s="59">
        <f t="shared" si="5"/>
        <v>32.369999999999997</v>
      </c>
      <c r="AE34" s="60">
        <v>0</v>
      </c>
      <c r="AF34" s="60">
        <f t="shared" si="17"/>
        <v>73993911</v>
      </c>
      <c r="AG34" s="61">
        <v>0.02</v>
      </c>
      <c r="AH34" s="62">
        <v>110215242</v>
      </c>
      <c r="AI34" s="62">
        <v>7577523</v>
      </c>
      <c r="AJ34" s="62">
        <v>0</v>
      </c>
      <c r="AK34" s="63">
        <f t="shared" si="18"/>
        <v>117792765</v>
      </c>
      <c r="AL34" s="60">
        <v>5670886200</v>
      </c>
      <c r="AM34" s="60">
        <f t="shared" si="21"/>
        <v>5889638250</v>
      </c>
      <c r="AN34" s="61">
        <f t="shared" si="19"/>
        <v>3.857457940171679E-2</v>
      </c>
      <c r="AO34" s="60">
        <f t="shared" si="20"/>
        <v>5889638250</v>
      </c>
      <c r="AP34" s="50">
        <f t="shared" si="7"/>
        <v>1.87134145293219E-2</v>
      </c>
      <c r="AQ34" s="50">
        <f t="shared" si="8"/>
        <v>1.2865854706781016E-3</v>
      </c>
      <c r="AR34" s="60">
        <v>2441655</v>
      </c>
      <c r="AS34" s="60">
        <f t="shared" si="9"/>
        <v>194228331</v>
      </c>
      <c r="AT34" s="60">
        <f>ROUND(AS34/'3_Levels 1&amp;2'!C34,2)</f>
        <v>5827.61</v>
      </c>
    </row>
    <row r="35" spans="1:46" ht="15" customHeight="1" x14ac:dyDescent="0.2">
      <c r="A35" s="47">
        <v>29</v>
      </c>
      <c r="B35" s="48" t="s">
        <v>32</v>
      </c>
      <c r="C35" s="49">
        <v>1137402280</v>
      </c>
      <c r="D35" s="49">
        <v>175739831</v>
      </c>
      <c r="E35" s="49">
        <f t="shared" si="10"/>
        <v>961662449</v>
      </c>
      <c r="F35" s="49">
        <v>959324398</v>
      </c>
      <c r="G35" s="50">
        <f t="shared" si="11"/>
        <v>2.4371849656637211E-3</v>
      </c>
      <c r="H35" s="51">
        <f t="shared" si="2"/>
        <v>961662449</v>
      </c>
      <c r="I35" s="52">
        <v>3.63</v>
      </c>
      <c r="J35" s="53">
        <v>3444433</v>
      </c>
      <c r="K35" s="52">
        <v>28.47</v>
      </c>
      <c r="L35" s="53">
        <v>27014605</v>
      </c>
      <c r="M35" s="54">
        <v>0</v>
      </c>
      <c r="N35" s="54">
        <v>0</v>
      </c>
      <c r="O35" s="54">
        <v>0</v>
      </c>
      <c r="P35" s="53">
        <v>0</v>
      </c>
      <c r="Q35" s="49">
        <f t="shared" si="12"/>
        <v>30459038</v>
      </c>
      <c r="R35" s="54">
        <v>11.2</v>
      </c>
      <c r="S35" s="53">
        <v>10627455</v>
      </c>
      <c r="T35" s="54">
        <v>0</v>
      </c>
      <c r="U35" s="54">
        <v>0</v>
      </c>
      <c r="V35" s="54">
        <v>0</v>
      </c>
      <c r="W35" s="53">
        <v>0</v>
      </c>
      <c r="X35" s="49">
        <f t="shared" si="13"/>
        <v>10627455</v>
      </c>
      <c r="Y35" s="56">
        <f t="shared" si="14"/>
        <v>43.3</v>
      </c>
      <c r="Z35" s="49">
        <f t="shared" si="15"/>
        <v>41086493</v>
      </c>
      <c r="AA35" s="49">
        <f t="shared" si="16"/>
        <v>0</v>
      </c>
      <c r="AB35" s="57">
        <f t="shared" si="3"/>
        <v>11.05</v>
      </c>
      <c r="AC35" s="58">
        <f t="shared" si="4"/>
        <v>31.67</v>
      </c>
      <c r="AD35" s="59">
        <f t="shared" si="5"/>
        <v>42.72</v>
      </c>
      <c r="AE35" s="60">
        <v>0</v>
      </c>
      <c r="AF35" s="60">
        <f t="shared" si="17"/>
        <v>41086493</v>
      </c>
      <c r="AG35" s="61">
        <v>0.02</v>
      </c>
      <c r="AH35" s="62">
        <v>30084691</v>
      </c>
      <c r="AI35" s="62">
        <v>0</v>
      </c>
      <c r="AJ35" s="62">
        <v>0</v>
      </c>
      <c r="AK35" s="63">
        <f t="shared" si="18"/>
        <v>30084691</v>
      </c>
      <c r="AL35" s="60">
        <v>1496755300</v>
      </c>
      <c r="AM35" s="60">
        <f t="shared" si="21"/>
        <v>1504234550</v>
      </c>
      <c r="AN35" s="61">
        <f t="shared" si="19"/>
        <v>4.9969757915672656E-3</v>
      </c>
      <c r="AO35" s="60">
        <f t="shared" si="20"/>
        <v>1504234550</v>
      </c>
      <c r="AP35" s="50">
        <f t="shared" si="7"/>
        <v>0.02</v>
      </c>
      <c r="AQ35" s="50">
        <f t="shared" si="8"/>
        <v>0</v>
      </c>
      <c r="AR35" s="60">
        <v>755829</v>
      </c>
      <c r="AS35" s="60">
        <f t="shared" si="9"/>
        <v>71927013</v>
      </c>
      <c r="AT35" s="60">
        <f>ROUND(AS35/'3_Levels 1&amp;2'!C35,2)</f>
        <v>5099.04</v>
      </c>
    </row>
    <row r="36" spans="1:46" ht="15" customHeight="1" x14ac:dyDescent="0.2">
      <c r="A36" s="66">
        <v>30</v>
      </c>
      <c r="B36" s="67" t="s">
        <v>33</v>
      </c>
      <c r="C36" s="68">
        <v>104180240</v>
      </c>
      <c r="D36" s="68">
        <v>22147640</v>
      </c>
      <c r="E36" s="68">
        <f t="shared" si="10"/>
        <v>82032600</v>
      </c>
      <c r="F36" s="68">
        <v>78727710</v>
      </c>
      <c r="G36" s="69">
        <f t="shared" si="11"/>
        <v>4.1978739125017102E-2</v>
      </c>
      <c r="H36" s="70">
        <f t="shared" si="2"/>
        <v>82032600</v>
      </c>
      <c r="I36" s="71">
        <v>4.54</v>
      </c>
      <c r="J36" s="72">
        <v>368693</v>
      </c>
      <c r="K36" s="71">
        <v>39.75</v>
      </c>
      <c r="L36" s="72">
        <v>3228091</v>
      </c>
      <c r="M36" s="73">
        <v>0</v>
      </c>
      <c r="N36" s="73">
        <v>0</v>
      </c>
      <c r="O36" s="73">
        <v>0</v>
      </c>
      <c r="P36" s="72">
        <v>0</v>
      </c>
      <c r="Q36" s="68">
        <f t="shared" si="12"/>
        <v>3596784</v>
      </c>
      <c r="R36" s="73">
        <v>0</v>
      </c>
      <c r="S36" s="72">
        <v>0</v>
      </c>
      <c r="T36" s="73">
        <v>0</v>
      </c>
      <c r="U36" s="73">
        <v>0</v>
      </c>
      <c r="V36" s="73">
        <v>0</v>
      </c>
      <c r="W36" s="72">
        <v>0</v>
      </c>
      <c r="X36" s="68">
        <f t="shared" si="13"/>
        <v>0</v>
      </c>
      <c r="Y36" s="74">
        <f t="shared" si="14"/>
        <v>44.29</v>
      </c>
      <c r="Z36" s="68">
        <f t="shared" si="15"/>
        <v>3596784</v>
      </c>
      <c r="AA36" s="68">
        <f t="shared" si="16"/>
        <v>0</v>
      </c>
      <c r="AB36" s="75">
        <f t="shared" si="3"/>
        <v>0</v>
      </c>
      <c r="AC36" s="76">
        <f t="shared" si="4"/>
        <v>43.85</v>
      </c>
      <c r="AD36" s="77">
        <f t="shared" si="5"/>
        <v>43.85</v>
      </c>
      <c r="AE36" s="78">
        <v>0</v>
      </c>
      <c r="AF36" s="78">
        <f t="shared" si="17"/>
        <v>3596784</v>
      </c>
      <c r="AG36" s="79">
        <v>0.03</v>
      </c>
      <c r="AH36" s="80">
        <v>6739428</v>
      </c>
      <c r="AI36" s="80">
        <v>2294046</v>
      </c>
      <c r="AJ36" s="1149">
        <v>0</v>
      </c>
      <c r="AK36" s="81">
        <f t="shared" si="18"/>
        <v>9033474</v>
      </c>
      <c r="AL36" s="78">
        <v>235424833</v>
      </c>
      <c r="AM36" s="78">
        <f t="shared" si="21"/>
        <v>301115800</v>
      </c>
      <c r="AN36" s="79">
        <f t="shared" si="19"/>
        <v>0.27903159646714076</v>
      </c>
      <c r="AO36" s="78">
        <f t="shared" si="20"/>
        <v>270738557.94999999</v>
      </c>
      <c r="AP36" s="69">
        <f t="shared" si="7"/>
        <v>2.2381515682670921E-2</v>
      </c>
      <c r="AQ36" s="69">
        <f t="shared" si="8"/>
        <v>7.6184843173290806E-3</v>
      </c>
      <c r="AR36" s="78">
        <v>57409</v>
      </c>
      <c r="AS36" s="78">
        <f t="shared" si="9"/>
        <v>12687667</v>
      </c>
      <c r="AT36" s="78">
        <f>ROUND(AS36/'3_Levels 1&amp;2'!C36,2)</f>
        <v>5050.82</v>
      </c>
    </row>
    <row r="37" spans="1:46" ht="15" customHeight="1" x14ac:dyDescent="0.2">
      <c r="A37" s="47">
        <v>31</v>
      </c>
      <c r="B37" s="48" t="s">
        <v>34</v>
      </c>
      <c r="C37" s="49">
        <v>529339219</v>
      </c>
      <c r="D37" s="49">
        <v>58159866</v>
      </c>
      <c r="E37" s="49">
        <f t="shared" si="10"/>
        <v>471179353</v>
      </c>
      <c r="F37" s="49">
        <v>454621934</v>
      </c>
      <c r="G37" s="50">
        <f t="shared" si="11"/>
        <v>3.6420193927554759E-2</v>
      </c>
      <c r="H37" s="51">
        <f t="shared" si="2"/>
        <v>471179353</v>
      </c>
      <c r="I37" s="52">
        <v>3.91</v>
      </c>
      <c r="J37" s="53">
        <v>1834996</v>
      </c>
      <c r="K37" s="52">
        <v>26.45</v>
      </c>
      <c r="L37" s="53">
        <v>12411369</v>
      </c>
      <c r="M37" s="54">
        <v>0</v>
      </c>
      <c r="N37" s="54">
        <v>3.25</v>
      </c>
      <c r="O37" s="54">
        <v>4</v>
      </c>
      <c r="P37" s="53">
        <v>1178305</v>
      </c>
      <c r="Q37" s="49">
        <f t="shared" si="12"/>
        <v>15424670</v>
      </c>
      <c r="R37" s="55">
        <v>0</v>
      </c>
      <c r="S37" s="53">
        <v>0</v>
      </c>
      <c r="T37" s="54">
        <v>0</v>
      </c>
      <c r="U37" s="54">
        <v>18</v>
      </c>
      <c r="V37" s="54">
        <v>4</v>
      </c>
      <c r="W37" s="53">
        <v>4700020</v>
      </c>
      <c r="X37" s="49">
        <f t="shared" si="13"/>
        <v>4700020</v>
      </c>
      <c r="Y37" s="56">
        <f t="shared" si="14"/>
        <v>30.36</v>
      </c>
      <c r="Z37" s="49">
        <f t="shared" si="15"/>
        <v>14246365</v>
      </c>
      <c r="AA37" s="49">
        <f t="shared" si="16"/>
        <v>5878325</v>
      </c>
      <c r="AB37" s="57">
        <f t="shared" si="3"/>
        <v>9.98</v>
      </c>
      <c r="AC37" s="58">
        <f t="shared" si="4"/>
        <v>32.74</v>
      </c>
      <c r="AD37" s="59">
        <f t="shared" si="5"/>
        <v>42.71</v>
      </c>
      <c r="AE37" s="60">
        <v>0</v>
      </c>
      <c r="AF37" s="60">
        <f t="shared" si="17"/>
        <v>20124690</v>
      </c>
      <c r="AG37" s="61">
        <v>0.02</v>
      </c>
      <c r="AH37" s="62">
        <v>17792666</v>
      </c>
      <c r="AI37" s="62">
        <v>0</v>
      </c>
      <c r="AJ37" s="62">
        <v>0</v>
      </c>
      <c r="AK37" s="63">
        <f t="shared" si="18"/>
        <v>17792666</v>
      </c>
      <c r="AL37" s="60">
        <v>988333350</v>
      </c>
      <c r="AM37" s="60">
        <f t="shared" si="21"/>
        <v>889633300</v>
      </c>
      <c r="AN37" s="64">
        <f t="shared" si="19"/>
        <v>-9.9865141654887996E-2</v>
      </c>
      <c r="AO37" s="65">
        <f t="shared" si="20"/>
        <v>889633300</v>
      </c>
      <c r="AP37" s="50">
        <f t="shared" si="7"/>
        <v>0.02</v>
      </c>
      <c r="AQ37" s="50">
        <f t="shared" si="8"/>
        <v>0</v>
      </c>
      <c r="AR37" s="60">
        <v>325212</v>
      </c>
      <c r="AS37" s="60">
        <f t="shared" si="9"/>
        <v>38242568</v>
      </c>
      <c r="AT37" s="60">
        <f>ROUND(AS37/'3_Levels 1&amp;2'!C37,2)</f>
        <v>6195.13</v>
      </c>
    </row>
    <row r="38" spans="1:46" ht="15" customHeight="1" x14ac:dyDescent="0.2">
      <c r="A38" s="47">
        <v>32</v>
      </c>
      <c r="B38" s="48" t="s">
        <v>35</v>
      </c>
      <c r="C38" s="49">
        <v>784635762</v>
      </c>
      <c r="D38" s="49">
        <v>244716657</v>
      </c>
      <c r="E38" s="49">
        <f t="shared" si="10"/>
        <v>539919105</v>
      </c>
      <c r="F38" s="49">
        <v>513960638</v>
      </c>
      <c r="G38" s="50">
        <f t="shared" si="11"/>
        <v>5.0506721878573121E-2</v>
      </c>
      <c r="H38" s="51">
        <f t="shared" si="2"/>
        <v>539919105</v>
      </c>
      <c r="I38" s="52">
        <v>3.29</v>
      </c>
      <c r="J38" s="53">
        <v>1753924</v>
      </c>
      <c r="K38" s="52">
        <v>19.18</v>
      </c>
      <c r="L38" s="53">
        <v>10224999</v>
      </c>
      <c r="M38" s="54">
        <v>0</v>
      </c>
      <c r="N38" s="54">
        <v>0</v>
      </c>
      <c r="O38" s="54">
        <v>0</v>
      </c>
      <c r="P38" s="53">
        <v>0</v>
      </c>
      <c r="Q38" s="49">
        <f t="shared" si="12"/>
        <v>11978923</v>
      </c>
      <c r="R38" s="54">
        <v>0</v>
      </c>
      <c r="S38" s="53">
        <v>0</v>
      </c>
      <c r="T38" s="54">
        <v>0</v>
      </c>
      <c r="U38" s="54">
        <v>15.17</v>
      </c>
      <c r="V38" s="54">
        <v>10</v>
      </c>
      <c r="W38" s="53">
        <v>6291167</v>
      </c>
      <c r="X38" s="49">
        <f t="shared" si="13"/>
        <v>6291167</v>
      </c>
      <c r="Y38" s="56">
        <f t="shared" si="14"/>
        <v>22.47</v>
      </c>
      <c r="Z38" s="49">
        <f t="shared" si="15"/>
        <v>11978923</v>
      </c>
      <c r="AA38" s="49">
        <f t="shared" si="16"/>
        <v>6291167</v>
      </c>
      <c r="AB38" s="57">
        <f t="shared" si="3"/>
        <v>11.65</v>
      </c>
      <c r="AC38" s="58">
        <f t="shared" si="4"/>
        <v>22.19</v>
      </c>
      <c r="AD38" s="59">
        <f t="shared" si="5"/>
        <v>33.840000000000003</v>
      </c>
      <c r="AE38" s="60">
        <v>0</v>
      </c>
      <c r="AF38" s="60">
        <f t="shared" si="17"/>
        <v>18270090</v>
      </c>
      <c r="AG38" s="61">
        <v>2.5000000000000001E-2</v>
      </c>
      <c r="AH38" s="62">
        <v>48232679</v>
      </c>
      <c r="AI38" s="62">
        <v>2055162</v>
      </c>
      <c r="AJ38" s="62">
        <v>0</v>
      </c>
      <c r="AK38" s="63">
        <f t="shared" si="18"/>
        <v>50287841</v>
      </c>
      <c r="AL38" s="60">
        <v>2018368000</v>
      </c>
      <c r="AM38" s="60">
        <f t="shared" si="21"/>
        <v>2011513640</v>
      </c>
      <c r="AN38" s="64">
        <f t="shared" si="19"/>
        <v>-3.3959912166661383E-3</v>
      </c>
      <c r="AO38" s="65">
        <f t="shared" si="20"/>
        <v>2011513640</v>
      </c>
      <c r="AP38" s="50">
        <f t="shared" si="7"/>
        <v>2.3978300738741201E-2</v>
      </c>
      <c r="AQ38" s="50">
        <f t="shared" si="8"/>
        <v>1.0216992612588E-3</v>
      </c>
      <c r="AR38" s="60">
        <v>981989</v>
      </c>
      <c r="AS38" s="60">
        <f t="shared" si="9"/>
        <v>69539920</v>
      </c>
      <c r="AT38" s="60">
        <f>ROUND(AS38/'3_Levels 1&amp;2'!C38,2)</f>
        <v>2682.66</v>
      </c>
    </row>
    <row r="39" spans="1:46" ht="15" customHeight="1" x14ac:dyDescent="0.2">
      <c r="A39" s="47">
        <v>33</v>
      </c>
      <c r="B39" s="48" t="s">
        <v>36</v>
      </c>
      <c r="C39" s="49">
        <v>115481832</v>
      </c>
      <c r="D39" s="49">
        <v>10640161</v>
      </c>
      <c r="E39" s="49">
        <f t="shared" si="10"/>
        <v>104841671</v>
      </c>
      <c r="F39" s="49">
        <v>109359250</v>
      </c>
      <c r="G39" s="50">
        <f t="shared" si="11"/>
        <v>-4.1309528000603515E-2</v>
      </c>
      <c r="H39" s="51">
        <f t="shared" ref="H39:H75" si="22">IF((E39-F39)/F39&gt;$H$3,F39*(1+$H$3),E39)</f>
        <v>104841671</v>
      </c>
      <c r="I39" s="52">
        <v>4.58</v>
      </c>
      <c r="J39" s="53">
        <v>485605</v>
      </c>
      <c r="K39" s="52">
        <v>5.25</v>
      </c>
      <c r="L39" s="53">
        <v>553685</v>
      </c>
      <c r="M39" s="54">
        <v>0</v>
      </c>
      <c r="N39" s="54">
        <v>0</v>
      </c>
      <c r="O39" s="54">
        <v>0</v>
      </c>
      <c r="P39" s="53">
        <v>0</v>
      </c>
      <c r="Q39" s="49">
        <f t="shared" si="12"/>
        <v>1039290</v>
      </c>
      <c r="R39" s="54">
        <v>12</v>
      </c>
      <c r="S39" s="53">
        <v>1272333</v>
      </c>
      <c r="T39" s="54">
        <v>0</v>
      </c>
      <c r="U39" s="54">
        <v>0</v>
      </c>
      <c r="V39" s="54">
        <v>0</v>
      </c>
      <c r="W39" s="53">
        <v>0</v>
      </c>
      <c r="X39" s="49">
        <f t="shared" si="13"/>
        <v>1272333</v>
      </c>
      <c r="Y39" s="56">
        <f t="shared" si="14"/>
        <v>21.83</v>
      </c>
      <c r="Z39" s="49">
        <f t="shared" si="15"/>
        <v>2311623</v>
      </c>
      <c r="AA39" s="49">
        <f t="shared" si="16"/>
        <v>0</v>
      </c>
      <c r="AB39" s="57">
        <f t="shared" ref="AB39:AB70" si="23">ROUND((X39/E39)*1000,2)</f>
        <v>12.14</v>
      </c>
      <c r="AC39" s="58">
        <f t="shared" ref="AC39:AC70" si="24">ROUND((Q39/E39)*1000,2)</f>
        <v>9.91</v>
      </c>
      <c r="AD39" s="59">
        <f t="shared" ref="AD39:AD70" si="25">ROUND((AF39/E39)*1000,2)</f>
        <v>22.05</v>
      </c>
      <c r="AE39" s="60">
        <v>0</v>
      </c>
      <c r="AF39" s="60">
        <f t="shared" si="17"/>
        <v>2311623</v>
      </c>
      <c r="AG39" s="61">
        <v>2.5000000000000001E-2</v>
      </c>
      <c r="AH39" s="62">
        <v>2039603</v>
      </c>
      <c r="AI39" s="62">
        <v>1242758</v>
      </c>
      <c r="AJ39" s="62">
        <v>0</v>
      </c>
      <c r="AK39" s="63">
        <f t="shared" si="18"/>
        <v>3282361</v>
      </c>
      <c r="AL39" s="60">
        <v>133703080</v>
      </c>
      <c r="AM39" s="60">
        <f t="shared" si="21"/>
        <v>131294440</v>
      </c>
      <c r="AN39" s="61">
        <f t="shared" si="19"/>
        <v>-1.8014843038769188E-2</v>
      </c>
      <c r="AO39" s="60">
        <f t="shared" si="20"/>
        <v>131294440</v>
      </c>
      <c r="AP39" s="50">
        <f t="shared" ref="AP39:AP75" si="26">AH39/AM39</f>
        <v>1.5534572522644523E-2</v>
      </c>
      <c r="AQ39" s="50">
        <f t="shared" ref="AQ39:AQ75" si="27">AI39/AM39</f>
        <v>9.4654274773554765E-3</v>
      </c>
      <c r="AR39" s="60">
        <v>124677</v>
      </c>
      <c r="AS39" s="60">
        <f t="shared" ref="AS39:AS70" si="28">AR39+AF39+AK39</f>
        <v>5718661</v>
      </c>
      <c r="AT39" s="60">
        <f>ROUND(AS39/'3_Levels 1&amp;2'!C39,2)</f>
        <v>4050.04</v>
      </c>
    </row>
    <row r="40" spans="1:46" ht="15" customHeight="1" x14ac:dyDescent="0.2">
      <c r="A40" s="47">
        <v>34</v>
      </c>
      <c r="B40" s="48" t="s">
        <v>37</v>
      </c>
      <c r="C40" s="49">
        <v>181791672</v>
      </c>
      <c r="D40" s="49">
        <v>35737223</v>
      </c>
      <c r="E40" s="49">
        <f t="shared" si="10"/>
        <v>146054449</v>
      </c>
      <c r="F40" s="49">
        <v>145640220</v>
      </c>
      <c r="G40" s="50">
        <f t="shared" si="11"/>
        <v>2.8441937261561401E-3</v>
      </c>
      <c r="H40" s="51">
        <f t="shared" si="22"/>
        <v>146054449</v>
      </c>
      <c r="I40" s="52">
        <v>5.96</v>
      </c>
      <c r="J40" s="53">
        <v>865385</v>
      </c>
      <c r="K40" s="52">
        <v>22.46</v>
      </c>
      <c r="L40" s="53">
        <v>3261524</v>
      </c>
      <c r="M40" s="54">
        <v>0</v>
      </c>
      <c r="N40" s="54">
        <v>10</v>
      </c>
      <c r="O40" s="54">
        <v>0</v>
      </c>
      <c r="P40" s="53">
        <v>602842</v>
      </c>
      <c r="Q40" s="49">
        <f t="shared" si="12"/>
        <v>4729751</v>
      </c>
      <c r="R40" s="54">
        <v>6</v>
      </c>
      <c r="S40" s="53">
        <v>871545</v>
      </c>
      <c r="T40" s="54">
        <v>0</v>
      </c>
      <c r="U40" s="54">
        <v>0</v>
      </c>
      <c r="V40" s="54">
        <v>0</v>
      </c>
      <c r="W40" s="53">
        <v>0</v>
      </c>
      <c r="X40" s="49">
        <f t="shared" si="13"/>
        <v>871545</v>
      </c>
      <c r="Y40" s="56">
        <f t="shared" si="14"/>
        <v>34.42</v>
      </c>
      <c r="Z40" s="49">
        <f t="shared" si="15"/>
        <v>4998454</v>
      </c>
      <c r="AA40" s="49">
        <f t="shared" si="16"/>
        <v>602842</v>
      </c>
      <c r="AB40" s="57">
        <f t="shared" si="23"/>
        <v>5.97</v>
      </c>
      <c r="AC40" s="58">
        <f t="shared" si="24"/>
        <v>32.380000000000003</v>
      </c>
      <c r="AD40" s="59">
        <f t="shared" si="25"/>
        <v>38.35</v>
      </c>
      <c r="AE40" s="60">
        <v>0</v>
      </c>
      <c r="AF40" s="60">
        <f t="shared" si="17"/>
        <v>5601296</v>
      </c>
      <c r="AG40" s="61">
        <v>0.02</v>
      </c>
      <c r="AH40" s="62">
        <v>5989734</v>
      </c>
      <c r="AI40" s="62">
        <v>0</v>
      </c>
      <c r="AJ40" s="62">
        <v>0</v>
      </c>
      <c r="AK40" s="63">
        <f t="shared" si="18"/>
        <v>5989734</v>
      </c>
      <c r="AL40" s="60">
        <v>299778000</v>
      </c>
      <c r="AM40" s="60">
        <f t="shared" si="21"/>
        <v>299486700</v>
      </c>
      <c r="AN40" s="61">
        <f t="shared" si="19"/>
        <v>-9.717190721133639E-4</v>
      </c>
      <c r="AO40" s="60">
        <f t="shared" si="20"/>
        <v>299486700</v>
      </c>
      <c r="AP40" s="50">
        <f t="shared" si="26"/>
        <v>0.02</v>
      </c>
      <c r="AQ40" s="50">
        <f t="shared" si="27"/>
        <v>0</v>
      </c>
      <c r="AR40" s="60">
        <v>213177</v>
      </c>
      <c r="AS40" s="60">
        <f t="shared" si="28"/>
        <v>11804207</v>
      </c>
      <c r="AT40" s="60">
        <f>ROUND(AS40/'3_Levels 1&amp;2'!C40,2)</f>
        <v>3287.16</v>
      </c>
    </row>
    <row r="41" spans="1:46" ht="15" customHeight="1" x14ac:dyDescent="0.2">
      <c r="A41" s="66">
        <v>35</v>
      </c>
      <c r="B41" s="67" t="s">
        <v>38</v>
      </c>
      <c r="C41" s="68">
        <v>404379694</v>
      </c>
      <c r="D41" s="68">
        <v>53338768</v>
      </c>
      <c r="E41" s="68">
        <f t="shared" si="10"/>
        <v>351040926</v>
      </c>
      <c r="F41" s="68">
        <v>340186653</v>
      </c>
      <c r="G41" s="69">
        <f t="shared" si="11"/>
        <v>3.1906816167770108E-2</v>
      </c>
      <c r="H41" s="70">
        <f t="shared" si="22"/>
        <v>351040926</v>
      </c>
      <c r="I41" s="71">
        <v>4.6500000000000004</v>
      </c>
      <c r="J41" s="72">
        <v>1568177</v>
      </c>
      <c r="K41" s="71">
        <v>7</v>
      </c>
      <c r="L41" s="72">
        <v>2360697</v>
      </c>
      <c r="M41" s="73">
        <v>0</v>
      </c>
      <c r="N41" s="73">
        <v>20</v>
      </c>
      <c r="O41" s="73">
        <v>5</v>
      </c>
      <c r="P41" s="72">
        <v>2861334</v>
      </c>
      <c r="Q41" s="68">
        <f t="shared" si="12"/>
        <v>6790208</v>
      </c>
      <c r="R41" s="73">
        <v>0</v>
      </c>
      <c r="S41" s="72">
        <v>0</v>
      </c>
      <c r="T41" s="73">
        <v>0</v>
      </c>
      <c r="U41" s="73">
        <v>33</v>
      </c>
      <c r="V41" s="73">
        <v>3</v>
      </c>
      <c r="W41" s="72">
        <v>1955838</v>
      </c>
      <c r="X41" s="68">
        <f t="shared" si="13"/>
        <v>1955838</v>
      </c>
      <c r="Y41" s="74">
        <f t="shared" si="14"/>
        <v>11.65</v>
      </c>
      <c r="Z41" s="68">
        <f t="shared" si="15"/>
        <v>3928874</v>
      </c>
      <c r="AA41" s="68">
        <f t="shared" si="16"/>
        <v>4817172</v>
      </c>
      <c r="AB41" s="75">
        <f t="shared" si="23"/>
        <v>5.57</v>
      </c>
      <c r="AC41" s="76">
        <f t="shared" si="24"/>
        <v>19.34</v>
      </c>
      <c r="AD41" s="77">
        <f t="shared" si="25"/>
        <v>26.56</v>
      </c>
      <c r="AE41" s="78">
        <v>576004</v>
      </c>
      <c r="AF41" s="78">
        <f t="shared" si="17"/>
        <v>9322050</v>
      </c>
      <c r="AG41" s="79">
        <v>2.5000000000000001E-2</v>
      </c>
      <c r="AH41" s="80">
        <v>15758220</v>
      </c>
      <c r="AI41" s="80">
        <v>0</v>
      </c>
      <c r="AJ41" s="1149">
        <v>0</v>
      </c>
      <c r="AK41" s="81">
        <f t="shared" si="18"/>
        <v>15758220</v>
      </c>
      <c r="AL41" s="78">
        <v>617363280</v>
      </c>
      <c r="AM41" s="78">
        <f t="shared" si="21"/>
        <v>630328800</v>
      </c>
      <c r="AN41" s="79">
        <f t="shared" si="19"/>
        <v>2.1001443428899754E-2</v>
      </c>
      <c r="AO41" s="78">
        <f t="shared" si="20"/>
        <v>630328800</v>
      </c>
      <c r="AP41" s="69">
        <f t="shared" si="26"/>
        <v>2.5000000000000001E-2</v>
      </c>
      <c r="AQ41" s="69">
        <f t="shared" si="27"/>
        <v>0</v>
      </c>
      <c r="AR41" s="78">
        <v>705915</v>
      </c>
      <c r="AS41" s="78">
        <f t="shared" si="28"/>
        <v>25786185</v>
      </c>
      <c r="AT41" s="78">
        <f>ROUND(AS41/'3_Levels 1&amp;2'!C41,2)</f>
        <v>4595.6499999999996</v>
      </c>
    </row>
    <row r="42" spans="1:46" ht="15" customHeight="1" x14ac:dyDescent="0.2">
      <c r="A42" s="47">
        <v>36</v>
      </c>
      <c r="B42" s="48" t="s">
        <v>39</v>
      </c>
      <c r="C42" s="49">
        <v>4345161720</v>
      </c>
      <c r="D42" s="49">
        <v>476499550</v>
      </c>
      <c r="E42" s="49">
        <f t="shared" si="10"/>
        <v>3868662170</v>
      </c>
      <c r="F42" s="49">
        <v>3789022670</v>
      </c>
      <c r="G42" s="50">
        <f t="shared" si="11"/>
        <v>2.1018480736616971E-2</v>
      </c>
      <c r="H42" s="51">
        <f t="shared" si="22"/>
        <v>3868662170</v>
      </c>
      <c r="I42" s="52">
        <v>27.65</v>
      </c>
      <c r="J42" s="53">
        <v>102443954</v>
      </c>
      <c r="K42" s="52">
        <v>12.69</v>
      </c>
      <c r="L42" s="53">
        <v>62439076</v>
      </c>
      <c r="M42" s="54">
        <v>0</v>
      </c>
      <c r="N42" s="54">
        <v>0</v>
      </c>
      <c r="O42" s="54">
        <v>0</v>
      </c>
      <c r="P42" s="53">
        <v>0</v>
      </c>
      <c r="Q42" s="49">
        <f t="shared" si="12"/>
        <v>164883030</v>
      </c>
      <c r="R42" s="55">
        <v>4.97</v>
      </c>
      <c r="S42" s="53">
        <v>8627859</v>
      </c>
      <c r="T42" s="54">
        <v>0</v>
      </c>
      <c r="U42" s="54">
        <v>0</v>
      </c>
      <c r="V42" s="54">
        <v>0</v>
      </c>
      <c r="W42" s="53">
        <v>0</v>
      </c>
      <c r="X42" s="49">
        <f t="shared" si="13"/>
        <v>8627859</v>
      </c>
      <c r="Y42" s="56">
        <f t="shared" si="14"/>
        <v>45.309999999999995</v>
      </c>
      <c r="Z42" s="49">
        <f t="shared" si="15"/>
        <v>173510889</v>
      </c>
      <c r="AA42" s="49">
        <f t="shared" si="16"/>
        <v>0</v>
      </c>
      <c r="AB42" s="57">
        <f t="shared" si="23"/>
        <v>2.23</v>
      </c>
      <c r="AC42" s="58">
        <f t="shared" si="24"/>
        <v>42.62</v>
      </c>
      <c r="AD42" s="59">
        <f t="shared" si="25"/>
        <v>44.85</v>
      </c>
      <c r="AE42" s="60">
        <v>0</v>
      </c>
      <c r="AF42" s="60">
        <f t="shared" si="17"/>
        <v>173510889</v>
      </c>
      <c r="AG42" s="61">
        <v>1.4999999999999999E-2</v>
      </c>
      <c r="AH42" s="62">
        <v>136283617</v>
      </c>
      <c r="AI42" s="62">
        <v>11722888</v>
      </c>
      <c r="AJ42" s="62">
        <v>0</v>
      </c>
      <c r="AK42" s="63">
        <f t="shared" si="18"/>
        <v>148006505</v>
      </c>
      <c r="AL42" s="60">
        <v>9309207200</v>
      </c>
      <c r="AM42" s="60">
        <f t="shared" si="21"/>
        <v>9867100333</v>
      </c>
      <c r="AN42" s="64">
        <f t="shared" si="19"/>
        <v>5.9929177749959199E-2</v>
      </c>
      <c r="AO42" s="65">
        <f t="shared" si="20"/>
        <v>9867100333</v>
      </c>
      <c r="AP42" s="50">
        <f t="shared" si="26"/>
        <v>1.3811921679179301E-2</v>
      </c>
      <c r="AQ42" s="50">
        <f t="shared" si="27"/>
        <v>1.1880783213274336E-3</v>
      </c>
      <c r="AR42" s="60">
        <v>2839663</v>
      </c>
      <c r="AS42" s="60">
        <f t="shared" si="28"/>
        <v>324357057</v>
      </c>
      <c r="AT42" s="60">
        <f>ROUND(AS42/'3_Levels 1&amp;2'!C42,2)</f>
        <v>6934.41</v>
      </c>
    </row>
    <row r="43" spans="1:46" ht="15" customHeight="1" x14ac:dyDescent="0.2">
      <c r="A43" s="47">
        <v>37</v>
      </c>
      <c r="B43" s="48" t="s">
        <v>40</v>
      </c>
      <c r="C43" s="49">
        <v>883035486</v>
      </c>
      <c r="D43" s="49">
        <v>163528951</v>
      </c>
      <c r="E43" s="49">
        <f t="shared" si="10"/>
        <v>719506535</v>
      </c>
      <c r="F43" s="49">
        <v>713564414</v>
      </c>
      <c r="G43" s="50">
        <f t="shared" si="11"/>
        <v>8.3273785567451238E-3</v>
      </c>
      <c r="H43" s="51">
        <f t="shared" si="22"/>
        <v>719506535</v>
      </c>
      <c r="I43" s="52">
        <v>5.18</v>
      </c>
      <c r="J43" s="53">
        <v>3829271</v>
      </c>
      <c r="K43" s="52">
        <v>24.15</v>
      </c>
      <c r="L43" s="53">
        <v>17197647</v>
      </c>
      <c r="M43" s="54">
        <v>0</v>
      </c>
      <c r="N43" s="54">
        <v>0</v>
      </c>
      <c r="O43" s="54">
        <v>0</v>
      </c>
      <c r="P43" s="53">
        <v>0</v>
      </c>
      <c r="Q43" s="49">
        <f t="shared" si="12"/>
        <v>21026918</v>
      </c>
      <c r="R43" s="54">
        <v>0</v>
      </c>
      <c r="S43" s="53">
        <v>0</v>
      </c>
      <c r="T43" s="54">
        <v>0</v>
      </c>
      <c r="U43" s="54">
        <v>30</v>
      </c>
      <c r="V43" s="54">
        <v>0</v>
      </c>
      <c r="W43" s="53">
        <v>8077196</v>
      </c>
      <c r="X43" s="49">
        <f t="shared" si="13"/>
        <v>8077196</v>
      </c>
      <c r="Y43" s="56">
        <f t="shared" si="14"/>
        <v>29.33</v>
      </c>
      <c r="Z43" s="49">
        <f t="shared" si="15"/>
        <v>21026918</v>
      </c>
      <c r="AA43" s="49">
        <f t="shared" si="16"/>
        <v>8077196</v>
      </c>
      <c r="AB43" s="57">
        <f t="shared" si="23"/>
        <v>11.23</v>
      </c>
      <c r="AC43" s="58">
        <f t="shared" si="24"/>
        <v>29.22</v>
      </c>
      <c r="AD43" s="59">
        <f t="shared" si="25"/>
        <v>40.450000000000003</v>
      </c>
      <c r="AE43" s="60">
        <v>0</v>
      </c>
      <c r="AF43" s="60">
        <f t="shared" si="17"/>
        <v>29104114</v>
      </c>
      <c r="AG43" s="61">
        <v>0.03</v>
      </c>
      <c r="AH43" s="62">
        <v>36511353</v>
      </c>
      <c r="AI43" s="62">
        <v>9142385</v>
      </c>
      <c r="AJ43" s="62">
        <v>0</v>
      </c>
      <c r="AK43" s="63">
        <f t="shared" si="18"/>
        <v>45653738</v>
      </c>
      <c r="AL43" s="60">
        <v>1516714100</v>
      </c>
      <c r="AM43" s="60">
        <f t="shared" si="21"/>
        <v>1521791267</v>
      </c>
      <c r="AN43" s="64">
        <f t="shared" si="19"/>
        <v>3.3474779459095158E-3</v>
      </c>
      <c r="AO43" s="65">
        <f t="shared" si="20"/>
        <v>1521791267</v>
      </c>
      <c r="AP43" s="50">
        <f t="shared" si="26"/>
        <v>2.3992352822458405E-2</v>
      </c>
      <c r="AQ43" s="50">
        <f t="shared" si="27"/>
        <v>6.0076471709703929E-3</v>
      </c>
      <c r="AR43" s="60">
        <v>813252</v>
      </c>
      <c r="AS43" s="60">
        <f t="shared" si="28"/>
        <v>75571104</v>
      </c>
      <c r="AT43" s="60">
        <f>ROUND(AS43/'3_Levels 1&amp;2'!C43,2)</f>
        <v>4059.91</v>
      </c>
    </row>
    <row r="44" spans="1:46" ht="15" customHeight="1" x14ac:dyDescent="0.2">
      <c r="A44" s="47">
        <v>38</v>
      </c>
      <c r="B44" s="48" t="s">
        <v>41</v>
      </c>
      <c r="C44" s="49">
        <v>1015398765</v>
      </c>
      <c r="D44" s="49">
        <v>30116789</v>
      </c>
      <c r="E44" s="49">
        <f t="shared" si="10"/>
        <v>985281976</v>
      </c>
      <c r="F44" s="49">
        <v>1012141815</v>
      </c>
      <c r="G44" s="50">
        <f t="shared" si="11"/>
        <v>-2.6537624077906514E-2</v>
      </c>
      <c r="H44" s="51">
        <f t="shared" si="22"/>
        <v>985281976</v>
      </c>
      <c r="I44" s="52">
        <v>6.03</v>
      </c>
      <c r="J44" s="53">
        <v>6498575</v>
      </c>
      <c r="K44" s="52">
        <v>18.38</v>
      </c>
      <c r="L44" s="53">
        <v>19405914</v>
      </c>
      <c r="M44" s="54">
        <v>0</v>
      </c>
      <c r="N44" s="54">
        <v>0</v>
      </c>
      <c r="O44" s="54">
        <v>0</v>
      </c>
      <c r="P44" s="53">
        <v>0</v>
      </c>
      <c r="Q44" s="49">
        <f t="shared" si="12"/>
        <v>25904489</v>
      </c>
      <c r="R44" s="54">
        <v>0</v>
      </c>
      <c r="S44" s="53">
        <v>75136</v>
      </c>
      <c r="T44" s="54">
        <v>0</v>
      </c>
      <c r="U44" s="54">
        <v>0</v>
      </c>
      <c r="V44" s="54">
        <v>0</v>
      </c>
      <c r="W44" s="53">
        <v>0</v>
      </c>
      <c r="X44" s="49">
        <f t="shared" si="13"/>
        <v>75136</v>
      </c>
      <c r="Y44" s="56">
        <f t="shared" si="14"/>
        <v>24.41</v>
      </c>
      <c r="Z44" s="49">
        <f t="shared" si="15"/>
        <v>25979625</v>
      </c>
      <c r="AA44" s="49">
        <f t="shared" si="16"/>
        <v>0</v>
      </c>
      <c r="AB44" s="57">
        <f t="shared" si="23"/>
        <v>0.08</v>
      </c>
      <c r="AC44" s="58">
        <f t="shared" si="24"/>
        <v>26.29</v>
      </c>
      <c r="AD44" s="59">
        <f t="shared" si="25"/>
        <v>26.37</v>
      </c>
      <c r="AE44" s="60">
        <v>0</v>
      </c>
      <c r="AF44" s="60">
        <f t="shared" si="17"/>
        <v>25979625</v>
      </c>
      <c r="AG44" s="61">
        <v>2.5000000000000001E-2</v>
      </c>
      <c r="AH44" s="62">
        <v>16883890</v>
      </c>
      <c r="AI44" s="62">
        <v>0</v>
      </c>
      <c r="AJ44" s="62">
        <v>0</v>
      </c>
      <c r="AK44" s="63">
        <f t="shared" si="18"/>
        <v>16883890</v>
      </c>
      <c r="AL44" s="60">
        <v>702008920</v>
      </c>
      <c r="AM44" s="60">
        <f t="shared" si="21"/>
        <v>675355600</v>
      </c>
      <c r="AN44" s="61">
        <f t="shared" si="19"/>
        <v>-3.7967209875338907E-2</v>
      </c>
      <c r="AO44" s="60">
        <f t="shared" si="20"/>
        <v>675355600</v>
      </c>
      <c r="AP44" s="50">
        <f t="shared" si="26"/>
        <v>2.5000000000000001E-2</v>
      </c>
      <c r="AQ44" s="50">
        <f t="shared" si="27"/>
        <v>0</v>
      </c>
      <c r="AR44" s="60">
        <v>94633</v>
      </c>
      <c r="AS44" s="60">
        <f t="shared" si="28"/>
        <v>42958148</v>
      </c>
      <c r="AT44" s="60">
        <f>ROUND(AS44/'3_Levels 1&amp;2'!C44,2)</f>
        <v>11074.54</v>
      </c>
    </row>
    <row r="45" spans="1:46" ht="15" customHeight="1" x14ac:dyDescent="0.2">
      <c r="A45" s="47">
        <v>39</v>
      </c>
      <c r="B45" s="48" t="s">
        <v>42</v>
      </c>
      <c r="C45" s="49">
        <v>534052534</v>
      </c>
      <c r="D45" s="49">
        <v>41515941</v>
      </c>
      <c r="E45" s="49">
        <f t="shared" si="10"/>
        <v>492536593</v>
      </c>
      <c r="F45" s="49">
        <v>474169906</v>
      </c>
      <c r="G45" s="50">
        <f t="shared" si="11"/>
        <v>3.8734400407097955E-2</v>
      </c>
      <c r="H45" s="51">
        <f t="shared" si="22"/>
        <v>492536593</v>
      </c>
      <c r="I45" s="52">
        <v>4.54</v>
      </c>
      <c r="J45" s="53">
        <v>2231037</v>
      </c>
      <c r="K45" s="52">
        <v>11.96</v>
      </c>
      <c r="L45" s="53">
        <v>5873531</v>
      </c>
      <c r="M45" s="54">
        <v>0</v>
      </c>
      <c r="N45" s="54">
        <v>0</v>
      </c>
      <c r="O45" s="54">
        <v>0</v>
      </c>
      <c r="P45" s="53">
        <v>0</v>
      </c>
      <c r="Q45" s="49">
        <f t="shared" si="12"/>
        <v>8104568</v>
      </c>
      <c r="R45" s="54">
        <v>0</v>
      </c>
      <c r="S45" s="53">
        <v>0</v>
      </c>
      <c r="T45" s="54">
        <v>0</v>
      </c>
      <c r="U45" s="54">
        <v>0</v>
      </c>
      <c r="V45" s="54">
        <v>0</v>
      </c>
      <c r="W45" s="53">
        <v>0</v>
      </c>
      <c r="X45" s="49">
        <f t="shared" si="13"/>
        <v>0</v>
      </c>
      <c r="Y45" s="56">
        <f t="shared" si="14"/>
        <v>16.5</v>
      </c>
      <c r="Z45" s="49">
        <f t="shared" si="15"/>
        <v>8104568</v>
      </c>
      <c r="AA45" s="49">
        <f t="shared" si="16"/>
        <v>0</v>
      </c>
      <c r="AB45" s="57">
        <f t="shared" si="23"/>
        <v>0</v>
      </c>
      <c r="AC45" s="58">
        <f t="shared" si="24"/>
        <v>16.45</v>
      </c>
      <c r="AD45" s="59">
        <f t="shared" si="25"/>
        <v>16.45</v>
      </c>
      <c r="AE45" s="60">
        <v>0</v>
      </c>
      <c r="AF45" s="60">
        <f t="shared" si="17"/>
        <v>8104568</v>
      </c>
      <c r="AG45" s="61">
        <v>0.02</v>
      </c>
      <c r="AH45" s="62">
        <v>7018036</v>
      </c>
      <c r="AI45" s="62">
        <v>0</v>
      </c>
      <c r="AJ45" s="62">
        <v>0</v>
      </c>
      <c r="AK45" s="63">
        <f t="shared" si="18"/>
        <v>7018036</v>
      </c>
      <c r="AL45" s="60">
        <v>353250150</v>
      </c>
      <c r="AM45" s="60">
        <f t="shared" si="21"/>
        <v>350901800</v>
      </c>
      <c r="AN45" s="61">
        <f t="shared" si="19"/>
        <v>-6.6478386491838713E-3</v>
      </c>
      <c r="AO45" s="60">
        <f t="shared" si="20"/>
        <v>350901800</v>
      </c>
      <c r="AP45" s="50">
        <f t="shared" si="26"/>
        <v>0.02</v>
      </c>
      <c r="AQ45" s="50">
        <f t="shared" si="27"/>
        <v>0</v>
      </c>
      <c r="AR45" s="60">
        <v>154406</v>
      </c>
      <c r="AS45" s="60">
        <f t="shared" si="28"/>
        <v>15277010</v>
      </c>
      <c r="AT45" s="60">
        <f>ROUND(AS45/'3_Levels 1&amp;2'!C45,2)</f>
        <v>5784.56</v>
      </c>
    </row>
    <row r="46" spans="1:46" ht="15" customHeight="1" x14ac:dyDescent="0.2">
      <c r="A46" s="66">
        <v>40</v>
      </c>
      <c r="B46" s="67" t="s">
        <v>43</v>
      </c>
      <c r="C46" s="68">
        <v>1029421632</v>
      </c>
      <c r="D46" s="68">
        <v>185144210</v>
      </c>
      <c r="E46" s="68">
        <f t="shared" si="10"/>
        <v>844277422</v>
      </c>
      <c r="F46" s="68">
        <v>813097131</v>
      </c>
      <c r="G46" s="69">
        <f t="shared" si="11"/>
        <v>3.8347559979276323E-2</v>
      </c>
      <c r="H46" s="70">
        <f t="shared" si="22"/>
        <v>844277422</v>
      </c>
      <c r="I46" s="71">
        <v>4.93</v>
      </c>
      <c r="J46" s="72">
        <v>4094601</v>
      </c>
      <c r="K46" s="71">
        <v>21.64</v>
      </c>
      <c r="L46" s="72">
        <v>18021675</v>
      </c>
      <c r="M46" s="73">
        <v>0</v>
      </c>
      <c r="N46" s="73">
        <v>24.39</v>
      </c>
      <c r="O46" s="73">
        <v>13</v>
      </c>
      <c r="P46" s="72">
        <v>9242934</v>
      </c>
      <c r="Q46" s="68">
        <f t="shared" si="12"/>
        <v>31359210</v>
      </c>
      <c r="R46" s="73">
        <v>0</v>
      </c>
      <c r="S46" s="72">
        <v>0</v>
      </c>
      <c r="T46" s="73">
        <v>0</v>
      </c>
      <c r="U46" s="73">
        <v>36</v>
      </c>
      <c r="V46" s="73">
        <v>10</v>
      </c>
      <c r="W46" s="72">
        <v>8952933</v>
      </c>
      <c r="X46" s="68">
        <f t="shared" si="13"/>
        <v>8952933</v>
      </c>
      <c r="Y46" s="74">
        <f t="shared" si="14"/>
        <v>26.57</v>
      </c>
      <c r="Z46" s="68">
        <f t="shared" si="15"/>
        <v>22116276</v>
      </c>
      <c r="AA46" s="68">
        <f t="shared" si="16"/>
        <v>18195867</v>
      </c>
      <c r="AB46" s="75">
        <f t="shared" si="23"/>
        <v>10.6</v>
      </c>
      <c r="AC46" s="76">
        <f t="shared" si="24"/>
        <v>37.14</v>
      </c>
      <c r="AD46" s="77">
        <f t="shared" si="25"/>
        <v>47.75</v>
      </c>
      <c r="AE46" s="78">
        <v>0</v>
      </c>
      <c r="AF46" s="78">
        <f t="shared" si="17"/>
        <v>40312143</v>
      </c>
      <c r="AG46" s="79">
        <v>0.02</v>
      </c>
      <c r="AH46" s="80">
        <v>51970756</v>
      </c>
      <c r="AI46" s="80">
        <v>0</v>
      </c>
      <c r="AJ46" s="1149">
        <v>0</v>
      </c>
      <c r="AK46" s="81">
        <f t="shared" si="18"/>
        <v>51970756</v>
      </c>
      <c r="AL46" s="78">
        <v>2546406000</v>
      </c>
      <c r="AM46" s="78">
        <f t="shared" si="21"/>
        <v>2598537800</v>
      </c>
      <c r="AN46" s="79">
        <f t="shared" si="19"/>
        <v>2.0472697598104939E-2</v>
      </c>
      <c r="AO46" s="78">
        <f t="shared" si="20"/>
        <v>2598537800</v>
      </c>
      <c r="AP46" s="69">
        <f t="shared" si="26"/>
        <v>0.02</v>
      </c>
      <c r="AQ46" s="69">
        <f t="shared" si="27"/>
        <v>0</v>
      </c>
      <c r="AR46" s="78">
        <v>994907</v>
      </c>
      <c r="AS46" s="78">
        <f t="shared" si="28"/>
        <v>93277806</v>
      </c>
      <c r="AT46" s="78">
        <f>ROUND(AS46/'3_Levels 1&amp;2'!C46,2)</f>
        <v>4272.1400000000003</v>
      </c>
    </row>
    <row r="47" spans="1:46" ht="15" customHeight="1" x14ac:dyDescent="0.2">
      <c r="A47" s="47">
        <v>41</v>
      </c>
      <c r="B47" s="48" t="s">
        <v>44</v>
      </c>
      <c r="C47" s="49">
        <v>242880930</v>
      </c>
      <c r="D47" s="49">
        <v>11470440</v>
      </c>
      <c r="E47" s="49">
        <f t="shared" si="10"/>
        <v>231410490</v>
      </c>
      <c r="F47" s="49">
        <v>236356170</v>
      </c>
      <c r="G47" s="50">
        <f t="shared" si="11"/>
        <v>-2.0924691748051255E-2</v>
      </c>
      <c r="H47" s="51">
        <f t="shared" si="22"/>
        <v>231410490</v>
      </c>
      <c r="I47" s="52">
        <v>4.97</v>
      </c>
      <c r="J47" s="53">
        <v>1149206</v>
      </c>
      <c r="K47" s="52">
        <v>38.119999999999997</v>
      </c>
      <c r="L47" s="53">
        <v>8814455</v>
      </c>
      <c r="M47" s="54">
        <v>0</v>
      </c>
      <c r="N47" s="54">
        <v>0</v>
      </c>
      <c r="O47" s="54">
        <v>0</v>
      </c>
      <c r="P47" s="53">
        <v>0</v>
      </c>
      <c r="Q47" s="49">
        <f t="shared" si="12"/>
        <v>9963661</v>
      </c>
      <c r="R47" s="55">
        <v>9.6</v>
      </c>
      <c r="S47" s="53">
        <v>2219774</v>
      </c>
      <c r="T47" s="54">
        <v>0</v>
      </c>
      <c r="U47" s="54">
        <v>0</v>
      </c>
      <c r="V47" s="54">
        <v>0</v>
      </c>
      <c r="W47" s="53">
        <v>0</v>
      </c>
      <c r="X47" s="49">
        <f t="shared" si="13"/>
        <v>2219774</v>
      </c>
      <c r="Y47" s="56">
        <f t="shared" si="14"/>
        <v>52.69</v>
      </c>
      <c r="Z47" s="49">
        <f t="shared" si="15"/>
        <v>12183435</v>
      </c>
      <c r="AA47" s="49">
        <f t="shared" si="16"/>
        <v>0</v>
      </c>
      <c r="AB47" s="57">
        <f t="shared" si="23"/>
        <v>9.59</v>
      </c>
      <c r="AC47" s="58">
        <f t="shared" si="24"/>
        <v>43.06</v>
      </c>
      <c r="AD47" s="59">
        <f t="shared" si="25"/>
        <v>52.65</v>
      </c>
      <c r="AE47" s="60">
        <v>0</v>
      </c>
      <c r="AF47" s="60">
        <f t="shared" si="17"/>
        <v>12183435</v>
      </c>
      <c r="AG47" s="61">
        <v>0.02</v>
      </c>
      <c r="AH47" s="62">
        <v>4808006</v>
      </c>
      <c r="AI47" s="62">
        <v>0</v>
      </c>
      <c r="AJ47" s="62">
        <v>0</v>
      </c>
      <c r="AK47" s="63">
        <f t="shared" si="18"/>
        <v>4808006</v>
      </c>
      <c r="AL47" s="60">
        <v>232285400</v>
      </c>
      <c r="AM47" s="60">
        <f t="shared" si="21"/>
        <v>240400300</v>
      </c>
      <c r="AN47" s="64">
        <f t="shared" si="19"/>
        <v>3.4935041117521805E-2</v>
      </c>
      <c r="AO47" s="65">
        <f t="shared" si="20"/>
        <v>240400300</v>
      </c>
      <c r="AP47" s="50">
        <f t="shared" si="26"/>
        <v>0.02</v>
      </c>
      <c r="AQ47" s="50">
        <f t="shared" si="27"/>
        <v>0</v>
      </c>
      <c r="AR47" s="60">
        <v>78773</v>
      </c>
      <c r="AS47" s="60">
        <f t="shared" si="28"/>
        <v>17070214</v>
      </c>
      <c r="AT47" s="60">
        <f>ROUND(AS47/'3_Levels 1&amp;2'!C47,2)</f>
        <v>13181.63</v>
      </c>
    </row>
    <row r="48" spans="1:46" ht="15" customHeight="1" x14ac:dyDescent="0.2">
      <c r="A48" s="47">
        <v>42</v>
      </c>
      <c r="B48" s="48" t="s">
        <v>45</v>
      </c>
      <c r="C48" s="49">
        <v>239127361</v>
      </c>
      <c r="D48" s="49">
        <v>29165632</v>
      </c>
      <c r="E48" s="49">
        <f t="shared" si="10"/>
        <v>209961729</v>
      </c>
      <c r="F48" s="49">
        <v>227088187</v>
      </c>
      <c r="G48" s="50">
        <f t="shared" si="11"/>
        <v>-7.5417652614400407E-2</v>
      </c>
      <c r="H48" s="51">
        <f t="shared" si="22"/>
        <v>209961729</v>
      </c>
      <c r="I48" s="52">
        <v>9.6999999999999993</v>
      </c>
      <c r="J48" s="53">
        <v>2005582</v>
      </c>
      <c r="K48" s="52">
        <v>9.57</v>
      </c>
      <c r="L48" s="53">
        <v>1978698</v>
      </c>
      <c r="M48" s="54">
        <v>0</v>
      </c>
      <c r="N48" s="54">
        <v>0</v>
      </c>
      <c r="O48" s="54">
        <v>0</v>
      </c>
      <c r="P48" s="53">
        <v>0</v>
      </c>
      <c r="Q48" s="49">
        <f t="shared" si="12"/>
        <v>3984280</v>
      </c>
      <c r="R48" s="54">
        <v>0</v>
      </c>
      <c r="S48" s="53">
        <v>0</v>
      </c>
      <c r="T48" s="54">
        <v>0</v>
      </c>
      <c r="U48" s="54">
        <v>27</v>
      </c>
      <c r="V48" s="54">
        <v>4</v>
      </c>
      <c r="W48" s="53">
        <v>2805789</v>
      </c>
      <c r="X48" s="49">
        <f t="shared" si="13"/>
        <v>2805789</v>
      </c>
      <c r="Y48" s="56">
        <f t="shared" si="14"/>
        <v>19.27</v>
      </c>
      <c r="Z48" s="49">
        <f t="shared" si="15"/>
        <v>3984280</v>
      </c>
      <c r="AA48" s="49">
        <f t="shared" si="16"/>
        <v>2805789</v>
      </c>
      <c r="AB48" s="57">
        <f t="shared" si="23"/>
        <v>13.36</v>
      </c>
      <c r="AC48" s="58">
        <f t="shared" si="24"/>
        <v>18.98</v>
      </c>
      <c r="AD48" s="59">
        <f t="shared" si="25"/>
        <v>32.340000000000003</v>
      </c>
      <c r="AE48" s="60">
        <v>0</v>
      </c>
      <c r="AF48" s="60">
        <f t="shared" si="17"/>
        <v>6790069</v>
      </c>
      <c r="AG48" s="61">
        <v>0.02</v>
      </c>
      <c r="AH48" s="62">
        <v>6207098</v>
      </c>
      <c r="AI48" s="62">
        <v>0</v>
      </c>
      <c r="AJ48" s="62">
        <v>0</v>
      </c>
      <c r="AK48" s="63">
        <f t="shared" si="18"/>
        <v>6207098</v>
      </c>
      <c r="AL48" s="60">
        <v>305815200</v>
      </c>
      <c r="AM48" s="60">
        <f t="shared" si="21"/>
        <v>310354900</v>
      </c>
      <c r="AN48" s="64">
        <f t="shared" si="19"/>
        <v>1.484458588062333E-2</v>
      </c>
      <c r="AO48" s="65">
        <f t="shared" si="20"/>
        <v>310354900</v>
      </c>
      <c r="AP48" s="50">
        <f t="shared" si="26"/>
        <v>0.02</v>
      </c>
      <c r="AQ48" s="50">
        <f t="shared" si="27"/>
        <v>0</v>
      </c>
      <c r="AR48" s="60">
        <v>213876</v>
      </c>
      <c r="AS48" s="60">
        <f t="shared" si="28"/>
        <v>13211043</v>
      </c>
      <c r="AT48" s="60">
        <f>ROUND(AS48/'3_Levels 1&amp;2'!C48,2)</f>
        <v>4844.53</v>
      </c>
    </row>
    <row r="49" spans="1:46" ht="15" customHeight="1" x14ac:dyDescent="0.2">
      <c r="A49" s="47">
        <v>43</v>
      </c>
      <c r="B49" s="48" t="s">
        <v>46</v>
      </c>
      <c r="C49" s="49">
        <v>213909477</v>
      </c>
      <c r="D49" s="49">
        <v>33881254</v>
      </c>
      <c r="E49" s="49">
        <f t="shared" si="10"/>
        <v>180028223</v>
      </c>
      <c r="F49" s="49">
        <v>174477756</v>
      </c>
      <c r="G49" s="50">
        <f t="shared" si="11"/>
        <v>3.1811888960791082E-2</v>
      </c>
      <c r="H49" s="51">
        <f t="shared" si="22"/>
        <v>180028223</v>
      </c>
      <c r="I49" s="52">
        <v>5.35</v>
      </c>
      <c r="J49" s="53">
        <v>987649</v>
      </c>
      <c r="K49" s="52">
        <v>9.02</v>
      </c>
      <c r="L49" s="53">
        <v>1665056</v>
      </c>
      <c r="M49" s="54">
        <v>0</v>
      </c>
      <c r="N49" s="54">
        <v>16.09</v>
      </c>
      <c r="O49" s="54">
        <v>7</v>
      </c>
      <c r="P49" s="53">
        <v>1820174</v>
      </c>
      <c r="Q49" s="49">
        <f t="shared" si="12"/>
        <v>4472879</v>
      </c>
      <c r="R49" s="54">
        <v>0</v>
      </c>
      <c r="S49" s="53">
        <v>0</v>
      </c>
      <c r="T49" s="54">
        <v>0</v>
      </c>
      <c r="U49" s="54">
        <v>30.7</v>
      </c>
      <c r="V49" s="54">
        <v>7</v>
      </c>
      <c r="W49" s="53">
        <v>2203772</v>
      </c>
      <c r="X49" s="49">
        <f t="shared" si="13"/>
        <v>2203772</v>
      </c>
      <c r="Y49" s="56">
        <f t="shared" si="14"/>
        <v>14.37</v>
      </c>
      <c r="Z49" s="49">
        <f t="shared" si="15"/>
        <v>2652705</v>
      </c>
      <c r="AA49" s="49">
        <f t="shared" si="16"/>
        <v>4023946</v>
      </c>
      <c r="AB49" s="57">
        <f t="shared" si="23"/>
        <v>12.24</v>
      </c>
      <c r="AC49" s="58">
        <f t="shared" si="24"/>
        <v>24.85</v>
      </c>
      <c r="AD49" s="59">
        <f t="shared" si="25"/>
        <v>37.090000000000003</v>
      </c>
      <c r="AE49" s="60">
        <v>0</v>
      </c>
      <c r="AF49" s="60">
        <f t="shared" si="17"/>
        <v>6676651</v>
      </c>
      <c r="AG49" s="61">
        <v>2.5000000000000001E-2</v>
      </c>
      <c r="AH49" s="62">
        <v>10683691</v>
      </c>
      <c r="AI49" s="62">
        <v>644913</v>
      </c>
      <c r="AJ49" s="62">
        <v>0</v>
      </c>
      <c r="AK49" s="63">
        <f t="shared" si="18"/>
        <v>11328604</v>
      </c>
      <c r="AL49" s="60">
        <v>388159720</v>
      </c>
      <c r="AM49" s="60">
        <f t="shared" si="21"/>
        <v>453144160</v>
      </c>
      <c r="AN49" s="61">
        <f t="shared" si="19"/>
        <v>0.16741675308298345</v>
      </c>
      <c r="AO49" s="60">
        <f t="shared" si="20"/>
        <v>446383677.99999994</v>
      </c>
      <c r="AP49" s="50">
        <f t="shared" si="26"/>
        <v>2.3576803902758011E-2</v>
      </c>
      <c r="AQ49" s="50">
        <f t="shared" si="27"/>
        <v>1.4231960972419903E-3</v>
      </c>
      <c r="AR49" s="60">
        <v>149536</v>
      </c>
      <c r="AS49" s="60">
        <f t="shared" si="28"/>
        <v>18154791</v>
      </c>
      <c r="AT49" s="60">
        <f>ROUND(AS49/'3_Levels 1&amp;2'!C49,2)</f>
        <v>4519.49</v>
      </c>
    </row>
    <row r="50" spans="1:46" ht="15" customHeight="1" x14ac:dyDescent="0.2">
      <c r="A50" s="47">
        <v>44</v>
      </c>
      <c r="B50" s="48" t="s">
        <v>47</v>
      </c>
      <c r="C50" s="49">
        <v>412852211</v>
      </c>
      <c r="D50" s="49">
        <v>65637215</v>
      </c>
      <c r="E50" s="49">
        <f t="shared" si="10"/>
        <v>347214996</v>
      </c>
      <c r="F50" s="49">
        <v>311778562</v>
      </c>
      <c r="G50" s="50">
        <f t="shared" si="11"/>
        <v>0.11365898210794878</v>
      </c>
      <c r="H50" s="51">
        <f t="shared" si="22"/>
        <v>342956418.20000005</v>
      </c>
      <c r="I50" s="52">
        <v>3.83</v>
      </c>
      <c r="J50" s="53">
        <v>1327425</v>
      </c>
      <c r="K50" s="52">
        <v>37.39</v>
      </c>
      <c r="L50" s="53">
        <v>12959225</v>
      </c>
      <c r="M50" s="54">
        <v>0</v>
      </c>
      <c r="N50" s="54">
        <v>0</v>
      </c>
      <c r="O50" s="54">
        <v>0</v>
      </c>
      <c r="P50" s="53">
        <v>0</v>
      </c>
      <c r="Q50" s="49">
        <f t="shared" si="12"/>
        <v>14286650</v>
      </c>
      <c r="R50" s="54">
        <v>0</v>
      </c>
      <c r="S50" s="53">
        <v>0</v>
      </c>
      <c r="T50" s="54">
        <v>0</v>
      </c>
      <c r="U50" s="54">
        <v>0</v>
      </c>
      <c r="V50" s="54">
        <v>0</v>
      </c>
      <c r="W50" s="53">
        <v>0</v>
      </c>
      <c r="X50" s="49">
        <f t="shared" si="13"/>
        <v>0</v>
      </c>
      <c r="Y50" s="56">
        <f t="shared" si="14"/>
        <v>41.22</v>
      </c>
      <c r="Z50" s="49">
        <f t="shared" si="15"/>
        <v>14286650</v>
      </c>
      <c r="AA50" s="49">
        <f t="shared" si="16"/>
        <v>0</v>
      </c>
      <c r="AB50" s="57">
        <f t="shared" si="23"/>
        <v>0</v>
      </c>
      <c r="AC50" s="58">
        <f t="shared" si="24"/>
        <v>41.15</v>
      </c>
      <c r="AD50" s="59">
        <f t="shared" si="25"/>
        <v>41.15</v>
      </c>
      <c r="AE50" s="60">
        <v>0</v>
      </c>
      <c r="AF50" s="60">
        <f t="shared" si="17"/>
        <v>14286650</v>
      </c>
      <c r="AG50" s="61">
        <v>0.02</v>
      </c>
      <c r="AH50" s="62">
        <v>15351712</v>
      </c>
      <c r="AI50" s="62">
        <v>0</v>
      </c>
      <c r="AJ50" s="62">
        <v>0</v>
      </c>
      <c r="AK50" s="63">
        <f t="shared" si="18"/>
        <v>15351712</v>
      </c>
      <c r="AL50" s="60">
        <v>821057400</v>
      </c>
      <c r="AM50" s="60">
        <f t="shared" si="21"/>
        <v>767585600</v>
      </c>
      <c r="AN50" s="61">
        <f t="shared" si="19"/>
        <v>-6.5125532027358865E-2</v>
      </c>
      <c r="AO50" s="60">
        <f t="shared" si="20"/>
        <v>767585600</v>
      </c>
      <c r="AP50" s="50">
        <f t="shared" si="26"/>
        <v>0.02</v>
      </c>
      <c r="AQ50" s="50">
        <f t="shared" si="27"/>
        <v>0</v>
      </c>
      <c r="AR50" s="60">
        <v>118458</v>
      </c>
      <c r="AS50" s="60">
        <f t="shared" si="28"/>
        <v>29756820</v>
      </c>
      <c r="AT50" s="60">
        <f>ROUND(AS50/'3_Levels 1&amp;2'!C50,2)</f>
        <v>3989.92</v>
      </c>
    </row>
    <row r="51" spans="1:46" ht="15" customHeight="1" x14ac:dyDescent="0.2">
      <c r="A51" s="66">
        <v>45</v>
      </c>
      <c r="B51" s="67" t="s">
        <v>48</v>
      </c>
      <c r="C51" s="68">
        <v>1524310697</v>
      </c>
      <c r="D51" s="68">
        <v>99569259</v>
      </c>
      <c r="E51" s="68">
        <f t="shared" si="10"/>
        <v>1424741438</v>
      </c>
      <c r="F51" s="68">
        <v>1268026118</v>
      </c>
      <c r="G51" s="69">
        <f t="shared" si="11"/>
        <v>0.12358997797867126</v>
      </c>
      <c r="H51" s="70">
        <f t="shared" si="22"/>
        <v>1394828729.8000002</v>
      </c>
      <c r="I51" s="71">
        <v>4.12</v>
      </c>
      <c r="J51" s="72">
        <v>5894865</v>
      </c>
      <c r="K51" s="71">
        <v>41.71</v>
      </c>
      <c r="L51" s="72">
        <v>65033265</v>
      </c>
      <c r="M51" s="73">
        <v>0</v>
      </c>
      <c r="N51" s="73">
        <v>0</v>
      </c>
      <c r="O51" s="73">
        <v>0</v>
      </c>
      <c r="P51" s="72">
        <v>0</v>
      </c>
      <c r="Q51" s="68">
        <f t="shared" si="12"/>
        <v>70928130</v>
      </c>
      <c r="R51" s="73">
        <v>4.92</v>
      </c>
      <c r="S51" s="72">
        <v>7171363</v>
      </c>
      <c r="T51" s="73">
        <v>0</v>
      </c>
      <c r="U51" s="73">
        <v>0</v>
      </c>
      <c r="V51" s="73">
        <v>0</v>
      </c>
      <c r="W51" s="72">
        <v>0</v>
      </c>
      <c r="X51" s="68">
        <f t="shared" si="13"/>
        <v>7171363</v>
      </c>
      <c r="Y51" s="74">
        <f t="shared" si="14"/>
        <v>50.75</v>
      </c>
      <c r="Z51" s="68">
        <f t="shared" si="15"/>
        <v>78099493</v>
      </c>
      <c r="AA51" s="68">
        <f t="shared" si="16"/>
        <v>0</v>
      </c>
      <c r="AB51" s="75">
        <f t="shared" si="23"/>
        <v>5.03</v>
      </c>
      <c r="AC51" s="76">
        <f t="shared" si="24"/>
        <v>49.78</v>
      </c>
      <c r="AD51" s="77">
        <f t="shared" si="25"/>
        <v>54.82</v>
      </c>
      <c r="AE51" s="78">
        <v>0</v>
      </c>
      <c r="AF51" s="78">
        <f t="shared" si="17"/>
        <v>78099493</v>
      </c>
      <c r="AG51" s="79">
        <v>0.03</v>
      </c>
      <c r="AH51" s="80">
        <v>56750746</v>
      </c>
      <c r="AI51" s="80">
        <v>0</v>
      </c>
      <c r="AJ51" s="1149">
        <v>0</v>
      </c>
      <c r="AK51" s="81">
        <f t="shared" si="18"/>
        <v>56750746</v>
      </c>
      <c r="AL51" s="78">
        <v>1820570467</v>
      </c>
      <c r="AM51" s="78">
        <f t="shared" ref="AM51:AM75" si="29">ROUND(AK51/AG51,0)</f>
        <v>1891691533</v>
      </c>
      <c r="AN51" s="79">
        <f t="shared" si="19"/>
        <v>3.906526404176807E-2</v>
      </c>
      <c r="AO51" s="78">
        <f t="shared" si="20"/>
        <v>1891691533</v>
      </c>
      <c r="AP51" s="69">
        <f t="shared" si="26"/>
        <v>3.0000000005286274E-2</v>
      </c>
      <c r="AQ51" s="69">
        <f t="shared" si="27"/>
        <v>0</v>
      </c>
      <c r="AR51" s="78">
        <v>277937</v>
      </c>
      <c r="AS51" s="78">
        <f t="shared" si="28"/>
        <v>135128176</v>
      </c>
      <c r="AT51" s="78">
        <f>ROUND(AS51/'3_Levels 1&amp;2'!C51,2)</f>
        <v>14264.56</v>
      </c>
    </row>
    <row r="52" spans="1:46" s="82" customFormat="1" ht="15" customHeight="1" x14ac:dyDescent="0.2">
      <c r="A52" s="47">
        <v>46</v>
      </c>
      <c r="B52" s="48" t="s">
        <v>49</v>
      </c>
      <c r="C52" s="49">
        <v>65086600</v>
      </c>
      <c r="D52" s="49">
        <v>17954690</v>
      </c>
      <c r="E52" s="49">
        <f t="shared" si="10"/>
        <v>47131910</v>
      </c>
      <c r="F52" s="49">
        <v>48929860</v>
      </c>
      <c r="G52" s="50">
        <f t="shared" si="11"/>
        <v>-3.6745455637927436E-2</v>
      </c>
      <c r="H52" s="51">
        <f t="shared" si="22"/>
        <v>47131910</v>
      </c>
      <c r="I52" s="52">
        <v>3.38</v>
      </c>
      <c r="J52" s="53">
        <v>155477</v>
      </c>
      <c r="K52" s="52">
        <v>39.880000000000003</v>
      </c>
      <c r="L52" s="53">
        <v>1872754</v>
      </c>
      <c r="M52" s="54">
        <v>0</v>
      </c>
      <c r="N52" s="54">
        <v>0</v>
      </c>
      <c r="O52" s="54">
        <v>6</v>
      </c>
      <c r="P52" s="53">
        <v>0</v>
      </c>
      <c r="Q52" s="49">
        <f t="shared" si="12"/>
        <v>2028231</v>
      </c>
      <c r="R52" s="55">
        <v>0</v>
      </c>
      <c r="S52" s="53">
        <v>0</v>
      </c>
      <c r="T52" s="54">
        <v>0</v>
      </c>
      <c r="U52" s="54">
        <v>0</v>
      </c>
      <c r="V52" s="54">
        <v>0</v>
      </c>
      <c r="W52" s="53">
        <v>0</v>
      </c>
      <c r="X52" s="49">
        <f t="shared" si="13"/>
        <v>0</v>
      </c>
      <c r="Y52" s="56">
        <f t="shared" si="14"/>
        <v>43.260000000000005</v>
      </c>
      <c r="Z52" s="49">
        <f t="shared" si="15"/>
        <v>2028231</v>
      </c>
      <c r="AA52" s="49">
        <f t="shared" si="16"/>
        <v>0</v>
      </c>
      <c r="AB52" s="57">
        <f t="shared" si="23"/>
        <v>0</v>
      </c>
      <c r="AC52" s="58">
        <f t="shared" si="24"/>
        <v>43.03</v>
      </c>
      <c r="AD52" s="59">
        <f t="shared" si="25"/>
        <v>43.03</v>
      </c>
      <c r="AE52" s="60">
        <v>0</v>
      </c>
      <c r="AF52" s="60">
        <f t="shared" si="17"/>
        <v>2028231</v>
      </c>
      <c r="AG52" s="61">
        <v>0.02</v>
      </c>
      <c r="AH52" s="62">
        <v>1544552</v>
      </c>
      <c r="AI52" s="62">
        <v>0</v>
      </c>
      <c r="AJ52" s="62">
        <v>0</v>
      </c>
      <c r="AK52" s="63">
        <f t="shared" si="18"/>
        <v>1544552</v>
      </c>
      <c r="AL52" s="60">
        <v>70396150</v>
      </c>
      <c r="AM52" s="60">
        <f t="shared" si="29"/>
        <v>77227600</v>
      </c>
      <c r="AN52" s="64">
        <f t="shared" si="19"/>
        <v>9.7042949081732457E-2</v>
      </c>
      <c r="AO52" s="65">
        <f t="shared" si="20"/>
        <v>77227600</v>
      </c>
      <c r="AP52" s="50">
        <f t="shared" si="26"/>
        <v>0.02</v>
      </c>
      <c r="AQ52" s="50">
        <f t="shared" si="27"/>
        <v>0</v>
      </c>
      <c r="AR52" s="60">
        <v>31491</v>
      </c>
      <c r="AS52" s="60">
        <f t="shared" si="28"/>
        <v>3604274</v>
      </c>
      <c r="AT52" s="60">
        <f>ROUND(AS52/'3_Levels 1&amp;2'!C52,2)</f>
        <v>3041.58</v>
      </c>
    </row>
    <row r="53" spans="1:46" ht="15" customHeight="1" x14ac:dyDescent="0.2">
      <c r="A53" s="47">
        <v>47</v>
      </c>
      <c r="B53" s="48" t="s">
        <v>50</v>
      </c>
      <c r="C53" s="49">
        <v>641605867</v>
      </c>
      <c r="D53" s="49">
        <v>41299337</v>
      </c>
      <c r="E53" s="49">
        <f t="shared" si="10"/>
        <v>600306530</v>
      </c>
      <c r="F53" s="49">
        <v>794058257</v>
      </c>
      <c r="G53" s="50">
        <f t="shared" si="11"/>
        <v>-0.24400190451013723</v>
      </c>
      <c r="H53" s="51">
        <f t="shared" si="22"/>
        <v>600306530</v>
      </c>
      <c r="I53" s="52">
        <v>3.85</v>
      </c>
      <c r="J53" s="53">
        <v>2374211</v>
      </c>
      <c r="K53" s="52">
        <v>30.45</v>
      </c>
      <c r="L53" s="53">
        <v>18929314</v>
      </c>
      <c r="M53" s="54">
        <v>0</v>
      </c>
      <c r="N53" s="54">
        <v>0</v>
      </c>
      <c r="O53" s="54">
        <v>0</v>
      </c>
      <c r="P53" s="53">
        <v>0</v>
      </c>
      <c r="Q53" s="49">
        <f t="shared" si="12"/>
        <v>21303525</v>
      </c>
      <c r="R53" s="54">
        <v>10</v>
      </c>
      <c r="S53" s="53">
        <v>6011541</v>
      </c>
      <c r="T53" s="54">
        <v>0</v>
      </c>
      <c r="U53" s="54">
        <v>0</v>
      </c>
      <c r="V53" s="54">
        <v>0</v>
      </c>
      <c r="W53" s="53">
        <v>0</v>
      </c>
      <c r="X53" s="49">
        <f t="shared" si="13"/>
        <v>6011541</v>
      </c>
      <c r="Y53" s="56">
        <f t="shared" si="14"/>
        <v>44.3</v>
      </c>
      <c r="Z53" s="49">
        <f t="shared" si="15"/>
        <v>27315066</v>
      </c>
      <c r="AA53" s="49">
        <f t="shared" si="16"/>
        <v>0</v>
      </c>
      <c r="AB53" s="57">
        <f t="shared" si="23"/>
        <v>10.01</v>
      </c>
      <c r="AC53" s="58">
        <f t="shared" si="24"/>
        <v>35.49</v>
      </c>
      <c r="AD53" s="59">
        <f t="shared" si="25"/>
        <v>45.5</v>
      </c>
      <c r="AE53" s="60">
        <v>0</v>
      </c>
      <c r="AF53" s="60">
        <f t="shared" si="17"/>
        <v>27315066</v>
      </c>
      <c r="AG53" s="61">
        <v>2.5000000000000001E-2</v>
      </c>
      <c r="AH53" s="62">
        <v>25806278</v>
      </c>
      <c r="AI53" s="62">
        <v>0</v>
      </c>
      <c r="AJ53" s="62">
        <v>0</v>
      </c>
      <c r="AK53" s="63">
        <f t="shared" si="18"/>
        <v>25806278</v>
      </c>
      <c r="AL53" s="60">
        <v>785801040</v>
      </c>
      <c r="AM53" s="60">
        <f t="shared" si="29"/>
        <v>1032251120</v>
      </c>
      <c r="AN53" s="64">
        <f t="shared" si="19"/>
        <v>0.31362910896631035</v>
      </c>
      <c r="AO53" s="65">
        <f t="shared" si="20"/>
        <v>903671195.99999988</v>
      </c>
      <c r="AP53" s="50">
        <f t="shared" si="26"/>
        <v>2.5000000000000001E-2</v>
      </c>
      <c r="AQ53" s="50">
        <f t="shared" si="27"/>
        <v>0</v>
      </c>
      <c r="AR53" s="60">
        <v>70987</v>
      </c>
      <c r="AS53" s="60">
        <f t="shared" si="28"/>
        <v>53192331</v>
      </c>
      <c r="AT53" s="60">
        <f>ROUND(AS53/'3_Levels 1&amp;2'!C53,2)</f>
        <v>15176.13</v>
      </c>
    </row>
    <row r="54" spans="1:46" ht="15" customHeight="1" x14ac:dyDescent="0.2">
      <c r="A54" s="47">
        <v>48</v>
      </c>
      <c r="B54" s="48" t="s">
        <v>73</v>
      </c>
      <c r="C54" s="49">
        <v>535852705</v>
      </c>
      <c r="D54" s="49">
        <v>85142016</v>
      </c>
      <c r="E54" s="49">
        <f t="shared" si="10"/>
        <v>450710689</v>
      </c>
      <c r="F54" s="49">
        <v>417380640</v>
      </c>
      <c r="G54" s="50">
        <f t="shared" si="11"/>
        <v>7.9855282698306274E-2</v>
      </c>
      <c r="H54" s="51">
        <f t="shared" si="22"/>
        <v>450710689</v>
      </c>
      <c r="I54" s="52">
        <v>3.65</v>
      </c>
      <c r="J54" s="53">
        <v>1465979</v>
      </c>
      <c r="K54" s="52">
        <v>25.66</v>
      </c>
      <c r="L54" s="53">
        <v>10299805</v>
      </c>
      <c r="M54" s="54">
        <v>0</v>
      </c>
      <c r="N54" s="54">
        <v>0</v>
      </c>
      <c r="O54" s="54">
        <v>0</v>
      </c>
      <c r="P54" s="53">
        <v>0</v>
      </c>
      <c r="Q54" s="49">
        <f t="shared" si="12"/>
        <v>11765784</v>
      </c>
      <c r="R54" s="54">
        <v>10</v>
      </c>
      <c r="S54" s="53">
        <v>4016376</v>
      </c>
      <c r="T54" s="54">
        <v>0</v>
      </c>
      <c r="U54" s="54">
        <v>0</v>
      </c>
      <c r="V54" s="54">
        <v>0</v>
      </c>
      <c r="W54" s="53">
        <v>0</v>
      </c>
      <c r="X54" s="49">
        <f t="shared" si="13"/>
        <v>4016376</v>
      </c>
      <c r="Y54" s="56">
        <f t="shared" si="14"/>
        <v>39.31</v>
      </c>
      <c r="Z54" s="49">
        <f t="shared" si="15"/>
        <v>15782160</v>
      </c>
      <c r="AA54" s="49">
        <f t="shared" si="16"/>
        <v>0</v>
      </c>
      <c r="AB54" s="57">
        <f t="shared" si="23"/>
        <v>8.91</v>
      </c>
      <c r="AC54" s="58">
        <f t="shared" si="24"/>
        <v>26.1</v>
      </c>
      <c r="AD54" s="59">
        <f t="shared" si="25"/>
        <v>35.020000000000003</v>
      </c>
      <c r="AE54" s="60">
        <v>0</v>
      </c>
      <c r="AF54" s="60">
        <f t="shared" si="17"/>
        <v>15782160</v>
      </c>
      <c r="AG54" s="61">
        <v>2.5000000000000001E-2</v>
      </c>
      <c r="AH54" s="62">
        <v>25821016</v>
      </c>
      <c r="AI54" s="62">
        <v>0</v>
      </c>
      <c r="AJ54" s="62">
        <v>83802</v>
      </c>
      <c r="AK54" s="63">
        <f t="shared" si="18"/>
        <v>25904818</v>
      </c>
      <c r="AL54" s="60">
        <v>990891520</v>
      </c>
      <c r="AM54" s="60">
        <f t="shared" si="29"/>
        <v>1036192720</v>
      </c>
      <c r="AN54" s="61">
        <f t="shared" si="19"/>
        <v>4.5717618009285213E-2</v>
      </c>
      <c r="AO54" s="60">
        <f t="shared" si="20"/>
        <v>1036192720</v>
      </c>
      <c r="AP54" s="50">
        <f t="shared" si="26"/>
        <v>2.491912508321811E-2</v>
      </c>
      <c r="AQ54" s="50">
        <f t="shared" si="27"/>
        <v>0</v>
      </c>
      <c r="AR54" s="60">
        <v>271406</v>
      </c>
      <c r="AS54" s="60">
        <f t="shared" si="28"/>
        <v>41958384</v>
      </c>
      <c r="AT54" s="60">
        <f>ROUND(AS54/'3_Levels 1&amp;2'!C54,2)</f>
        <v>7227.97</v>
      </c>
    </row>
    <row r="55" spans="1:46" ht="15" customHeight="1" x14ac:dyDescent="0.2">
      <c r="A55" s="47">
        <v>49</v>
      </c>
      <c r="B55" s="48" t="s">
        <v>51</v>
      </c>
      <c r="C55" s="49">
        <v>778651230</v>
      </c>
      <c r="D55" s="49">
        <v>132288518</v>
      </c>
      <c r="E55" s="49">
        <f t="shared" si="10"/>
        <v>646362712</v>
      </c>
      <c r="F55" s="49">
        <v>651988212</v>
      </c>
      <c r="G55" s="50">
        <f t="shared" si="11"/>
        <v>-8.628223480825755E-3</v>
      </c>
      <c r="H55" s="51">
        <f t="shared" si="22"/>
        <v>646362712</v>
      </c>
      <c r="I55" s="52">
        <v>4.37</v>
      </c>
      <c r="J55" s="53">
        <v>2776428</v>
      </c>
      <c r="K55" s="52">
        <v>16.149999999999999</v>
      </c>
      <c r="L55" s="53">
        <v>10260821</v>
      </c>
      <c r="M55" s="54">
        <v>0</v>
      </c>
      <c r="N55" s="54">
        <v>0</v>
      </c>
      <c r="O55" s="54">
        <v>0</v>
      </c>
      <c r="P55" s="53">
        <v>0</v>
      </c>
      <c r="Q55" s="49">
        <f t="shared" si="12"/>
        <v>13037249</v>
      </c>
      <c r="R55" s="54">
        <v>0</v>
      </c>
      <c r="S55" s="53">
        <v>0</v>
      </c>
      <c r="T55" s="54">
        <v>0</v>
      </c>
      <c r="U55" s="54">
        <v>0</v>
      </c>
      <c r="V55" s="54">
        <v>0</v>
      </c>
      <c r="W55" s="53">
        <v>0</v>
      </c>
      <c r="X55" s="49">
        <f t="shared" si="13"/>
        <v>0</v>
      </c>
      <c r="Y55" s="56">
        <f t="shared" si="14"/>
        <v>20.52</v>
      </c>
      <c r="Z55" s="49">
        <f t="shared" si="15"/>
        <v>13037249</v>
      </c>
      <c r="AA55" s="49">
        <f t="shared" si="16"/>
        <v>0</v>
      </c>
      <c r="AB55" s="57">
        <f t="shared" si="23"/>
        <v>0</v>
      </c>
      <c r="AC55" s="58">
        <f t="shared" si="24"/>
        <v>20.170000000000002</v>
      </c>
      <c r="AD55" s="59">
        <f t="shared" si="25"/>
        <v>20.36</v>
      </c>
      <c r="AE55" s="60">
        <v>120805</v>
      </c>
      <c r="AF55" s="60">
        <f t="shared" si="17"/>
        <v>13158054</v>
      </c>
      <c r="AG55" s="61">
        <v>0.02</v>
      </c>
      <c r="AH55" s="62">
        <v>23429343</v>
      </c>
      <c r="AI55" s="62">
        <v>0</v>
      </c>
      <c r="AJ55" s="62">
        <v>141454</v>
      </c>
      <c r="AK55" s="63">
        <f t="shared" si="18"/>
        <v>23570797</v>
      </c>
      <c r="AL55" s="60">
        <v>1168428150</v>
      </c>
      <c r="AM55" s="60">
        <f t="shared" si="29"/>
        <v>1178539850</v>
      </c>
      <c r="AN55" s="61">
        <f t="shared" si="19"/>
        <v>8.654105089816606E-3</v>
      </c>
      <c r="AO55" s="60">
        <f t="shared" si="20"/>
        <v>1178539850</v>
      </c>
      <c r="AP55" s="50">
        <f t="shared" si="26"/>
        <v>1.987997520830543E-2</v>
      </c>
      <c r="AQ55" s="50">
        <f t="shared" si="27"/>
        <v>0</v>
      </c>
      <c r="AR55" s="60">
        <v>591771</v>
      </c>
      <c r="AS55" s="60">
        <f t="shared" si="28"/>
        <v>37320622</v>
      </c>
      <c r="AT55" s="60">
        <f>ROUND(AS55/'3_Levels 1&amp;2'!C55,2)</f>
        <v>2880.79</v>
      </c>
    </row>
    <row r="56" spans="1:46" ht="15" customHeight="1" x14ac:dyDescent="0.2">
      <c r="A56" s="66">
        <v>50</v>
      </c>
      <c r="B56" s="67" t="s">
        <v>52</v>
      </c>
      <c r="C56" s="68">
        <v>474834619</v>
      </c>
      <c r="D56" s="68">
        <v>89784139</v>
      </c>
      <c r="E56" s="68">
        <f t="shared" si="10"/>
        <v>385050480</v>
      </c>
      <c r="F56" s="68">
        <v>383456179</v>
      </c>
      <c r="G56" s="69">
        <f t="shared" si="11"/>
        <v>4.1577136771083299E-3</v>
      </c>
      <c r="H56" s="70">
        <f t="shared" si="22"/>
        <v>385050480</v>
      </c>
      <c r="I56" s="71">
        <v>2.48</v>
      </c>
      <c r="J56" s="72">
        <v>944892</v>
      </c>
      <c r="K56" s="71">
        <v>9.5299999999999994</v>
      </c>
      <c r="L56" s="72">
        <v>3630998</v>
      </c>
      <c r="M56" s="73">
        <v>0</v>
      </c>
      <c r="N56" s="73">
        <v>0</v>
      </c>
      <c r="O56" s="73">
        <v>0</v>
      </c>
      <c r="P56" s="72">
        <v>0</v>
      </c>
      <c r="Q56" s="68">
        <f t="shared" si="12"/>
        <v>4575890</v>
      </c>
      <c r="R56" s="73">
        <v>21.5</v>
      </c>
      <c r="S56" s="72">
        <v>8191674</v>
      </c>
      <c r="T56" s="73">
        <v>0</v>
      </c>
      <c r="U56" s="73">
        <v>0</v>
      </c>
      <c r="V56" s="73">
        <v>0</v>
      </c>
      <c r="W56" s="72">
        <v>0</v>
      </c>
      <c r="X56" s="68">
        <f t="shared" si="13"/>
        <v>8191674</v>
      </c>
      <c r="Y56" s="74">
        <f t="shared" si="14"/>
        <v>33.51</v>
      </c>
      <c r="Z56" s="68">
        <f t="shared" si="15"/>
        <v>12767564</v>
      </c>
      <c r="AA56" s="68">
        <f t="shared" si="16"/>
        <v>0</v>
      </c>
      <c r="AB56" s="75">
        <f t="shared" si="23"/>
        <v>21.27</v>
      </c>
      <c r="AC56" s="76">
        <f t="shared" si="24"/>
        <v>11.88</v>
      </c>
      <c r="AD56" s="77">
        <f t="shared" si="25"/>
        <v>33.159999999999997</v>
      </c>
      <c r="AE56" s="78">
        <v>0</v>
      </c>
      <c r="AF56" s="78">
        <f t="shared" si="17"/>
        <v>12767564</v>
      </c>
      <c r="AG56" s="79">
        <v>0.02</v>
      </c>
      <c r="AH56" s="80">
        <v>16117594</v>
      </c>
      <c r="AI56" s="80">
        <v>0</v>
      </c>
      <c r="AJ56" s="1149">
        <v>0</v>
      </c>
      <c r="AK56" s="81">
        <f t="shared" si="18"/>
        <v>16117594</v>
      </c>
      <c r="AL56" s="78">
        <v>768369700</v>
      </c>
      <c r="AM56" s="78">
        <f t="shared" si="29"/>
        <v>805879700</v>
      </c>
      <c r="AN56" s="79">
        <f t="shared" si="19"/>
        <v>4.881764598473886E-2</v>
      </c>
      <c r="AO56" s="78">
        <f t="shared" si="20"/>
        <v>805879700</v>
      </c>
      <c r="AP56" s="69">
        <f t="shared" si="26"/>
        <v>0.02</v>
      </c>
      <c r="AQ56" s="69">
        <f t="shared" si="27"/>
        <v>0</v>
      </c>
      <c r="AR56" s="78">
        <v>317302</v>
      </c>
      <c r="AS56" s="78">
        <f t="shared" si="28"/>
        <v>29202460</v>
      </c>
      <c r="AT56" s="78">
        <f>ROUND(AS56/'3_Levels 1&amp;2'!C56,2)</f>
        <v>3952.69</v>
      </c>
    </row>
    <row r="57" spans="1:46" ht="15" customHeight="1" x14ac:dyDescent="0.2">
      <c r="A57" s="47">
        <v>51</v>
      </c>
      <c r="B57" s="48" t="s">
        <v>53</v>
      </c>
      <c r="C57" s="49">
        <v>667395039</v>
      </c>
      <c r="D57" s="49">
        <v>74558593</v>
      </c>
      <c r="E57" s="49">
        <f t="shared" si="10"/>
        <v>592836446</v>
      </c>
      <c r="F57" s="49">
        <v>551329902</v>
      </c>
      <c r="G57" s="50">
        <f t="shared" si="11"/>
        <v>7.5284405669692842E-2</v>
      </c>
      <c r="H57" s="51">
        <f t="shared" si="22"/>
        <v>592836446</v>
      </c>
      <c r="I57" s="52">
        <v>8.35</v>
      </c>
      <c r="J57" s="53">
        <v>4884685</v>
      </c>
      <c r="K57" s="52">
        <v>11.17</v>
      </c>
      <c r="L57" s="53">
        <v>6532690</v>
      </c>
      <c r="M57" s="54">
        <v>0</v>
      </c>
      <c r="N57" s="54">
        <v>12.17</v>
      </c>
      <c r="O57" s="54">
        <v>3</v>
      </c>
      <c r="P57" s="53">
        <v>6967523</v>
      </c>
      <c r="Q57" s="49">
        <f t="shared" si="12"/>
        <v>18384898</v>
      </c>
      <c r="R57" s="55">
        <v>0</v>
      </c>
      <c r="S57" s="53">
        <v>0</v>
      </c>
      <c r="T57" s="54">
        <v>0</v>
      </c>
      <c r="U57" s="54">
        <v>16</v>
      </c>
      <c r="V57" s="54">
        <v>3</v>
      </c>
      <c r="W57" s="53">
        <v>3664511</v>
      </c>
      <c r="X57" s="49">
        <f t="shared" si="13"/>
        <v>3664511</v>
      </c>
      <c r="Y57" s="56">
        <f t="shared" si="14"/>
        <v>19.52</v>
      </c>
      <c r="Z57" s="49">
        <f t="shared" si="15"/>
        <v>11417375</v>
      </c>
      <c r="AA57" s="49">
        <f t="shared" si="16"/>
        <v>10632034</v>
      </c>
      <c r="AB57" s="57">
        <f t="shared" si="23"/>
        <v>6.18</v>
      </c>
      <c r="AC57" s="58">
        <f t="shared" si="24"/>
        <v>31.01</v>
      </c>
      <c r="AD57" s="59">
        <f t="shared" si="25"/>
        <v>37.19</v>
      </c>
      <c r="AE57" s="60">
        <v>0</v>
      </c>
      <c r="AF57" s="60">
        <f t="shared" si="17"/>
        <v>22049409</v>
      </c>
      <c r="AG57" s="61">
        <v>1.7500000000000002E-2</v>
      </c>
      <c r="AH57" s="62">
        <v>15042514</v>
      </c>
      <c r="AI57" s="62">
        <v>0</v>
      </c>
      <c r="AJ57" s="62">
        <v>0</v>
      </c>
      <c r="AK57" s="63">
        <f t="shared" si="18"/>
        <v>15042514</v>
      </c>
      <c r="AL57" s="60">
        <v>846375314</v>
      </c>
      <c r="AM57" s="60">
        <f t="shared" si="29"/>
        <v>859572229</v>
      </c>
      <c r="AN57" s="64">
        <f t="shared" si="19"/>
        <v>1.5592273051574375E-2</v>
      </c>
      <c r="AO57" s="65">
        <f t="shared" si="20"/>
        <v>859572229</v>
      </c>
      <c r="AP57" s="50">
        <f t="shared" si="26"/>
        <v>1.7499999991274731E-2</v>
      </c>
      <c r="AQ57" s="50">
        <f t="shared" si="27"/>
        <v>0</v>
      </c>
      <c r="AR57" s="60">
        <v>537113</v>
      </c>
      <c r="AS57" s="60">
        <f t="shared" si="28"/>
        <v>37629036</v>
      </c>
      <c r="AT57" s="60">
        <f>ROUND(AS57/'3_Levels 1&amp;2'!C57,2)</f>
        <v>4601.25</v>
      </c>
    </row>
    <row r="58" spans="1:46" ht="15" customHeight="1" x14ac:dyDescent="0.2">
      <c r="A58" s="47">
        <v>52</v>
      </c>
      <c r="B58" s="48" t="s">
        <v>54</v>
      </c>
      <c r="C58" s="49">
        <v>2586280126</v>
      </c>
      <c r="D58" s="49">
        <v>517271813</v>
      </c>
      <c r="E58" s="49">
        <f t="shared" si="10"/>
        <v>2069008313</v>
      </c>
      <c r="F58" s="49">
        <v>2021346077</v>
      </c>
      <c r="G58" s="50">
        <f t="shared" si="11"/>
        <v>2.3579453584088066E-2</v>
      </c>
      <c r="H58" s="51">
        <f t="shared" si="22"/>
        <v>2069008313</v>
      </c>
      <c r="I58" s="52">
        <v>3.65</v>
      </c>
      <c r="J58" s="53">
        <v>7495530</v>
      </c>
      <c r="K58" s="52">
        <v>44.86</v>
      </c>
      <c r="L58" s="53">
        <v>92123844</v>
      </c>
      <c r="M58" s="54">
        <v>0</v>
      </c>
      <c r="N58" s="54">
        <v>0</v>
      </c>
      <c r="O58" s="54">
        <v>0</v>
      </c>
      <c r="P58" s="53">
        <v>0</v>
      </c>
      <c r="Q58" s="49">
        <f t="shared" si="12"/>
        <v>99619374</v>
      </c>
      <c r="R58" s="54">
        <v>15.9</v>
      </c>
      <c r="S58" s="53">
        <v>32694211</v>
      </c>
      <c r="T58" s="54">
        <v>0</v>
      </c>
      <c r="U58" s="54">
        <v>0</v>
      </c>
      <c r="V58" s="54">
        <v>0</v>
      </c>
      <c r="W58" s="53">
        <v>0</v>
      </c>
      <c r="X58" s="49">
        <f t="shared" si="13"/>
        <v>32694211</v>
      </c>
      <c r="Y58" s="56">
        <f t="shared" si="14"/>
        <v>64.41</v>
      </c>
      <c r="Z58" s="49">
        <f t="shared" si="15"/>
        <v>132313585</v>
      </c>
      <c r="AA58" s="49">
        <f t="shared" si="16"/>
        <v>0</v>
      </c>
      <c r="AB58" s="57">
        <f t="shared" si="23"/>
        <v>15.8</v>
      </c>
      <c r="AC58" s="58">
        <f t="shared" si="24"/>
        <v>48.15</v>
      </c>
      <c r="AD58" s="59">
        <f t="shared" si="25"/>
        <v>63.95</v>
      </c>
      <c r="AE58" s="60">
        <v>0</v>
      </c>
      <c r="AF58" s="60">
        <f t="shared" si="17"/>
        <v>132313585</v>
      </c>
      <c r="AG58" s="61">
        <v>0.02</v>
      </c>
      <c r="AH58" s="62">
        <v>102644290</v>
      </c>
      <c r="AI58" s="62">
        <v>0</v>
      </c>
      <c r="AJ58" s="62">
        <v>0</v>
      </c>
      <c r="AK58" s="63">
        <f t="shared" si="18"/>
        <v>102644290</v>
      </c>
      <c r="AL58" s="60">
        <v>4863074900</v>
      </c>
      <c r="AM58" s="60">
        <f t="shared" si="29"/>
        <v>5132214500</v>
      </c>
      <c r="AN58" s="64">
        <f t="shared" si="19"/>
        <v>5.5343502934737852E-2</v>
      </c>
      <c r="AO58" s="65">
        <f t="shared" si="20"/>
        <v>5132214500</v>
      </c>
      <c r="AP58" s="50">
        <f t="shared" si="26"/>
        <v>0.02</v>
      </c>
      <c r="AQ58" s="50">
        <f t="shared" si="27"/>
        <v>0</v>
      </c>
      <c r="AR58" s="60">
        <v>2013937</v>
      </c>
      <c r="AS58" s="60">
        <f t="shared" si="28"/>
        <v>236971812</v>
      </c>
      <c r="AT58" s="60">
        <f>ROUND(AS58/'3_Levels 1&amp;2'!C58,2)</f>
        <v>6228.23</v>
      </c>
    </row>
    <row r="59" spans="1:46" ht="15" customHeight="1" x14ac:dyDescent="0.2">
      <c r="A59" s="47">
        <v>53</v>
      </c>
      <c r="B59" s="48" t="s">
        <v>55</v>
      </c>
      <c r="C59" s="49">
        <v>789548650</v>
      </c>
      <c r="D59" s="49">
        <v>207461179</v>
      </c>
      <c r="E59" s="49">
        <f t="shared" si="10"/>
        <v>582087471</v>
      </c>
      <c r="F59" s="49">
        <v>575918989</v>
      </c>
      <c r="G59" s="50">
        <f t="shared" si="11"/>
        <v>1.0710676532320416E-2</v>
      </c>
      <c r="H59" s="51">
        <f t="shared" si="22"/>
        <v>582087471</v>
      </c>
      <c r="I59" s="52">
        <v>4.0599999999999996</v>
      </c>
      <c r="J59" s="53">
        <v>2358159</v>
      </c>
      <c r="K59" s="52">
        <v>0</v>
      </c>
      <c r="L59" s="53">
        <v>0</v>
      </c>
      <c r="M59" s="54">
        <v>0</v>
      </c>
      <c r="N59" s="54">
        <v>15</v>
      </c>
      <c r="O59" s="54">
        <v>2</v>
      </c>
      <c r="P59" s="53">
        <v>4482726</v>
      </c>
      <c r="Q59" s="49">
        <f t="shared" si="12"/>
        <v>6840885</v>
      </c>
      <c r="R59" s="54">
        <v>0</v>
      </c>
      <c r="S59" s="53">
        <v>0</v>
      </c>
      <c r="T59" s="54">
        <v>0</v>
      </c>
      <c r="U59" s="54">
        <v>12</v>
      </c>
      <c r="V59" s="54">
        <v>2</v>
      </c>
      <c r="W59" s="53">
        <v>408809</v>
      </c>
      <c r="X59" s="49">
        <f t="shared" si="13"/>
        <v>408809</v>
      </c>
      <c r="Y59" s="56">
        <f t="shared" si="14"/>
        <v>4.0599999999999996</v>
      </c>
      <c r="Z59" s="49">
        <f t="shared" si="15"/>
        <v>2358159</v>
      </c>
      <c r="AA59" s="49">
        <f t="shared" si="16"/>
        <v>4891535</v>
      </c>
      <c r="AB59" s="57">
        <f t="shared" si="23"/>
        <v>0.7</v>
      </c>
      <c r="AC59" s="58">
        <f t="shared" si="24"/>
        <v>11.75</v>
      </c>
      <c r="AD59" s="59">
        <f t="shared" si="25"/>
        <v>12.45</v>
      </c>
      <c r="AE59" s="60">
        <v>0</v>
      </c>
      <c r="AF59" s="60">
        <f t="shared" si="17"/>
        <v>7249694</v>
      </c>
      <c r="AG59" s="61">
        <v>0.02</v>
      </c>
      <c r="AH59" s="62">
        <v>43992210</v>
      </c>
      <c r="AI59" s="62">
        <v>750000</v>
      </c>
      <c r="AJ59" s="62">
        <v>0</v>
      </c>
      <c r="AK59" s="63">
        <f t="shared" si="18"/>
        <v>44742210</v>
      </c>
      <c r="AL59" s="60">
        <v>2218215200</v>
      </c>
      <c r="AM59" s="60">
        <f t="shared" si="29"/>
        <v>2237110500</v>
      </c>
      <c r="AN59" s="61">
        <f t="shared" si="19"/>
        <v>8.518244758218229E-3</v>
      </c>
      <c r="AO59" s="60">
        <f t="shared" si="20"/>
        <v>2237110500</v>
      </c>
      <c r="AP59" s="50">
        <f t="shared" si="26"/>
        <v>1.9664746108875714E-2</v>
      </c>
      <c r="AQ59" s="50">
        <f t="shared" si="27"/>
        <v>3.3525389112428735E-4</v>
      </c>
      <c r="AR59" s="60">
        <v>247014</v>
      </c>
      <c r="AS59" s="60">
        <f t="shared" si="28"/>
        <v>52238918</v>
      </c>
      <c r="AT59" s="60">
        <f>ROUND(AS59/'3_Levels 1&amp;2'!C59,2)</f>
        <v>2705.84</v>
      </c>
    </row>
    <row r="60" spans="1:46" ht="15" customHeight="1" x14ac:dyDescent="0.2">
      <c r="A60" s="47">
        <v>54</v>
      </c>
      <c r="B60" s="48" t="s">
        <v>56</v>
      </c>
      <c r="C60" s="49">
        <v>60463648</v>
      </c>
      <c r="D60" s="49">
        <v>5252419</v>
      </c>
      <c r="E60" s="49">
        <f t="shared" si="10"/>
        <v>55211229</v>
      </c>
      <c r="F60" s="49">
        <v>55508652</v>
      </c>
      <c r="G60" s="50">
        <f t="shared" si="11"/>
        <v>-5.3581376827525912E-3</v>
      </c>
      <c r="H60" s="51">
        <f t="shared" si="22"/>
        <v>55211229</v>
      </c>
      <c r="I60" s="52">
        <v>5.42</v>
      </c>
      <c r="J60" s="53">
        <v>360422</v>
      </c>
      <c r="K60" s="52">
        <v>32.28</v>
      </c>
      <c r="L60" s="53">
        <v>1739231</v>
      </c>
      <c r="M60" s="54">
        <v>0</v>
      </c>
      <c r="N60" s="54">
        <v>0</v>
      </c>
      <c r="O60" s="54">
        <v>0</v>
      </c>
      <c r="P60" s="53">
        <v>0</v>
      </c>
      <c r="Q60" s="49">
        <f t="shared" si="12"/>
        <v>2099653</v>
      </c>
      <c r="R60" s="54">
        <v>0</v>
      </c>
      <c r="S60" s="53">
        <v>0</v>
      </c>
      <c r="T60" s="54">
        <v>0</v>
      </c>
      <c r="U60" s="54">
        <v>0</v>
      </c>
      <c r="V60" s="54">
        <v>0</v>
      </c>
      <c r="W60" s="53">
        <v>0</v>
      </c>
      <c r="X60" s="49">
        <f t="shared" si="13"/>
        <v>0</v>
      </c>
      <c r="Y60" s="56">
        <f t="shared" si="14"/>
        <v>37.700000000000003</v>
      </c>
      <c r="Z60" s="49">
        <f t="shared" si="15"/>
        <v>2099653</v>
      </c>
      <c r="AA60" s="49">
        <f t="shared" si="16"/>
        <v>0</v>
      </c>
      <c r="AB60" s="57">
        <f t="shared" si="23"/>
        <v>0</v>
      </c>
      <c r="AC60" s="58">
        <f t="shared" si="24"/>
        <v>38.03</v>
      </c>
      <c r="AD60" s="59">
        <f t="shared" si="25"/>
        <v>38.130000000000003</v>
      </c>
      <c r="AE60" s="60">
        <v>5391.75</v>
      </c>
      <c r="AF60" s="60">
        <f t="shared" si="17"/>
        <v>2105044.75</v>
      </c>
      <c r="AG60" s="61">
        <v>1.4999999999999999E-2</v>
      </c>
      <c r="AH60" s="62">
        <v>743696</v>
      </c>
      <c r="AI60" s="62">
        <v>0</v>
      </c>
      <c r="AJ60" s="62">
        <v>0</v>
      </c>
      <c r="AK60" s="63">
        <f t="shared" si="18"/>
        <v>743696</v>
      </c>
      <c r="AL60" s="60">
        <v>45905733</v>
      </c>
      <c r="AM60" s="60">
        <f t="shared" si="29"/>
        <v>49579733</v>
      </c>
      <c r="AN60" s="61">
        <f t="shared" si="19"/>
        <v>8.0033576634099268E-2</v>
      </c>
      <c r="AO60" s="60">
        <f t="shared" si="20"/>
        <v>49579733</v>
      </c>
      <c r="AP60" s="50">
        <f t="shared" si="26"/>
        <v>1.500000010084766E-2</v>
      </c>
      <c r="AQ60" s="50">
        <f t="shared" si="27"/>
        <v>0</v>
      </c>
      <c r="AR60" s="60">
        <v>28217</v>
      </c>
      <c r="AS60" s="60">
        <f t="shared" si="28"/>
        <v>2876957.75</v>
      </c>
      <c r="AT60" s="60">
        <f>ROUND(AS60/'3_Levels 1&amp;2'!C60,2)</f>
        <v>6281.57</v>
      </c>
    </row>
    <row r="61" spans="1:46" ht="15" customHeight="1" x14ac:dyDescent="0.2">
      <c r="A61" s="66">
        <v>55</v>
      </c>
      <c r="B61" s="67" t="s">
        <v>57</v>
      </c>
      <c r="C61" s="68">
        <v>1129696913</v>
      </c>
      <c r="D61" s="68">
        <v>181469945</v>
      </c>
      <c r="E61" s="68">
        <f t="shared" si="10"/>
        <v>948226968</v>
      </c>
      <c r="F61" s="68">
        <v>951124643</v>
      </c>
      <c r="G61" s="69">
        <f t="shared" si="11"/>
        <v>-3.046577566174994E-3</v>
      </c>
      <c r="H61" s="70">
        <f t="shared" si="22"/>
        <v>948226968</v>
      </c>
      <c r="I61" s="71">
        <v>3.86</v>
      </c>
      <c r="J61" s="72">
        <v>3624700</v>
      </c>
      <c r="K61" s="71">
        <v>5.41</v>
      </c>
      <c r="L61" s="72">
        <v>5080215</v>
      </c>
      <c r="M61" s="73">
        <v>0</v>
      </c>
      <c r="N61" s="73">
        <v>0</v>
      </c>
      <c r="O61" s="73">
        <v>0</v>
      </c>
      <c r="P61" s="72">
        <v>0</v>
      </c>
      <c r="Q61" s="68">
        <f t="shared" si="12"/>
        <v>8704915</v>
      </c>
      <c r="R61" s="73">
        <v>0</v>
      </c>
      <c r="S61" s="72">
        <v>0</v>
      </c>
      <c r="T61" s="73">
        <v>0</v>
      </c>
      <c r="U61" s="73">
        <v>0</v>
      </c>
      <c r="V61" s="73">
        <v>0</v>
      </c>
      <c r="W61" s="72">
        <v>0</v>
      </c>
      <c r="X61" s="68">
        <f t="shared" si="13"/>
        <v>0</v>
      </c>
      <c r="Y61" s="74">
        <f t="shared" si="14"/>
        <v>9.27</v>
      </c>
      <c r="Z61" s="68">
        <f t="shared" si="15"/>
        <v>8704915</v>
      </c>
      <c r="AA61" s="68">
        <f t="shared" si="16"/>
        <v>0</v>
      </c>
      <c r="AB61" s="75">
        <f t="shared" si="23"/>
        <v>0</v>
      </c>
      <c r="AC61" s="76">
        <f t="shared" si="24"/>
        <v>9.18</v>
      </c>
      <c r="AD61" s="77">
        <f t="shared" si="25"/>
        <v>9.18</v>
      </c>
      <c r="AE61" s="78">
        <v>0</v>
      </c>
      <c r="AF61" s="78">
        <f t="shared" si="17"/>
        <v>8704915</v>
      </c>
      <c r="AG61" s="79">
        <v>2.58E-2</v>
      </c>
      <c r="AH61" s="80">
        <v>56643112</v>
      </c>
      <c r="AI61" s="80">
        <v>0</v>
      </c>
      <c r="AJ61" s="1149">
        <v>0</v>
      </c>
      <c r="AK61" s="81">
        <f t="shared" si="18"/>
        <v>56643112</v>
      </c>
      <c r="AL61" s="78">
        <v>2160215426</v>
      </c>
      <c r="AM61" s="78">
        <f t="shared" si="29"/>
        <v>2195469457</v>
      </c>
      <c r="AN61" s="79">
        <f t="shared" si="19"/>
        <v>1.6319683016651137E-2</v>
      </c>
      <c r="AO61" s="78">
        <f t="shared" si="20"/>
        <v>2195469457</v>
      </c>
      <c r="AP61" s="69">
        <f t="shared" si="26"/>
        <v>2.5800000004281544E-2</v>
      </c>
      <c r="AQ61" s="69">
        <f t="shared" si="27"/>
        <v>0</v>
      </c>
      <c r="AR61" s="78">
        <v>348455</v>
      </c>
      <c r="AS61" s="78">
        <f t="shared" si="28"/>
        <v>65696482</v>
      </c>
      <c r="AT61" s="78">
        <f>ROUND(AS61/'3_Levels 1&amp;2'!C61,2)</f>
        <v>3963.59</v>
      </c>
    </row>
    <row r="62" spans="1:46" ht="15" customHeight="1" x14ac:dyDescent="0.2">
      <c r="A62" s="47">
        <v>56</v>
      </c>
      <c r="B62" s="48" t="s">
        <v>58</v>
      </c>
      <c r="C62" s="49">
        <v>188040102</v>
      </c>
      <c r="D62" s="49">
        <v>35059895</v>
      </c>
      <c r="E62" s="49">
        <f t="shared" si="10"/>
        <v>152980207</v>
      </c>
      <c r="F62" s="49">
        <v>152044358</v>
      </c>
      <c r="G62" s="50">
        <f t="shared" si="11"/>
        <v>6.1551050779536324E-3</v>
      </c>
      <c r="H62" s="51">
        <f t="shared" si="22"/>
        <v>152980207</v>
      </c>
      <c r="I62" s="52">
        <v>3.55</v>
      </c>
      <c r="J62" s="53">
        <v>531668</v>
      </c>
      <c r="K62" s="52">
        <v>15</v>
      </c>
      <c r="L62" s="53">
        <v>2246757</v>
      </c>
      <c r="M62" s="54">
        <v>0</v>
      </c>
      <c r="N62" s="54">
        <v>0</v>
      </c>
      <c r="O62" s="54">
        <v>0</v>
      </c>
      <c r="P62" s="53">
        <v>0</v>
      </c>
      <c r="Q62" s="49">
        <f t="shared" si="12"/>
        <v>2778425</v>
      </c>
      <c r="R62" s="55">
        <v>4</v>
      </c>
      <c r="S62" s="53">
        <v>2448508</v>
      </c>
      <c r="T62" s="54">
        <v>0</v>
      </c>
      <c r="U62" s="54">
        <v>0</v>
      </c>
      <c r="V62" s="54">
        <v>0</v>
      </c>
      <c r="W62" s="53">
        <v>0</v>
      </c>
      <c r="X62" s="49">
        <f t="shared" si="13"/>
        <v>2448508</v>
      </c>
      <c r="Y62" s="56">
        <f t="shared" si="14"/>
        <v>22.55</v>
      </c>
      <c r="Z62" s="49">
        <f t="shared" si="15"/>
        <v>5226933</v>
      </c>
      <c r="AA62" s="49">
        <f t="shared" si="16"/>
        <v>0</v>
      </c>
      <c r="AB62" s="57">
        <f t="shared" si="23"/>
        <v>16.010000000000002</v>
      </c>
      <c r="AC62" s="58">
        <f t="shared" si="24"/>
        <v>18.16</v>
      </c>
      <c r="AD62" s="59">
        <f t="shared" si="25"/>
        <v>34.17</v>
      </c>
      <c r="AE62" s="60">
        <v>0</v>
      </c>
      <c r="AF62" s="60">
        <f t="shared" si="17"/>
        <v>5226933</v>
      </c>
      <c r="AG62" s="61">
        <v>0.03</v>
      </c>
      <c r="AH62" s="62">
        <v>7479384</v>
      </c>
      <c r="AI62" s="62">
        <v>0</v>
      </c>
      <c r="AJ62" s="62">
        <v>0</v>
      </c>
      <c r="AK62" s="63">
        <f t="shared" si="18"/>
        <v>7479384</v>
      </c>
      <c r="AL62" s="60">
        <v>245771900</v>
      </c>
      <c r="AM62" s="60">
        <f t="shared" si="29"/>
        <v>249312800</v>
      </c>
      <c r="AN62" s="64">
        <f t="shared" si="19"/>
        <v>1.4407261367145716E-2</v>
      </c>
      <c r="AO62" s="65">
        <f t="shared" si="20"/>
        <v>249312800</v>
      </c>
      <c r="AP62" s="50">
        <f t="shared" si="26"/>
        <v>0.03</v>
      </c>
      <c r="AQ62" s="50">
        <f t="shared" si="27"/>
        <v>0</v>
      </c>
      <c r="AR62" s="60">
        <v>101549</v>
      </c>
      <c r="AS62" s="60">
        <f t="shared" si="28"/>
        <v>12807866</v>
      </c>
      <c r="AT62" s="60">
        <f>ROUND(AS62/'3_Levels 1&amp;2'!C62,2)</f>
        <v>4276.42</v>
      </c>
    </row>
    <row r="63" spans="1:46" ht="15" customHeight="1" x14ac:dyDescent="0.2">
      <c r="A63" s="47">
        <v>57</v>
      </c>
      <c r="B63" s="48" t="s">
        <v>59</v>
      </c>
      <c r="C63" s="49">
        <v>408142610</v>
      </c>
      <c r="D63" s="49">
        <v>95819251</v>
      </c>
      <c r="E63" s="49">
        <f t="shared" si="10"/>
        <v>312323359</v>
      </c>
      <c r="F63" s="49">
        <v>309862263</v>
      </c>
      <c r="G63" s="50">
        <f t="shared" si="11"/>
        <v>7.9425483315469104E-3</v>
      </c>
      <c r="H63" s="51">
        <f t="shared" si="22"/>
        <v>312323359</v>
      </c>
      <c r="I63" s="52">
        <v>4.6500000000000004</v>
      </c>
      <c r="J63" s="53">
        <v>1423541</v>
      </c>
      <c r="K63" s="52">
        <v>35</v>
      </c>
      <c r="L63" s="53">
        <v>10714730</v>
      </c>
      <c r="M63" s="54">
        <v>0</v>
      </c>
      <c r="N63" s="54">
        <v>0</v>
      </c>
      <c r="O63" s="54">
        <v>0</v>
      </c>
      <c r="P63" s="53">
        <v>0</v>
      </c>
      <c r="Q63" s="49">
        <f t="shared" si="12"/>
        <v>12138271</v>
      </c>
      <c r="R63" s="54">
        <v>0</v>
      </c>
      <c r="S63" s="53">
        <v>0</v>
      </c>
      <c r="T63" s="54">
        <v>0</v>
      </c>
      <c r="U63" s="54">
        <v>0</v>
      </c>
      <c r="V63" s="54">
        <v>0</v>
      </c>
      <c r="W63" s="53">
        <v>0</v>
      </c>
      <c r="X63" s="49">
        <f t="shared" si="13"/>
        <v>0</v>
      </c>
      <c r="Y63" s="56">
        <f t="shared" si="14"/>
        <v>39.65</v>
      </c>
      <c r="Z63" s="49">
        <f t="shared" si="15"/>
        <v>12138271</v>
      </c>
      <c r="AA63" s="49">
        <f t="shared" si="16"/>
        <v>0</v>
      </c>
      <c r="AB63" s="57">
        <f t="shared" si="23"/>
        <v>0</v>
      </c>
      <c r="AC63" s="58">
        <f t="shared" si="24"/>
        <v>38.86</v>
      </c>
      <c r="AD63" s="59">
        <f t="shared" si="25"/>
        <v>38.86</v>
      </c>
      <c r="AE63" s="60">
        <v>0</v>
      </c>
      <c r="AF63" s="60">
        <f t="shared" si="17"/>
        <v>12138271</v>
      </c>
      <c r="AG63" s="61">
        <v>1.4999999999999999E-2</v>
      </c>
      <c r="AH63" s="62">
        <v>11142376</v>
      </c>
      <c r="AI63" s="62">
        <v>0</v>
      </c>
      <c r="AJ63" s="62">
        <v>0</v>
      </c>
      <c r="AK63" s="63">
        <f t="shared" si="18"/>
        <v>11142376</v>
      </c>
      <c r="AL63" s="60">
        <v>748512800</v>
      </c>
      <c r="AM63" s="60">
        <f t="shared" si="29"/>
        <v>742825067</v>
      </c>
      <c r="AN63" s="64">
        <f t="shared" si="19"/>
        <v>-7.5987117387972527E-3</v>
      </c>
      <c r="AO63" s="65">
        <f t="shared" si="20"/>
        <v>742825067</v>
      </c>
      <c r="AP63" s="50">
        <f t="shared" si="26"/>
        <v>1.4999999993268939E-2</v>
      </c>
      <c r="AQ63" s="50">
        <f t="shared" si="27"/>
        <v>0</v>
      </c>
      <c r="AR63" s="60">
        <v>949392</v>
      </c>
      <c r="AS63" s="60">
        <f t="shared" si="28"/>
        <v>24230039</v>
      </c>
      <c r="AT63" s="60">
        <f>ROUND(AS63/'3_Levels 1&amp;2'!C63,2)</f>
        <v>2599.79</v>
      </c>
    </row>
    <row r="64" spans="1:46" ht="15" customHeight="1" x14ac:dyDescent="0.2">
      <c r="A64" s="47">
        <v>58</v>
      </c>
      <c r="B64" s="48" t="s">
        <v>60</v>
      </c>
      <c r="C64" s="49">
        <v>195096930</v>
      </c>
      <c r="D64" s="49">
        <v>54749391</v>
      </c>
      <c r="E64" s="49">
        <f t="shared" si="10"/>
        <v>140347539</v>
      </c>
      <c r="F64" s="49">
        <v>139452269</v>
      </c>
      <c r="G64" s="50">
        <f t="shared" si="11"/>
        <v>6.4199027123753721E-3</v>
      </c>
      <c r="H64" s="51">
        <f t="shared" si="22"/>
        <v>140347539</v>
      </c>
      <c r="I64" s="52">
        <v>4.18</v>
      </c>
      <c r="J64" s="53">
        <v>563549</v>
      </c>
      <c r="K64" s="52">
        <v>8.1199999999999992</v>
      </c>
      <c r="L64" s="53">
        <v>1094741</v>
      </c>
      <c r="M64" s="54">
        <v>0</v>
      </c>
      <c r="N64" s="54">
        <v>19.11</v>
      </c>
      <c r="O64" s="54">
        <v>9</v>
      </c>
      <c r="P64" s="53">
        <v>2118025</v>
      </c>
      <c r="Q64" s="49">
        <f t="shared" si="12"/>
        <v>3776315</v>
      </c>
      <c r="R64" s="54">
        <v>0</v>
      </c>
      <c r="S64" s="53">
        <v>0</v>
      </c>
      <c r="T64" s="54">
        <v>0</v>
      </c>
      <c r="U64" s="54">
        <v>34.24</v>
      </c>
      <c r="V64" s="54">
        <v>9</v>
      </c>
      <c r="W64" s="53">
        <v>4014849</v>
      </c>
      <c r="X64" s="49">
        <f t="shared" si="13"/>
        <v>4014849</v>
      </c>
      <c r="Y64" s="56">
        <f t="shared" si="14"/>
        <v>12.299999999999999</v>
      </c>
      <c r="Z64" s="49">
        <f t="shared" si="15"/>
        <v>1658290</v>
      </c>
      <c r="AA64" s="49">
        <f t="shared" si="16"/>
        <v>6132874</v>
      </c>
      <c r="AB64" s="57">
        <f t="shared" si="23"/>
        <v>28.61</v>
      </c>
      <c r="AC64" s="58">
        <f t="shared" si="24"/>
        <v>26.91</v>
      </c>
      <c r="AD64" s="59">
        <f t="shared" si="25"/>
        <v>55.51</v>
      </c>
      <c r="AE64" s="60">
        <v>0</v>
      </c>
      <c r="AF64" s="60">
        <f t="shared" si="17"/>
        <v>7791164</v>
      </c>
      <c r="AG64" s="61">
        <v>0.02</v>
      </c>
      <c r="AH64" s="62">
        <v>12011781</v>
      </c>
      <c r="AI64" s="62">
        <v>0</v>
      </c>
      <c r="AJ64" s="62">
        <v>0</v>
      </c>
      <c r="AK64" s="63">
        <f t="shared" si="18"/>
        <v>12011781</v>
      </c>
      <c r="AL64" s="60">
        <v>569354400</v>
      </c>
      <c r="AM64" s="60">
        <f t="shared" si="29"/>
        <v>600589050</v>
      </c>
      <c r="AN64" s="61">
        <f t="shared" si="19"/>
        <v>5.4859767484013472E-2</v>
      </c>
      <c r="AO64" s="60">
        <f t="shared" si="20"/>
        <v>600589050</v>
      </c>
      <c r="AP64" s="50">
        <f t="shared" si="26"/>
        <v>0.02</v>
      </c>
      <c r="AQ64" s="50">
        <f t="shared" si="27"/>
        <v>0</v>
      </c>
      <c r="AR64" s="60">
        <v>357723</v>
      </c>
      <c r="AS64" s="60">
        <f t="shared" si="28"/>
        <v>20160668</v>
      </c>
      <c r="AT64" s="60">
        <f>ROUND(AS64/'3_Levels 1&amp;2'!C64,2)</f>
        <v>2514.7399999999998</v>
      </c>
    </row>
    <row r="65" spans="1:46" ht="15" customHeight="1" x14ac:dyDescent="0.2">
      <c r="A65" s="47">
        <v>59</v>
      </c>
      <c r="B65" s="785" t="s">
        <v>61</v>
      </c>
      <c r="C65" s="60">
        <v>141659650</v>
      </c>
      <c r="D65" s="60">
        <v>42009165</v>
      </c>
      <c r="E65" s="49">
        <f t="shared" si="10"/>
        <v>99650485</v>
      </c>
      <c r="F65" s="49">
        <v>100956762</v>
      </c>
      <c r="G65" s="50">
        <f t="shared" si="11"/>
        <v>-1.2938974805867882E-2</v>
      </c>
      <c r="H65" s="51">
        <f t="shared" si="22"/>
        <v>99650485</v>
      </c>
      <c r="I65" s="52">
        <v>3.91</v>
      </c>
      <c r="J65" s="53">
        <v>385121</v>
      </c>
      <c r="K65" s="52">
        <v>15.07</v>
      </c>
      <c r="L65" s="53">
        <v>1484342</v>
      </c>
      <c r="M65" s="54">
        <v>0</v>
      </c>
      <c r="N65" s="54">
        <v>5.19</v>
      </c>
      <c r="O65" s="54">
        <v>1</v>
      </c>
      <c r="P65" s="53">
        <v>36091</v>
      </c>
      <c r="Q65" s="49">
        <f t="shared" si="12"/>
        <v>1905554</v>
      </c>
      <c r="R65" s="54">
        <v>0</v>
      </c>
      <c r="S65" s="53">
        <v>0</v>
      </c>
      <c r="T65" s="54">
        <v>0</v>
      </c>
      <c r="U65" s="54">
        <v>14</v>
      </c>
      <c r="V65" s="54">
        <v>1</v>
      </c>
      <c r="W65" s="53">
        <v>1062169</v>
      </c>
      <c r="X65" s="49">
        <f t="shared" si="13"/>
        <v>1062169</v>
      </c>
      <c r="Y65" s="56">
        <f t="shared" si="14"/>
        <v>18.98</v>
      </c>
      <c r="Z65" s="49">
        <f t="shared" si="15"/>
        <v>1869463</v>
      </c>
      <c r="AA65" s="49">
        <f t="shared" si="16"/>
        <v>1098260</v>
      </c>
      <c r="AB65" s="57">
        <f t="shared" si="23"/>
        <v>10.66</v>
      </c>
      <c r="AC65" s="58">
        <f t="shared" si="24"/>
        <v>19.12</v>
      </c>
      <c r="AD65" s="59">
        <f t="shared" si="25"/>
        <v>29.78</v>
      </c>
      <c r="AE65" s="60">
        <v>0</v>
      </c>
      <c r="AF65" s="60">
        <f t="shared" si="17"/>
        <v>2967723</v>
      </c>
      <c r="AG65" s="61">
        <v>0.02</v>
      </c>
      <c r="AH65" s="62">
        <v>4883287</v>
      </c>
      <c r="AI65" s="62">
        <v>0</v>
      </c>
      <c r="AJ65" s="62">
        <v>0</v>
      </c>
      <c r="AK65" s="63">
        <f t="shared" si="18"/>
        <v>4883287</v>
      </c>
      <c r="AL65" s="60">
        <v>234925850</v>
      </c>
      <c r="AM65" s="60">
        <f t="shared" si="29"/>
        <v>244164350</v>
      </c>
      <c r="AN65" s="61">
        <f t="shared" si="19"/>
        <v>3.9325174304998788E-2</v>
      </c>
      <c r="AO65" s="60">
        <f t="shared" si="20"/>
        <v>244164350</v>
      </c>
      <c r="AP65" s="50">
        <f t="shared" si="26"/>
        <v>0.02</v>
      </c>
      <c r="AQ65" s="50">
        <f t="shared" si="27"/>
        <v>0</v>
      </c>
      <c r="AR65" s="60">
        <v>160456</v>
      </c>
      <c r="AS65" s="60">
        <f t="shared" si="28"/>
        <v>8011466</v>
      </c>
      <c r="AT65" s="60">
        <f>ROUND(AS65/'3_Levels 1&amp;2'!C65,2)</f>
        <v>1603.9</v>
      </c>
    </row>
    <row r="66" spans="1:46" ht="15" customHeight="1" x14ac:dyDescent="0.2">
      <c r="A66" s="66">
        <v>60</v>
      </c>
      <c r="B66" s="786" t="s">
        <v>62</v>
      </c>
      <c r="C66" s="78">
        <v>306690140</v>
      </c>
      <c r="D66" s="78">
        <v>54971152</v>
      </c>
      <c r="E66" s="68">
        <f t="shared" si="10"/>
        <v>251718988</v>
      </c>
      <c r="F66" s="68">
        <v>256926526</v>
      </c>
      <c r="G66" s="69">
        <f t="shared" si="11"/>
        <v>-2.0268588382345541E-2</v>
      </c>
      <c r="H66" s="70">
        <f t="shared" si="22"/>
        <v>251718988</v>
      </c>
      <c r="I66" s="71">
        <v>4.2300000000000004</v>
      </c>
      <c r="J66" s="72">
        <v>1054812</v>
      </c>
      <c r="K66" s="71">
        <v>11.61</v>
      </c>
      <c r="L66" s="72">
        <v>2887601</v>
      </c>
      <c r="M66" s="73">
        <v>0</v>
      </c>
      <c r="N66" s="73">
        <v>26.42</v>
      </c>
      <c r="O66" s="73">
        <v>5</v>
      </c>
      <c r="P66" s="72">
        <v>1907468</v>
      </c>
      <c r="Q66" s="68">
        <f t="shared" si="12"/>
        <v>5849881</v>
      </c>
      <c r="R66" s="73">
        <v>0</v>
      </c>
      <c r="S66" s="72">
        <v>0</v>
      </c>
      <c r="T66" s="73">
        <v>0</v>
      </c>
      <c r="U66" s="73">
        <v>35</v>
      </c>
      <c r="V66" s="73">
        <v>6</v>
      </c>
      <c r="W66" s="72">
        <v>5428790</v>
      </c>
      <c r="X66" s="68">
        <f t="shared" si="13"/>
        <v>5428790</v>
      </c>
      <c r="Y66" s="74">
        <f t="shared" si="14"/>
        <v>15.84</v>
      </c>
      <c r="Z66" s="68">
        <f t="shared" si="15"/>
        <v>3942413</v>
      </c>
      <c r="AA66" s="68">
        <f t="shared" si="16"/>
        <v>7336258</v>
      </c>
      <c r="AB66" s="75">
        <f t="shared" si="23"/>
        <v>21.57</v>
      </c>
      <c r="AC66" s="76">
        <f t="shared" si="24"/>
        <v>23.24</v>
      </c>
      <c r="AD66" s="77">
        <f t="shared" si="25"/>
        <v>44.81</v>
      </c>
      <c r="AE66" s="78">
        <v>0</v>
      </c>
      <c r="AF66" s="78">
        <f t="shared" si="17"/>
        <v>11278671</v>
      </c>
      <c r="AG66" s="79">
        <v>2.1299999999999999E-2</v>
      </c>
      <c r="AH66" s="80">
        <v>13859960</v>
      </c>
      <c r="AI66" s="80">
        <v>0</v>
      </c>
      <c r="AJ66" s="1149">
        <v>0</v>
      </c>
      <c r="AK66" s="81">
        <f t="shared" si="18"/>
        <v>13859960</v>
      </c>
      <c r="AL66" s="78">
        <v>683377700</v>
      </c>
      <c r="AM66" s="78">
        <f t="shared" si="29"/>
        <v>650702347</v>
      </c>
      <c r="AN66" s="79">
        <f t="shared" si="19"/>
        <v>-4.7814485313173082E-2</v>
      </c>
      <c r="AO66" s="78">
        <f t="shared" si="20"/>
        <v>650702347</v>
      </c>
      <c r="AP66" s="69">
        <f t="shared" si="26"/>
        <v>2.1300000013677527E-2</v>
      </c>
      <c r="AQ66" s="69">
        <f t="shared" si="27"/>
        <v>0</v>
      </c>
      <c r="AR66" s="78">
        <v>281980</v>
      </c>
      <c r="AS66" s="78">
        <f t="shared" si="28"/>
        <v>25420611</v>
      </c>
      <c r="AT66" s="78">
        <f>ROUND(AS66/'3_Levels 1&amp;2'!C66,2)</f>
        <v>4352.1000000000004</v>
      </c>
    </row>
    <row r="67" spans="1:46" ht="15" customHeight="1" x14ac:dyDescent="0.2">
      <c r="A67" s="47">
        <v>61</v>
      </c>
      <c r="B67" s="785" t="s">
        <v>63</v>
      </c>
      <c r="C67" s="60">
        <v>475466980</v>
      </c>
      <c r="D67" s="60">
        <v>47509760</v>
      </c>
      <c r="E67" s="49">
        <f t="shared" si="10"/>
        <v>427957220</v>
      </c>
      <c r="F67" s="49">
        <v>401558991</v>
      </c>
      <c r="G67" s="50">
        <f t="shared" si="11"/>
        <v>6.5739354843632428E-2</v>
      </c>
      <c r="H67" s="51">
        <f t="shared" si="22"/>
        <v>427957220</v>
      </c>
      <c r="I67" s="52">
        <v>4.3899999999999997</v>
      </c>
      <c r="J67" s="53">
        <v>1874215</v>
      </c>
      <c r="K67" s="52">
        <v>39</v>
      </c>
      <c r="L67" s="53">
        <v>16650200</v>
      </c>
      <c r="M67" s="54">
        <v>0</v>
      </c>
      <c r="N67" s="54">
        <v>0</v>
      </c>
      <c r="O67" s="54">
        <v>0</v>
      </c>
      <c r="P67" s="53">
        <v>0</v>
      </c>
      <c r="Q67" s="49">
        <f t="shared" si="12"/>
        <v>18524415</v>
      </c>
      <c r="R67" s="55">
        <v>16.8</v>
      </c>
      <c r="S67" s="53">
        <v>7172394</v>
      </c>
      <c r="T67" s="54">
        <v>0</v>
      </c>
      <c r="U67" s="54">
        <v>0</v>
      </c>
      <c r="V67" s="54">
        <v>0</v>
      </c>
      <c r="W67" s="53">
        <v>0</v>
      </c>
      <c r="X67" s="49">
        <f t="shared" si="13"/>
        <v>7172394</v>
      </c>
      <c r="Y67" s="56">
        <f t="shared" si="14"/>
        <v>60.19</v>
      </c>
      <c r="Z67" s="49">
        <f t="shared" si="15"/>
        <v>25696809</v>
      </c>
      <c r="AA67" s="49">
        <f t="shared" si="16"/>
        <v>0</v>
      </c>
      <c r="AB67" s="57">
        <f t="shared" si="23"/>
        <v>16.760000000000002</v>
      </c>
      <c r="AC67" s="58">
        <f t="shared" si="24"/>
        <v>43.29</v>
      </c>
      <c r="AD67" s="59">
        <f t="shared" si="25"/>
        <v>60.05</v>
      </c>
      <c r="AE67" s="60">
        <v>0</v>
      </c>
      <c r="AF67" s="60">
        <f t="shared" si="17"/>
        <v>25696809</v>
      </c>
      <c r="AG67" s="61">
        <v>0.02</v>
      </c>
      <c r="AH67" s="62">
        <v>15450518</v>
      </c>
      <c r="AI67" s="62">
        <v>0</v>
      </c>
      <c r="AJ67" s="62">
        <v>0</v>
      </c>
      <c r="AK67" s="63">
        <f t="shared" si="18"/>
        <v>15450518</v>
      </c>
      <c r="AL67" s="60">
        <v>812209300</v>
      </c>
      <c r="AM67" s="60">
        <f t="shared" si="29"/>
        <v>772525900</v>
      </c>
      <c r="AN67" s="64">
        <f t="shared" si="19"/>
        <v>-4.8858588543618006E-2</v>
      </c>
      <c r="AO67" s="65">
        <f t="shared" si="20"/>
        <v>772525900</v>
      </c>
      <c r="AP67" s="50">
        <f t="shared" si="26"/>
        <v>0.02</v>
      </c>
      <c r="AQ67" s="50">
        <f t="shared" si="27"/>
        <v>0</v>
      </c>
      <c r="AR67" s="60">
        <v>237727</v>
      </c>
      <c r="AS67" s="60">
        <f t="shared" si="28"/>
        <v>41385054</v>
      </c>
      <c r="AT67" s="60">
        <f>ROUND(AS67/'3_Levels 1&amp;2'!C67,2)</f>
        <v>11009.59</v>
      </c>
    </row>
    <row r="68" spans="1:46" ht="15" customHeight="1" x14ac:dyDescent="0.2">
      <c r="A68" s="47">
        <v>62</v>
      </c>
      <c r="B68" s="785" t="s">
        <v>64</v>
      </c>
      <c r="C68" s="60">
        <v>80370397</v>
      </c>
      <c r="D68" s="60">
        <v>17780794</v>
      </c>
      <c r="E68" s="49">
        <f t="shared" si="10"/>
        <v>62589603</v>
      </c>
      <c r="F68" s="49">
        <v>60831702</v>
      </c>
      <c r="G68" s="50">
        <f t="shared" si="11"/>
        <v>2.8897777675199684E-2</v>
      </c>
      <c r="H68" s="51">
        <f t="shared" si="22"/>
        <v>62589603</v>
      </c>
      <c r="I68" s="52">
        <v>7.23</v>
      </c>
      <c r="J68" s="53">
        <v>451456</v>
      </c>
      <c r="K68" s="52">
        <v>18</v>
      </c>
      <c r="L68" s="53">
        <v>1123913</v>
      </c>
      <c r="M68" s="54">
        <v>4.74</v>
      </c>
      <c r="N68" s="54">
        <v>4.74</v>
      </c>
      <c r="O68" s="54">
        <v>1</v>
      </c>
      <c r="P68" s="53">
        <v>131724</v>
      </c>
      <c r="Q68" s="49">
        <f t="shared" si="12"/>
        <v>1707093</v>
      </c>
      <c r="R68" s="54"/>
      <c r="S68" s="53"/>
      <c r="T68" s="54"/>
      <c r="U68" s="54"/>
      <c r="V68" s="54"/>
      <c r="W68" s="53"/>
      <c r="X68" s="49">
        <f t="shared" si="13"/>
        <v>0</v>
      </c>
      <c r="Y68" s="56">
        <f t="shared" si="14"/>
        <v>25.23</v>
      </c>
      <c r="Z68" s="49">
        <f>J68+L68+S68</f>
        <v>1575369</v>
      </c>
      <c r="AA68" s="49">
        <f t="shared" si="16"/>
        <v>131724</v>
      </c>
      <c r="AB68" s="57">
        <f t="shared" si="23"/>
        <v>0</v>
      </c>
      <c r="AC68" s="58">
        <f t="shared" si="24"/>
        <v>27.27</v>
      </c>
      <c r="AD68" s="59">
        <f t="shared" si="25"/>
        <v>27.27</v>
      </c>
      <c r="AE68" s="60">
        <v>0</v>
      </c>
      <c r="AF68" s="60">
        <f t="shared" si="17"/>
        <v>1707093</v>
      </c>
      <c r="AG68" s="61">
        <v>0.02</v>
      </c>
      <c r="AH68" s="62">
        <v>2698917</v>
      </c>
      <c r="AI68" s="62">
        <v>0</v>
      </c>
      <c r="AJ68" s="62">
        <v>0</v>
      </c>
      <c r="AK68" s="63">
        <f t="shared" si="18"/>
        <v>2698917</v>
      </c>
      <c r="AL68" s="60">
        <v>135703300</v>
      </c>
      <c r="AM68" s="60">
        <f t="shared" si="29"/>
        <v>134945850</v>
      </c>
      <c r="AN68" s="64">
        <f t="shared" si="19"/>
        <v>-5.5816623471942094E-3</v>
      </c>
      <c r="AO68" s="65">
        <f t="shared" si="20"/>
        <v>134945850</v>
      </c>
      <c r="AP68" s="50">
        <f t="shared" si="26"/>
        <v>0.02</v>
      </c>
      <c r="AQ68" s="50">
        <f t="shared" si="27"/>
        <v>0</v>
      </c>
      <c r="AR68" s="60">
        <v>87916</v>
      </c>
      <c r="AS68" s="60">
        <f t="shared" si="28"/>
        <v>4493926</v>
      </c>
      <c r="AT68" s="60">
        <f>ROUND(AS68/'3_Levels 1&amp;2'!C68,2)</f>
        <v>2355.31</v>
      </c>
    </row>
    <row r="69" spans="1:46" ht="15" customHeight="1" x14ac:dyDescent="0.2">
      <c r="A69" s="47">
        <v>63</v>
      </c>
      <c r="B69" s="785" t="s">
        <v>65</v>
      </c>
      <c r="C69" s="60">
        <v>380017418</v>
      </c>
      <c r="D69" s="60">
        <v>17805230</v>
      </c>
      <c r="E69" s="49">
        <f t="shared" si="10"/>
        <v>362212188</v>
      </c>
      <c r="F69" s="49">
        <v>284312541</v>
      </c>
      <c r="G69" s="50">
        <f t="shared" si="11"/>
        <v>0.2739930033547131</v>
      </c>
      <c r="H69" s="51">
        <f t="shared" si="22"/>
        <v>312743795.10000002</v>
      </c>
      <c r="I69" s="52">
        <v>4.46</v>
      </c>
      <c r="J69" s="53">
        <v>1558417</v>
      </c>
      <c r="K69" s="52">
        <v>29.5</v>
      </c>
      <c r="L69" s="53">
        <v>10436768</v>
      </c>
      <c r="M69" s="54">
        <v>0</v>
      </c>
      <c r="N69" s="54">
        <v>0</v>
      </c>
      <c r="O69" s="54">
        <v>0</v>
      </c>
      <c r="P69" s="53">
        <v>0</v>
      </c>
      <c r="Q69" s="49">
        <f t="shared" si="12"/>
        <v>11995185</v>
      </c>
      <c r="R69" s="54">
        <v>0</v>
      </c>
      <c r="S69" s="53">
        <v>0</v>
      </c>
      <c r="T69" s="54">
        <v>0</v>
      </c>
      <c r="U69" s="54">
        <v>0</v>
      </c>
      <c r="V69" s="54">
        <v>0</v>
      </c>
      <c r="W69" s="53">
        <v>0</v>
      </c>
      <c r="X69" s="49">
        <f t="shared" si="13"/>
        <v>0</v>
      </c>
      <c r="Y69" s="56">
        <f t="shared" si="14"/>
        <v>33.96</v>
      </c>
      <c r="Z69" s="49">
        <f t="shared" si="15"/>
        <v>11995185</v>
      </c>
      <c r="AA69" s="49">
        <f t="shared" si="16"/>
        <v>0</v>
      </c>
      <c r="AB69" s="57">
        <f t="shared" si="23"/>
        <v>0</v>
      </c>
      <c r="AC69" s="58">
        <f t="shared" si="24"/>
        <v>33.119999999999997</v>
      </c>
      <c r="AD69" s="59">
        <f t="shared" si="25"/>
        <v>33.119999999999997</v>
      </c>
      <c r="AE69" s="60">
        <v>0</v>
      </c>
      <c r="AF69" s="60">
        <f t="shared" si="17"/>
        <v>11995185</v>
      </c>
      <c r="AG69" s="61">
        <v>0.03</v>
      </c>
      <c r="AH69" s="62">
        <v>8415568</v>
      </c>
      <c r="AI69" s="62">
        <v>0</v>
      </c>
      <c r="AJ69" s="62">
        <v>0</v>
      </c>
      <c r="AK69" s="63">
        <f t="shared" si="18"/>
        <v>8415568</v>
      </c>
      <c r="AL69" s="60">
        <v>270798067</v>
      </c>
      <c r="AM69" s="60">
        <f t="shared" si="29"/>
        <v>280518933</v>
      </c>
      <c r="AN69" s="61">
        <f t="shared" si="19"/>
        <v>3.5897102618535306E-2</v>
      </c>
      <c r="AO69" s="60">
        <f t="shared" si="20"/>
        <v>280518933</v>
      </c>
      <c r="AP69" s="50">
        <f t="shared" si="26"/>
        <v>3.0000000035648219E-2</v>
      </c>
      <c r="AQ69" s="50">
        <f t="shared" si="27"/>
        <v>0</v>
      </c>
      <c r="AR69" s="60">
        <v>56972</v>
      </c>
      <c r="AS69" s="60">
        <f t="shared" si="28"/>
        <v>20467725</v>
      </c>
      <c r="AT69" s="60">
        <f>ROUND(AS69/'3_Levels 1&amp;2'!C69,2)</f>
        <v>9695.75</v>
      </c>
    </row>
    <row r="70" spans="1:46" ht="15" customHeight="1" x14ac:dyDescent="0.2">
      <c r="A70" s="47">
        <v>64</v>
      </c>
      <c r="B70" s="785" t="s">
        <v>66</v>
      </c>
      <c r="C70" s="60">
        <v>86968019</v>
      </c>
      <c r="D70" s="60">
        <v>17222023</v>
      </c>
      <c r="E70" s="49">
        <f t="shared" si="10"/>
        <v>69745996</v>
      </c>
      <c r="F70" s="49">
        <v>68200692</v>
      </c>
      <c r="G70" s="50">
        <f t="shared" si="11"/>
        <v>2.265818651810747E-2</v>
      </c>
      <c r="H70" s="51">
        <f t="shared" si="22"/>
        <v>69745996</v>
      </c>
      <c r="I70" s="52">
        <v>4.93</v>
      </c>
      <c r="J70" s="53">
        <v>343871</v>
      </c>
      <c r="K70" s="52">
        <v>15.72</v>
      </c>
      <c r="L70" s="53">
        <v>1097090</v>
      </c>
      <c r="M70" s="54">
        <v>0</v>
      </c>
      <c r="N70" s="54">
        <v>3.44</v>
      </c>
      <c r="O70" s="54">
        <v>2</v>
      </c>
      <c r="P70" s="53">
        <v>188442</v>
      </c>
      <c r="Q70" s="49">
        <f t="shared" si="12"/>
        <v>1629403</v>
      </c>
      <c r="R70" s="54">
        <v>0</v>
      </c>
      <c r="S70" s="53">
        <v>0</v>
      </c>
      <c r="T70" s="54">
        <v>0</v>
      </c>
      <c r="U70" s="54">
        <v>30</v>
      </c>
      <c r="V70" s="54">
        <v>3</v>
      </c>
      <c r="W70" s="53">
        <v>1113686</v>
      </c>
      <c r="X70" s="49">
        <f t="shared" si="13"/>
        <v>1113686</v>
      </c>
      <c r="Y70" s="56">
        <f t="shared" si="14"/>
        <v>20.65</v>
      </c>
      <c r="Z70" s="49">
        <f t="shared" si="15"/>
        <v>1440961</v>
      </c>
      <c r="AA70" s="49">
        <f t="shared" si="16"/>
        <v>1302128</v>
      </c>
      <c r="AB70" s="57">
        <f t="shared" si="23"/>
        <v>15.97</v>
      </c>
      <c r="AC70" s="58">
        <f t="shared" si="24"/>
        <v>23.36</v>
      </c>
      <c r="AD70" s="59">
        <f t="shared" si="25"/>
        <v>39.33</v>
      </c>
      <c r="AE70" s="60">
        <v>0</v>
      </c>
      <c r="AF70" s="60">
        <f t="shared" si="17"/>
        <v>2743089</v>
      </c>
      <c r="AG70" s="61">
        <v>0.02</v>
      </c>
      <c r="AH70" s="62">
        <v>4392577</v>
      </c>
      <c r="AI70" s="62">
        <v>0</v>
      </c>
      <c r="AJ70" s="62">
        <v>0</v>
      </c>
      <c r="AK70" s="63">
        <f t="shared" si="18"/>
        <v>4392577</v>
      </c>
      <c r="AL70" s="60">
        <v>195579800</v>
      </c>
      <c r="AM70" s="60">
        <f t="shared" si="29"/>
        <v>219628850</v>
      </c>
      <c r="AN70" s="61">
        <f t="shared" si="19"/>
        <v>0.12296285199187237</v>
      </c>
      <c r="AO70" s="60">
        <f t="shared" si="20"/>
        <v>219628850</v>
      </c>
      <c r="AP70" s="50">
        <f t="shared" si="26"/>
        <v>0.02</v>
      </c>
      <c r="AQ70" s="50">
        <f t="shared" si="27"/>
        <v>0</v>
      </c>
      <c r="AR70" s="60">
        <v>252633</v>
      </c>
      <c r="AS70" s="60">
        <f t="shared" si="28"/>
        <v>7388299</v>
      </c>
      <c r="AT70" s="60">
        <f>ROUND(AS70/'3_Levels 1&amp;2'!C70,2)</f>
        <v>3639.56</v>
      </c>
    </row>
    <row r="71" spans="1:46" ht="15" customHeight="1" x14ac:dyDescent="0.2">
      <c r="A71" s="66">
        <v>65</v>
      </c>
      <c r="B71" s="786" t="s">
        <v>67</v>
      </c>
      <c r="C71" s="78">
        <v>438893091</v>
      </c>
      <c r="D71" s="78">
        <v>43279025</v>
      </c>
      <c r="E71" s="68">
        <f t="shared" si="10"/>
        <v>395614066</v>
      </c>
      <c r="F71" s="68">
        <v>389860761</v>
      </c>
      <c r="G71" s="69">
        <f t="shared" si="11"/>
        <v>1.475733281093144E-2</v>
      </c>
      <c r="H71" s="70">
        <f t="shared" si="22"/>
        <v>395614066</v>
      </c>
      <c r="I71" s="71">
        <v>7.07</v>
      </c>
      <c r="J71" s="72">
        <v>2848113</v>
      </c>
      <c r="K71" s="71">
        <v>20.56</v>
      </c>
      <c r="L71" s="72">
        <v>8277059</v>
      </c>
      <c r="M71" s="73">
        <v>0</v>
      </c>
      <c r="N71" s="73">
        <v>0</v>
      </c>
      <c r="O71" s="73">
        <v>0</v>
      </c>
      <c r="P71" s="72">
        <v>0</v>
      </c>
      <c r="Q71" s="68">
        <f t="shared" si="12"/>
        <v>11125172</v>
      </c>
      <c r="R71" s="73">
        <v>8</v>
      </c>
      <c r="S71" s="72">
        <v>3196731</v>
      </c>
      <c r="T71" s="73">
        <v>0</v>
      </c>
      <c r="U71" s="73">
        <v>0</v>
      </c>
      <c r="V71" s="73">
        <v>0</v>
      </c>
      <c r="W71" s="72">
        <v>0</v>
      </c>
      <c r="X71" s="68">
        <f t="shared" si="13"/>
        <v>3196731</v>
      </c>
      <c r="Y71" s="74">
        <f t="shared" si="14"/>
        <v>35.629999999999995</v>
      </c>
      <c r="Z71" s="68">
        <f t="shared" si="15"/>
        <v>14321903</v>
      </c>
      <c r="AA71" s="68">
        <f t="shared" si="16"/>
        <v>0</v>
      </c>
      <c r="AB71" s="75">
        <f t="shared" ref="AB71:AB76" si="30">ROUND((X71/E71)*1000,2)</f>
        <v>8.08</v>
      </c>
      <c r="AC71" s="76">
        <f t="shared" ref="AC71:AC76" si="31">ROUND((Q71/E71)*1000,2)</f>
        <v>28.12</v>
      </c>
      <c r="AD71" s="77">
        <f t="shared" ref="AD71:AD76" si="32">ROUND((AF71/E71)*1000,2)</f>
        <v>36.200000000000003</v>
      </c>
      <c r="AE71" s="78">
        <v>0</v>
      </c>
      <c r="AF71" s="78">
        <f t="shared" si="17"/>
        <v>14321903</v>
      </c>
      <c r="AG71" s="79">
        <v>0.02</v>
      </c>
      <c r="AH71" s="80">
        <v>28593192</v>
      </c>
      <c r="AI71" s="80">
        <v>0</v>
      </c>
      <c r="AJ71" s="1149">
        <v>0</v>
      </c>
      <c r="AK71" s="81">
        <f t="shared" si="18"/>
        <v>28593192</v>
      </c>
      <c r="AL71" s="78">
        <v>1429844150</v>
      </c>
      <c r="AM71" s="78">
        <f t="shared" si="29"/>
        <v>1429659600</v>
      </c>
      <c r="AN71" s="79">
        <f t="shared" si="19"/>
        <v>-1.290700108819552E-4</v>
      </c>
      <c r="AO71" s="78">
        <f t="shared" si="20"/>
        <v>1429659600</v>
      </c>
      <c r="AP71" s="69">
        <f t="shared" si="26"/>
        <v>0.02</v>
      </c>
      <c r="AQ71" s="69">
        <f t="shared" si="27"/>
        <v>0</v>
      </c>
      <c r="AR71" s="78">
        <v>262643</v>
      </c>
      <c r="AS71" s="78">
        <f>AR71+AF71+AK71</f>
        <v>43177738</v>
      </c>
      <c r="AT71" s="78">
        <f>ROUND(AS71/'3_Levels 1&amp;2'!C71,2)</f>
        <v>5431.16</v>
      </c>
    </row>
    <row r="72" spans="1:46" ht="15" customHeight="1" x14ac:dyDescent="0.2">
      <c r="A72" s="47">
        <v>66</v>
      </c>
      <c r="B72" s="785" t="s">
        <v>68</v>
      </c>
      <c r="C72" s="60">
        <v>106804590</v>
      </c>
      <c r="D72" s="60">
        <v>19343910</v>
      </c>
      <c r="E72" s="49">
        <f>C72-D72</f>
        <v>87460680</v>
      </c>
      <c r="F72" s="49">
        <v>84429330</v>
      </c>
      <c r="G72" s="50">
        <f>(E72-F72)/F72</f>
        <v>3.5903992131644302E-2</v>
      </c>
      <c r="H72" s="51">
        <f t="shared" si="22"/>
        <v>87460680</v>
      </c>
      <c r="I72" s="52">
        <v>6.43</v>
      </c>
      <c r="J72" s="53">
        <v>542920</v>
      </c>
      <c r="K72" s="52">
        <v>56.61</v>
      </c>
      <c r="L72" s="53">
        <v>5053251</v>
      </c>
      <c r="M72" s="54">
        <v>0</v>
      </c>
      <c r="N72" s="54">
        <v>0</v>
      </c>
      <c r="O72" s="54">
        <v>0</v>
      </c>
      <c r="P72" s="53">
        <v>0</v>
      </c>
      <c r="Q72" s="49">
        <f>J72+L72+P72</f>
        <v>5596171</v>
      </c>
      <c r="R72" s="55">
        <v>0</v>
      </c>
      <c r="S72" s="53">
        <v>0</v>
      </c>
      <c r="T72" s="54">
        <v>0</v>
      </c>
      <c r="U72" s="54">
        <v>0</v>
      </c>
      <c r="V72" s="54">
        <v>0</v>
      </c>
      <c r="W72" s="53">
        <v>0</v>
      </c>
      <c r="X72" s="49">
        <f>S72+W72</f>
        <v>0</v>
      </c>
      <c r="Y72" s="56">
        <f t="shared" ref="Y72:Z74" si="33">I72+K72+R72</f>
        <v>63.04</v>
      </c>
      <c r="Z72" s="49">
        <f t="shared" si="33"/>
        <v>5596171</v>
      </c>
      <c r="AA72" s="49">
        <f>P72+W72</f>
        <v>0</v>
      </c>
      <c r="AB72" s="57">
        <f t="shared" si="30"/>
        <v>0</v>
      </c>
      <c r="AC72" s="58">
        <f t="shared" si="31"/>
        <v>63.98</v>
      </c>
      <c r="AD72" s="59">
        <f t="shared" si="32"/>
        <v>63.98</v>
      </c>
      <c r="AE72" s="60">
        <v>0</v>
      </c>
      <c r="AF72" s="60">
        <f>X72+Q72+AE72</f>
        <v>5596171</v>
      </c>
      <c r="AG72" s="61">
        <v>0.01</v>
      </c>
      <c r="AH72" s="62">
        <v>2874357</v>
      </c>
      <c r="AI72" s="62">
        <v>0</v>
      </c>
      <c r="AJ72" s="62">
        <v>0</v>
      </c>
      <c r="AK72" s="63">
        <f>AH72+AI72+AJ72</f>
        <v>2874357</v>
      </c>
      <c r="AL72" s="60">
        <v>273823800</v>
      </c>
      <c r="AM72" s="60">
        <f t="shared" si="29"/>
        <v>287435700</v>
      </c>
      <c r="AN72" s="64">
        <f>(AM72-AL72)/AL72</f>
        <v>4.9710434228142329E-2</v>
      </c>
      <c r="AO72" s="65">
        <f>IF((AM72-AL72)/AL72&gt;$AO$3,AL72*(1+$AO$3),AM72)</f>
        <v>287435700</v>
      </c>
      <c r="AP72" s="50">
        <f t="shared" si="26"/>
        <v>0.01</v>
      </c>
      <c r="AQ72" s="50">
        <f t="shared" si="27"/>
        <v>0</v>
      </c>
      <c r="AR72" s="60">
        <v>195545</v>
      </c>
      <c r="AS72" s="60">
        <f>AR72+AF72+AK72</f>
        <v>8666073</v>
      </c>
      <c r="AT72" s="60">
        <f>ROUND(AS72/'3_Levels 1&amp;2'!C72,2)</f>
        <v>4656.68</v>
      </c>
    </row>
    <row r="73" spans="1:46" s="82" customFormat="1" ht="15" customHeight="1" x14ac:dyDescent="0.2">
      <c r="A73" s="47">
        <v>67</v>
      </c>
      <c r="B73" s="785" t="s">
        <v>2</v>
      </c>
      <c r="C73" s="60">
        <v>333153837.10999995</v>
      </c>
      <c r="D73" s="49">
        <v>46111404</v>
      </c>
      <c r="E73" s="49">
        <f>C73-D73</f>
        <v>287042433.10999995</v>
      </c>
      <c r="F73" s="49">
        <v>254509091</v>
      </c>
      <c r="G73" s="50">
        <f>(E73-F73)/F73</f>
        <v>0.12782781936068427</v>
      </c>
      <c r="H73" s="51">
        <f t="shared" si="22"/>
        <v>279960000.10000002</v>
      </c>
      <c r="I73" s="52">
        <v>0</v>
      </c>
      <c r="J73" s="53">
        <v>0</v>
      </c>
      <c r="K73" s="52">
        <v>0</v>
      </c>
      <c r="L73" s="53">
        <v>0</v>
      </c>
      <c r="M73" s="54">
        <v>0</v>
      </c>
      <c r="N73" s="54">
        <v>38.200000000000003</v>
      </c>
      <c r="O73" s="54">
        <v>1</v>
      </c>
      <c r="P73" s="53">
        <v>11238376</v>
      </c>
      <c r="Q73" s="49">
        <f>J73+L73+P73</f>
        <v>11238376</v>
      </c>
      <c r="R73" s="54">
        <v>0</v>
      </c>
      <c r="S73" s="53">
        <v>0</v>
      </c>
      <c r="T73" s="54">
        <v>0</v>
      </c>
      <c r="U73" s="54">
        <v>36</v>
      </c>
      <c r="V73" s="54">
        <v>1</v>
      </c>
      <c r="W73" s="53">
        <v>10571438</v>
      </c>
      <c r="X73" s="49">
        <f>S73+W73</f>
        <v>10571438</v>
      </c>
      <c r="Y73" s="56">
        <f t="shared" si="33"/>
        <v>0</v>
      </c>
      <c r="Z73" s="49">
        <f t="shared" si="33"/>
        <v>0</v>
      </c>
      <c r="AA73" s="49">
        <f>P73+W73</f>
        <v>21809814</v>
      </c>
      <c r="AB73" s="57">
        <f t="shared" si="30"/>
        <v>36.83</v>
      </c>
      <c r="AC73" s="58">
        <f t="shared" si="31"/>
        <v>39.15</v>
      </c>
      <c r="AD73" s="59">
        <f t="shared" si="32"/>
        <v>75.98</v>
      </c>
      <c r="AE73" s="60">
        <v>0</v>
      </c>
      <c r="AF73" s="60">
        <f>X73+Q73+AE73</f>
        <v>21809814</v>
      </c>
      <c r="AG73" s="61">
        <v>0.02</v>
      </c>
      <c r="AH73" s="62">
        <v>9952324</v>
      </c>
      <c r="AI73" s="62">
        <v>0</v>
      </c>
      <c r="AJ73" s="62">
        <v>0</v>
      </c>
      <c r="AK73" s="63">
        <f>AH73+AI73+AJ73</f>
        <v>9952324</v>
      </c>
      <c r="AL73" s="60">
        <v>570947650</v>
      </c>
      <c r="AM73" s="60">
        <f t="shared" si="29"/>
        <v>497616200</v>
      </c>
      <c r="AN73" s="64">
        <f>(AM73-AL73)/AL73</f>
        <v>-0.12843813263790471</v>
      </c>
      <c r="AO73" s="65">
        <f>IF((AM73-AL73)/AL73&gt;$AO$3,AL73*(1+$AO$3),AM73)</f>
        <v>497616200</v>
      </c>
      <c r="AP73" s="50">
        <f t="shared" si="26"/>
        <v>0.02</v>
      </c>
      <c r="AQ73" s="50">
        <f t="shared" si="27"/>
        <v>0</v>
      </c>
      <c r="AR73" s="60">
        <v>95098</v>
      </c>
      <c r="AS73" s="60">
        <f>AR73+AF73+AK73</f>
        <v>31857236</v>
      </c>
      <c r="AT73" s="60">
        <f>ROUND(AS73/'3_Levels 1&amp;2'!C73,2)</f>
        <v>5827.19</v>
      </c>
    </row>
    <row r="74" spans="1:46" s="82" customFormat="1" ht="15" customHeight="1" x14ac:dyDescent="0.2">
      <c r="A74" s="47">
        <v>68</v>
      </c>
      <c r="B74" s="48" t="s">
        <v>1</v>
      </c>
      <c r="C74" s="49">
        <v>66440840.109999999</v>
      </c>
      <c r="D74" s="49">
        <v>20970270</v>
      </c>
      <c r="E74" s="49">
        <f>C74-D74</f>
        <v>45470570.109999999</v>
      </c>
      <c r="F74" s="49">
        <v>49404750</v>
      </c>
      <c r="G74" s="50">
        <f>(E74-F74)/F74</f>
        <v>-7.9631612142557151E-2</v>
      </c>
      <c r="H74" s="51">
        <f t="shared" si="22"/>
        <v>45470570.109999999</v>
      </c>
      <c r="I74" s="52">
        <v>5</v>
      </c>
      <c r="J74" s="53">
        <v>225344</v>
      </c>
      <c r="K74" s="52">
        <v>38.200000000000003</v>
      </c>
      <c r="L74" s="53">
        <v>1733681</v>
      </c>
      <c r="M74" s="54">
        <v>0</v>
      </c>
      <c r="N74" s="54">
        <v>0</v>
      </c>
      <c r="O74" s="54">
        <v>0</v>
      </c>
      <c r="P74" s="53">
        <v>0</v>
      </c>
      <c r="Q74" s="49">
        <f>J74+L74+P74</f>
        <v>1959025</v>
      </c>
      <c r="R74" s="54">
        <v>0</v>
      </c>
      <c r="S74" s="53">
        <v>0</v>
      </c>
      <c r="T74" s="54">
        <v>0</v>
      </c>
      <c r="U74" s="54">
        <v>0</v>
      </c>
      <c r="V74" s="54">
        <v>0</v>
      </c>
      <c r="W74" s="53">
        <v>0</v>
      </c>
      <c r="X74" s="49">
        <f>S74+W74</f>
        <v>0</v>
      </c>
      <c r="Y74" s="56">
        <f t="shared" si="33"/>
        <v>43.2</v>
      </c>
      <c r="Z74" s="49">
        <f t="shared" si="33"/>
        <v>1959025</v>
      </c>
      <c r="AA74" s="49">
        <f>P74+W74</f>
        <v>0</v>
      </c>
      <c r="AB74" s="57">
        <f t="shared" si="30"/>
        <v>0</v>
      </c>
      <c r="AC74" s="58">
        <f t="shared" si="31"/>
        <v>43.08</v>
      </c>
      <c r="AD74" s="59">
        <f t="shared" si="32"/>
        <v>43.08</v>
      </c>
      <c r="AE74" s="60">
        <v>0</v>
      </c>
      <c r="AF74" s="60">
        <f>X74+Q74+AE74</f>
        <v>1959025</v>
      </c>
      <c r="AG74" s="61">
        <v>0.02</v>
      </c>
      <c r="AH74" s="62">
        <v>3620296</v>
      </c>
      <c r="AI74" s="62">
        <v>0</v>
      </c>
      <c r="AJ74" s="62">
        <v>0</v>
      </c>
      <c r="AK74" s="63">
        <f>AH74+AI74+AJ74</f>
        <v>3620296</v>
      </c>
      <c r="AL74" s="60">
        <v>169955750</v>
      </c>
      <c r="AM74" s="60">
        <f t="shared" si="29"/>
        <v>181014800</v>
      </c>
      <c r="AN74" s="61">
        <f>(AM74-AL74)/AL74</f>
        <v>6.5070172677299823E-2</v>
      </c>
      <c r="AO74" s="60">
        <f>IF((AM74-AL74)/AL74&gt;$AO$3,AL74*(1+$AO$3),AM74)</f>
        <v>181014800</v>
      </c>
      <c r="AP74" s="50">
        <f t="shared" si="26"/>
        <v>0.02</v>
      </c>
      <c r="AQ74" s="50">
        <f t="shared" si="27"/>
        <v>0</v>
      </c>
      <c r="AR74" s="60">
        <v>43248</v>
      </c>
      <c r="AS74" s="60">
        <f>AR74+AF74+AK74</f>
        <v>5622569</v>
      </c>
      <c r="AT74" s="60">
        <f>ROUND(AS74/'3_Levels 1&amp;2'!C74,2)</f>
        <v>3223.95</v>
      </c>
    </row>
    <row r="75" spans="1:46" s="100" customFormat="1" ht="15" customHeight="1" x14ac:dyDescent="0.2">
      <c r="A75" s="83">
        <v>69</v>
      </c>
      <c r="B75" s="84" t="s">
        <v>74</v>
      </c>
      <c r="C75" s="85">
        <v>231378045.36000001</v>
      </c>
      <c r="D75" s="86">
        <v>67467830</v>
      </c>
      <c r="E75" s="86">
        <f>C75-D75</f>
        <v>163910215.36000001</v>
      </c>
      <c r="F75" s="86">
        <v>156603402</v>
      </c>
      <c r="G75" s="87">
        <f>(E75-F75)/F75</f>
        <v>4.6658075537848238E-2</v>
      </c>
      <c r="H75" s="88">
        <f t="shared" si="22"/>
        <v>163910215.36000001</v>
      </c>
      <c r="I75" s="89">
        <v>3.91</v>
      </c>
      <c r="J75" s="85">
        <v>630097</v>
      </c>
      <c r="K75" s="89">
        <v>30.06</v>
      </c>
      <c r="L75" s="85">
        <v>4856758</v>
      </c>
      <c r="M75" s="90">
        <v>0</v>
      </c>
      <c r="N75" s="90">
        <v>0</v>
      </c>
      <c r="O75" s="91">
        <v>0</v>
      </c>
      <c r="P75" s="85">
        <v>0</v>
      </c>
      <c r="Q75" s="92">
        <f>J75+L75+P75</f>
        <v>5486855</v>
      </c>
      <c r="R75" s="73">
        <v>23.65</v>
      </c>
      <c r="S75" s="85">
        <v>3819548</v>
      </c>
      <c r="T75" s="90">
        <v>0</v>
      </c>
      <c r="U75" s="90">
        <v>0</v>
      </c>
      <c r="V75" s="91">
        <v>0</v>
      </c>
      <c r="W75" s="85">
        <v>0</v>
      </c>
      <c r="X75" s="92">
        <f>S75+W75</f>
        <v>3819548</v>
      </c>
      <c r="Y75" s="89">
        <f>I75+K75+R75</f>
        <v>57.62</v>
      </c>
      <c r="Z75" s="85">
        <f>J75+L75+S75</f>
        <v>9306403</v>
      </c>
      <c r="AA75" s="85">
        <f>P75+W75</f>
        <v>0</v>
      </c>
      <c r="AB75" s="93">
        <f t="shared" si="30"/>
        <v>23.3</v>
      </c>
      <c r="AC75" s="94">
        <f t="shared" si="31"/>
        <v>33.47</v>
      </c>
      <c r="AD75" s="95">
        <f t="shared" si="32"/>
        <v>56.78</v>
      </c>
      <c r="AE75" s="85">
        <v>0</v>
      </c>
      <c r="AF75" s="85">
        <f>X75+Q75+AE75</f>
        <v>9306403</v>
      </c>
      <c r="AG75" s="96">
        <v>2.5000000000000001E-2</v>
      </c>
      <c r="AH75" s="97">
        <v>7321288</v>
      </c>
      <c r="AI75" s="97">
        <v>1830322</v>
      </c>
      <c r="AJ75" s="1150">
        <v>0</v>
      </c>
      <c r="AK75" s="98">
        <f>AH75+AI75+AJ75</f>
        <v>9151610</v>
      </c>
      <c r="AL75" s="85">
        <v>363918760</v>
      </c>
      <c r="AM75" s="85">
        <f t="shared" si="29"/>
        <v>366064400</v>
      </c>
      <c r="AN75" s="96">
        <f>(AM75-AL75)/AL75</f>
        <v>5.8959312787282524E-3</v>
      </c>
      <c r="AO75" s="85">
        <f>IF((AM75-AL75)/AL75&gt;$AO$3,AL75*(1+$AO$3),AM75)</f>
        <v>366064400</v>
      </c>
      <c r="AP75" s="99">
        <f t="shared" si="26"/>
        <v>0.02</v>
      </c>
      <c r="AQ75" s="99">
        <f t="shared" si="27"/>
        <v>5.0000000000000001E-3</v>
      </c>
      <c r="AR75" s="85">
        <v>4000</v>
      </c>
      <c r="AS75" s="85">
        <f>AR75+AF75+AK75</f>
        <v>18462013</v>
      </c>
      <c r="AT75" s="85">
        <f>ROUND(AS75/'3_Levels 1&amp;2'!C75,2)</f>
        <v>3823.15</v>
      </c>
    </row>
    <row r="76" spans="1:46" s="105" customFormat="1" ht="15" customHeight="1" thickBot="1" x14ac:dyDescent="0.25">
      <c r="A76" s="1047"/>
      <c r="B76" s="1048" t="s">
        <v>3</v>
      </c>
      <c r="C76" s="1049">
        <f>SUM(C7:C75)</f>
        <v>49564066455</v>
      </c>
      <c r="D76" s="1049">
        <f>SUM(D7:D75)</f>
        <v>7227658105</v>
      </c>
      <c r="E76" s="1049">
        <f>SUM(E7:E75)</f>
        <v>42336408350</v>
      </c>
      <c r="F76" s="1049">
        <f>SUM(F7:F75)</f>
        <v>41423550649</v>
      </c>
      <c r="G76" s="1050">
        <f>(E76-F76)/F76</f>
        <v>2.2037166942424746E-2</v>
      </c>
      <c r="H76" s="1051">
        <f>SUM(H7:H75)</f>
        <v>42203969773.889999</v>
      </c>
      <c r="I76" s="1114">
        <v>5.0599999999999996</v>
      </c>
      <c r="J76" s="1052">
        <f>SUM(J7:J75)</f>
        <v>271869884</v>
      </c>
      <c r="K76" s="1053">
        <v>24.5</v>
      </c>
      <c r="L76" s="1052">
        <f>SUM(L7:L75)</f>
        <v>1159074539</v>
      </c>
      <c r="M76" s="1053">
        <f>MIN(M7:M75)</f>
        <v>0</v>
      </c>
      <c r="N76" s="1053">
        <f>MAX(N7:N75)</f>
        <v>91.41</v>
      </c>
      <c r="O76" s="1053">
        <f>SUM(O7:O75)</f>
        <v>93</v>
      </c>
      <c r="P76" s="1052">
        <f>SUM(P7:P75)</f>
        <v>53936704</v>
      </c>
      <c r="Q76" s="1052">
        <f>SUM(Q7:Q75)</f>
        <v>1484881127</v>
      </c>
      <c r="R76" s="1053">
        <v>4.62</v>
      </c>
      <c r="S76" s="1052">
        <f>SUM(S7:S75)</f>
        <v>168873449</v>
      </c>
      <c r="T76" s="1053">
        <f>MIN(T7:T75)</f>
        <v>0</v>
      </c>
      <c r="U76" s="1053">
        <f>MAX(U7:U75)</f>
        <v>48</v>
      </c>
      <c r="V76" s="1053">
        <f>SUM(V7:V75)</f>
        <v>95</v>
      </c>
      <c r="W76" s="1052">
        <f>SUM(W7:W75)</f>
        <v>94078899</v>
      </c>
      <c r="X76" s="1049">
        <f>SUM(X7:X75)</f>
        <v>262952348</v>
      </c>
      <c r="Y76" s="1054">
        <f>I76+K76+R76</f>
        <v>34.18</v>
      </c>
      <c r="Z76" s="1049">
        <f>SUM(Z7:Z75)</f>
        <v>1599817872</v>
      </c>
      <c r="AA76" s="1049">
        <f>SUM(AA7:AA75)</f>
        <v>148015603</v>
      </c>
      <c r="AB76" s="1055">
        <f t="shared" si="30"/>
        <v>6.21</v>
      </c>
      <c r="AC76" s="1056">
        <f t="shared" si="31"/>
        <v>35.07</v>
      </c>
      <c r="AD76" s="1055">
        <f t="shared" si="32"/>
        <v>41.3</v>
      </c>
      <c r="AE76" s="1049">
        <f>SUM(AE7:AE75)</f>
        <v>702200.75</v>
      </c>
      <c r="AF76" s="1049">
        <f>SUM(AF7:AF75)</f>
        <v>1748535675.75</v>
      </c>
      <c r="AG76" s="1057">
        <f>ROUND(AK76/AM76,4)</f>
        <v>2.0400000000000001E-2</v>
      </c>
      <c r="AH76" s="1058">
        <f t="shared" ref="AH76:AM76" si="34">SUM(AH7:AH75)</f>
        <v>1947935292</v>
      </c>
      <c r="AI76" s="1058">
        <f t="shared" si="34"/>
        <v>53953362</v>
      </c>
      <c r="AJ76" s="1151">
        <f t="shared" si="34"/>
        <v>839686</v>
      </c>
      <c r="AK76" s="1049">
        <f t="shared" si="34"/>
        <v>2002728340</v>
      </c>
      <c r="AL76" s="1049">
        <f t="shared" si="34"/>
        <v>96734878872</v>
      </c>
      <c r="AM76" s="1049">
        <f t="shared" si="34"/>
        <v>98336193525</v>
      </c>
      <c r="AN76" s="1057">
        <f>(AM76-AL76)/AL76</f>
        <v>1.6553643025892101E-2</v>
      </c>
      <c r="AO76" s="1049">
        <f>SUM(AO7:AO75)</f>
        <v>98168660803.949997</v>
      </c>
      <c r="AP76" s="1059">
        <f>ROUND(AH76/$AM76,4)</f>
        <v>1.9800000000000002E-2</v>
      </c>
      <c r="AQ76" s="1059">
        <f>ROUND(AI76/$AM76,4)</f>
        <v>5.0000000000000001E-4</v>
      </c>
      <c r="AR76" s="1052">
        <f>SUM(AR7:AR75)</f>
        <v>34098639</v>
      </c>
      <c r="AS76" s="1049">
        <f>SUM(AS7:AS75)</f>
        <v>3785362654.75</v>
      </c>
      <c r="AT76" s="1049">
        <f>ROUND(AS76/'3_Levels 1&amp;2'!C76,2)</f>
        <v>5558.54</v>
      </c>
    </row>
    <row r="77" spans="1:46" ht="13.5" thickTop="1" x14ac:dyDescent="0.2"/>
  </sheetData>
  <sheetProtection password="D893" sheet="1"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0"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AG1:AI1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Y1:AD1"/>
    <mergeCell ref="AL1:AQ1"/>
    <mergeCell ref="AC2:AC3"/>
    <mergeCell ref="AD2:AD3"/>
    <mergeCell ref="AN2:AN3"/>
    <mergeCell ref="AP2:AP3"/>
    <mergeCell ref="Y2:Y3"/>
    <mergeCell ref="Z2:Z3"/>
    <mergeCell ref="AA2:AA3"/>
    <mergeCell ref="AB2:AB3"/>
    <mergeCell ref="AE2:AE3"/>
    <mergeCell ref="AJ2:AJ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FY2020-21 Budget Letter
FY2018-2019 Local Property and Sales Tax Revenues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I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3.28515625" style="101" hidden="1" customWidth="1"/>
    <col min="19" max="25" width="13.28515625" style="101" customWidth="1"/>
    <col min="26" max="26" width="13.28515625" style="101" hidden="1" customWidth="1"/>
    <col min="27" max="28" width="13.28515625" style="101" customWidth="1"/>
    <col min="29" max="31" width="13.28515625" style="101" hidden="1" customWidth="1"/>
    <col min="32" max="35" width="13.28515625" style="101" customWidth="1"/>
    <col min="36" max="40" width="12.42578125" style="101" customWidth="1"/>
    <col min="41" max="45" width="13" style="101" hidden="1" customWidth="1"/>
    <col min="46" max="48" width="12.42578125" style="101" customWidth="1"/>
    <col min="49" max="61" width="13.28515625" style="101" customWidth="1"/>
    <col min="62" max="16384" width="8.85546875" style="101"/>
  </cols>
  <sheetData>
    <row r="1" spans="1:61" s="243" customFormat="1" ht="18.75" customHeight="1" x14ac:dyDescent="0.2">
      <c r="A1" s="1553" t="s">
        <v>1285</v>
      </c>
      <c r="B1" s="1553"/>
      <c r="C1" s="1554" t="s">
        <v>1032</v>
      </c>
      <c r="D1" s="1555" t="s">
        <v>848</v>
      </c>
      <c r="E1" s="1556" t="s">
        <v>1033</v>
      </c>
      <c r="F1" s="1557"/>
      <c r="G1" s="1557"/>
      <c r="H1" s="1557"/>
      <c r="I1" s="1558"/>
      <c r="J1" s="1556" t="s">
        <v>1033</v>
      </c>
      <c r="K1" s="1557"/>
      <c r="L1" s="1557"/>
      <c r="M1" s="1557"/>
      <c r="N1" s="1557"/>
      <c r="O1" s="1557"/>
      <c r="P1" s="1558"/>
      <c r="Q1" s="1556" t="s">
        <v>1033</v>
      </c>
      <c r="R1" s="1557"/>
      <c r="S1" s="1557"/>
      <c r="T1" s="1557"/>
      <c r="U1" s="1557"/>
      <c r="V1" s="1557"/>
      <c r="W1" s="1557"/>
      <c r="X1" s="1558"/>
      <c r="Y1" s="1556" t="s">
        <v>1033</v>
      </c>
      <c r="Z1" s="1557"/>
      <c r="AA1" s="1557"/>
      <c r="AB1" s="1557"/>
      <c r="AC1" s="1557"/>
      <c r="AD1" s="1557"/>
      <c r="AE1" s="1557"/>
      <c r="AF1" s="1557"/>
      <c r="AG1" s="1557"/>
      <c r="AH1" s="1557"/>
      <c r="AI1" s="1557"/>
      <c r="AJ1" s="1557" t="s">
        <v>1033</v>
      </c>
      <c r="AK1" s="1557"/>
      <c r="AL1" s="1557"/>
      <c r="AM1" s="1557"/>
      <c r="AN1" s="1557"/>
      <c r="AO1" s="1557"/>
      <c r="AP1" s="1557"/>
      <c r="AQ1" s="1557"/>
      <c r="AR1" s="1557"/>
      <c r="AS1" s="1557"/>
      <c r="AT1" s="1557"/>
      <c r="AU1" s="1558"/>
      <c r="AV1" s="1559" t="s">
        <v>428</v>
      </c>
      <c r="AW1" s="1560" t="s">
        <v>226</v>
      </c>
      <c r="AX1" s="1560"/>
      <c r="AY1" s="1560"/>
      <c r="AZ1" s="1560"/>
      <c r="BA1" s="1560"/>
      <c r="BB1" s="1560"/>
      <c r="BC1" s="1560"/>
      <c r="BD1" s="1561" t="s">
        <v>1034</v>
      </c>
      <c r="BE1" s="1561"/>
      <c r="BF1" s="1561"/>
      <c r="BG1" s="1561"/>
      <c r="BH1" s="1561"/>
      <c r="BI1" s="1559" t="s">
        <v>427</v>
      </c>
    </row>
    <row r="2" spans="1:61" s="244" customFormat="1" ht="69.75" customHeight="1" x14ac:dyDescent="0.2">
      <c r="A2" s="1553"/>
      <c r="B2" s="1553"/>
      <c r="C2" s="1554"/>
      <c r="D2" s="1555"/>
      <c r="E2" s="738" t="s">
        <v>580</v>
      </c>
      <c r="F2" s="738" t="s">
        <v>579</v>
      </c>
      <c r="G2" s="738" t="s">
        <v>1243</v>
      </c>
      <c r="H2" s="738" t="s">
        <v>584</v>
      </c>
      <c r="I2" s="738" t="s">
        <v>583</v>
      </c>
      <c r="J2" s="738" t="s">
        <v>582</v>
      </c>
      <c r="K2" s="738" t="s">
        <v>599</v>
      </c>
      <c r="L2" s="738" t="s">
        <v>598</v>
      </c>
      <c r="M2" s="738" t="s">
        <v>594</v>
      </c>
      <c r="N2" s="738" t="s">
        <v>1244</v>
      </c>
      <c r="O2" s="738" t="s">
        <v>846</v>
      </c>
      <c r="P2" s="738" t="s">
        <v>590</v>
      </c>
      <c r="Q2" s="738" t="s">
        <v>596</v>
      </c>
      <c r="R2" s="1079" t="s">
        <v>1247</v>
      </c>
      <c r="S2" s="738" t="s">
        <v>585</v>
      </c>
      <c r="T2" s="738" t="s">
        <v>589</v>
      </c>
      <c r="U2" s="738" t="s">
        <v>591</v>
      </c>
      <c r="V2" s="738" t="s">
        <v>592</v>
      </c>
      <c r="W2" s="738" t="s">
        <v>593</v>
      </c>
      <c r="X2" s="738" t="s">
        <v>595</v>
      </c>
      <c r="Y2" s="738" t="s">
        <v>586</v>
      </c>
      <c r="Z2" s="1079" t="s">
        <v>1247</v>
      </c>
      <c r="AA2" s="738" t="s">
        <v>600</v>
      </c>
      <c r="AB2" s="738" t="s">
        <v>587</v>
      </c>
      <c r="AC2" s="1079" t="s">
        <v>1247</v>
      </c>
      <c r="AD2" s="1079" t="s">
        <v>1247</v>
      </c>
      <c r="AE2" s="1079" t="s">
        <v>1247</v>
      </c>
      <c r="AF2" s="738" t="s">
        <v>588</v>
      </c>
      <c r="AG2" s="738" t="s">
        <v>1275</v>
      </c>
      <c r="AH2" s="738" t="s">
        <v>524</v>
      </c>
      <c r="AI2" s="738" t="s">
        <v>649</v>
      </c>
      <c r="AJ2" s="738" t="s">
        <v>648</v>
      </c>
      <c r="AK2" s="738" t="s">
        <v>1245</v>
      </c>
      <c r="AL2" s="738" t="s">
        <v>1053</v>
      </c>
      <c r="AM2" s="738" t="s">
        <v>1248</v>
      </c>
      <c r="AN2" s="738" t="s">
        <v>1246</v>
      </c>
      <c r="AO2" s="1079" t="s">
        <v>1247</v>
      </c>
      <c r="AP2" s="1079" t="s">
        <v>1247</v>
      </c>
      <c r="AQ2" s="1079" t="s">
        <v>1247</v>
      </c>
      <c r="AR2" s="1079" t="s">
        <v>1247</v>
      </c>
      <c r="AS2" s="1079" t="s">
        <v>1247</v>
      </c>
      <c r="AT2" s="738" t="s">
        <v>597</v>
      </c>
      <c r="AU2" s="738" t="s">
        <v>581</v>
      </c>
      <c r="AV2" s="1559"/>
      <c r="AW2" s="739" t="s">
        <v>1036</v>
      </c>
      <c r="AX2" s="739" t="s">
        <v>1037</v>
      </c>
      <c r="AY2" s="739" t="s">
        <v>1038</v>
      </c>
      <c r="AZ2" s="739" t="s">
        <v>1039</v>
      </c>
      <c r="BA2" s="739" t="s">
        <v>1040</v>
      </c>
      <c r="BB2" s="739" t="s">
        <v>1041</v>
      </c>
      <c r="BC2" s="739" t="s">
        <v>1042</v>
      </c>
      <c r="BD2" s="740" t="s">
        <v>601</v>
      </c>
      <c r="BE2" s="740" t="s">
        <v>602</v>
      </c>
      <c r="BF2" s="741" t="s">
        <v>603</v>
      </c>
      <c r="BG2" s="741" t="s">
        <v>604</v>
      </c>
      <c r="BH2" s="741" t="s">
        <v>847</v>
      </c>
      <c r="BI2" s="1559"/>
    </row>
    <row r="3" spans="1:61" s="244" customFormat="1" ht="15" customHeight="1" x14ac:dyDescent="0.2">
      <c r="A3" s="1553"/>
      <c r="B3" s="1553"/>
      <c r="C3" s="1554"/>
      <c r="D3" s="1555"/>
      <c r="E3" s="742">
        <v>343001</v>
      </c>
      <c r="F3" s="742">
        <v>341001</v>
      </c>
      <c r="G3" s="742">
        <v>344001</v>
      </c>
      <c r="H3" s="742">
        <v>348001</v>
      </c>
      <c r="I3" s="742">
        <v>347001</v>
      </c>
      <c r="J3" s="742">
        <v>346001</v>
      </c>
      <c r="K3" s="742" t="s">
        <v>426</v>
      </c>
      <c r="L3" s="742" t="s">
        <v>425</v>
      </c>
      <c r="M3" s="742" t="s">
        <v>421</v>
      </c>
      <c r="N3" s="742" t="s">
        <v>412</v>
      </c>
      <c r="O3" s="742" t="s">
        <v>647</v>
      </c>
      <c r="P3" s="742" t="s">
        <v>417</v>
      </c>
      <c r="Q3" s="742" t="s">
        <v>423</v>
      </c>
      <c r="R3" s="742" t="s">
        <v>1050</v>
      </c>
      <c r="S3" s="742" t="s">
        <v>413</v>
      </c>
      <c r="T3" s="742" t="s">
        <v>416</v>
      </c>
      <c r="U3" s="742" t="s">
        <v>418</v>
      </c>
      <c r="V3" s="742" t="s">
        <v>419</v>
      </c>
      <c r="W3" s="742" t="s">
        <v>420</v>
      </c>
      <c r="X3" s="742" t="s">
        <v>422</v>
      </c>
      <c r="Y3" s="742" t="s">
        <v>414</v>
      </c>
      <c r="Z3" s="742" t="s">
        <v>1050</v>
      </c>
      <c r="AA3" s="742" t="s">
        <v>343</v>
      </c>
      <c r="AB3" s="742" t="s">
        <v>460</v>
      </c>
      <c r="AC3" s="742" t="s">
        <v>1050</v>
      </c>
      <c r="AD3" s="742" t="s">
        <v>1050</v>
      </c>
      <c r="AE3" s="742" t="s">
        <v>1050</v>
      </c>
      <c r="AF3" s="742" t="s">
        <v>499</v>
      </c>
      <c r="AG3" s="742" t="s">
        <v>643</v>
      </c>
      <c r="AH3" s="742" t="s">
        <v>645</v>
      </c>
      <c r="AI3" s="742" t="s">
        <v>646</v>
      </c>
      <c r="AJ3" s="742" t="s">
        <v>434</v>
      </c>
      <c r="AK3" s="742" t="s">
        <v>856</v>
      </c>
      <c r="AL3" s="742" t="s">
        <v>858</v>
      </c>
      <c r="AM3" s="742" t="s">
        <v>1198</v>
      </c>
      <c r="AN3" s="742" t="s">
        <v>1200</v>
      </c>
      <c r="AO3" s="742" t="s">
        <v>1050</v>
      </c>
      <c r="AP3" s="742" t="s">
        <v>1050</v>
      </c>
      <c r="AQ3" s="742" t="s">
        <v>1050</v>
      </c>
      <c r="AR3" s="742" t="s">
        <v>1050</v>
      </c>
      <c r="AS3" s="742" t="s">
        <v>1050</v>
      </c>
      <c r="AT3" s="742" t="s">
        <v>424</v>
      </c>
      <c r="AU3" s="742">
        <v>345001</v>
      </c>
      <c r="AV3" s="1559"/>
      <c r="AW3" s="743">
        <v>321001</v>
      </c>
      <c r="AX3" s="743">
        <v>329001</v>
      </c>
      <c r="AY3" s="743">
        <v>331001</v>
      </c>
      <c r="AZ3" s="743">
        <v>333001</v>
      </c>
      <c r="BA3" s="743">
        <v>336001</v>
      </c>
      <c r="BB3" s="743">
        <v>337001</v>
      </c>
      <c r="BC3" s="743">
        <v>340001</v>
      </c>
      <c r="BD3" s="744">
        <v>318</v>
      </c>
      <c r="BE3" s="744">
        <v>319</v>
      </c>
      <c r="BF3" s="745">
        <v>302006</v>
      </c>
      <c r="BG3" s="745">
        <v>334001</v>
      </c>
      <c r="BH3" s="745" t="s">
        <v>833</v>
      </c>
      <c r="BI3" s="1559"/>
    </row>
    <row r="4" spans="1:61" s="244" customFormat="1" ht="13.9" customHeight="1" x14ac:dyDescent="0.2">
      <c r="A4" s="434"/>
      <c r="B4" s="434"/>
      <c r="C4" s="434">
        <f>B4+1</f>
        <v>1</v>
      </c>
      <c r="D4" s="434">
        <f t="shared" ref="D4:AW4" si="0">C4+1</f>
        <v>2</v>
      </c>
      <c r="E4" s="434">
        <f t="shared" si="0"/>
        <v>3</v>
      </c>
      <c r="F4" s="434">
        <f t="shared" si="0"/>
        <v>4</v>
      </c>
      <c r="G4" s="434">
        <f t="shared" si="0"/>
        <v>5</v>
      </c>
      <c r="H4" s="434">
        <f t="shared" si="0"/>
        <v>6</v>
      </c>
      <c r="I4" s="434">
        <f t="shared" si="0"/>
        <v>7</v>
      </c>
      <c r="J4" s="434">
        <f t="shared" si="0"/>
        <v>8</v>
      </c>
      <c r="K4" s="434">
        <f t="shared" si="0"/>
        <v>9</v>
      </c>
      <c r="L4" s="434">
        <f t="shared" si="0"/>
        <v>10</v>
      </c>
      <c r="M4" s="434">
        <f t="shared" si="0"/>
        <v>11</v>
      </c>
      <c r="N4" s="434">
        <f t="shared" si="0"/>
        <v>12</v>
      </c>
      <c r="O4" s="434">
        <f t="shared" si="0"/>
        <v>13</v>
      </c>
      <c r="P4" s="434">
        <f t="shared" si="0"/>
        <v>14</v>
      </c>
      <c r="Q4" s="434">
        <f t="shared" si="0"/>
        <v>15</v>
      </c>
      <c r="R4" s="434">
        <v>15</v>
      </c>
      <c r="S4" s="434">
        <f t="shared" si="0"/>
        <v>16</v>
      </c>
      <c r="T4" s="434">
        <f t="shared" si="0"/>
        <v>17</v>
      </c>
      <c r="U4" s="434">
        <f t="shared" si="0"/>
        <v>18</v>
      </c>
      <c r="V4" s="434">
        <f t="shared" si="0"/>
        <v>19</v>
      </c>
      <c r="W4" s="434">
        <f t="shared" si="0"/>
        <v>20</v>
      </c>
      <c r="X4" s="434">
        <f t="shared" si="0"/>
        <v>21</v>
      </c>
      <c r="Y4" s="434">
        <f t="shared" si="0"/>
        <v>22</v>
      </c>
      <c r="Z4" s="434">
        <v>22</v>
      </c>
      <c r="AA4" s="434">
        <f t="shared" si="0"/>
        <v>23</v>
      </c>
      <c r="AB4" s="434">
        <f t="shared" si="0"/>
        <v>24</v>
      </c>
      <c r="AC4" s="434"/>
      <c r="AD4" s="434"/>
      <c r="AE4" s="434">
        <v>24</v>
      </c>
      <c r="AF4" s="434">
        <f t="shared" ref="AF4:AL4" si="1">AE4+1</f>
        <v>25</v>
      </c>
      <c r="AG4" s="434">
        <f t="shared" si="1"/>
        <v>26</v>
      </c>
      <c r="AH4" s="434">
        <f t="shared" si="1"/>
        <v>27</v>
      </c>
      <c r="AI4" s="434">
        <f t="shared" si="1"/>
        <v>28</v>
      </c>
      <c r="AJ4" s="434">
        <f t="shared" si="1"/>
        <v>29</v>
      </c>
      <c r="AK4" s="434">
        <f t="shared" si="1"/>
        <v>30</v>
      </c>
      <c r="AL4" s="434">
        <f t="shared" si="1"/>
        <v>31</v>
      </c>
      <c r="AM4" s="434">
        <f>AL4+1</f>
        <v>32</v>
      </c>
      <c r="AN4" s="434">
        <f>AM4+1</f>
        <v>33</v>
      </c>
      <c r="AO4" s="434"/>
      <c r="AP4" s="434"/>
      <c r="AQ4" s="434"/>
      <c r="AR4" s="434"/>
      <c r="AS4" s="434">
        <v>33</v>
      </c>
      <c r="AT4" s="434">
        <f t="shared" si="0"/>
        <v>34</v>
      </c>
      <c r="AU4" s="434">
        <f t="shared" si="0"/>
        <v>35</v>
      </c>
      <c r="AV4" s="434">
        <f t="shared" si="0"/>
        <v>36</v>
      </c>
      <c r="AW4" s="434">
        <f t="shared" si="0"/>
        <v>37</v>
      </c>
      <c r="AX4" s="434">
        <f t="shared" ref="AX4:BI4" si="2">AW4+1</f>
        <v>38</v>
      </c>
      <c r="AY4" s="434">
        <f t="shared" si="2"/>
        <v>39</v>
      </c>
      <c r="AZ4" s="434">
        <f t="shared" si="2"/>
        <v>40</v>
      </c>
      <c r="BA4" s="434">
        <f t="shared" si="2"/>
        <v>41</v>
      </c>
      <c r="BB4" s="434">
        <f t="shared" si="2"/>
        <v>42</v>
      </c>
      <c r="BC4" s="434">
        <f t="shared" si="2"/>
        <v>43</v>
      </c>
      <c r="BD4" s="434">
        <f t="shared" si="2"/>
        <v>44</v>
      </c>
      <c r="BE4" s="434">
        <f t="shared" si="2"/>
        <v>45</v>
      </c>
      <c r="BF4" s="434">
        <f t="shared" si="2"/>
        <v>46</v>
      </c>
      <c r="BG4" s="434">
        <f t="shared" si="2"/>
        <v>47</v>
      </c>
      <c r="BH4" s="434">
        <f t="shared" si="2"/>
        <v>48</v>
      </c>
      <c r="BI4" s="434">
        <f t="shared" si="2"/>
        <v>49</v>
      </c>
    </row>
    <row r="5" spans="1:61" s="244" customFormat="1" ht="17.45" hidden="1" customHeight="1" x14ac:dyDescent="0.2">
      <c r="A5" s="491"/>
      <c r="B5" s="491"/>
      <c r="C5" s="434" t="s">
        <v>605</v>
      </c>
      <c r="D5" s="434" t="s">
        <v>606</v>
      </c>
      <c r="E5" s="434" t="s">
        <v>608</v>
      </c>
      <c r="F5" s="434" t="s">
        <v>607</v>
      </c>
      <c r="G5" s="434" t="s">
        <v>609</v>
      </c>
      <c r="H5" s="434" t="s">
        <v>613</v>
      </c>
      <c r="I5" s="434" t="s">
        <v>612</v>
      </c>
      <c r="J5" s="434" t="s">
        <v>611</v>
      </c>
      <c r="K5" s="434" t="s">
        <v>632</v>
      </c>
      <c r="L5" s="434" t="s">
        <v>631</v>
      </c>
      <c r="M5" s="434" t="s">
        <v>627</v>
      </c>
      <c r="N5" s="434" t="s">
        <v>614</v>
      </c>
      <c r="O5" s="434" t="s">
        <v>621</v>
      </c>
      <c r="P5" s="434" t="s">
        <v>623</v>
      </c>
      <c r="Q5" s="434" t="s">
        <v>629</v>
      </c>
      <c r="R5" s="434"/>
      <c r="S5" s="434" t="s">
        <v>615</v>
      </c>
      <c r="T5" s="434" t="s">
        <v>622</v>
      </c>
      <c r="U5" s="434" t="s">
        <v>624</v>
      </c>
      <c r="V5" s="434" t="s">
        <v>625</v>
      </c>
      <c r="W5" s="434" t="s">
        <v>626</v>
      </c>
      <c r="X5" s="434" t="s">
        <v>628</v>
      </c>
      <c r="Y5" s="434" t="s">
        <v>616</v>
      </c>
      <c r="Z5" s="434"/>
      <c r="AA5" s="434" t="s">
        <v>633</v>
      </c>
      <c r="AB5" s="434" t="s">
        <v>617</v>
      </c>
      <c r="AC5" s="434" t="s">
        <v>618</v>
      </c>
      <c r="AD5" s="434"/>
      <c r="AE5" s="434" t="s">
        <v>619</v>
      </c>
      <c r="AF5" s="434" t="s">
        <v>620</v>
      </c>
      <c r="AG5" s="434"/>
      <c r="AH5" s="434"/>
      <c r="AI5" s="434"/>
      <c r="AJ5" s="434"/>
      <c r="AK5" s="434"/>
      <c r="AL5" s="434"/>
      <c r="AM5" s="434"/>
      <c r="AN5" s="434"/>
      <c r="AO5" s="434"/>
      <c r="AP5" s="434"/>
      <c r="AQ5" s="434"/>
      <c r="AR5" s="434"/>
      <c r="AS5" s="434"/>
      <c r="AT5" s="434" t="s">
        <v>630</v>
      </c>
      <c r="AU5" s="434" t="s">
        <v>610</v>
      </c>
      <c r="AV5" s="434" t="s">
        <v>650</v>
      </c>
      <c r="AW5" s="434" t="s">
        <v>634</v>
      </c>
      <c r="AX5" s="434" t="s">
        <v>635</v>
      </c>
      <c r="AY5" s="434" t="s">
        <v>636</v>
      </c>
      <c r="AZ5" s="434" t="s">
        <v>637</v>
      </c>
      <c r="BA5" s="434" t="s">
        <v>638</v>
      </c>
      <c r="BB5" s="434" t="s">
        <v>639</v>
      </c>
      <c r="BC5" s="434" t="s">
        <v>640</v>
      </c>
      <c r="BD5" s="434" t="s">
        <v>641</v>
      </c>
      <c r="BE5" s="434" t="s">
        <v>651</v>
      </c>
      <c r="BF5" s="434" t="s">
        <v>652</v>
      </c>
      <c r="BG5" s="434" t="s">
        <v>653</v>
      </c>
      <c r="BH5" s="547"/>
      <c r="BI5" s="434" t="s">
        <v>654</v>
      </c>
    </row>
    <row r="6" spans="1:61" s="244" customFormat="1" ht="51" hidden="1" customHeight="1" x14ac:dyDescent="0.2">
      <c r="A6" s="491"/>
      <c r="B6" s="491"/>
      <c r="C6" s="490" t="s">
        <v>642</v>
      </c>
      <c r="D6" s="490" t="s">
        <v>642</v>
      </c>
      <c r="E6" s="490" t="s">
        <v>642</v>
      </c>
      <c r="F6" s="490" t="s">
        <v>642</v>
      </c>
      <c r="G6" s="490" t="s">
        <v>642</v>
      </c>
      <c r="H6" s="490" t="s">
        <v>642</v>
      </c>
      <c r="I6" s="490" t="s">
        <v>642</v>
      </c>
      <c r="J6" s="490" t="s">
        <v>642</v>
      </c>
      <c r="K6" s="490" t="s">
        <v>642</v>
      </c>
      <c r="L6" s="490" t="s">
        <v>642</v>
      </c>
      <c r="M6" s="490" t="s">
        <v>642</v>
      </c>
      <c r="N6" s="490" t="s">
        <v>642</v>
      </c>
      <c r="O6" s="490" t="s">
        <v>642</v>
      </c>
      <c r="P6" s="490" t="s">
        <v>642</v>
      </c>
      <c r="Q6" s="490" t="s">
        <v>642</v>
      </c>
      <c r="R6" s="490"/>
      <c r="S6" s="490" t="s">
        <v>642</v>
      </c>
      <c r="T6" s="490" t="s">
        <v>642</v>
      </c>
      <c r="U6" s="490" t="s">
        <v>642</v>
      </c>
      <c r="V6" s="490" t="s">
        <v>642</v>
      </c>
      <c r="W6" s="490" t="s">
        <v>642</v>
      </c>
      <c r="X6" s="490" t="s">
        <v>642</v>
      </c>
      <c r="Y6" s="490" t="s">
        <v>642</v>
      </c>
      <c r="Z6" s="490"/>
      <c r="AA6" s="490" t="s">
        <v>642</v>
      </c>
      <c r="AB6" s="490" t="s">
        <v>642</v>
      </c>
      <c r="AC6" s="490" t="s">
        <v>642</v>
      </c>
      <c r="AD6" s="490"/>
      <c r="AE6" s="490" t="s">
        <v>642</v>
      </c>
      <c r="AF6" s="490" t="s">
        <v>642</v>
      </c>
      <c r="AG6" s="490"/>
      <c r="AH6" s="490"/>
      <c r="AI6" s="490"/>
      <c r="AJ6" s="490"/>
      <c r="AK6" s="490"/>
      <c r="AL6" s="490"/>
      <c r="AM6" s="490"/>
      <c r="AN6" s="490"/>
      <c r="AO6" s="490"/>
      <c r="AP6" s="490"/>
      <c r="AQ6" s="490"/>
      <c r="AR6" s="490"/>
      <c r="AS6" s="490"/>
      <c r="AT6" s="490" t="s">
        <v>642</v>
      </c>
      <c r="AU6" s="490" t="s">
        <v>642</v>
      </c>
      <c r="AV6" s="490" t="s">
        <v>555</v>
      </c>
      <c r="AW6" s="490" t="s">
        <v>642</v>
      </c>
      <c r="AX6" s="490" t="s">
        <v>642</v>
      </c>
      <c r="AY6" s="490" t="s">
        <v>642</v>
      </c>
      <c r="AZ6" s="490" t="s">
        <v>642</v>
      </c>
      <c r="BA6" s="490" t="s">
        <v>642</v>
      </c>
      <c r="BB6" s="490" t="s">
        <v>642</v>
      </c>
      <c r="BC6" s="490" t="s">
        <v>642</v>
      </c>
      <c r="BD6" s="490" t="s">
        <v>642</v>
      </c>
      <c r="BE6" s="490" t="s">
        <v>642</v>
      </c>
      <c r="BF6" s="490" t="s">
        <v>642</v>
      </c>
      <c r="BG6" s="490" t="s">
        <v>642</v>
      </c>
      <c r="BH6" s="543"/>
      <c r="BI6" s="490" t="s">
        <v>555</v>
      </c>
    </row>
    <row r="7" spans="1:61" s="242" customFormat="1" ht="16.149999999999999" customHeight="1" x14ac:dyDescent="0.2">
      <c r="A7" s="245" t="s">
        <v>81</v>
      </c>
      <c r="B7" s="236" t="s">
        <v>132</v>
      </c>
      <c r="C7" s="237">
        <v>9345</v>
      </c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>
        <v>1</v>
      </c>
      <c r="X7" s="237">
        <v>19</v>
      </c>
      <c r="Y7" s="237">
        <v>4</v>
      </c>
      <c r="Z7" s="237" t="s">
        <v>355</v>
      </c>
      <c r="AA7" s="237"/>
      <c r="AB7" s="266"/>
      <c r="AC7" s="266"/>
      <c r="AD7" s="266"/>
      <c r="AE7" s="266"/>
      <c r="AF7" s="266"/>
      <c r="AG7" s="266"/>
      <c r="AH7" s="266">
        <v>2</v>
      </c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37">
        <v>24</v>
      </c>
      <c r="AU7" s="237">
        <v>37</v>
      </c>
      <c r="AV7" s="246">
        <f t="shared" ref="AV7:AV38" si="3">SUM(C7:AU7)</f>
        <v>9432</v>
      </c>
      <c r="AW7" s="237"/>
      <c r="AX7" s="237"/>
      <c r="AY7" s="237"/>
      <c r="AZ7" s="237"/>
      <c r="BA7" s="237"/>
      <c r="BB7" s="237"/>
      <c r="BC7" s="237"/>
      <c r="BD7" s="237"/>
      <c r="BE7" s="237"/>
      <c r="BF7" s="237">
        <v>5</v>
      </c>
      <c r="BG7" s="237"/>
      <c r="BH7" s="548"/>
      <c r="BI7" s="246">
        <f t="shared" ref="BI7:BI38" si="4">SUM(AV7:BH7)</f>
        <v>9437</v>
      </c>
    </row>
    <row r="8" spans="1:61" s="242" customFormat="1" ht="16.149999999999999" customHeight="1" x14ac:dyDescent="0.2">
      <c r="A8" s="247" t="s">
        <v>133</v>
      </c>
      <c r="B8" s="232" t="s">
        <v>134</v>
      </c>
      <c r="C8" s="233">
        <v>3918</v>
      </c>
      <c r="D8" s="233"/>
      <c r="E8" s="233"/>
      <c r="F8" s="233"/>
      <c r="G8" s="233"/>
      <c r="H8" s="233"/>
      <c r="I8" s="233"/>
      <c r="J8" s="233">
        <v>1</v>
      </c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>
        <v>1</v>
      </c>
      <c r="V8" s="233"/>
      <c r="W8" s="233"/>
      <c r="X8" s="233"/>
      <c r="Y8" s="233"/>
      <c r="Z8" s="233" t="s">
        <v>355</v>
      </c>
      <c r="AA8" s="233"/>
      <c r="AB8" s="233"/>
      <c r="AC8" s="233"/>
      <c r="AD8" s="233"/>
      <c r="AE8" s="233"/>
      <c r="AF8" s="233"/>
      <c r="AG8" s="233"/>
      <c r="AH8" s="233"/>
      <c r="AI8" s="233"/>
      <c r="AJ8" s="233"/>
      <c r="AK8" s="233"/>
      <c r="AL8" s="233"/>
      <c r="AM8" s="233"/>
      <c r="AN8" s="233"/>
      <c r="AO8" s="233"/>
      <c r="AP8" s="233"/>
      <c r="AQ8" s="233"/>
      <c r="AR8" s="233"/>
      <c r="AS8" s="233"/>
      <c r="AT8" s="233">
        <v>11</v>
      </c>
      <c r="AU8" s="233">
        <v>16</v>
      </c>
      <c r="AV8" s="248">
        <f t="shared" si="3"/>
        <v>3947</v>
      </c>
      <c r="AW8" s="233"/>
      <c r="AX8" s="233"/>
      <c r="AY8" s="233"/>
      <c r="AZ8" s="233"/>
      <c r="BA8" s="233"/>
      <c r="BB8" s="233"/>
      <c r="BC8" s="233"/>
      <c r="BD8" s="233"/>
      <c r="BE8" s="233"/>
      <c r="BF8" s="233">
        <v>1</v>
      </c>
      <c r="BG8" s="233"/>
      <c r="BH8" s="233"/>
      <c r="BI8" s="248">
        <f t="shared" si="4"/>
        <v>3948</v>
      </c>
    </row>
    <row r="9" spans="1:61" s="242" customFormat="1" ht="16.149999999999999" customHeight="1" x14ac:dyDescent="0.2">
      <c r="A9" s="247" t="s">
        <v>82</v>
      </c>
      <c r="B9" s="232" t="s">
        <v>135</v>
      </c>
      <c r="C9" s="233">
        <v>22555</v>
      </c>
      <c r="D9" s="233"/>
      <c r="E9" s="233">
        <v>2</v>
      </c>
      <c r="F9" s="233"/>
      <c r="G9" s="233"/>
      <c r="H9" s="233"/>
      <c r="I9" s="233"/>
      <c r="J9" s="233"/>
      <c r="K9" s="233"/>
      <c r="L9" s="233"/>
      <c r="M9" s="233">
        <v>16</v>
      </c>
      <c r="N9" s="233"/>
      <c r="O9" s="233">
        <v>5</v>
      </c>
      <c r="P9" s="233"/>
      <c r="Q9" s="233"/>
      <c r="R9" s="233"/>
      <c r="S9" s="233"/>
      <c r="T9" s="233">
        <v>14</v>
      </c>
      <c r="U9" s="233"/>
      <c r="V9" s="233"/>
      <c r="W9" s="233"/>
      <c r="X9" s="233"/>
      <c r="Y9" s="233"/>
      <c r="Z9" s="233" t="s">
        <v>355</v>
      </c>
      <c r="AA9" s="233"/>
      <c r="AB9" s="233"/>
      <c r="AC9" s="233"/>
      <c r="AD9" s="233"/>
      <c r="AE9" s="233"/>
      <c r="AF9" s="233">
        <v>1</v>
      </c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3"/>
      <c r="AS9" s="233"/>
      <c r="AT9" s="233">
        <v>34</v>
      </c>
      <c r="AU9" s="233">
        <v>85</v>
      </c>
      <c r="AV9" s="248">
        <f t="shared" si="3"/>
        <v>22712</v>
      </c>
      <c r="AW9" s="233"/>
      <c r="AX9" s="233"/>
      <c r="AY9" s="233"/>
      <c r="AZ9" s="233"/>
      <c r="BA9" s="233"/>
      <c r="BB9" s="233"/>
      <c r="BC9" s="233"/>
      <c r="BD9" s="233"/>
      <c r="BE9" s="233"/>
      <c r="BF9" s="233">
        <v>11</v>
      </c>
      <c r="BG9" s="233"/>
      <c r="BH9" s="233">
        <v>9</v>
      </c>
      <c r="BI9" s="248">
        <f t="shared" si="4"/>
        <v>22732</v>
      </c>
    </row>
    <row r="10" spans="1:61" s="242" customFormat="1" ht="16.149999999999999" customHeight="1" x14ac:dyDescent="0.2">
      <c r="A10" s="247" t="s">
        <v>83</v>
      </c>
      <c r="B10" s="232" t="s">
        <v>136</v>
      </c>
      <c r="C10" s="233">
        <v>3039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>
        <v>6</v>
      </c>
      <c r="U10" s="233"/>
      <c r="V10" s="233"/>
      <c r="W10" s="233"/>
      <c r="X10" s="233"/>
      <c r="Y10" s="233"/>
      <c r="Z10" s="233" t="s">
        <v>355</v>
      </c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>
        <v>9</v>
      </c>
      <c r="AU10" s="233">
        <v>7</v>
      </c>
      <c r="AV10" s="248">
        <f t="shared" si="3"/>
        <v>3061</v>
      </c>
      <c r="AW10" s="233"/>
      <c r="AX10" s="233"/>
      <c r="AY10" s="233"/>
      <c r="AZ10" s="233"/>
      <c r="BA10" s="233"/>
      <c r="BB10" s="233"/>
      <c r="BC10" s="233">
        <v>6</v>
      </c>
      <c r="BD10" s="233"/>
      <c r="BE10" s="233"/>
      <c r="BF10" s="233">
        <v>2</v>
      </c>
      <c r="BG10" s="233"/>
      <c r="BH10" s="233"/>
      <c r="BI10" s="248">
        <f t="shared" si="4"/>
        <v>3069</v>
      </c>
    </row>
    <row r="11" spans="1:61" s="242" customFormat="1" ht="16.149999999999999" customHeight="1" x14ac:dyDescent="0.2">
      <c r="A11" s="249" t="s">
        <v>137</v>
      </c>
      <c r="B11" s="234" t="s">
        <v>138</v>
      </c>
      <c r="C11" s="235">
        <v>4904</v>
      </c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 t="s">
        <v>355</v>
      </c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>
        <v>197</v>
      </c>
      <c r="AO11" s="235"/>
      <c r="AP11" s="235"/>
      <c r="AQ11" s="235"/>
      <c r="AR11" s="235"/>
      <c r="AS11" s="235"/>
      <c r="AT11" s="235">
        <v>24</v>
      </c>
      <c r="AU11" s="235">
        <v>44</v>
      </c>
      <c r="AV11" s="250">
        <f t="shared" si="3"/>
        <v>5169</v>
      </c>
      <c r="AW11" s="235"/>
      <c r="AX11" s="235"/>
      <c r="AY11" s="235"/>
      <c r="AZ11" s="235">
        <v>712</v>
      </c>
      <c r="BA11" s="235"/>
      <c r="BB11" s="235"/>
      <c r="BC11" s="235"/>
      <c r="BD11" s="235"/>
      <c r="BE11" s="235"/>
      <c r="BF11" s="235">
        <v>3</v>
      </c>
      <c r="BG11" s="235"/>
      <c r="BH11" s="549"/>
      <c r="BI11" s="250">
        <f t="shared" si="4"/>
        <v>5884</v>
      </c>
    </row>
    <row r="12" spans="1:61" s="242" customFormat="1" ht="16.149999999999999" customHeight="1" x14ac:dyDescent="0.2">
      <c r="A12" s="245" t="s">
        <v>84</v>
      </c>
      <c r="B12" s="236" t="s">
        <v>139</v>
      </c>
      <c r="C12" s="237">
        <v>5746</v>
      </c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 t="s">
        <v>355</v>
      </c>
      <c r="AA12" s="237"/>
      <c r="AB12" s="266"/>
      <c r="AC12" s="266"/>
      <c r="AD12" s="266"/>
      <c r="AE12" s="266"/>
      <c r="AF12" s="266"/>
      <c r="AG12" s="266"/>
      <c r="AH12" s="266"/>
      <c r="AI12" s="266"/>
      <c r="AJ12" s="266"/>
      <c r="AK12" s="266"/>
      <c r="AL12" s="266"/>
      <c r="AM12" s="266"/>
      <c r="AN12" s="266"/>
      <c r="AO12" s="266"/>
      <c r="AP12" s="266"/>
      <c r="AQ12" s="266"/>
      <c r="AR12" s="266"/>
      <c r="AS12" s="266"/>
      <c r="AT12" s="237">
        <v>27</v>
      </c>
      <c r="AU12" s="237">
        <v>12</v>
      </c>
      <c r="AV12" s="246">
        <f t="shared" si="3"/>
        <v>5785</v>
      </c>
      <c r="AW12" s="237"/>
      <c r="AX12" s="237"/>
      <c r="AY12" s="237"/>
      <c r="AZ12" s="237"/>
      <c r="BA12" s="237"/>
      <c r="BB12" s="237"/>
      <c r="BC12" s="237"/>
      <c r="BD12" s="237"/>
      <c r="BE12" s="237"/>
      <c r="BF12" s="237">
        <v>1</v>
      </c>
      <c r="BG12" s="237"/>
      <c r="BH12" s="548"/>
      <c r="BI12" s="246">
        <f t="shared" si="4"/>
        <v>5786</v>
      </c>
    </row>
    <row r="13" spans="1:61" s="242" customFormat="1" ht="16.149999999999999" customHeight="1" x14ac:dyDescent="0.2">
      <c r="A13" s="247" t="s">
        <v>85</v>
      </c>
      <c r="B13" s="232" t="s">
        <v>140</v>
      </c>
      <c r="C13" s="233">
        <v>2029</v>
      </c>
      <c r="D13" s="233"/>
      <c r="E13" s="233"/>
      <c r="F13" s="233">
        <v>2</v>
      </c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 t="s">
        <v>355</v>
      </c>
      <c r="AA13" s="233"/>
      <c r="AB13" s="233">
        <v>38</v>
      </c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>
        <v>8</v>
      </c>
      <c r="AU13" s="233">
        <v>5</v>
      </c>
      <c r="AV13" s="248">
        <f t="shared" si="3"/>
        <v>2082</v>
      </c>
      <c r="AW13" s="233"/>
      <c r="AX13" s="233"/>
      <c r="AY13" s="233"/>
      <c r="AZ13" s="233"/>
      <c r="BA13" s="233"/>
      <c r="BB13" s="233"/>
      <c r="BC13" s="233"/>
      <c r="BD13" s="233"/>
      <c r="BE13" s="233"/>
      <c r="BF13" s="233">
        <v>1</v>
      </c>
      <c r="BG13" s="233"/>
      <c r="BH13" s="233"/>
      <c r="BI13" s="248">
        <f t="shared" si="4"/>
        <v>2083</v>
      </c>
    </row>
    <row r="14" spans="1:61" s="242" customFormat="1" ht="16.149999999999999" customHeight="1" x14ac:dyDescent="0.2">
      <c r="A14" s="247" t="s">
        <v>86</v>
      </c>
      <c r="B14" s="232" t="s">
        <v>141</v>
      </c>
      <c r="C14" s="233">
        <v>22266</v>
      </c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 t="s">
        <v>355</v>
      </c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>
        <v>70</v>
      </c>
      <c r="AU14" s="233">
        <v>37</v>
      </c>
      <c r="AV14" s="248">
        <f t="shared" si="3"/>
        <v>22373</v>
      </c>
      <c r="AW14" s="233"/>
      <c r="AX14" s="233"/>
      <c r="AY14" s="233"/>
      <c r="AZ14" s="233"/>
      <c r="BA14" s="233"/>
      <c r="BB14" s="233"/>
      <c r="BC14" s="233"/>
      <c r="BD14" s="233"/>
      <c r="BE14" s="233"/>
      <c r="BF14" s="233">
        <v>10</v>
      </c>
      <c r="BG14" s="233"/>
      <c r="BH14" s="233"/>
      <c r="BI14" s="248">
        <f t="shared" si="4"/>
        <v>22383</v>
      </c>
    </row>
    <row r="15" spans="1:61" s="242" customFormat="1" ht="16.149999999999999" customHeight="1" x14ac:dyDescent="0.2">
      <c r="A15" s="247" t="s">
        <v>87</v>
      </c>
      <c r="B15" s="232" t="s">
        <v>142</v>
      </c>
      <c r="C15" s="233">
        <v>36752</v>
      </c>
      <c r="D15" s="233">
        <v>952</v>
      </c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 t="s">
        <v>355</v>
      </c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>
        <v>124</v>
      </c>
      <c r="AU15" s="233">
        <v>80</v>
      </c>
      <c r="AV15" s="248">
        <f t="shared" si="3"/>
        <v>37908</v>
      </c>
      <c r="AW15" s="233"/>
      <c r="AX15" s="233"/>
      <c r="AY15" s="233"/>
      <c r="AZ15" s="233"/>
      <c r="BA15" s="233"/>
      <c r="BB15" s="233"/>
      <c r="BC15" s="233"/>
      <c r="BD15" s="233"/>
      <c r="BE15" s="233"/>
      <c r="BF15" s="233">
        <v>12</v>
      </c>
      <c r="BG15" s="233"/>
      <c r="BH15" s="233"/>
      <c r="BI15" s="248">
        <f t="shared" si="4"/>
        <v>37920</v>
      </c>
    </row>
    <row r="16" spans="1:61" s="242" customFormat="1" ht="16.149999999999999" customHeight="1" x14ac:dyDescent="0.2">
      <c r="A16" s="249" t="s">
        <v>88</v>
      </c>
      <c r="B16" s="234" t="s">
        <v>143</v>
      </c>
      <c r="C16" s="235">
        <v>30476</v>
      </c>
      <c r="D16" s="235"/>
      <c r="E16" s="235"/>
      <c r="F16" s="235"/>
      <c r="G16" s="235"/>
      <c r="H16" s="235"/>
      <c r="I16" s="235"/>
      <c r="J16" s="235">
        <v>912</v>
      </c>
      <c r="K16" s="235"/>
      <c r="L16" s="235">
        <v>678</v>
      </c>
      <c r="M16" s="235"/>
      <c r="N16" s="235"/>
      <c r="O16" s="235"/>
      <c r="P16" s="235"/>
      <c r="Q16" s="235"/>
      <c r="R16" s="235"/>
      <c r="S16" s="235"/>
      <c r="T16" s="235">
        <v>1</v>
      </c>
      <c r="U16" s="235">
        <v>493</v>
      </c>
      <c r="V16" s="235"/>
      <c r="W16" s="235"/>
      <c r="X16" s="235"/>
      <c r="Y16" s="235"/>
      <c r="Z16" s="235" t="s">
        <v>355</v>
      </c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>
        <v>65</v>
      </c>
      <c r="AU16" s="235">
        <v>94</v>
      </c>
      <c r="AV16" s="250">
        <f t="shared" si="3"/>
        <v>32719</v>
      </c>
      <c r="AW16" s="235"/>
      <c r="AX16" s="235"/>
      <c r="AY16" s="235"/>
      <c r="AZ16" s="235">
        <v>1</v>
      </c>
      <c r="BA16" s="235"/>
      <c r="BB16" s="235"/>
      <c r="BC16" s="235"/>
      <c r="BD16" s="235"/>
      <c r="BE16" s="235"/>
      <c r="BF16" s="235">
        <v>30</v>
      </c>
      <c r="BG16" s="235"/>
      <c r="BH16" s="549"/>
      <c r="BI16" s="250">
        <f t="shared" si="4"/>
        <v>32750</v>
      </c>
    </row>
    <row r="17" spans="1:61" s="242" customFormat="1" ht="16.149999999999999" customHeight="1" x14ac:dyDescent="0.2">
      <c r="A17" s="245" t="s">
        <v>89</v>
      </c>
      <c r="B17" s="236" t="s">
        <v>144</v>
      </c>
      <c r="C17" s="237">
        <v>1536</v>
      </c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 t="s">
        <v>355</v>
      </c>
      <c r="AA17" s="237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6"/>
      <c r="AP17" s="266"/>
      <c r="AQ17" s="266"/>
      <c r="AR17" s="266"/>
      <c r="AS17" s="266"/>
      <c r="AT17" s="237">
        <v>2</v>
      </c>
      <c r="AU17" s="237">
        <v>7</v>
      </c>
      <c r="AV17" s="246">
        <f t="shared" si="3"/>
        <v>1545</v>
      </c>
      <c r="AW17" s="237"/>
      <c r="AX17" s="237"/>
      <c r="AY17" s="237"/>
      <c r="AZ17" s="237"/>
      <c r="BA17" s="237"/>
      <c r="BB17" s="237"/>
      <c r="BC17" s="237"/>
      <c r="BD17" s="237"/>
      <c r="BE17" s="237"/>
      <c r="BF17" s="237">
        <v>1</v>
      </c>
      <c r="BG17" s="237"/>
      <c r="BH17" s="548"/>
      <c r="BI17" s="246">
        <f t="shared" si="4"/>
        <v>1546</v>
      </c>
    </row>
    <row r="18" spans="1:61" s="242" customFormat="1" ht="16.149999999999999" customHeight="1" x14ac:dyDescent="0.2">
      <c r="A18" s="247" t="s">
        <v>145</v>
      </c>
      <c r="B18" s="232" t="s">
        <v>146</v>
      </c>
      <c r="C18" s="233">
        <v>1278</v>
      </c>
      <c r="D18" s="233"/>
      <c r="E18" s="233"/>
      <c r="F18" s="233"/>
      <c r="G18" s="233"/>
      <c r="H18" s="233"/>
      <c r="I18" s="233"/>
      <c r="J18" s="233"/>
      <c r="K18" s="233"/>
      <c r="L18" s="233">
        <v>2</v>
      </c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 t="s">
        <v>355</v>
      </c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>
        <v>2</v>
      </c>
      <c r="AV18" s="248">
        <f t="shared" si="3"/>
        <v>1282</v>
      </c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48">
        <f t="shared" si="4"/>
        <v>1282</v>
      </c>
    </row>
    <row r="19" spans="1:61" s="242" customFormat="1" ht="16.149999999999999" customHeight="1" x14ac:dyDescent="0.2">
      <c r="A19" s="247" t="s">
        <v>147</v>
      </c>
      <c r="B19" s="232" t="s">
        <v>148</v>
      </c>
      <c r="C19" s="233">
        <v>1101</v>
      </c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>
        <v>88</v>
      </c>
      <c r="Q19" s="233"/>
      <c r="R19" s="233"/>
      <c r="S19" s="233"/>
      <c r="T19" s="233"/>
      <c r="U19" s="233"/>
      <c r="V19" s="233"/>
      <c r="W19" s="233"/>
      <c r="X19" s="233"/>
      <c r="Y19" s="233"/>
      <c r="Z19" s="233" t="s">
        <v>355</v>
      </c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>
        <v>6</v>
      </c>
      <c r="AU19" s="233">
        <v>7</v>
      </c>
      <c r="AV19" s="248">
        <f t="shared" si="3"/>
        <v>1202</v>
      </c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48">
        <f t="shared" si="4"/>
        <v>1202</v>
      </c>
    </row>
    <row r="20" spans="1:61" s="242" customFormat="1" ht="16.149999999999999" customHeight="1" x14ac:dyDescent="0.2">
      <c r="A20" s="247" t="s">
        <v>149</v>
      </c>
      <c r="B20" s="232" t="s">
        <v>150</v>
      </c>
      <c r="C20" s="233">
        <v>1603</v>
      </c>
      <c r="D20" s="233"/>
      <c r="E20" s="233"/>
      <c r="F20" s="233">
        <v>1</v>
      </c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>
        <v>45</v>
      </c>
      <c r="W20" s="233"/>
      <c r="X20" s="233"/>
      <c r="Y20" s="233"/>
      <c r="Z20" s="233" t="s">
        <v>355</v>
      </c>
      <c r="AA20" s="233"/>
      <c r="AB20" s="233">
        <v>51</v>
      </c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>
        <v>4</v>
      </c>
      <c r="AU20" s="233">
        <v>4</v>
      </c>
      <c r="AV20" s="248">
        <f t="shared" si="3"/>
        <v>1708</v>
      </c>
      <c r="AW20" s="233">
        <v>1</v>
      </c>
      <c r="AX20" s="233"/>
      <c r="AY20" s="233"/>
      <c r="AZ20" s="233"/>
      <c r="BA20" s="233"/>
      <c r="BB20" s="233"/>
      <c r="BC20" s="233"/>
      <c r="BD20" s="233"/>
      <c r="BE20" s="233"/>
      <c r="BF20" s="233">
        <v>1</v>
      </c>
      <c r="BG20" s="233"/>
      <c r="BH20" s="233"/>
      <c r="BI20" s="248">
        <f t="shared" si="4"/>
        <v>1710</v>
      </c>
    </row>
    <row r="21" spans="1:61" s="242" customFormat="1" ht="16.149999999999999" customHeight="1" x14ac:dyDescent="0.2">
      <c r="A21" s="249" t="s">
        <v>151</v>
      </c>
      <c r="B21" s="234" t="s">
        <v>152</v>
      </c>
      <c r="C21" s="235">
        <v>3177</v>
      </c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>
        <v>331</v>
      </c>
      <c r="Q21" s="235"/>
      <c r="R21" s="235"/>
      <c r="S21" s="235"/>
      <c r="T21" s="235"/>
      <c r="U21" s="235"/>
      <c r="V21" s="235"/>
      <c r="W21" s="235"/>
      <c r="X21" s="235"/>
      <c r="Y21" s="235"/>
      <c r="Z21" s="235" t="s">
        <v>355</v>
      </c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>
        <v>7</v>
      </c>
      <c r="AU21" s="235">
        <v>7</v>
      </c>
      <c r="AV21" s="250">
        <f t="shared" si="3"/>
        <v>3522</v>
      </c>
      <c r="AW21" s="235"/>
      <c r="AX21" s="235"/>
      <c r="AY21" s="235"/>
      <c r="AZ21" s="235"/>
      <c r="BA21" s="235"/>
      <c r="BB21" s="235"/>
      <c r="BC21" s="235"/>
      <c r="BD21" s="235"/>
      <c r="BE21" s="235"/>
      <c r="BF21" s="235">
        <v>2</v>
      </c>
      <c r="BG21" s="235"/>
      <c r="BH21" s="549"/>
      <c r="BI21" s="250">
        <f t="shared" si="4"/>
        <v>3524</v>
      </c>
    </row>
    <row r="22" spans="1:61" s="242" customFormat="1" ht="16.149999999999999" customHeight="1" x14ac:dyDescent="0.2">
      <c r="A22" s="245" t="s">
        <v>153</v>
      </c>
      <c r="B22" s="236" t="s">
        <v>154</v>
      </c>
      <c r="C22" s="237">
        <v>4783</v>
      </c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 t="s">
        <v>355</v>
      </c>
      <c r="AA22" s="237"/>
      <c r="AB22" s="266"/>
      <c r="AC22" s="266"/>
      <c r="AD22" s="266"/>
      <c r="AE22" s="266"/>
      <c r="AF22" s="266"/>
      <c r="AG22" s="266"/>
      <c r="AH22" s="266"/>
      <c r="AI22" s="266"/>
      <c r="AJ22" s="266"/>
      <c r="AK22" s="266"/>
      <c r="AL22" s="266"/>
      <c r="AM22" s="266"/>
      <c r="AN22" s="266"/>
      <c r="AO22" s="266"/>
      <c r="AP22" s="266"/>
      <c r="AQ22" s="266"/>
      <c r="AR22" s="266"/>
      <c r="AS22" s="266"/>
      <c r="AT22" s="237">
        <v>16</v>
      </c>
      <c r="AU22" s="237">
        <v>8</v>
      </c>
      <c r="AV22" s="246">
        <f t="shared" si="3"/>
        <v>4807</v>
      </c>
      <c r="AW22" s="237"/>
      <c r="AX22" s="237"/>
      <c r="AY22" s="237"/>
      <c r="AZ22" s="237"/>
      <c r="BA22" s="237"/>
      <c r="BB22" s="237"/>
      <c r="BC22" s="237"/>
      <c r="BD22" s="237"/>
      <c r="BE22" s="237"/>
      <c r="BF22" s="237">
        <v>2</v>
      </c>
      <c r="BG22" s="237"/>
      <c r="BH22" s="548"/>
      <c r="BI22" s="246">
        <f t="shared" si="4"/>
        <v>4809</v>
      </c>
    </row>
    <row r="23" spans="1:61" s="242" customFormat="1" ht="16.149999999999999" customHeight="1" x14ac:dyDescent="0.2">
      <c r="A23" s="247" t="s">
        <v>90</v>
      </c>
      <c r="B23" s="232" t="s">
        <v>155</v>
      </c>
      <c r="C23" s="233">
        <v>39459</v>
      </c>
      <c r="D23" s="233">
        <v>2070</v>
      </c>
      <c r="E23" s="233">
        <v>526</v>
      </c>
      <c r="F23" s="233"/>
      <c r="G23" s="233"/>
      <c r="H23" s="233"/>
      <c r="I23" s="233"/>
      <c r="J23" s="233"/>
      <c r="K23" s="233"/>
      <c r="L23" s="233">
        <v>1</v>
      </c>
      <c r="M23" s="233">
        <v>262</v>
      </c>
      <c r="N23" s="233"/>
      <c r="O23" s="233">
        <v>684</v>
      </c>
      <c r="P23" s="233"/>
      <c r="Q23" s="233">
        <v>204</v>
      </c>
      <c r="R23" s="233"/>
      <c r="S23" s="233">
        <v>170</v>
      </c>
      <c r="T23" s="233">
        <v>1</v>
      </c>
      <c r="U23" s="233"/>
      <c r="V23" s="233"/>
      <c r="W23" s="233"/>
      <c r="X23" s="233"/>
      <c r="Y23" s="233"/>
      <c r="Z23" s="233" t="s">
        <v>355</v>
      </c>
      <c r="AA23" s="233">
        <v>630</v>
      </c>
      <c r="AB23" s="233"/>
      <c r="AC23" s="233"/>
      <c r="AD23" s="233"/>
      <c r="AE23" s="233"/>
      <c r="AF23" s="233"/>
      <c r="AG23" s="233"/>
      <c r="AH23" s="233"/>
      <c r="AI23" s="233">
        <v>387</v>
      </c>
      <c r="AJ23" s="233">
        <v>339</v>
      </c>
      <c r="AK23" s="233"/>
      <c r="AL23" s="233"/>
      <c r="AM23" s="233">
        <v>89</v>
      </c>
      <c r="AN23" s="233"/>
      <c r="AO23" s="233"/>
      <c r="AP23" s="233"/>
      <c r="AQ23" s="233"/>
      <c r="AR23" s="233"/>
      <c r="AS23" s="233"/>
      <c r="AT23" s="233">
        <v>98</v>
      </c>
      <c r="AU23" s="233">
        <v>288</v>
      </c>
      <c r="AV23" s="248">
        <f t="shared" si="3"/>
        <v>45208</v>
      </c>
      <c r="AW23" s="233"/>
      <c r="AX23" s="233"/>
      <c r="AY23" s="233"/>
      <c r="AZ23" s="233"/>
      <c r="BA23" s="233"/>
      <c r="BB23" s="233"/>
      <c r="BC23" s="233"/>
      <c r="BD23" s="233">
        <v>1420</v>
      </c>
      <c r="BE23" s="233">
        <v>513</v>
      </c>
      <c r="BF23" s="233">
        <v>9</v>
      </c>
      <c r="BG23" s="233"/>
      <c r="BH23" s="233">
        <v>132</v>
      </c>
      <c r="BI23" s="248">
        <f t="shared" si="4"/>
        <v>47282</v>
      </c>
    </row>
    <row r="24" spans="1:61" s="242" customFormat="1" ht="16.149999999999999" customHeight="1" x14ac:dyDescent="0.2">
      <c r="A24" s="247" t="s">
        <v>156</v>
      </c>
      <c r="B24" s="232" t="s">
        <v>157</v>
      </c>
      <c r="C24" s="233">
        <v>871</v>
      </c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 t="s">
        <v>355</v>
      </c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>
        <v>6</v>
      </c>
      <c r="AU24" s="233">
        <v>2</v>
      </c>
      <c r="AV24" s="248">
        <f t="shared" si="3"/>
        <v>879</v>
      </c>
      <c r="AW24" s="233"/>
      <c r="AX24" s="233"/>
      <c r="AY24" s="233"/>
      <c r="AZ24" s="233"/>
      <c r="BA24" s="233">
        <v>15</v>
      </c>
      <c r="BB24" s="233"/>
      <c r="BC24" s="233"/>
      <c r="BD24" s="233"/>
      <c r="BE24" s="233"/>
      <c r="BF24" s="233"/>
      <c r="BG24" s="233"/>
      <c r="BH24" s="233"/>
      <c r="BI24" s="248">
        <f t="shared" si="4"/>
        <v>894</v>
      </c>
    </row>
    <row r="25" spans="1:61" s="242" customFormat="1" ht="16.149999999999999" customHeight="1" x14ac:dyDescent="0.2">
      <c r="A25" s="247" t="s">
        <v>91</v>
      </c>
      <c r="B25" s="232" t="s">
        <v>158</v>
      </c>
      <c r="C25" s="233">
        <v>1724</v>
      </c>
      <c r="D25" s="233"/>
      <c r="E25" s="233"/>
      <c r="F25" s="233"/>
      <c r="G25" s="233"/>
      <c r="H25" s="233"/>
      <c r="I25" s="233"/>
      <c r="J25" s="233"/>
      <c r="K25" s="233"/>
      <c r="L25" s="233"/>
      <c r="M25" s="233">
        <v>5</v>
      </c>
      <c r="N25" s="233"/>
      <c r="O25" s="233"/>
      <c r="P25" s="233"/>
      <c r="Q25" s="233"/>
      <c r="R25" s="233"/>
      <c r="S25" s="233">
        <v>20</v>
      </c>
      <c r="T25" s="233"/>
      <c r="U25" s="233"/>
      <c r="V25" s="233"/>
      <c r="W25" s="233"/>
      <c r="X25" s="233"/>
      <c r="Y25" s="233"/>
      <c r="Z25" s="233" t="s">
        <v>355</v>
      </c>
      <c r="AA25" s="233">
        <v>1</v>
      </c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>
        <v>10</v>
      </c>
      <c r="AU25" s="233">
        <v>31</v>
      </c>
      <c r="AV25" s="248">
        <f t="shared" si="3"/>
        <v>1791</v>
      </c>
      <c r="AW25" s="233"/>
      <c r="AX25" s="233"/>
      <c r="AY25" s="233"/>
      <c r="AZ25" s="233"/>
      <c r="BA25" s="233"/>
      <c r="BB25" s="233"/>
      <c r="BC25" s="233"/>
      <c r="BD25" s="233"/>
      <c r="BE25" s="233"/>
      <c r="BF25" s="233">
        <v>3</v>
      </c>
      <c r="BG25" s="233"/>
      <c r="BH25" s="233"/>
      <c r="BI25" s="248">
        <f t="shared" si="4"/>
        <v>1794</v>
      </c>
    </row>
    <row r="26" spans="1:61" s="242" customFormat="1" ht="16.149999999999999" customHeight="1" x14ac:dyDescent="0.2">
      <c r="A26" s="249" t="s">
        <v>159</v>
      </c>
      <c r="B26" s="234" t="s">
        <v>160</v>
      </c>
      <c r="C26" s="235">
        <v>5516</v>
      </c>
      <c r="D26" s="235"/>
      <c r="E26" s="235"/>
      <c r="F26" s="235"/>
      <c r="G26" s="235"/>
      <c r="H26" s="235"/>
      <c r="I26" s="235"/>
      <c r="J26" s="235"/>
      <c r="K26" s="235">
        <v>2</v>
      </c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 t="s">
        <v>355</v>
      </c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>
        <v>20</v>
      </c>
      <c r="AU26" s="235">
        <v>22</v>
      </c>
      <c r="AV26" s="250">
        <f t="shared" si="3"/>
        <v>5560</v>
      </c>
      <c r="AW26" s="235"/>
      <c r="AX26" s="235"/>
      <c r="AY26" s="235"/>
      <c r="AZ26" s="235"/>
      <c r="BA26" s="235"/>
      <c r="BB26" s="235"/>
      <c r="BC26" s="235"/>
      <c r="BD26" s="235"/>
      <c r="BE26" s="235"/>
      <c r="BF26" s="235">
        <v>2</v>
      </c>
      <c r="BG26" s="235"/>
      <c r="BH26" s="549"/>
      <c r="BI26" s="250">
        <f t="shared" si="4"/>
        <v>5562</v>
      </c>
    </row>
    <row r="27" spans="1:61" s="242" customFormat="1" ht="16.149999999999999" customHeight="1" x14ac:dyDescent="0.2">
      <c r="A27" s="245" t="s">
        <v>92</v>
      </c>
      <c r="B27" s="236" t="s">
        <v>161</v>
      </c>
      <c r="C27" s="237">
        <v>2859</v>
      </c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>
        <v>2</v>
      </c>
      <c r="Q27" s="237"/>
      <c r="R27" s="237"/>
      <c r="S27" s="237"/>
      <c r="T27" s="237"/>
      <c r="U27" s="237"/>
      <c r="V27" s="237"/>
      <c r="W27" s="237"/>
      <c r="X27" s="237"/>
      <c r="Y27" s="237"/>
      <c r="Z27" s="237" t="s">
        <v>355</v>
      </c>
      <c r="AA27" s="237"/>
      <c r="AB27" s="266"/>
      <c r="AC27" s="266"/>
      <c r="AD27" s="266"/>
      <c r="AE27" s="266"/>
      <c r="AF27" s="266"/>
      <c r="AG27" s="266"/>
      <c r="AH27" s="266"/>
      <c r="AI27" s="266"/>
      <c r="AJ27" s="266"/>
      <c r="AK27" s="266"/>
      <c r="AL27" s="266"/>
      <c r="AM27" s="266"/>
      <c r="AN27" s="266"/>
      <c r="AO27" s="266"/>
      <c r="AP27" s="266"/>
      <c r="AQ27" s="266"/>
      <c r="AR27" s="266"/>
      <c r="AS27" s="266"/>
      <c r="AT27" s="237">
        <v>7</v>
      </c>
      <c r="AU27" s="237">
        <v>10</v>
      </c>
      <c r="AV27" s="246">
        <f t="shared" si="3"/>
        <v>2878</v>
      </c>
      <c r="AW27" s="237">
        <v>1</v>
      </c>
      <c r="AX27" s="237"/>
      <c r="AY27" s="237"/>
      <c r="AZ27" s="237"/>
      <c r="BA27" s="237">
        <v>64</v>
      </c>
      <c r="BB27" s="237"/>
      <c r="BC27" s="237"/>
      <c r="BD27" s="237"/>
      <c r="BE27" s="237"/>
      <c r="BF27" s="237">
        <v>3</v>
      </c>
      <c r="BG27" s="237"/>
      <c r="BH27" s="548"/>
      <c r="BI27" s="246">
        <f t="shared" si="4"/>
        <v>2946</v>
      </c>
    </row>
    <row r="28" spans="1:61" s="242" customFormat="1" ht="16.149999999999999" customHeight="1" x14ac:dyDescent="0.2">
      <c r="A28" s="247" t="s">
        <v>93</v>
      </c>
      <c r="B28" s="232" t="s">
        <v>162</v>
      </c>
      <c r="C28" s="233">
        <v>2813</v>
      </c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 t="s">
        <v>355</v>
      </c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>
        <v>11</v>
      </c>
      <c r="AU28" s="233">
        <v>19</v>
      </c>
      <c r="AV28" s="248">
        <f t="shared" si="3"/>
        <v>2843</v>
      </c>
      <c r="AW28" s="233"/>
      <c r="AX28" s="233"/>
      <c r="AY28" s="233"/>
      <c r="AZ28" s="233"/>
      <c r="BA28" s="233"/>
      <c r="BB28" s="233"/>
      <c r="BC28" s="233"/>
      <c r="BD28" s="233"/>
      <c r="BE28" s="233"/>
      <c r="BF28" s="233">
        <v>3</v>
      </c>
      <c r="BG28" s="233"/>
      <c r="BH28" s="233"/>
      <c r="BI28" s="248">
        <f t="shared" si="4"/>
        <v>2846</v>
      </c>
    </row>
    <row r="29" spans="1:61" s="242" customFormat="1" ht="16.149999999999999" customHeight="1" x14ac:dyDescent="0.2">
      <c r="A29" s="247" t="s">
        <v>94</v>
      </c>
      <c r="B29" s="232" t="s">
        <v>163</v>
      </c>
      <c r="C29" s="233">
        <v>11902</v>
      </c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>
        <v>66</v>
      </c>
      <c r="X29" s="233">
        <v>3</v>
      </c>
      <c r="Y29" s="233"/>
      <c r="Z29" s="233" t="s">
        <v>355</v>
      </c>
      <c r="AA29" s="233"/>
      <c r="AB29" s="233"/>
      <c r="AC29" s="233"/>
      <c r="AD29" s="233"/>
      <c r="AE29" s="233"/>
      <c r="AF29" s="233"/>
      <c r="AG29" s="233"/>
      <c r="AH29" s="233">
        <v>1</v>
      </c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>
        <v>32</v>
      </c>
      <c r="AU29" s="233">
        <v>43</v>
      </c>
      <c r="AV29" s="248">
        <f t="shared" si="3"/>
        <v>12047</v>
      </c>
      <c r="AW29" s="233"/>
      <c r="AX29" s="233">
        <v>93</v>
      </c>
      <c r="AY29" s="233"/>
      <c r="AZ29" s="233"/>
      <c r="BA29" s="233"/>
      <c r="BB29" s="233"/>
      <c r="BC29" s="233"/>
      <c r="BD29" s="233"/>
      <c r="BE29" s="233"/>
      <c r="BF29" s="233">
        <v>6</v>
      </c>
      <c r="BG29" s="233"/>
      <c r="BH29" s="233"/>
      <c r="BI29" s="248">
        <f t="shared" si="4"/>
        <v>12146</v>
      </c>
    </row>
    <row r="30" spans="1:61" s="242" customFormat="1" ht="16.149999999999999" customHeight="1" x14ac:dyDescent="0.2">
      <c r="A30" s="247" t="s">
        <v>95</v>
      </c>
      <c r="B30" s="232" t="s">
        <v>164</v>
      </c>
      <c r="C30" s="233">
        <v>4120</v>
      </c>
      <c r="D30" s="233"/>
      <c r="E30" s="233">
        <v>2</v>
      </c>
      <c r="F30" s="233"/>
      <c r="G30" s="233"/>
      <c r="H30" s="233"/>
      <c r="I30" s="233"/>
      <c r="J30" s="233"/>
      <c r="K30" s="233"/>
      <c r="L30" s="233"/>
      <c r="M30" s="233">
        <v>18</v>
      </c>
      <c r="N30" s="233"/>
      <c r="O30" s="233"/>
      <c r="P30" s="233"/>
      <c r="Q30" s="233">
        <v>1</v>
      </c>
      <c r="R30" s="233"/>
      <c r="S30" s="233">
        <v>2</v>
      </c>
      <c r="T30" s="233">
        <v>198</v>
      </c>
      <c r="U30" s="233"/>
      <c r="V30" s="233"/>
      <c r="W30" s="233"/>
      <c r="X30" s="233"/>
      <c r="Y30" s="233"/>
      <c r="Z30" s="233" t="s">
        <v>355</v>
      </c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>
        <v>9</v>
      </c>
      <c r="AU30" s="233">
        <v>13</v>
      </c>
      <c r="AV30" s="248">
        <f t="shared" si="3"/>
        <v>4363</v>
      </c>
      <c r="AW30" s="233"/>
      <c r="AX30" s="233"/>
      <c r="AY30" s="233"/>
      <c r="AZ30" s="233"/>
      <c r="BA30" s="233"/>
      <c r="BB30" s="233">
        <v>1</v>
      </c>
      <c r="BC30" s="233"/>
      <c r="BD30" s="233"/>
      <c r="BE30" s="233"/>
      <c r="BF30" s="233">
        <v>2</v>
      </c>
      <c r="BG30" s="233"/>
      <c r="BH30" s="233">
        <v>4</v>
      </c>
      <c r="BI30" s="248">
        <f t="shared" si="4"/>
        <v>4370</v>
      </c>
    </row>
    <row r="31" spans="1:61" s="242" customFormat="1" ht="16.149999999999999" customHeight="1" x14ac:dyDescent="0.2">
      <c r="A31" s="249" t="s">
        <v>96</v>
      </c>
      <c r="B31" s="234" t="s">
        <v>165</v>
      </c>
      <c r="C31" s="235">
        <v>2168</v>
      </c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 t="s">
        <v>355</v>
      </c>
      <c r="AA31" s="235"/>
      <c r="AB31" s="235">
        <v>20</v>
      </c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>
        <v>15</v>
      </c>
      <c r="AU31" s="235">
        <v>6</v>
      </c>
      <c r="AV31" s="250">
        <f t="shared" si="3"/>
        <v>2209</v>
      </c>
      <c r="AW31" s="235"/>
      <c r="AX31" s="235"/>
      <c r="AY31" s="235"/>
      <c r="AZ31" s="235"/>
      <c r="BA31" s="235"/>
      <c r="BB31" s="235"/>
      <c r="BC31" s="235"/>
      <c r="BD31" s="235"/>
      <c r="BE31" s="235"/>
      <c r="BF31" s="235">
        <v>3</v>
      </c>
      <c r="BG31" s="235"/>
      <c r="BH31" s="549"/>
      <c r="BI31" s="250">
        <f t="shared" si="4"/>
        <v>2212</v>
      </c>
    </row>
    <row r="32" spans="1:61" s="242" customFormat="1" ht="16.149999999999999" customHeight="1" x14ac:dyDescent="0.2">
      <c r="A32" s="245" t="s">
        <v>97</v>
      </c>
      <c r="B32" s="236" t="s">
        <v>166</v>
      </c>
      <c r="C32" s="237">
        <v>48318</v>
      </c>
      <c r="D32" s="237"/>
      <c r="E32" s="237"/>
      <c r="F32" s="237"/>
      <c r="G32" s="237">
        <v>43</v>
      </c>
      <c r="H32" s="237">
        <v>695</v>
      </c>
      <c r="I32" s="237">
        <v>229</v>
      </c>
      <c r="J32" s="237"/>
      <c r="K32" s="237"/>
      <c r="L32" s="237"/>
      <c r="M32" s="237">
        <v>1</v>
      </c>
      <c r="N32" s="237">
        <v>171</v>
      </c>
      <c r="O32" s="237"/>
      <c r="P32" s="237"/>
      <c r="Q32" s="237"/>
      <c r="R32" s="237"/>
      <c r="S32" s="237"/>
      <c r="T32" s="237">
        <v>8</v>
      </c>
      <c r="U32" s="237"/>
      <c r="V32" s="237"/>
      <c r="W32" s="237"/>
      <c r="X32" s="237"/>
      <c r="Y32" s="237"/>
      <c r="Z32" s="237" t="s">
        <v>355</v>
      </c>
      <c r="AA32" s="237"/>
      <c r="AB32" s="266"/>
      <c r="AC32" s="266"/>
      <c r="AD32" s="266"/>
      <c r="AE32" s="266"/>
      <c r="AF32" s="266"/>
      <c r="AG32" s="266">
        <v>11</v>
      </c>
      <c r="AH32" s="266"/>
      <c r="AI32" s="266"/>
      <c r="AJ32" s="266"/>
      <c r="AK32" s="266">
        <v>7</v>
      </c>
      <c r="AL32" s="266">
        <v>1026</v>
      </c>
      <c r="AM32" s="266"/>
      <c r="AN32" s="266"/>
      <c r="AO32" s="266"/>
      <c r="AP32" s="266"/>
      <c r="AQ32" s="266"/>
      <c r="AR32" s="266"/>
      <c r="AS32" s="266"/>
      <c r="AT32" s="237">
        <v>172</v>
      </c>
      <c r="AU32" s="237">
        <v>198</v>
      </c>
      <c r="AV32" s="246">
        <f t="shared" si="3"/>
        <v>50879</v>
      </c>
      <c r="AW32" s="237"/>
      <c r="AX32" s="237"/>
      <c r="AY32" s="237">
        <v>583</v>
      </c>
      <c r="AZ32" s="237"/>
      <c r="BA32" s="237"/>
      <c r="BB32" s="237">
        <v>238</v>
      </c>
      <c r="BC32" s="237"/>
      <c r="BD32" s="237"/>
      <c r="BE32" s="237"/>
      <c r="BF32" s="237">
        <v>6</v>
      </c>
      <c r="BG32" s="237">
        <v>42</v>
      </c>
      <c r="BH32" s="548"/>
      <c r="BI32" s="246">
        <f t="shared" si="4"/>
        <v>51748</v>
      </c>
    </row>
    <row r="33" spans="1:61" s="242" customFormat="1" ht="16.149999999999999" customHeight="1" x14ac:dyDescent="0.2">
      <c r="A33" s="247" t="s">
        <v>167</v>
      </c>
      <c r="B33" s="232" t="s">
        <v>168</v>
      </c>
      <c r="C33" s="233">
        <v>5466</v>
      </c>
      <c r="D33" s="233"/>
      <c r="E33" s="233"/>
      <c r="F33" s="233"/>
      <c r="G33" s="233"/>
      <c r="H33" s="233"/>
      <c r="I33" s="233"/>
      <c r="J33" s="233">
        <v>4</v>
      </c>
      <c r="K33" s="233"/>
      <c r="L33" s="233">
        <v>2</v>
      </c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 t="s">
        <v>355</v>
      </c>
      <c r="AA33" s="233"/>
      <c r="AB33" s="233"/>
      <c r="AC33" s="233"/>
      <c r="AD33" s="233"/>
      <c r="AE33" s="233"/>
      <c r="AF33" s="233"/>
      <c r="AG33" s="233"/>
      <c r="AH33" s="233">
        <v>1</v>
      </c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>
        <v>14</v>
      </c>
      <c r="AU33" s="233">
        <v>2</v>
      </c>
      <c r="AV33" s="248">
        <f t="shared" si="3"/>
        <v>5489</v>
      </c>
      <c r="AW33" s="233"/>
      <c r="AX33" s="233"/>
      <c r="AY33" s="233"/>
      <c r="AZ33" s="233"/>
      <c r="BA33" s="233"/>
      <c r="BB33" s="233"/>
      <c r="BC33" s="233"/>
      <c r="BD33" s="233"/>
      <c r="BE33" s="233"/>
      <c r="BF33" s="233">
        <v>1</v>
      </c>
      <c r="BG33" s="233"/>
      <c r="BH33" s="233"/>
      <c r="BI33" s="248">
        <f t="shared" si="4"/>
        <v>5490</v>
      </c>
    </row>
    <row r="34" spans="1:61" s="242" customFormat="1" ht="16.149999999999999" customHeight="1" x14ac:dyDescent="0.2">
      <c r="A34" s="247" t="s">
        <v>98</v>
      </c>
      <c r="B34" s="232" t="s">
        <v>169</v>
      </c>
      <c r="C34" s="233">
        <v>30996</v>
      </c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>
        <v>747</v>
      </c>
      <c r="X34" s="233">
        <v>810</v>
      </c>
      <c r="Y34" s="233">
        <v>540</v>
      </c>
      <c r="Z34" s="233" t="s">
        <v>355</v>
      </c>
      <c r="AA34" s="233"/>
      <c r="AB34" s="233"/>
      <c r="AC34" s="233"/>
      <c r="AD34" s="233"/>
      <c r="AE34" s="233"/>
      <c r="AF34" s="233"/>
      <c r="AG34" s="233"/>
      <c r="AH34" s="233">
        <v>59</v>
      </c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>
        <v>66</v>
      </c>
      <c r="AU34" s="233">
        <v>111</v>
      </c>
      <c r="AV34" s="248">
        <f t="shared" si="3"/>
        <v>33329</v>
      </c>
      <c r="AW34" s="233"/>
      <c r="AX34" s="233">
        <v>3</v>
      </c>
      <c r="AY34" s="233"/>
      <c r="AZ34" s="233"/>
      <c r="BA34" s="233"/>
      <c r="BB34" s="233"/>
      <c r="BC34" s="233"/>
      <c r="BD34" s="233"/>
      <c r="BE34" s="233"/>
      <c r="BF34" s="233">
        <v>14</v>
      </c>
      <c r="BG34" s="233"/>
      <c r="BH34" s="233"/>
      <c r="BI34" s="248">
        <f t="shared" si="4"/>
        <v>33346</v>
      </c>
    </row>
    <row r="35" spans="1:61" s="242" customFormat="1" ht="16.149999999999999" customHeight="1" x14ac:dyDescent="0.2">
      <c r="A35" s="247" t="s">
        <v>99</v>
      </c>
      <c r="B35" s="232" t="s">
        <v>170</v>
      </c>
      <c r="C35" s="233">
        <v>13945</v>
      </c>
      <c r="D35" s="233"/>
      <c r="E35" s="233"/>
      <c r="F35" s="233"/>
      <c r="G35" s="233">
        <v>1</v>
      </c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>
        <v>61</v>
      </c>
      <c r="U35" s="233"/>
      <c r="V35" s="233"/>
      <c r="W35" s="233">
        <v>2</v>
      </c>
      <c r="X35" s="233"/>
      <c r="Y35" s="233"/>
      <c r="Z35" s="233" t="s">
        <v>355</v>
      </c>
      <c r="AA35" s="233"/>
      <c r="AB35" s="233"/>
      <c r="AC35" s="233"/>
      <c r="AD35" s="233"/>
      <c r="AE35" s="233"/>
      <c r="AF35" s="233">
        <v>1</v>
      </c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>
        <v>29</v>
      </c>
      <c r="AU35" s="233">
        <v>67</v>
      </c>
      <c r="AV35" s="248">
        <f t="shared" si="3"/>
        <v>14106</v>
      </c>
      <c r="AW35" s="233"/>
      <c r="AX35" s="233"/>
      <c r="AY35" s="233">
        <v>1</v>
      </c>
      <c r="AZ35" s="233"/>
      <c r="BA35" s="233"/>
      <c r="BB35" s="233"/>
      <c r="BC35" s="233">
        <v>63</v>
      </c>
      <c r="BD35" s="233"/>
      <c r="BE35" s="233"/>
      <c r="BF35" s="233">
        <v>10</v>
      </c>
      <c r="BG35" s="233"/>
      <c r="BH35" s="233"/>
      <c r="BI35" s="248">
        <f t="shared" si="4"/>
        <v>14180</v>
      </c>
    </row>
    <row r="36" spans="1:61" s="242" customFormat="1" ht="16.149999999999999" customHeight="1" x14ac:dyDescent="0.2">
      <c r="A36" s="249" t="s">
        <v>171</v>
      </c>
      <c r="B36" s="234" t="s">
        <v>172</v>
      </c>
      <c r="C36" s="235">
        <v>2499</v>
      </c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>
        <v>1</v>
      </c>
      <c r="X36" s="235"/>
      <c r="Y36" s="235"/>
      <c r="Z36" s="235" t="s">
        <v>355</v>
      </c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>
        <v>3</v>
      </c>
      <c r="AU36" s="235">
        <v>9</v>
      </c>
      <c r="AV36" s="250">
        <f t="shared" si="3"/>
        <v>2512</v>
      </c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549"/>
      <c r="BI36" s="250">
        <f t="shared" si="4"/>
        <v>2512</v>
      </c>
    </row>
    <row r="37" spans="1:61" s="242" customFormat="1" ht="16.149999999999999" customHeight="1" x14ac:dyDescent="0.2">
      <c r="A37" s="245" t="s">
        <v>100</v>
      </c>
      <c r="B37" s="236" t="s">
        <v>173</v>
      </c>
      <c r="C37" s="237">
        <v>5767</v>
      </c>
      <c r="D37" s="237"/>
      <c r="E37" s="237"/>
      <c r="F37" s="237">
        <v>56</v>
      </c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>
        <v>5</v>
      </c>
      <c r="W37" s="237"/>
      <c r="X37" s="237"/>
      <c r="Y37" s="237"/>
      <c r="Z37" s="237" t="s">
        <v>355</v>
      </c>
      <c r="AA37" s="237"/>
      <c r="AB37" s="266">
        <v>327</v>
      </c>
      <c r="AC37" s="266"/>
      <c r="AD37" s="266"/>
      <c r="AE37" s="266"/>
      <c r="AF37" s="266"/>
      <c r="AG37" s="266"/>
      <c r="AH37" s="266"/>
      <c r="AI37" s="266"/>
      <c r="AJ37" s="266"/>
      <c r="AK37" s="266"/>
      <c r="AL37" s="266"/>
      <c r="AM37" s="266"/>
      <c r="AN37" s="266"/>
      <c r="AO37" s="266"/>
      <c r="AP37" s="266"/>
      <c r="AQ37" s="266"/>
      <c r="AR37" s="266"/>
      <c r="AS37" s="266"/>
      <c r="AT37" s="237">
        <v>13</v>
      </c>
      <c r="AU37" s="237">
        <v>5</v>
      </c>
      <c r="AV37" s="246">
        <f t="shared" si="3"/>
        <v>6173</v>
      </c>
      <c r="AW37" s="237">
        <v>2</v>
      </c>
      <c r="AX37" s="237"/>
      <c r="AY37" s="237"/>
      <c r="AZ37" s="237"/>
      <c r="BA37" s="237"/>
      <c r="BB37" s="237"/>
      <c r="BC37" s="237"/>
      <c r="BD37" s="237"/>
      <c r="BE37" s="237"/>
      <c r="BF37" s="237">
        <v>4</v>
      </c>
      <c r="BG37" s="237"/>
      <c r="BH37" s="548"/>
      <c r="BI37" s="246">
        <f t="shared" si="4"/>
        <v>6179</v>
      </c>
    </row>
    <row r="38" spans="1:61" s="242" customFormat="1" ht="16.149999999999999" customHeight="1" x14ac:dyDescent="0.2">
      <c r="A38" s="247" t="s">
        <v>101</v>
      </c>
      <c r="B38" s="232" t="s">
        <v>174</v>
      </c>
      <c r="C38" s="233">
        <v>25546</v>
      </c>
      <c r="D38" s="233"/>
      <c r="E38" s="233">
        <v>7</v>
      </c>
      <c r="F38" s="233"/>
      <c r="G38" s="233"/>
      <c r="H38" s="233"/>
      <c r="I38" s="233"/>
      <c r="J38" s="233"/>
      <c r="K38" s="233"/>
      <c r="L38" s="233"/>
      <c r="M38" s="233">
        <v>19</v>
      </c>
      <c r="N38" s="233"/>
      <c r="O38" s="233">
        <v>4</v>
      </c>
      <c r="P38" s="233"/>
      <c r="Q38" s="233"/>
      <c r="R38" s="233"/>
      <c r="S38" s="233"/>
      <c r="T38" s="233">
        <v>1</v>
      </c>
      <c r="U38" s="233"/>
      <c r="V38" s="233"/>
      <c r="W38" s="233"/>
      <c r="X38" s="233"/>
      <c r="Y38" s="233"/>
      <c r="Z38" s="233" t="s">
        <v>355</v>
      </c>
      <c r="AA38" s="233">
        <v>5</v>
      </c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>
        <v>85</v>
      </c>
      <c r="AU38" s="233">
        <v>255</v>
      </c>
      <c r="AV38" s="248">
        <f t="shared" si="3"/>
        <v>25922</v>
      </c>
      <c r="AW38" s="233"/>
      <c r="AX38" s="233"/>
      <c r="AY38" s="233"/>
      <c r="AZ38" s="233"/>
      <c r="BA38" s="233"/>
      <c r="BB38" s="233">
        <v>1</v>
      </c>
      <c r="BC38" s="233"/>
      <c r="BD38" s="233"/>
      <c r="BE38" s="233"/>
      <c r="BF38" s="233">
        <v>16</v>
      </c>
      <c r="BG38" s="233"/>
      <c r="BH38" s="233"/>
      <c r="BI38" s="248">
        <f t="shared" si="4"/>
        <v>25939</v>
      </c>
    </row>
    <row r="39" spans="1:61" s="242" customFormat="1" ht="16.149999999999999" customHeight="1" x14ac:dyDescent="0.2">
      <c r="A39" s="247" t="s">
        <v>175</v>
      </c>
      <c r="B39" s="232" t="s">
        <v>176</v>
      </c>
      <c r="C39" s="233">
        <v>1108</v>
      </c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 t="s">
        <v>355</v>
      </c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>
        <v>2</v>
      </c>
      <c r="AU39" s="233">
        <v>302</v>
      </c>
      <c r="AV39" s="248">
        <f t="shared" ref="AV39:AV70" si="5">SUM(C39:AU39)</f>
        <v>1412</v>
      </c>
      <c r="AW39" s="233"/>
      <c r="AX39" s="233"/>
      <c r="AY39" s="233"/>
      <c r="AZ39" s="233"/>
      <c r="BA39" s="233">
        <v>306</v>
      </c>
      <c r="BB39" s="233"/>
      <c r="BC39" s="233"/>
      <c r="BD39" s="233"/>
      <c r="BE39" s="233"/>
      <c r="BF39" s="233">
        <v>1</v>
      </c>
      <c r="BG39" s="233"/>
      <c r="BH39" s="233"/>
      <c r="BI39" s="248">
        <f t="shared" ref="BI39:BI70" si="6">SUM(AV39:BH39)</f>
        <v>1719</v>
      </c>
    </row>
    <row r="40" spans="1:61" s="242" customFormat="1" ht="16.149999999999999" customHeight="1" x14ac:dyDescent="0.2">
      <c r="A40" s="247" t="s">
        <v>102</v>
      </c>
      <c r="B40" s="232" t="s">
        <v>177</v>
      </c>
      <c r="C40" s="233">
        <v>3528</v>
      </c>
      <c r="D40" s="233"/>
      <c r="E40" s="233"/>
      <c r="F40" s="233">
        <v>1</v>
      </c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 t="s">
        <v>355</v>
      </c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>
        <v>39</v>
      </c>
      <c r="AU40" s="233">
        <v>23</v>
      </c>
      <c r="AV40" s="248">
        <f t="shared" si="5"/>
        <v>3591</v>
      </c>
      <c r="AW40" s="233">
        <v>14</v>
      </c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48">
        <f t="shared" si="6"/>
        <v>3605</v>
      </c>
    </row>
    <row r="41" spans="1:61" s="242" customFormat="1" ht="16.149999999999999" customHeight="1" x14ac:dyDescent="0.2">
      <c r="A41" s="249" t="s">
        <v>103</v>
      </c>
      <c r="B41" s="234" t="s">
        <v>178</v>
      </c>
      <c r="C41" s="235">
        <v>5585</v>
      </c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 t="s">
        <v>355</v>
      </c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>
        <v>16</v>
      </c>
      <c r="AU41" s="235">
        <v>10</v>
      </c>
      <c r="AV41" s="250">
        <f t="shared" si="5"/>
        <v>5611</v>
      </c>
      <c r="AW41" s="235"/>
      <c r="AX41" s="235"/>
      <c r="AY41" s="235"/>
      <c r="AZ41" s="235"/>
      <c r="BA41" s="235"/>
      <c r="BB41" s="235"/>
      <c r="BC41" s="235"/>
      <c r="BD41" s="235"/>
      <c r="BE41" s="235"/>
      <c r="BF41" s="235">
        <v>20</v>
      </c>
      <c r="BG41" s="235"/>
      <c r="BH41" s="549"/>
      <c r="BI41" s="250">
        <f t="shared" si="6"/>
        <v>5631</v>
      </c>
    </row>
    <row r="42" spans="1:61" s="242" customFormat="1" ht="16.149999999999999" customHeight="1" x14ac:dyDescent="0.2">
      <c r="A42" s="245" t="s">
        <v>104</v>
      </c>
      <c r="B42" s="236" t="s">
        <v>179</v>
      </c>
      <c r="C42" s="237">
        <v>45001</v>
      </c>
      <c r="D42" s="237"/>
      <c r="E42" s="237"/>
      <c r="F42" s="237"/>
      <c r="G42" s="237">
        <v>392</v>
      </c>
      <c r="H42" s="237">
        <v>238</v>
      </c>
      <c r="I42" s="237">
        <v>688</v>
      </c>
      <c r="J42" s="237"/>
      <c r="K42" s="237"/>
      <c r="L42" s="237">
        <v>2</v>
      </c>
      <c r="M42" s="237"/>
      <c r="N42" s="237">
        <v>40</v>
      </c>
      <c r="O42" s="237"/>
      <c r="P42" s="237"/>
      <c r="Q42" s="237"/>
      <c r="R42" s="237"/>
      <c r="S42" s="237"/>
      <c r="T42" s="237">
        <v>4</v>
      </c>
      <c r="U42" s="237"/>
      <c r="V42" s="237"/>
      <c r="W42" s="237"/>
      <c r="X42" s="237"/>
      <c r="Y42" s="237"/>
      <c r="Z42" s="237" t="s">
        <v>355</v>
      </c>
      <c r="AA42" s="237"/>
      <c r="AB42" s="266"/>
      <c r="AC42" s="266"/>
      <c r="AD42" s="266"/>
      <c r="AE42" s="266"/>
      <c r="AF42" s="266"/>
      <c r="AG42" s="266">
        <v>83</v>
      </c>
      <c r="AH42" s="266"/>
      <c r="AI42" s="266"/>
      <c r="AJ42" s="266"/>
      <c r="AK42" s="266">
        <v>95</v>
      </c>
      <c r="AL42" s="266">
        <v>83</v>
      </c>
      <c r="AM42" s="266"/>
      <c r="AN42" s="266"/>
      <c r="AO42" s="266"/>
      <c r="AP42" s="266"/>
      <c r="AQ42" s="266"/>
      <c r="AR42" s="266"/>
      <c r="AS42" s="266"/>
      <c r="AT42" s="237">
        <v>88</v>
      </c>
      <c r="AU42" s="237">
        <v>61</v>
      </c>
      <c r="AV42" s="246">
        <f t="shared" si="5"/>
        <v>46775</v>
      </c>
      <c r="AW42" s="237"/>
      <c r="AX42" s="237"/>
      <c r="AY42" s="237">
        <v>747</v>
      </c>
      <c r="AZ42" s="237"/>
      <c r="BA42" s="237"/>
      <c r="BB42" s="237">
        <v>214</v>
      </c>
      <c r="BC42" s="237"/>
      <c r="BD42" s="237"/>
      <c r="BE42" s="237"/>
      <c r="BF42" s="237">
        <v>3</v>
      </c>
      <c r="BG42" s="237">
        <v>117</v>
      </c>
      <c r="BH42" s="548"/>
      <c r="BI42" s="246">
        <f t="shared" si="6"/>
        <v>47856</v>
      </c>
    </row>
    <row r="43" spans="1:61" s="242" customFormat="1" ht="16.149999999999999" customHeight="1" x14ac:dyDescent="0.2">
      <c r="A43" s="247" t="s">
        <v>105</v>
      </c>
      <c r="B43" s="232" t="s">
        <v>180</v>
      </c>
      <c r="C43" s="233">
        <v>18472</v>
      </c>
      <c r="D43" s="233"/>
      <c r="E43" s="233"/>
      <c r="F43" s="233">
        <v>13</v>
      </c>
      <c r="G43" s="233"/>
      <c r="H43" s="233"/>
      <c r="I43" s="233"/>
      <c r="J43" s="233"/>
      <c r="K43" s="233"/>
      <c r="L43" s="233"/>
      <c r="M43" s="233"/>
      <c r="N43" s="233"/>
      <c r="O43" s="233"/>
      <c r="P43" s="233">
        <v>1</v>
      </c>
      <c r="Q43" s="233">
        <v>2</v>
      </c>
      <c r="R43" s="233"/>
      <c r="S43" s="233"/>
      <c r="T43" s="233"/>
      <c r="U43" s="233"/>
      <c r="V43" s="233"/>
      <c r="W43" s="233"/>
      <c r="X43" s="233"/>
      <c r="Y43" s="233"/>
      <c r="Z43" s="233" t="s">
        <v>355</v>
      </c>
      <c r="AA43" s="233"/>
      <c r="AB43" s="233">
        <v>10</v>
      </c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>
        <v>52</v>
      </c>
      <c r="AU43" s="233">
        <v>64</v>
      </c>
      <c r="AV43" s="248">
        <f t="shared" si="5"/>
        <v>18614</v>
      </c>
      <c r="AW43" s="233">
        <v>74</v>
      </c>
      <c r="AX43" s="233"/>
      <c r="AY43" s="233"/>
      <c r="AZ43" s="233"/>
      <c r="BA43" s="233">
        <v>1</v>
      </c>
      <c r="BB43" s="233"/>
      <c r="BC43" s="233"/>
      <c r="BD43" s="233"/>
      <c r="BE43" s="233"/>
      <c r="BF43" s="233">
        <v>4</v>
      </c>
      <c r="BG43" s="233"/>
      <c r="BH43" s="233"/>
      <c r="BI43" s="248">
        <f t="shared" si="6"/>
        <v>18693</v>
      </c>
    </row>
    <row r="44" spans="1:61" s="242" customFormat="1" ht="16.149999999999999" customHeight="1" x14ac:dyDescent="0.2">
      <c r="A44" s="247" t="s">
        <v>106</v>
      </c>
      <c r="B44" s="232" t="s">
        <v>181</v>
      </c>
      <c r="C44" s="233">
        <v>3827</v>
      </c>
      <c r="D44" s="233"/>
      <c r="E44" s="233"/>
      <c r="F44" s="233"/>
      <c r="G44" s="233"/>
      <c r="H44" s="233">
        <v>17</v>
      </c>
      <c r="I44" s="233">
        <v>5</v>
      </c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 t="s">
        <v>355</v>
      </c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>
        <v>1</v>
      </c>
      <c r="AL44" s="233">
        <v>6</v>
      </c>
      <c r="AM44" s="233"/>
      <c r="AN44" s="233"/>
      <c r="AO44" s="233"/>
      <c r="AP44" s="233"/>
      <c r="AQ44" s="233"/>
      <c r="AR44" s="233"/>
      <c r="AS44" s="233"/>
      <c r="AT44" s="233">
        <v>10</v>
      </c>
      <c r="AU44" s="233">
        <v>13</v>
      </c>
      <c r="AV44" s="248">
        <f t="shared" si="5"/>
        <v>3879</v>
      </c>
      <c r="AW44" s="233"/>
      <c r="AX44" s="233"/>
      <c r="AY44" s="233">
        <v>9</v>
      </c>
      <c r="AZ44" s="233"/>
      <c r="BA44" s="233"/>
      <c r="BB44" s="233">
        <v>465</v>
      </c>
      <c r="BC44" s="233"/>
      <c r="BD44" s="233"/>
      <c r="BE44" s="233"/>
      <c r="BF44" s="233">
        <v>1</v>
      </c>
      <c r="BG44" s="233">
        <v>4</v>
      </c>
      <c r="BH44" s="233"/>
      <c r="BI44" s="248">
        <f t="shared" si="6"/>
        <v>4358</v>
      </c>
    </row>
    <row r="45" spans="1:61" s="242" customFormat="1" ht="16.149999999999999" customHeight="1" x14ac:dyDescent="0.2">
      <c r="A45" s="247" t="s">
        <v>107</v>
      </c>
      <c r="B45" s="232" t="s">
        <v>182</v>
      </c>
      <c r="C45" s="233">
        <v>2605</v>
      </c>
      <c r="D45" s="233"/>
      <c r="E45" s="233"/>
      <c r="F45" s="233"/>
      <c r="G45" s="233"/>
      <c r="H45" s="233"/>
      <c r="I45" s="233"/>
      <c r="J45" s="233"/>
      <c r="K45" s="233"/>
      <c r="L45" s="233"/>
      <c r="M45" s="233">
        <v>6</v>
      </c>
      <c r="N45" s="233"/>
      <c r="O45" s="233"/>
      <c r="P45" s="233"/>
      <c r="Q45" s="233"/>
      <c r="R45" s="233"/>
      <c r="S45" s="233">
        <v>4</v>
      </c>
      <c r="T45" s="233"/>
      <c r="U45" s="233"/>
      <c r="V45" s="233"/>
      <c r="W45" s="233"/>
      <c r="X45" s="233"/>
      <c r="Y45" s="233"/>
      <c r="Z45" s="233" t="s">
        <v>355</v>
      </c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>
        <v>12</v>
      </c>
      <c r="AU45" s="233">
        <v>14</v>
      </c>
      <c r="AV45" s="248">
        <f t="shared" si="5"/>
        <v>2641</v>
      </c>
      <c r="AW45" s="233"/>
      <c r="AX45" s="233"/>
      <c r="AY45" s="233"/>
      <c r="AZ45" s="233"/>
      <c r="BA45" s="233"/>
      <c r="BB45" s="233"/>
      <c r="BC45" s="233"/>
      <c r="BD45" s="233"/>
      <c r="BE45" s="233"/>
      <c r="BF45" s="233">
        <v>6</v>
      </c>
      <c r="BG45" s="233"/>
      <c r="BH45" s="233">
        <v>2</v>
      </c>
      <c r="BI45" s="248">
        <f t="shared" si="6"/>
        <v>2649</v>
      </c>
    </row>
    <row r="46" spans="1:61" s="242" customFormat="1" ht="16.149999999999999" customHeight="1" x14ac:dyDescent="0.2">
      <c r="A46" s="249" t="s">
        <v>108</v>
      </c>
      <c r="B46" s="234" t="s">
        <v>183</v>
      </c>
      <c r="C46" s="235">
        <v>21699</v>
      </c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>
        <v>1</v>
      </c>
      <c r="X46" s="235"/>
      <c r="Y46" s="235"/>
      <c r="Z46" s="235" t="s">
        <v>355</v>
      </c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>
        <v>52</v>
      </c>
      <c r="AU46" s="235">
        <v>82</v>
      </c>
      <c r="AV46" s="250">
        <f t="shared" si="5"/>
        <v>21834</v>
      </c>
      <c r="AW46" s="235"/>
      <c r="AX46" s="235"/>
      <c r="AY46" s="235"/>
      <c r="AZ46" s="235">
        <v>5</v>
      </c>
      <c r="BA46" s="235"/>
      <c r="BB46" s="235"/>
      <c r="BC46" s="235"/>
      <c r="BD46" s="235"/>
      <c r="BE46" s="235"/>
      <c r="BF46" s="235">
        <v>12</v>
      </c>
      <c r="BG46" s="235"/>
      <c r="BH46" s="549"/>
      <c r="BI46" s="250">
        <f t="shared" si="6"/>
        <v>21851</v>
      </c>
    </row>
    <row r="47" spans="1:61" s="242" customFormat="1" ht="16.149999999999999" customHeight="1" x14ac:dyDescent="0.2">
      <c r="A47" s="245" t="s">
        <v>184</v>
      </c>
      <c r="B47" s="236" t="s">
        <v>185</v>
      </c>
      <c r="C47" s="237">
        <v>1291</v>
      </c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 t="s">
        <v>355</v>
      </c>
      <c r="AA47" s="237"/>
      <c r="AB47" s="266"/>
      <c r="AC47" s="266"/>
      <c r="AD47" s="266"/>
      <c r="AE47" s="266"/>
      <c r="AF47" s="266"/>
      <c r="AG47" s="266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37">
        <v>1</v>
      </c>
      <c r="AU47" s="237">
        <v>3</v>
      </c>
      <c r="AV47" s="246">
        <f t="shared" si="5"/>
        <v>1295</v>
      </c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548"/>
      <c r="BI47" s="246">
        <f t="shared" si="6"/>
        <v>1295</v>
      </c>
    </row>
    <row r="48" spans="1:61" s="242" customFormat="1" ht="16.149999999999999" customHeight="1" x14ac:dyDescent="0.2">
      <c r="A48" s="247" t="s">
        <v>109</v>
      </c>
      <c r="B48" s="232" t="s">
        <v>186</v>
      </c>
      <c r="C48" s="233">
        <v>2705</v>
      </c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 t="s">
        <v>355</v>
      </c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>
        <v>4</v>
      </c>
      <c r="AU48" s="233">
        <v>18</v>
      </c>
      <c r="AV48" s="248">
        <f t="shared" si="5"/>
        <v>2727</v>
      </c>
      <c r="AW48" s="233"/>
      <c r="AX48" s="233"/>
      <c r="AY48" s="233"/>
      <c r="AZ48" s="233"/>
      <c r="BA48" s="233">
        <v>385</v>
      </c>
      <c r="BB48" s="233"/>
      <c r="BC48" s="233"/>
      <c r="BD48" s="233"/>
      <c r="BE48" s="233"/>
      <c r="BF48" s="233">
        <v>3</v>
      </c>
      <c r="BG48" s="233"/>
      <c r="BH48" s="233"/>
      <c r="BI48" s="248">
        <f t="shared" si="6"/>
        <v>3115</v>
      </c>
    </row>
    <row r="49" spans="1:61" s="242" customFormat="1" ht="16.149999999999999" customHeight="1" x14ac:dyDescent="0.2">
      <c r="A49" s="247" t="s">
        <v>187</v>
      </c>
      <c r="B49" s="232" t="s">
        <v>188</v>
      </c>
      <c r="C49" s="233">
        <v>3998</v>
      </c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 t="s">
        <v>355</v>
      </c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>
        <v>10</v>
      </c>
      <c r="AU49" s="233">
        <v>9</v>
      </c>
      <c r="AV49" s="248">
        <f t="shared" si="5"/>
        <v>4017</v>
      </c>
      <c r="AW49" s="233"/>
      <c r="AX49" s="233"/>
      <c r="AY49" s="233"/>
      <c r="AZ49" s="233"/>
      <c r="BA49" s="233"/>
      <c r="BB49" s="233"/>
      <c r="BC49" s="233"/>
      <c r="BD49" s="233"/>
      <c r="BE49" s="233"/>
      <c r="BF49" s="233">
        <v>12</v>
      </c>
      <c r="BG49" s="233"/>
      <c r="BH49" s="233"/>
      <c r="BI49" s="248">
        <f t="shared" si="6"/>
        <v>4029</v>
      </c>
    </row>
    <row r="50" spans="1:61" s="242" customFormat="1" ht="16.149999999999999" customHeight="1" x14ac:dyDescent="0.2">
      <c r="A50" s="247" t="s">
        <v>110</v>
      </c>
      <c r="B50" s="232" t="s">
        <v>189</v>
      </c>
      <c r="C50" s="233">
        <v>7398</v>
      </c>
      <c r="D50" s="233"/>
      <c r="E50" s="233"/>
      <c r="F50" s="233"/>
      <c r="G50" s="233">
        <v>5</v>
      </c>
      <c r="H50" s="233">
        <v>2</v>
      </c>
      <c r="I50" s="233">
        <v>3</v>
      </c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 t="s">
        <v>355</v>
      </c>
      <c r="AA50" s="233"/>
      <c r="AB50" s="233"/>
      <c r="AC50" s="233"/>
      <c r="AD50" s="233"/>
      <c r="AE50" s="233"/>
      <c r="AF50" s="233"/>
      <c r="AG50" s="233">
        <v>1</v>
      </c>
      <c r="AH50" s="233"/>
      <c r="AI50" s="233"/>
      <c r="AJ50" s="233"/>
      <c r="AK50" s="233"/>
      <c r="AL50" s="233">
        <v>5</v>
      </c>
      <c r="AM50" s="233"/>
      <c r="AN50" s="233"/>
      <c r="AO50" s="233"/>
      <c r="AP50" s="233"/>
      <c r="AQ50" s="233"/>
      <c r="AR50" s="233"/>
      <c r="AS50" s="233"/>
      <c r="AT50" s="233">
        <v>29</v>
      </c>
      <c r="AU50" s="233">
        <v>15</v>
      </c>
      <c r="AV50" s="248">
        <f t="shared" si="5"/>
        <v>7458</v>
      </c>
      <c r="AW50" s="233"/>
      <c r="AX50" s="233"/>
      <c r="AY50" s="233">
        <v>17</v>
      </c>
      <c r="AZ50" s="233"/>
      <c r="BA50" s="233"/>
      <c r="BB50" s="233">
        <v>1</v>
      </c>
      <c r="BC50" s="233"/>
      <c r="BD50" s="233"/>
      <c r="BE50" s="233"/>
      <c r="BF50" s="233">
        <v>4</v>
      </c>
      <c r="BG50" s="233">
        <v>8</v>
      </c>
      <c r="BH50" s="233">
        <v>1</v>
      </c>
      <c r="BI50" s="248">
        <f t="shared" si="6"/>
        <v>7489</v>
      </c>
    </row>
    <row r="51" spans="1:61" s="242" customFormat="1" ht="16.149999999999999" customHeight="1" x14ac:dyDescent="0.2">
      <c r="A51" s="249" t="s">
        <v>111</v>
      </c>
      <c r="B51" s="234" t="s">
        <v>190</v>
      </c>
      <c r="C51" s="235">
        <v>9433</v>
      </c>
      <c r="D51" s="235"/>
      <c r="E51" s="235"/>
      <c r="F51" s="235"/>
      <c r="G51" s="235"/>
      <c r="H51" s="235">
        <v>2</v>
      </c>
      <c r="I51" s="235">
        <v>4</v>
      </c>
      <c r="J51" s="235"/>
      <c r="K51" s="235"/>
      <c r="L51" s="235"/>
      <c r="M51" s="235"/>
      <c r="N51" s="235">
        <v>1</v>
      </c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 t="s">
        <v>355</v>
      </c>
      <c r="AA51" s="235"/>
      <c r="AB51" s="235"/>
      <c r="AC51" s="235"/>
      <c r="AD51" s="235"/>
      <c r="AE51" s="235"/>
      <c r="AF51" s="235"/>
      <c r="AG51" s="235">
        <v>1</v>
      </c>
      <c r="AH51" s="235"/>
      <c r="AI51" s="235"/>
      <c r="AJ51" s="235"/>
      <c r="AK51" s="235"/>
      <c r="AL51" s="235">
        <v>1</v>
      </c>
      <c r="AM51" s="235"/>
      <c r="AN51" s="235"/>
      <c r="AO51" s="235"/>
      <c r="AP51" s="235"/>
      <c r="AQ51" s="235"/>
      <c r="AR51" s="235"/>
      <c r="AS51" s="235"/>
      <c r="AT51" s="235">
        <v>23</v>
      </c>
      <c r="AU51" s="235">
        <v>8</v>
      </c>
      <c r="AV51" s="250">
        <f t="shared" si="5"/>
        <v>9473</v>
      </c>
      <c r="AW51" s="235"/>
      <c r="AX51" s="235"/>
      <c r="AY51" s="235">
        <v>6</v>
      </c>
      <c r="AZ51" s="235"/>
      <c r="BA51" s="235"/>
      <c r="BB51" s="235">
        <v>2</v>
      </c>
      <c r="BC51" s="235">
        <v>1</v>
      </c>
      <c r="BD51" s="235"/>
      <c r="BE51" s="235"/>
      <c r="BF51" s="235">
        <v>5</v>
      </c>
      <c r="BG51" s="235">
        <v>5</v>
      </c>
      <c r="BH51" s="549"/>
      <c r="BI51" s="250">
        <f t="shared" si="6"/>
        <v>9492</v>
      </c>
    </row>
    <row r="52" spans="1:61" s="242" customFormat="1" ht="16.149999999999999" customHeight="1" x14ac:dyDescent="0.2">
      <c r="A52" s="245" t="s">
        <v>112</v>
      </c>
      <c r="B52" s="236" t="s">
        <v>191</v>
      </c>
      <c r="C52" s="237">
        <v>1165</v>
      </c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 t="s">
        <v>355</v>
      </c>
      <c r="AA52" s="237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  <c r="AP52" s="266"/>
      <c r="AQ52" s="266"/>
      <c r="AR52" s="266"/>
      <c r="AS52" s="266"/>
      <c r="AT52" s="237">
        <v>10</v>
      </c>
      <c r="AU52" s="237">
        <v>10</v>
      </c>
      <c r="AV52" s="246">
        <f t="shared" si="5"/>
        <v>1185</v>
      </c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548"/>
      <c r="BI52" s="246">
        <f t="shared" si="6"/>
        <v>1185</v>
      </c>
    </row>
    <row r="53" spans="1:61" s="242" customFormat="1" ht="16.149999999999999" customHeight="1" x14ac:dyDescent="0.2">
      <c r="A53" s="247" t="s">
        <v>113</v>
      </c>
      <c r="B53" s="232" t="s">
        <v>192</v>
      </c>
      <c r="C53" s="233">
        <v>3450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>
        <v>1</v>
      </c>
      <c r="U53" s="233"/>
      <c r="V53" s="233"/>
      <c r="W53" s="233"/>
      <c r="X53" s="233"/>
      <c r="Y53" s="233"/>
      <c r="Z53" s="233" t="s">
        <v>355</v>
      </c>
      <c r="AA53" s="233"/>
      <c r="AB53" s="233"/>
      <c r="AC53" s="233"/>
      <c r="AD53" s="233"/>
      <c r="AE53" s="233"/>
      <c r="AF53" s="233">
        <v>48</v>
      </c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>
        <v>2</v>
      </c>
      <c r="AU53" s="233">
        <v>4</v>
      </c>
      <c r="AV53" s="248">
        <f t="shared" si="5"/>
        <v>3505</v>
      </c>
      <c r="AW53" s="233"/>
      <c r="AX53" s="233"/>
      <c r="AY53" s="233"/>
      <c r="AZ53" s="233"/>
      <c r="BA53" s="233"/>
      <c r="BB53" s="233"/>
      <c r="BC53" s="233">
        <v>1</v>
      </c>
      <c r="BD53" s="233"/>
      <c r="BE53" s="233"/>
      <c r="BF53" s="233">
        <v>1</v>
      </c>
      <c r="BG53" s="233">
        <v>2</v>
      </c>
      <c r="BH53" s="233"/>
      <c r="BI53" s="248">
        <f t="shared" si="6"/>
        <v>3509</v>
      </c>
    </row>
    <row r="54" spans="1:61" s="242" customFormat="1" ht="16.149999999999999" customHeight="1" x14ac:dyDescent="0.2">
      <c r="A54" s="247" t="s">
        <v>114</v>
      </c>
      <c r="B54" s="232" t="s">
        <v>193</v>
      </c>
      <c r="C54" s="233">
        <v>5715</v>
      </c>
      <c r="D54" s="233"/>
      <c r="E54" s="233"/>
      <c r="F54" s="233"/>
      <c r="G54" s="233"/>
      <c r="H54" s="233"/>
      <c r="I54" s="233">
        <v>2</v>
      </c>
      <c r="J54" s="233"/>
      <c r="K54" s="233"/>
      <c r="L54" s="233"/>
      <c r="M54" s="233"/>
      <c r="N54" s="233">
        <v>2</v>
      </c>
      <c r="O54" s="233"/>
      <c r="P54" s="233"/>
      <c r="Q54" s="233"/>
      <c r="R54" s="233"/>
      <c r="S54" s="233">
        <v>6</v>
      </c>
      <c r="T54" s="233">
        <v>1</v>
      </c>
      <c r="U54" s="233"/>
      <c r="V54" s="233"/>
      <c r="W54" s="233"/>
      <c r="X54" s="233"/>
      <c r="Y54" s="233"/>
      <c r="Z54" s="233" t="s">
        <v>355</v>
      </c>
      <c r="AA54" s="233"/>
      <c r="AB54" s="233"/>
      <c r="AC54" s="233"/>
      <c r="AD54" s="233"/>
      <c r="AE54" s="233"/>
      <c r="AF54" s="233">
        <v>19</v>
      </c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>
        <v>20</v>
      </c>
      <c r="AU54" s="233">
        <v>40</v>
      </c>
      <c r="AV54" s="248">
        <f t="shared" si="5"/>
        <v>5805</v>
      </c>
      <c r="AW54" s="233"/>
      <c r="AX54" s="233"/>
      <c r="AY54" s="233">
        <v>7</v>
      </c>
      <c r="AZ54" s="233"/>
      <c r="BA54" s="233"/>
      <c r="BB54" s="233">
        <v>2</v>
      </c>
      <c r="BC54" s="233">
        <v>3</v>
      </c>
      <c r="BD54" s="233"/>
      <c r="BE54" s="233"/>
      <c r="BF54" s="233">
        <v>2</v>
      </c>
      <c r="BG54" s="233">
        <v>4</v>
      </c>
      <c r="BH54" s="233">
        <v>2</v>
      </c>
      <c r="BI54" s="248">
        <f t="shared" si="6"/>
        <v>5825</v>
      </c>
    </row>
    <row r="55" spans="1:61" s="242" customFormat="1" ht="16.149999999999999" customHeight="1" x14ac:dyDescent="0.2">
      <c r="A55" s="247" t="s">
        <v>115</v>
      </c>
      <c r="B55" s="232" t="s">
        <v>194</v>
      </c>
      <c r="C55" s="233">
        <v>12453</v>
      </c>
      <c r="D55" s="233"/>
      <c r="E55" s="233"/>
      <c r="F55" s="233"/>
      <c r="G55" s="233"/>
      <c r="H55" s="233"/>
      <c r="I55" s="233"/>
      <c r="J55" s="233"/>
      <c r="K55" s="233">
        <v>242</v>
      </c>
      <c r="L55" s="233"/>
      <c r="M55" s="233">
        <v>1</v>
      </c>
      <c r="N55" s="233"/>
      <c r="O55" s="233"/>
      <c r="P55" s="233"/>
      <c r="Q55" s="233"/>
      <c r="R55" s="233"/>
      <c r="S55" s="233"/>
      <c r="T55" s="233"/>
      <c r="U55" s="233"/>
      <c r="V55" s="233"/>
      <c r="W55" s="233">
        <v>4</v>
      </c>
      <c r="X55" s="233">
        <v>90</v>
      </c>
      <c r="Y55" s="233">
        <v>31</v>
      </c>
      <c r="Z55" s="233" t="s">
        <v>355</v>
      </c>
      <c r="AA55" s="233"/>
      <c r="AB55" s="233"/>
      <c r="AC55" s="233"/>
      <c r="AD55" s="233"/>
      <c r="AE55" s="233"/>
      <c r="AF55" s="233"/>
      <c r="AG55" s="233"/>
      <c r="AH55" s="233">
        <v>1</v>
      </c>
      <c r="AI55" s="233"/>
      <c r="AJ55" s="233"/>
      <c r="AK55" s="233"/>
      <c r="AL55" s="233"/>
      <c r="AM55" s="233"/>
      <c r="AN55" s="233">
        <v>1</v>
      </c>
      <c r="AO55" s="233"/>
      <c r="AP55" s="233"/>
      <c r="AQ55" s="233"/>
      <c r="AR55" s="233"/>
      <c r="AS55" s="233"/>
      <c r="AT55" s="233">
        <v>68</v>
      </c>
      <c r="AU55" s="233">
        <v>64</v>
      </c>
      <c r="AV55" s="248">
        <f t="shared" si="5"/>
        <v>12955</v>
      </c>
      <c r="AW55" s="233"/>
      <c r="AX55" s="233"/>
      <c r="AY55" s="233"/>
      <c r="AZ55" s="233">
        <v>4</v>
      </c>
      <c r="BA55" s="233"/>
      <c r="BB55" s="233"/>
      <c r="BC55" s="233"/>
      <c r="BD55" s="233"/>
      <c r="BE55" s="233"/>
      <c r="BF55" s="233">
        <v>10</v>
      </c>
      <c r="BG55" s="233"/>
      <c r="BH55" s="233"/>
      <c r="BI55" s="248">
        <f t="shared" si="6"/>
        <v>12969</v>
      </c>
    </row>
    <row r="56" spans="1:61" s="242" customFormat="1" ht="16.149999999999999" customHeight="1" x14ac:dyDescent="0.2">
      <c r="A56" s="249" t="s">
        <v>116</v>
      </c>
      <c r="B56" s="234" t="s">
        <v>195</v>
      </c>
      <c r="C56" s="235">
        <v>7236</v>
      </c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>
        <v>49</v>
      </c>
      <c r="X56" s="235">
        <v>45</v>
      </c>
      <c r="Y56" s="235">
        <v>20</v>
      </c>
      <c r="Z56" s="235" t="s">
        <v>355</v>
      </c>
      <c r="AA56" s="235"/>
      <c r="AB56" s="235"/>
      <c r="AC56" s="235"/>
      <c r="AD56" s="235"/>
      <c r="AE56" s="235"/>
      <c r="AF56" s="235"/>
      <c r="AG56" s="235"/>
      <c r="AH56" s="235">
        <v>1</v>
      </c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>
        <v>25</v>
      </c>
      <c r="AU56" s="235">
        <v>12</v>
      </c>
      <c r="AV56" s="250">
        <f t="shared" si="5"/>
        <v>7388</v>
      </c>
      <c r="AW56" s="235"/>
      <c r="AX56" s="235"/>
      <c r="AY56" s="235"/>
      <c r="AZ56" s="235"/>
      <c r="BA56" s="235"/>
      <c r="BB56" s="235"/>
      <c r="BC56" s="235"/>
      <c r="BD56" s="235"/>
      <c r="BE56" s="235"/>
      <c r="BF56" s="235">
        <v>5</v>
      </c>
      <c r="BG56" s="235"/>
      <c r="BH56" s="549"/>
      <c r="BI56" s="250">
        <f t="shared" si="6"/>
        <v>7393</v>
      </c>
    </row>
    <row r="57" spans="1:61" s="242" customFormat="1" ht="16.149999999999999" customHeight="1" x14ac:dyDescent="0.2">
      <c r="A57" s="245" t="s">
        <v>117</v>
      </c>
      <c r="B57" s="236" t="s">
        <v>196</v>
      </c>
      <c r="C57" s="237">
        <v>8145</v>
      </c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 t="s">
        <v>355</v>
      </c>
      <c r="AA57" s="237"/>
      <c r="AB57" s="266"/>
      <c r="AC57" s="266"/>
      <c r="AD57" s="266"/>
      <c r="AE57" s="266"/>
      <c r="AF57" s="266"/>
      <c r="AG57" s="266"/>
      <c r="AH57" s="266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37">
        <v>11</v>
      </c>
      <c r="AU57" s="237">
        <v>22</v>
      </c>
      <c r="AV57" s="246">
        <f t="shared" si="5"/>
        <v>8178</v>
      </c>
      <c r="AW57" s="237"/>
      <c r="AX57" s="237">
        <v>250</v>
      </c>
      <c r="AY57" s="237"/>
      <c r="AZ57" s="237"/>
      <c r="BA57" s="237"/>
      <c r="BB57" s="237"/>
      <c r="BC57" s="237">
        <v>2</v>
      </c>
      <c r="BD57" s="237"/>
      <c r="BE57" s="237"/>
      <c r="BF57" s="237">
        <v>1</v>
      </c>
      <c r="BG57" s="237"/>
      <c r="BH57" s="548"/>
      <c r="BI57" s="246">
        <f t="shared" si="6"/>
        <v>8431</v>
      </c>
    </row>
    <row r="58" spans="1:61" s="242" customFormat="1" ht="16.149999999999999" customHeight="1" x14ac:dyDescent="0.2">
      <c r="A58" s="247" t="s">
        <v>118</v>
      </c>
      <c r="B58" s="232" t="s">
        <v>197</v>
      </c>
      <c r="C58" s="233">
        <v>37603</v>
      </c>
      <c r="D58" s="233"/>
      <c r="E58" s="233"/>
      <c r="F58" s="233"/>
      <c r="G58" s="233">
        <v>2</v>
      </c>
      <c r="H58" s="233">
        <v>2</v>
      </c>
      <c r="I58" s="233">
        <v>8</v>
      </c>
      <c r="J58" s="233"/>
      <c r="K58" s="233"/>
      <c r="L58" s="233"/>
      <c r="M58" s="233">
        <v>1</v>
      </c>
      <c r="N58" s="233">
        <v>3</v>
      </c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 t="s">
        <v>355</v>
      </c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>
        <v>118</v>
      </c>
      <c r="AU58" s="233">
        <v>311</v>
      </c>
      <c r="AV58" s="248">
        <f t="shared" si="5"/>
        <v>38048</v>
      </c>
      <c r="AW58" s="233"/>
      <c r="AX58" s="233"/>
      <c r="AY58" s="233">
        <v>6</v>
      </c>
      <c r="AZ58" s="233"/>
      <c r="BA58" s="233"/>
      <c r="BB58" s="233">
        <v>6</v>
      </c>
      <c r="BC58" s="233"/>
      <c r="BD58" s="233"/>
      <c r="BE58" s="233"/>
      <c r="BF58" s="233">
        <v>30</v>
      </c>
      <c r="BG58" s="233">
        <v>39</v>
      </c>
      <c r="BH58" s="233">
        <v>3</v>
      </c>
      <c r="BI58" s="248">
        <f t="shared" si="6"/>
        <v>38132</v>
      </c>
    </row>
    <row r="59" spans="1:61" s="242" customFormat="1" ht="16.149999999999999" customHeight="1" x14ac:dyDescent="0.2">
      <c r="A59" s="247" t="s">
        <v>119</v>
      </c>
      <c r="B59" s="232" t="s">
        <v>198</v>
      </c>
      <c r="C59" s="233">
        <v>19019</v>
      </c>
      <c r="D59" s="233"/>
      <c r="E59" s="233">
        <v>1</v>
      </c>
      <c r="F59" s="233"/>
      <c r="G59" s="233"/>
      <c r="H59" s="233">
        <v>1</v>
      </c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 t="s">
        <v>355</v>
      </c>
      <c r="AA59" s="233"/>
      <c r="AB59" s="233"/>
      <c r="AC59" s="233"/>
      <c r="AD59" s="233"/>
      <c r="AE59" s="233"/>
      <c r="AF59" s="233"/>
      <c r="AG59" s="233">
        <v>1</v>
      </c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>
        <v>74</v>
      </c>
      <c r="AU59" s="233">
        <v>210</v>
      </c>
      <c r="AV59" s="248">
        <f t="shared" si="5"/>
        <v>19306</v>
      </c>
      <c r="AW59" s="233"/>
      <c r="AX59" s="233"/>
      <c r="AY59" s="233"/>
      <c r="AZ59" s="233"/>
      <c r="BA59" s="233"/>
      <c r="BB59" s="233">
        <v>1</v>
      </c>
      <c r="BC59" s="233"/>
      <c r="BD59" s="233"/>
      <c r="BE59" s="233"/>
      <c r="BF59" s="233">
        <v>13</v>
      </c>
      <c r="BG59" s="233">
        <v>8</v>
      </c>
      <c r="BH59" s="233">
        <v>3</v>
      </c>
      <c r="BI59" s="248">
        <f t="shared" si="6"/>
        <v>19331</v>
      </c>
    </row>
    <row r="60" spans="1:61" s="242" customFormat="1" ht="16.149999999999999" customHeight="1" x14ac:dyDescent="0.2">
      <c r="A60" s="247" t="s">
        <v>199</v>
      </c>
      <c r="B60" s="232" t="s">
        <v>200</v>
      </c>
      <c r="C60" s="233">
        <v>403</v>
      </c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>
        <v>42</v>
      </c>
      <c r="Q60" s="233"/>
      <c r="R60" s="233"/>
      <c r="S60" s="233"/>
      <c r="T60" s="233"/>
      <c r="U60" s="233"/>
      <c r="V60" s="233"/>
      <c r="W60" s="233"/>
      <c r="X60" s="233"/>
      <c r="Y60" s="233"/>
      <c r="Z60" s="233" t="s">
        <v>355</v>
      </c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>
        <v>5</v>
      </c>
      <c r="AU60" s="233">
        <v>8</v>
      </c>
      <c r="AV60" s="248">
        <f t="shared" si="5"/>
        <v>458</v>
      </c>
      <c r="AW60" s="233"/>
      <c r="AX60" s="233"/>
      <c r="AY60" s="233"/>
      <c r="AZ60" s="233"/>
      <c r="BA60" s="233">
        <v>15</v>
      </c>
      <c r="BB60" s="233"/>
      <c r="BC60" s="233"/>
      <c r="BD60" s="233"/>
      <c r="BE60" s="233"/>
      <c r="BF60" s="233"/>
      <c r="BG60" s="233"/>
      <c r="BH60" s="233"/>
      <c r="BI60" s="248">
        <f t="shared" si="6"/>
        <v>473</v>
      </c>
    </row>
    <row r="61" spans="1:61" s="242" customFormat="1" ht="16.149999999999999" customHeight="1" x14ac:dyDescent="0.2">
      <c r="A61" s="249" t="s">
        <v>120</v>
      </c>
      <c r="B61" s="234" t="s">
        <v>201</v>
      </c>
      <c r="C61" s="235">
        <v>16352</v>
      </c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>
        <v>62</v>
      </c>
      <c r="U61" s="235"/>
      <c r="V61" s="235"/>
      <c r="W61" s="235">
        <v>2</v>
      </c>
      <c r="X61" s="235"/>
      <c r="Y61" s="235"/>
      <c r="Z61" s="235" t="s">
        <v>355</v>
      </c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>
        <v>55</v>
      </c>
      <c r="AU61" s="235">
        <v>104</v>
      </c>
      <c r="AV61" s="250">
        <f t="shared" si="5"/>
        <v>16575</v>
      </c>
      <c r="AW61" s="235"/>
      <c r="AX61" s="235"/>
      <c r="AY61" s="235"/>
      <c r="AZ61" s="235"/>
      <c r="BA61" s="235"/>
      <c r="BB61" s="235"/>
      <c r="BC61" s="235">
        <v>43</v>
      </c>
      <c r="BD61" s="235"/>
      <c r="BE61" s="235"/>
      <c r="BF61" s="235">
        <v>7</v>
      </c>
      <c r="BG61" s="235"/>
      <c r="BH61" s="549"/>
      <c r="BI61" s="250">
        <f t="shared" si="6"/>
        <v>16625</v>
      </c>
    </row>
    <row r="62" spans="1:61" s="242" customFormat="1" ht="16.149999999999999" customHeight="1" x14ac:dyDescent="0.2">
      <c r="A62" s="245" t="s">
        <v>121</v>
      </c>
      <c r="B62" s="236" t="s">
        <v>202</v>
      </c>
      <c r="C62" s="237">
        <v>1916</v>
      </c>
      <c r="D62" s="237"/>
      <c r="E62" s="237"/>
      <c r="F62" s="237">
        <v>900</v>
      </c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>
        <v>134</v>
      </c>
      <c r="W62" s="237"/>
      <c r="X62" s="237">
        <v>1</v>
      </c>
      <c r="Y62" s="237"/>
      <c r="Z62" s="237" t="s">
        <v>355</v>
      </c>
      <c r="AA62" s="237"/>
      <c r="AB62" s="266">
        <v>26</v>
      </c>
      <c r="AC62" s="266"/>
      <c r="AD62" s="266"/>
      <c r="AE62" s="266"/>
      <c r="AF62" s="266"/>
      <c r="AG62" s="266"/>
      <c r="AH62" s="266"/>
      <c r="AI62" s="266"/>
      <c r="AJ62" s="266"/>
      <c r="AK62" s="266"/>
      <c r="AL62" s="266"/>
      <c r="AM62" s="266"/>
      <c r="AN62" s="266"/>
      <c r="AO62" s="266"/>
      <c r="AP62" s="266"/>
      <c r="AQ62" s="266"/>
      <c r="AR62" s="266"/>
      <c r="AS62" s="266"/>
      <c r="AT62" s="237">
        <v>10</v>
      </c>
      <c r="AU62" s="237">
        <v>8</v>
      </c>
      <c r="AV62" s="246">
        <f t="shared" si="5"/>
        <v>2995</v>
      </c>
      <c r="AW62" s="237">
        <v>1</v>
      </c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548"/>
      <c r="BI62" s="246">
        <f t="shared" si="6"/>
        <v>2996</v>
      </c>
    </row>
    <row r="63" spans="1:61" s="242" customFormat="1" ht="16.149999999999999" customHeight="1" x14ac:dyDescent="0.2">
      <c r="A63" s="247" t="s">
        <v>122</v>
      </c>
      <c r="B63" s="232" t="s">
        <v>203</v>
      </c>
      <c r="C63" s="233">
        <v>9253</v>
      </c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>
        <v>23</v>
      </c>
      <c r="X63" s="233"/>
      <c r="Y63" s="233"/>
      <c r="Z63" s="233" t="s">
        <v>355</v>
      </c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>
        <v>27</v>
      </c>
      <c r="AU63" s="233">
        <v>17</v>
      </c>
      <c r="AV63" s="248">
        <f t="shared" si="5"/>
        <v>9320</v>
      </c>
      <c r="AW63" s="233"/>
      <c r="AX63" s="233"/>
      <c r="AY63" s="233"/>
      <c r="AZ63" s="233"/>
      <c r="BA63" s="233"/>
      <c r="BB63" s="233"/>
      <c r="BC63" s="233"/>
      <c r="BD63" s="233"/>
      <c r="BE63" s="233"/>
      <c r="BF63" s="233">
        <v>2</v>
      </c>
      <c r="BG63" s="233"/>
      <c r="BH63" s="233"/>
      <c r="BI63" s="248">
        <f t="shared" si="6"/>
        <v>9322</v>
      </c>
    </row>
    <row r="64" spans="1:61" s="242" customFormat="1" ht="16.149999999999999" customHeight="1" x14ac:dyDescent="0.2">
      <c r="A64" s="247" t="s">
        <v>204</v>
      </c>
      <c r="B64" s="232" t="s">
        <v>205</v>
      </c>
      <c r="C64" s="233">
        <v>7971</v>
      </c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 t="s">
        <v>355</v>
      </c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>
        <v>26</v>
      </c>
      <c r="AU64" s="233">
        <v>20</v>
      </c>
      <c r="AV64" s="248">
        <f t="shared" si="5"/>
        <v>8017</v>
      </c>
      <c r="AW64" s="233"/>
      <c r="AX64" s="233"/>
      <c r="AY64" s="233"/>
      <c r="AZ64" s="233"/>
      <c r="BA64" s="233"/>
      <c r="BB64" s="233"/>
      <c r="BC64" s="233"/>
      <c r="BD64" s="233"/>
      <c r="BE64" s="233"/>
      <c r="BF64" s="233">
        <v>6</v>
      </c>
      <c r="BG64" s="233"/>
      <c r="BH64" s="233"/>
      <c r="BI64" s="248">
        <f t="shared" si="6"/>
        <v>8023</v>
      </c>
    </row>
    <row r="65" spans="1:61" s="242" customFormat="1" ht="16.149999999999999" customHeight="1" x14ac:dyDescent="0.2">
      <c r="A65" s="247" t="s">
        <v>123</v>
      </c>
      <c r="B65" s="232" t="s">
        <v>206</v>
      </c>
      <c r="C65" s="233">
        <v>4937</v>
      </c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 t="s">
        <v>355</v>
      </c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>
        <v>21</v>
      </c>
      <c r="AU65" s="233">
        <v>37</v>
      </c>
      <c r="AV65" s="248">
        <f t="shared" si="5"/>
        <v>4995</v>
      </c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48">
        <f t="shared" si="6"/>
        <v>4995</v>
      </c>
    </row>
    <row r="66" spans="1:61" s="242" customFormat="1" ht="16.149999999999999" customHeight="1" x14ac:dyDescent="0.2">
      <c r="A66" s="249" t="s">
        <v>207</v>
      </c>
      <c r="B66" s="234" t="s">
        <v>208</v>
      </c>
      <c r="C66" s="235">
        <v>5795</v>
      </c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 t="s">
        <v>355</v>
      </c>
      <c r="AA66" s="235"/>
      <c r="AB66" s="235">
        <v>2</v>
      </c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>
        <v>13</v>
      </c>
      <c r="AU66" s="235">
        <v>31</v>
      </c>
      <c r="AV66" s="250">
        <f t="shared" si="5"/>
        <v>5841</v>
      </c>
      <c r="AW66" s="235"/>
      <c r="AX66" s="235"/>
      <c r="AY66" s="235"/>
      <c r="AZ66" s="235"/>
      <c r="BA66" s="235"/>
      <c r="BB66" s="235"/>
      <c r="BC66" s="235"/>
      <c r="BD66" s="235"/>
      <c r="BE66" s="235"/>
      <c r="BF66" s="235">
        <v>1</v>
      </c>
      <c r="BG66" s="235"/>
      <c r="BH66" s="549"/>
      <c r="BI66" s="250">
        <f t="shared" si="6"/>
        <v>5842</v>
      </c>
    </row>
    <row r="67" spans="1:61" s="242" customFormat="1" ht="16.149999999999999" customHeight="1" x14ac:dyDescent="0.2">
      <c r="A67" s="245" t="s">
        <v>124</v>
      </c>
      <c r="B67" s="236" t="s">
        <v>209</v>
      </c>
      <c r="C67" s="237">
        <v>3654</v>
      </c>
      <c r="D67" s="237"/>
      <c r="E67" s="237">
        <v>3</v>
      </c>
      <c r="F67" s="237"/>
      <c r="G67" s="237"/>
      <c r="H67" s="237"/>
      <c r="I67" s="237"/>
      <c r="J67" s="237"/>
      <c r="K67" s="237"/>
      <c r="L67" s="237"/>
      <c r="M67" s="237">
        <v>14</v>
      </c>
      <c r="N67" s="237"/>
      <c r="O67" s="237">
        <v>1</v>
      </c>
      <c r="P67" s="237"/>
      <c r="Q67" s="237"/>
      <c r="R67" s="237"/>
      <c r="S67" s="237">
        <v>6</v>
      </c>
      <c r="T67" s="237">
        <v>38</v>
      </c>
      <c r="U67" s="237"/>
      <c r="V67" s="237"/>
      <c r="W67" s="237"/>
      <c r="X67" s="237"/>
      <c r="Y67" s="237"/>
      <c r="Z67" s="237" t="s">
        <v>355</v>
      </c>
      <c r="AA67" s="237">
        <v>2</v>
      </c>
      <c r="AB67" s="266"/>
      <c r="AC67" s="266"/>
      <c r="AD67" s="266"/>
      <c r="AE67" s="266"/>
      <c r="AF67" s="266"/>
      <c r="AG67" s="266"/>
      <c r="AH67" s="266"/>
      <c r="AI67" s="266"/>
      <c r="AJ67" s="266"/>
      <c r="AK67" s="266"/>
      <c r="AL67" s="266"/>
      <c r="AM67" s="266"/>
      <c r="AN67" s="266"/>
      <c r="AO67" s="266"/>
      <c r="AP67" s="266"/>
      <c r="AQ67" s="266"/>
      <c r="AR67" s="266"/>
      <c r="AS67" s="266"/>
      <c r="AT67" s="237">
        <v>12</v>
      </c>
      <c r="AU67" s="237">
        <v>29</v>
      </c>
      <c r="AV67" s="246">
        <f t="shared" si="5"/>
        <v>3759</v>
      </c>
      <c r="AW67" s="237"/>
      <c r="AX67" s="237"/>
      <c r="AY67" s="237"/>
      <c r="AZ67" s="237"/>
      <c r="BA67" s="237"/>
      <c r="BB67" s="237"/>
      <c r="BC67" s="237"/>
      <c r="BD67" s="237"/>
      <c r="BE67" s="237"/>
      <c r="BF67" s="237">
        <v>2</v>
      </c>
      <c r="BG67" s="237"/>
      <c r="BH67" s="548">
        <v>8</v>
      </c>
      <c r="BI67" s="246">
        <f t="shared" si="6"/>
        <v>3769</v>
      </c>
    </row>
    <row r="68" spans="1:61" s="242" customFormat="1" ht="16.149999999999999" customHeight="1" x14ac:dyDescent="0.2">
      <c r="A68" s="247" t="s">
        <v>210</v>
      </c>
      <c r="B68" s="232" t="s">
        <v>211</v>
      </c>
      <c r="C68" s="233">
        <v>1892</v>
      </c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 t="s">
        <v>355</v>
      </c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>
        <v>5</v>
      </c>
      <c r="AU68" s="233">
        <v>11</v>
      </c>
      <c r="AV68" s="248">
        <f t="shared" si="5"/>
        <v>1908</v>
      </c>
      <c r="AW68" s="233"/>
      <c r="AX68" s="233"/>
      <c r="AY68" s="233"/>
      <c r="AZ68" s="233"/>
      <c r="BA68" s="233">
        <v>35</v>
      </c>
      <c r="BB68" s="233"/>
      <c r="BC68" s="233"/>
      <c r="BD68" s="233"/>
      <c r="BE68" s="233"/>
      <c r="BF68" s="233">
        <v>2</v>
      </c>
      <c r="BG68" s="233"/>
      <c r="BH68" s="233"/>
      <c r="BI68" s="248">
        <f t="shared" si="6"/>
        <v>1945</v>
      </c>
    </row>
    <row r="69" spans="1:61" s="242" customFormat="1" ht="16.149999999999999" customHeight="1" x14ac:dyDescent="0.2">
      <c r="A69" s="247" t="s">
        <v>212</v>
      </c>
      <c r="B69" s="232" t="s">
        <v>213</v>
      </c>
      <c r="C69" s="233">
        <v>2090</v>
      </c>
      <c r="D69" s="233"/>
      <c r="E69" s="233"/>
      <c r="F69" s="233"/>
      <c r="G69" s="233"/>
      <c r="H69" s="233"/>
      <c r="I69" s="233"/>
      <c r="J69" s="233"/>
      <c r="K69" s="233"/>
      <c r="L69" s="233"/>
      <c r="M69" s="233">
        <v>3</v>
      </c>
      <c r="N69" s="233"/>
      <c r="O69" s="233"/>
      <c r="P69" s="233"/>
      <c r="Q69" s="233"/>
      <c r="R69" s="233"/>
      <c r="S69" s="233">
        <v>1</v>
      </c>
      <c r="T69" s="233"/>
      <c r="U69" s="233"/>
      <c r="V69" s="233"/>
      <c r="W69" s="233"/>
      <c r="X69" s="233"/>
      <c r="Y69" s="233"/>
      <c r="Z69" s="233" t="s">
        <v>355</v>
      </c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>
        <v>4</v>
      </c>
      <c r="AU69" s="233">
        <v>13</v>
      </c>
      <c r="AV69" s="248">
        <f t="shared" si="5"/>
        <v>2111</v>
      </c>
      <c r="AW69" s="233"/>
      <c r="AX69" s="233"/>
      <c r="AY69" s="233"/>
      <c r="AZ69" s="233"/>
      <c r="BA69" s="233"/>
      <c r="BB69" s="233"/>
      <c r="BC69" s="233"/>
      <c r="BD69" s="233"/>
      <c r="BE69" s="233"/>
      <c r="BF69" s="233">
        <v>2</v>
      </c>
      <c r="BG69" s="233"/>
      <c r="BH69" s="233">
        <v>1</v>
      </c>
      <c r="BI69" s="248">
        <f t="shared" si="6"/>
        <v>2114</v>
      </c>
    </row>
    <row r="70" spans="1:61" s="242" customFormat="1" ht="16.149999999999999" customHeight="1" x14ac:dyDescent="0.2">
      <c r="A70" s="247" t="s">
        <v>214</v>
      </c>
      <c r="B70" s="232" t="s">
        <v>215</v>
      </c>
      <c r="C70" s="233">
        <v>2019</v>
      </c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 t="s">
        <v>355</v>
      </c>
      <c r="AA70" s="233"/>
      <c r="AB70" s="233">
        <v>1</v>
      </c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>
        <v>5</v>
      </c>
      <c r="AU70" s="233">
        <v>5</v>
      </c>
      <c r="AV70" s="248">
        <f t="shared" si="5"/>
        <v>2030</v>
      </c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48">
        <f t="shared" si="6"/>
        <v>2030</v>
      </c>
    </row>
    <row r="71" spans="1:61" s="242" customFormat="1" ht="16.149999999999999" customHeight="1" x14ac:dyDescent="0.2">
      <c r="A71" s="249" t="s">
        <v>125</v>
      </c>
      <c r="B71" s="234" t="s">
        <v>216</v>
      </c>
      <c r="C71" s="235">
        <v>7928</v>
      </c>
      <c r="D71" s="235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 t="s">
        <v>355</v>
      </c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>
        <v>9</v>
      </c>
      <c r="AU71" s="235">
        <v>13</v>
      </c>
      <c r="AV71" s="250">
        <f>SUM(C71:AU71)</f>
        <v>7950</v>
      </c>
      <c r="AW71" s="235">
        <v>163</v>
      </c>
      <c r="AX71" s="235"/>
      <c r="AY71" s="235"/>
      <c r="AZ71" s="235"/>
      <c r="BA71" s="235"/>
      <c r="BB71" s="235"/>
      <c r="BC71" s="235"/>
      <c r="BD71" s="235"/>
      <c r="BE71" s="235"/>
      <c r="BF71" s="235">
        <v>2</v>
      </c>
      <c r="BG71" s="235"/>
      <c r="BH71" s="549">
        <v>1</v>
      </c>
      <c r="BI71" s="250">
        <f>SUM(AV71:BH71)</f>
        <v>8116</v>
      </c>
    </row>
    <row r="72" spans="1:61" s="242" customFormat="1" ht="16.149999999999999" customHeight="1" x14ac:dyDescent="0.2">
      <c r="A72" s="245" t="s">
        <v>126</v>
      </c>
      <c r="B72" s="236" t="s">
        <v>217</v>
      </c>
      <c r="C72" s="237">
        <v>1822</v>
      </c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 t="s">
        <v>355</v>
      </c>
      <c r="AA72" s="237"/>
      <c r="AB72" s="266"/>
      <c r="AC72" s="266"/>
      <c r="AD72" s="266"/>
      <c r="AE72" s="266"/>
      <c r="AF72" s="266"/>
      <c r="AG72" s="266"/>
      <c r="AH72" s="266"/>
      <c r="AI72" s="266"/>
      <c r="AJ72" s="266"/>
      <c r="AK72" s="266"/>
      <c r="AL72" s="266"/>
      <c r="AM72" s="266"/>
      <c r="AN72" s="266"/>
      <c r="AO72" s="266"/>
      <c r="AP72" s="266"/>
      <c r="AQ72" s="266"/>
      <c r="AR72" s="266"/>
      <c r="AS72" s="266"/>
      <c r="AT72" s="237">
        <v>14</v>
      </c>
      <c r="AU72" s="237">
        <v>25</v>
      </c>
      <c r="AV72" s="246">
        <f>SUM(C72:AU72)</f>
        <v>1861</v>
      </c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548"/>
      <c r="BI72" s="246">
        <f>SUM(AV72:BH72)</f>
        <v>1861</v>
      </c>
    </row>
    <row r="73" spans="1:61" s="242" customFormat="1" ht="16.149999999999999" customHeight="1" x14ac:dyDescent="0.2">
      <c r="A73" s="247" t="s">
        <v>218</v>
      </c>
      <c r="B73" s="232" t="s">
        <v>219</v>
      </c>
      <c r="C73" s="233">
        <v>5366</v>
      </c>
      <c r="D73" s="233"/>
      <c r="E73" s="233">
        <v>7</v>
      </c>
      <c r="F73" s="233"/>
      <c r="G73" s="233"/>
      <c r="H73" s="233"/>
      <c r="I73" s="233"/>
      <c r="J73" s="233"/>
      <c r="K73" s="233"/>
      <c r="L73" s="233"/>
      <c r="M73" s="233">
        <v>9</v>
      </c>
      <c r="N73" s="233"/>
      <c r="O73" s="233"/>
      <c r="P73" s="233"/>
      <c r="Q73" s="233">
        <v>11</v>
      </c>
      <c r="R73" s="233"/>
      <c r="S73" s="233">
        <v>22</v>
      </c>
      <c r="T73" s="233"/>
      <c r="U73" s="233"/>
      <c r="V73" s="233"/>
      <c r="W73" s="233"/>
      <c r="X73" s="233"/>
      <c r="Y73" s="233"/>
      <c r="Z73" s="233" t="s">
        <v>355</v>
      </c>
      <c r="AA73" s="233">
        <v>2</v>
      </c>
      <c r="AB73" s="233"/>
      <c r="AC73" s="233"/>
      <c r="AD73" s="233"/>
      <c r="AE73" s="233"/>
      <c r="AF73" s="233"/>
      <c r="AG73" s="233"/>
      <c r="AH73" s="233"/>
      <c r="AI73" s="233"/>
      <c r="AJ73" s="233">
        <v>1</v>
      </c>
      <c r="AK73" s="233"/>
      <c r="AL73" s="233"/>
      <c r="AM73" s="233"/>
      <c r="AN73" s="233"/>
      <c r="AO73" s="233"/>
      <c r="AP73" s="233"/>
      <c r="AQ73" s="233"/>
      <c r="AR73" s="233"/>
      <c r="AS73" s="233"/>
      <c r="AT73" s="233">
        <v>13</v>
      </c>
      <c r="AU73" s="233">
        <v>36</v>
      </c>
      <c r="AV73" s="248">
        <f>SUM(C73:AU73)</f>
        <v>5467</v>
      </c>
      <c r="AW73" s="233"/>
      <c r="AX73" s="233"/>
      <c r="AY73" s="233"/>
      <c r="AZ73" s="233"/>
      <c r="BA73" s="233"/>
      <c r="BB73" s="233"/>
      <c r="BC73" s="233"/>
      <c r="BD73" s="233"/>
      <c r="BE73" s="233"/>
      <c r="BF73" s="233">
        <v>6</v>
      </c>
      <c r="BG73" s="233"/>
      <c r="BH73" s="233">
        <v>2</v>
      </c>
      <c r="BI73" s="248">
        <f>SUM(AV73:BH73)</f>
        <v>5475</v>
      </c>
    </row>
    <row r="74" spans="1:61" s="242" customFormat="1" ht="16.149999999999999" customHeight="1" x14ac:dyDescent="0.2">
      <c r="A74" s="247" t="s">
        <v>127</v>
      </c>
      <c r="B74" s="232" t="s">
        <v>220</v>
      </c>
      <c r="C74" s="233">
        <v>1208</v>
      </c>
      <c r="D74" s="233"/>
      <c r="E74" s="233">
        <v>16</v>
      </c>
      <c r="F74" s="233"/>
      <c r="G74" s="233"/>
      <c r="H74" s="233"/>
      <c r="I74" s="233"/>
      <c r="J74" s="233"/>
      <c r="K74" s="233"/>
      <c r="L74" s="233"/>
      <c r="M74" s="233">
        <v>17</v>
      </c>
      <c r="N74" s="233"/>
      <c r="O74" s="233">
        <v>8</v>
      </c>
      <c r="P74" s="233"/>
      <c r="Q74" s="233">
        <v>180</v>
      </c>
      <c r="R74" s="233"/>
      <c r="S74" s="233">
        <v>254</v>
      </c>
      <c r="T74" s="233"/>
      <c r="U74" s="233"/>
      <c r="V74" s="233"/>
      <c r="W74" s="233"/>
      <c r="X74" s="233"/>
      <c r="Y74" s="233"/>
      <c r="Z74" s="233" t="s">
        <v>355</v>
      </c>
      <c r="AA74" s="233">
        <v>22</v>
      </c>
      <c r="AB74" s="233"/>
      <c r="AC74" s="233"/>
      <c r="AD74" s="233"/>
      <c r="AE74" s="233"/>
      <c r="AF74" s="233"/>
      <c r="AG74" s="233"/>
      <c r="AH74" s="233"/>
      <c r="AI74" s="233">
        <v>10</v>
      </c>
      <c r="AJ74" s="233">
        <v>10</v>
      </c>
      <c r="AK74" s="233"/>
      <c r="AL74" s="233"/>
      <c r="AM74" s="233">
        <v>1</v>
      </c>
      <c r="AN74" s="233"/>
      <c r="AO74" s="233"/>
      <c r="AP74" s="233"/>
      <c r="AQ74" s="233"/>
      <c r="AR74" s="233"/>
      <c r="AS74" s="233"/>
      <c r="AT74" s="233">
        <v>5</v>
      </c>
      <c r="AU74" s="233">
        <v>13</v>
      </c>
      <c r="AV74" s="248">
        <f>SUM(C74:AU74)</f>
        <v>1744</v>
      </c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>
        <v>1</v>
      </c>
      <c r="BI74" s="248">
        <f>SUM(AV74:BH74)</f>
        <v>1745</v>
      </c>
    </row>
    <row r="75" spans="1:61" s="242" customFormat="1" ht="16.149999999999999" customHeight="1" x14ac:dyDescent="0.2">
      <c r="A75" s="247" t="s">
        <v>221</v>
      </c>
      <c r="B75" s="232" t="s">
        <v>222</v>
      </c>
      <c r="C75" s="233">
        <v>4749</v>
      </c>
      <c r="D75" s="233"/>
      <c r="E75" s="233">
        <v>5</v>
      </c>
      <c r="F75" s="233"/>
      <c r="G75" s="233"/>
      <c r="H75" s="233"/>
      <c r="I75" s="233"/>
      <c r="J75" s="233"/>
      <c r="K75" s="233"/>
      <c r="L75" s="233"/>
      <c r="M75" s="233">
        <v>18</v>
      </c>
      <c r="N75" s="233"/>
      <c r="O75" s="233">
        <v>5</v>
      </c>
      <c r="P75" s="233"/>
      <c r="Q75" s="233">
        <v>3</v>
      </c>
      <c r="R75" s="233"/>
      <c r="S75" s="233">
        <v>3</v>
      </c>
      <c r="T75" s="233"/>
      <c r="U75" s="233"/>
      <c r="V75" s="233"/>
      <c r="W75" s="233"/>
      <c r="X75" s="233"/>
      <c r="Y75" s="233"/>
      <c r="Z75" s="233" t="s">
        <v>355</v>
      </c>
      <c r="AA75" s="233">
        <v>6</v>
      </c>
      <c r="AB75" s="233"/>
      <c r="AC75" s="233"/>
      <c r="AD75" s="233"/>
      <c r="AE75" s="233"/>
      <c r="AF75" s="233"/>
      <c r="AG75" s="233"/>
      <c r="AH75" s="233"/>
      <c r="AI75" s="233">
        <v>2</v>
      </c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>
        <v>9</v>
      </c>
      <c r="AU75" s="233">
        <v>29</v>
      </c>
      <c r="AV75" s="248">
        <f>SUM(C75:AU75)</f>
        <v>4829</v>
      </c>
      <c r="AW75" s="233"/>
      <c r="AX75" s="233"/>
      <c r="AY75" s="233"/>
      <c r="AZ75" s="233"/>
      <c r="BA75" s="233"/>
      <c r="BB75" s="233"/>
      <c r="BC75" s="233"/>
      <c r="BD75" s="233"/>
      <c r="BE75" s="233"/>
      <c r="BF75" s="233">
        <v>3</v>
      </c>
      <c r="BG75" s="233"/>
      <c r="BH75" s="233">
        <v>1</v>
      </c>
      <c r="BI75" s="248">
        <f>SUM(AV75:BH75)</f>
        <v>4833</v>
      </c>
    </row>
    <row r="76" spans="1:61" s="252" customFormat="1" ht="16.149999999999999" customHeight="1" thickBot="1" x14ac:dyDescent="0.25">
      <c r="A76" s="251"/>
      <c r="B76" s="238" t="s">
        <v>346</v>
      </c>
      <c r="C76" s="239">
        <f>SUM(C7:C75)</f>
        <v>657268</v>
      </c>
      <c r="D76" s="239">
        <f>SUM(D7:D75)</f>
        <v>3022</v>
      </c>
      <c r="E76" s="239">
        <f>SUM(E7:E75)</f>
        <v>569</v>
      </c>
      <c r="F76" s="239">
        <f>SUM(F7:F75)</f>
        <v>973</v>
      </c>
      <c r="G76" s="239">
        <f t="shared" ref="G76:AJ76" si="7">SUM(G7:G75)</f>
        <v>443</v>
      </c>
      <c r="H76" s="239">
        <f t="shared" si="7"/>
        <v>957</v>
      </c>
      <c r="I76" s="239">
        <f t="shared" si="7"/>
        <v>939</v>
      </c>
      <c r="J76" s="239">
        <f t="shared" si="7"/>
        <v>917</v>
      </c>
      <c r="K76" s="239">
        <f t="shared" si="7"/>
        <v>244</v>
      </c>
      <c r="L76" s="239">
        <f t="shared" si="7"/>
        <v>685</v>
      </c>
      <c r="M76" s="239">
        <f t="shared" si="7"/>
        <v>390</v>
      </c>
      <c r="N76" s="239">
        <f t="shared" si="7"/>
        <v>217</v>
      </c>
      <c r="O76" s="239">
        <f t="shared" si="7"/>
        <v>707</v>
      </c>
      <c r="P76" s="239">
        <f t="shared" si="7"/>
        <v>464</v>
      </c>
      <c r="Q76" s="239">
        <f t="shared" si="7"/>
        <v>401</v>
      </c>
      <c r="R76" s="239"/>
      <c r="S76" s="239">
        <f t="shared" si="7"/>
        <v>488</v>
      </c>
      <c r="T76" s="239">
        <f t="shared" si="7"/>
        <v>396</v>
      </c>
      <c r="U76" s="239">
        <f t="shared" si="7"/>
        <v>494</v>
      </c>
      <c r="V76" s="239">
        <f t="shared" si="7"/>
        <v>184</v>
      </c>
      <c r="W76" s="239">
        <f t="shared" si="7"/>
        <v>896</v>
      </c>
      <c r="X76" s="239">
        <f t="shared" si="7"/>
        <v>968</v>
      </c>
      <c r="Y76" s="239">
        <f t="shared" si="7"/>
        <v>595</v>
      </c>
      <c r="Z76" s="239"/>
      <c r="AA76" s="239">
        <f t="shared" si="7"/>
        <v>668</v>
      </c>
      <c r="AB76" s="239">
        <f t="shared" si="7"/>
        <v>475</v>
      </c>
      <c r="AC76" s="239">
        <f t="shared" si="7"/>
        <v>0</v>
      </c>
      <c r="AD76" s="239"/>
      <c r="AE76" s="239">
        <f t="shared" si="7"/>
        <v>0</v>
      </c>
      <c r="AF76" s="239">
        <f t="shared" si="7"/>
        <v>69</v>
      </c>
      <c r="AG76" s="239">
        <f t="shared" si="7"/>
        <v>97</v>
      </c>
      <c r="AH76" s="239">
        <f t="shared" si="7"/>
        <v>65</v>
      </c>
      <c r="AI76" s="239">
        <f t="shared" si="7"/>
        <v>399</v>
      </c>
      <c r="AJ76" s="239">
        <f t="shared" si="7"/>
        <v>350</v>
      </c>
      <c r="AK76" s="239">
        <f t="shared" ref="AK76:AS76" si="8">SUM(AK7:AK75)</f>
        <v>103</v>
      </c>
      <c r="AL76" s="239">
        <f t="shared" si="8"/>
        <v>1121</v>
      </c>
      <c r="AM76" s="239">
        <f t="shared" si="8"/>
        <v>90</v>
      </c>
      <c r="AN76" s="239">
        <f t="shared" si="8"/>
        <v>198</v>
      </c>
      <c r="AO76" s="239">
        <f t="shared" si="8"/>
        <v>0</v>
      </c>
      <c r="AP76" s="239">
        <f t="shared" si="8"/>
        <v>0</v>
      </c>
      <c r="AQ76" s="239">
        <f t="shared" si="8"/>
        <v>0</v>
      </c>
      <c r="AR76" s="239">
        <f t="shared" si="8"/>
        <v>0</v>
      </c>
      <c r="AS76" s="239">
        <f t="shared" si="8"/>
        <v>0</v>
      </c>
      <c r="AT76" s="239">
        <f>SUM(AT7:AT75)</f>
        <v>1920</v>
      </c>
      <c r="AU76" s="239">
        <f>SUM(AU7:AU75)</f>
        <v>3227</v>
      </c>
      <c r="AV76" s="253">
        <f t="shared" ref="AV76:BI76" si="9">SUM(AV7:AV75)</f>
        <v>680999</v>
      </c>
      <c r="AW76" s="239">
        <f t="shared" si="9"/>
        <v>256</v>
      </c>
      <c r="AX76" s="239">
        <f t="shared" si="9"/>
        <v>346</v>
      </c>
      <c r="AY76" s="239">
        <f t="shared" si="9"/>
        <v>1376</v>
      </c>
      <c r="AZ76" s="239">
        <f t="shared" si="9"/>
        <v>722</v>
      </c>
      <c r="BA76" s="239">
        <f t="shared" si="9"/>
        <v>821</v>
      </c>
      <c r="BB76" s="239">
        <f t="shared" si="9"/>
        <v>931</v>
      </c>
      <c r="BC76" s="239">
        <f t="shared" si="9"/>
        <v>119</v>
      </c>
      <c r="BD76" s="239">
        <f t="shared" si="9"/>
        <v>1420</v>
      </c>
      <c r="BE76" s="239">
        <f t="shared" si="9"/>
        <v>513</v>
      </c>
      <c r="BF76" s="239">
        <f t="shared" si="9"/>
        <v>330</v>
      </c>
      <c r="BG76" s="239">
        <f t="shared" si="9"/>
        <v>229</v>
      </c>
      <c r="BH76" s="239">
        <f t="shared" si="9"/>
        <v>170</v>
      </c>
      <c r="BI76" s="253">
        <f t="shared" si="9"/>
        <v>688232</v>
      </c>
    </row>
    <row r="77" spans="1:61" ht="13.5" thickTop="1" x14ac:dyDescent="0.2"/>
  </sheetData>
  <sheetProtection password="D893" sheet="1"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Q1:X1"/>
    <mergeCell ref="Y1:AI1"/>
    <mergeCell ref="AJ1:AU1"/>
    <mergeCell ref="BI1:BI3"/>
    <mergeCell ref="AV1:AV3"/>
    <mergeCell ref="AW1:BC1"/>
    <mergeCell ref="BD1:BH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4" fitToWidth="0" orientation="portrait" r:id="rId2"/>
  <headerFooter>
    <oddHeader>&amp;L&amp;"Arial,Bold"&amp;18&amp;K000000Table 8: FY2020-21 Budget Letter
February 1, 2020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zoomScaleNormal="100" zoomScaleSheetLayoutView="100" workbookViewId="0">
      <pane xSplit="3" ySplit="3" topLeftCell="D4" activePane="bottomRight" state="frozen"/>
      <selection activeCell="B4" sqref="B4"/>
      <selection pane="topRight" activeCell="B4" sqref="B4"/>
      <selection pane="bottomLeft" activeCell="B4" sqref="B4"/>
      <selection pane="bottomRight" activeCell="D4" sqref="D4"/>
    </sheetView>
  </sheetViews>
  <sheetFormatPr defaultColWidth="8.85546875" defaultRowHeight="15" x14ac:dyDescent="0.25"/>
  <cols>
    <col min="1" max="1" width="9" style="996" bestFit="1" customWidth="1"/>
    <col min="2" max="2" width="8.42578125" style="996" hidden="1" customWidth="1"/>
    <col min="3" max="3" width="46.7109375" style="995" bestFit="1" customWidth="1"/>
    <col min="4" max="5" width="10.7109375" style="995" customWidth="1"/>
    <col min="6" max="6" width="10.7109375" style="997" customWidth="1"/>
    <col min="7" max="16384" width="8.85546875" style="995"/>
  </cols>
  <sheetData>
    <row r="1" spans="1:6" s="994" customFormat="1" ht="69.75" customHeight="1" x14ac:dyDescent="0.2">
      <c r="A1" s="1562" t="s">
        <v>1242</v>
      </c>
      <c r="B1" s="1563"/>
      <c r="C1" s="1564"/>
      <c r="D1" s="999" t="s">
        <v>323</v>
      </c>
      <c r="E1" s="999" t="s">
        <v>1195</v>
      </c>
      <c r="F1" s="998" t="s">
        <v>411</v>
      </c>
    </row>
    <row r="2" spans="1:6" s="994" customFormat="1" ht="19.149999999999999" customHeight="1" x14ac:dyDescent="0.2">
      <c r="A2" s="434"/>
      <c r="B2" s="434"/>
      <c r="C2" s="434"/>
      <c r="D2" s="434">
        <v>1</v>
      </c>
      <c r="E2" s="434">
        <f>D2+1</f>
        <v>2</v>
      </c>
      <c r="F2" s="434">
        <f>E2+1</f>
        <v>3</v>
      </c>
    </row>
    <row r="3" spans="1:6" s="994" customFormat="1" ht="19.149999999999999" hidden="1" customHeight="1" x14ac:dyDescent="0.2">
      <c r="A3" s="550"/>
      <c r="B3" s="550"/>
      <c r="C3" s="550"/>
      <c r="D3" s="550"/>
      <c r="E3" s="550"/>
      <c r="F3" s="550"/>
    </row>
    <row r="4" spans="1:6" ht="19.5" customHeight="1" x14ac:dyDescent="0.2">
      <c r="A4" s="254">
        <v>396211</v>
      </c>
      <c r="B4" s="254"/>
      <c r="C4" s="232" t="s">
        <v>838</v>
      </c>
      <c r="D4" s="777">
        <v>952</v>
      </c>
      <c r="E4" s="551"/>
      <c r="F4" s="240">
        <f t="shared" ref="F4:F10" si="0">SUM(D4:E4)</f>
        <v>952</v>
      </c>
    </row>
    <row r="5" spans="1:6" ht="19.5" customHeight="1" x14ac:dyDescent="0.2">
      <c r="A5" s="254" t="s">
        <v>1202</v>
      </c>
      <c r="B5" s="254"/>
      <c r="C5" s="232" t="s">
        <v>1169</v>
      </c>
      <c r="D5" s="551"/>
      <c r="E5" s="233">
        <v>360</v>
      </c>
      <c r="F5" s="240">
        <f t="shared" si="0"/>
        <v>360</v>
      </c>
    </row>
    <row r="6" spans="1:6" ht="19.5" customHeight="1" x14ac:dyDescent="0.2">
      <c r="A6" s="254" t="s">
        <v>433</v>
      </c>
      <c r="B6" s="254"/>
      <c r="C6" s="232" t="s">
        <v>326</v>
      </c>
      <c r="D6" s="551"/>
      <c r="E6" s="233">
        <v>259</v>
      </c>
      <c r="F6" s="240">
        <f t="shared" si="0"/>
        <v>259</v>
      </c>
    </row>
    <row r="7" spans="1:6" ht="19.5" customHeight="1" x14ac:dyDescent="0.2">
      <c r="A7" s="255" t="s">
        <v>431</v>
      </c>
      <c r="B7" s="255"/>
      <c r="C7" s="234" t="s">
        <v>324</v>
      </c>
      <c r="D7" s="552"/>
      <c r="E7" s="235">
        <v>252</v>
      </c>
      <c r="F7" s="241">
        <f t="shared" si="0"/>
        <v>252</v>
      </c>
    </row>
    <row r="8" spans="1:6" ht="19.5" customHeight="1" x14ac:dyDescent="0.2">
      <c r="A8" s="254" t="s">
        <v>341</v>
      </c>
      <c r="B8" s="254"/>
      <c r="C8" s="232" t="s">
        <v>331</v>
      </c>
      <c r="D8" s="551"/>
      <c r="E8" s="233">
        <v>539</v>
      </c>
      <c r="F8" s="240">
        <f t="shared" si="0"/>
        <v>539</v>
      </c>
    </row>
    <row r="9" spans="1:6" ht="19.5" customHeight="1" x14ac:dyDescent="0.2">
      <c r="A9" s="254" t="s">
        <v>430</v>
      </c>
      <c r="B9" s="254"/>
      <c r="C9" s="232" t="s">
        <v>329</v>
      </c>
      <c r="D9" s="551"/>
      <c r="E9" s="233">
        <v>402</v>
      </c>
      <c r="F9" s="240">
        <f t="shared" si="0"/>
        <v>402</v>
      </c>
    </row>
    <row r="10" spans="1:6" ht="19.5" customHeight="1" x14ac:dyDescent="0.2">
      <c r="A10" s="254" t="s">
        <v>1203</v>
      </c>
      <c r="B10" s="254"/>
      <c r="C10" s="232" t="s">
        <v>1205</v>
      </c>
      <c r="D10" s="551"/>
      <c r="E10" s="233">
        <v>258</v>
      </c>
      <c r="F10" s="240">
        <f t="shared" si="0"/>
        <v>258</v>
      </c>
    </row>
    <row r="11" spans="1:6" ht="19.5" customHeight="1" thickBot="1" x14ac:dyDescent="0.25">
      <c r="A11" s="991"/>
      <c r="B11" s="991"/>
      <c r="C11" s="992"/>
      <c r="D11" s="993">
        <f>SUM(D4:D10)</f>
        <v>952</v>
      </c>
      <c r="E11" s="993">
        <f>SUM(E4:E10)</f>
        <v>2070</v>
      </c>
      <c r="F11" s="993">
        <f>SUM(F4:F10)</f>
        <v>3022</v>
      </c>
    </row>
    <row r="12" spans="1:6" ht="15.75" thickTop="1" x14ac:dyDescent="0.25"/>
    <row r="13" spans="1:6" ht="14.25" x14ac:dyDescent="0.2">
      <c r="A13" s="462"/>
      <c r="B13" s="462"/>
      <c r="C13" s="463"/>
      <c r="D13" s="464"/>
      <c r="E13" s="464"/>
      <c r="F13" s="464"/>
    </row>
  </sheetData>
  <sheetProtection password="D893" sheet="1"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FY2020-21 Budget Letter&amp;K000000
February 1, 2020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12.5703125" defaultRowHeight="12.75" x14ac:dyDescent="0.2"/>
  <cols>
    <col min="1" max="1" width="4.28515625" style="256" customWidth="1"/>
    <col min="2" max="2" width="19.7109375" style="256" customWidth="1"/>
    <col min="3" max="3" width="13.7109375" style="256" customWidth="1"/>
    <col min="4" max="4" width="18" style="256" customWidth="1"/>
    <col min="5" max="5" width="16" style="256" customWidth="1"/>
    <col min="6" max="6" width="14.85546875" style="256" customWidth="1"/>
    <col min="7" max="7" width="16" style="256" customWidth="1"/>
    <col min="8" max="9" width="13.28515625" style="256" customWidth="1"/>
    <col min="10" max="11" width="15.85546875" style="256" customWidth="1"/>
    <col min="12" max="12" width="16.28515625" style="256" customWidth="1"/>
    <col min="13" max="13" width="15.85546875" style="256" customWidth="1"/>
    <col min="14" max="16384" width="12.5703125" style="256"/>
  </cols>
  <sheetData>
    <row r="1" spans="1:13" ht="30" customHeight="1" x14ac:dyDescent="0.2">
      <c r="A1" s="1341" t="s">
        <v>79</v>
      </c>
      <c r="B1" s="1342"/>
      <c r="C1" s="1352" t="s">
        <v>267</v>
      </c>
      <c r="D1" s="1353"/>
      <c r="E1" s="1349" t="s">
        <v>1096</v>
      </c>
      <c r="F1" s="1350"/>
      <c r="G1" s="1351"/>
      <c r="H1" s="1337" t="s">
        <v>1344</v>
      </c>
      <c r="I1" s="1338"/>
      <c r="J1" s="1330" t="s">
        <v>450</v>
      </c>
      <c r="K1" s="1330" t="s">
        <v>451</v>
      </c>
      <c r="L1" s="1339" t="s">
        <v>1167</v>
      </c>
      <c r="M1" s="1330" t="s">
        <v>1113</v>
      </c>
    </row>
    <row r="2" spans="1:13" ht="103.5" customHeight="1" x14ac:dyDescent="0.2">
      <c r="A2" s="1325"/>
      <c r="B2" s="1326"/>
      <c r="C2" s="1345" t="s">
        <v>1345</v>
      </c>
      <c r="D2" s="1347" t="s">
        <v>1162</v>
      </c>
      <c r="E2" s="1335" t="s">
        <v>266</v>
      </c>
      <c r="F2" s="1333" t="s">
        <v>1281</v>
      </c>
      <c r="G2" s="597" t="s">
        <v>1112</v>
      </c>
      <c r="H2" s="1335" t="s">
        <v>1281</v>
      </c>
      <c r="I2" s="597" t="s">
        <v>1346</v>
      </c>
      <c r="J2" s="1331"/>
      <c r="K2" s="1331"/>
      <c r="L2" s="1340"/>
      <c r="M2" s="1331"/>
    </row>
    <row r="3" spans="1:13" ht="15.75" customHeight="1" x14ac:dyDescent="0.2">
      <c r="A3" s="1343"/>
      <c r="B3" s="1344"/>
      <c r="C3" s="1346"/>
      <c r="D3" s="1348"/>
      <c r="E3" s="1336"/>
      <c r="F3" s="1334"/>
      <c r="G3" s="711">
        <f>38456219/F76</f>
        <v>69.604142269940766</v>
      </c>
      <c r="H3" s="1336"/>
      <c r="I3" s="712">
        <v>100</v>
      </c>
      <c r="J3" s="1332"/>
      <c r="K3" s="1332"/>
      <c r="L3" s="1310"/>
      <c r="M3" s="1332"/>
    </row>
    <row r="4" spans="1:13" s="715" customFormat="1" ht="14.25" customHeight="1" x14ac:dyDescent="0.2">
      <c r="A4" s="713"/>
      <c r="B4" s="714"/>
      <c r="C4" s="964">
        <v>1</v>
      </c>
      <c r="D4" s="964">
        <f t="shared" ref="D4:M4" si="0">C4+1</f>
        <v>2</v>
      </c>
      <c r="E4" s="964">
        <f t="shared" si="0"/>
        <v>3</v>
      </c>
      <c r="F4" s="964">
        <f t="shared" si="0"/>
        <v>4</v>
      </c>
      <c r="G4" s="964">
        <f t="shared" si="0"/>
        <v>5</v>
      </c>
      <c r="H4" s="964">
        <f t="shared" si="0"/>
        <v>6</v>
      </c>
      <c r="I4" s="964">
        <f t="shared" si="0"/>
        <v>7</v>
      </c>
      <c r="J4" s="964">
        <f t="shared" si="0"/>
        <v>8</v>
      </c>
      <c r="K4" s="964">
        <f t="shared" si="0"/>
        <v>9</v>
      </c>
      <c r="L4" s="964">
        <f t="shared" si="0"/>
        <v>10</v>
      </c>
      <c r="M4" s="964">
        <f t="shared" si="0"/>
        <v>11</v>
      </c>
    </row>
    <row r="5" spans="1:13" s="716" customFormat="1" ht="17.25" customHeight="1" x14ac:dyDescent="0.2">
      <c r="A5" s="624"/>
      <c r="B5" s="624"/>
      <c r="C5" s="965" t="s">
        <v>681</v>
      </c>
      <c r="D5" s="965" t="s">
        <v>883</v>
      </c>
      <c r="E5" s="965" t="s">
        <v>681</v>
      </c>
      <c r="F5" s="966" t="s">
        <v>228</v>
      </c>
      <c r="G5" s="966" t="s">
        <v>1407</v>
      </c>
      <c r="H5" s="965" t="s">
        <v>228</v>
      </c>
      <c r="I5" s="966" t="s">
        <v>1116</v>
      </c>
      <c r="J5" s="966" t="s">
        <v>1114</v>
      </c>
      <c r="K5" s="966" t="s">
        <v>1115</v>
      </c>
      <c r="L5" s="965" t="s">
        <v>1108</v>
      </c>
      <c r="M5" s="966" t="s">
        <v>1166</v>
      </c>
    </row>
    <row r="6" spans="1:13" s="716" customFormat="1" ht="22.5" hidden="1" customHeight="1" x14ac:dyDescent="0.2">
      <c r="A6" s="624"/>
      <c r="B6" s="624"/>
      <c r="C6" s="626" t="s">
        <v>688</v>
      </c>
      <c r="D6" s="626" t="s">
        <v>555</v>
      </c>
      <c r="E6" s="626" t="s">
        <v>688</v>
      </c>
      <c r="F6" s="626" t="s">
        <v>555</v>
      </c>
      <c r="G6" s="625" t="s">
        <v>881</v>
      </c>
      <c r="H6" s="626" t="s">
        <v>554</v>
      </c>
      <c r="I6" s="625" t="s">
        <v>882</v>
      </c>
      <c r="J6" s="626" t="s">
        <v>555</v>
      </c>
      <c r="K6" s="626" t="s">
        <v>555</v>
      </c>
      <c r="L6" s="626"/>
      <c r="M6" s="626"/>
    </row>
    <row r="7" spans="1:13" ht="15.6" customHeight="1" x14ac:dyDescent="0.2">
      <c r="A7" s="324">
        <v>1</v>
      </c>
      <c r="B7" s="325" t="s">
        <v>4</v>
      </c>
      <c r="C7" s="36">
        <v>777.48</v>
      </c>
      <c r="D7" s="36">
        <f>ROUND(C7*'3_Levels 1&amp;2'!C7,0)</f>
        <v>7333191</v>
      </c>
      <c r="E7" s="1266">
        <v>0</v>
      </c>
      <c r="F7" s="717">
        <f>'3_Levels 1&amp;2'!C7</f>
        <v>9432</v>
      </c>
      <c r="G7" s="36">
        <f t="shared" ref="G7:G38" si="1">ROUND($G$3*F7,0)</f>
        <v>656506</v>
      </c>
      <c r="H7" s="717">
        <f>'3_Levels 1&amp;2'!C7</f>
        <v>9432</v>
      </c>
      <c r="I7" s="36">
        <f t="shared" ref="I7:I38" si="2">ROUND(H7*$I$3,0)</f>
        <v>943200</v>
      </c>
      <c r="J7" s="36">
        <f t="shared" ref="J7:J38" si="3">E7+G7+I7</f>
        <v>1599706</v>
      </c>
      <c r="K7" s="36">
        <f t="shared" ref="K7:K38" si="4">D7+E7+G7+I7</f>
        <v>8932897</v>
      </c>
      <c r="L7" s="36">
        <f>'Pay Raise By Residency'!AV7</f>
        <v>1236069.2619439741</v>
      </c>
      <c r="M7" s="1257">
        <f>K7+L7</f>
        <v>10168966.261943974</v>
      </c>
    </row>
    <row r="8" spans="1:13" ht="15.6" customHeight="1" x14ac:dyDescent="0.2">
      <c r="A8" s="324">
        <v>2</v>
      </c>
      <c r="B8" s="325" t="s">
        <v>5</v>
      </c>
      <c r="C8" s="36">
        <v>842.32</v>
      </c>
      <c r="D8" s="36">
        <f>ROUND(C8*'3_Levels 1&amp;2'!C8,0)</f>
        <v>3324637</v>
      </c>
      <c r="E8" s="1266">
        <v>0</v>
      </c>
      <c r="F8" s="717">
        <f>'3_Levels 1&amp;2'!C8</f>
        <v>3947</v>
      </c>
      <c r="G8" s="36">
        <f t="shared" si="1"/>
        <v>274728</v>
      </c>
      <c r="H8" s="717">
        <f>'3_Levels 1&amp;2'!C8</f>
        <v>3947</v>
      </c>
      <c r="I8" s="36">
        <f t="shared" si="2"/>
        <v>394700</v>
      </c>
      <c r="J8" s="36">
        <f t="shared" si="3"/>
        <v>669428</v>
      </c>
      <c r="K8" s="36">
        <f t="shared" si="4"/>
        <v>3994065</v>
      </c>
      <c r="L8" s="36">
        <f>'Pay Raise By Residency'!AV8</f>
        <v>635782.23758681666</v>
      </c>
      <c r="M8" s="1257">
        <f t="shared" ref="M8:M71" si="5">K8+L8</f>
        <v>4629847.2375868168</v>
      </c>
    </row>
    <row r="9" spans="1:13" ht="15.6" customHeight="1" x14ac:dyDescent="0.2">
      <c r="A9" s="324">
        <v>3</v>
      </c>
      <c r="B9" s="325" t="s">
        <v>6</v>
      </c>
      <c r="C9" s="36">
        <v>596.84</v>
      </c>
      <c r="D9" s="36">
        <f>ROUND(C9*'3_Levels 1&amp;2'!C9,0)</f>
        <v>13555430</v>
      </c>
      <c r="E9" s="1266">
        <v>0</v>
      </c>
      <c r="F9" s="717">
        <f>'3_Levels 1&amp;2'!C9</f>
        <v>22712</v>
      </c>
      <c r="G9" s="36">
        <f t="shared" si="1"/>
        <v>1580849</v>
      </c>
      <c r="H9" s="717">
        <f>'3_Levels 1&amp;2'!C9</f>
        <v>22712</v>
      </c>
      <c r="I9" s="36">
        <f t="shared" si="2"/>
        <v>2271200</v>
      </c>
      <c r="J9" s="36">
        <f t="shared" si="3"/>
        <v>3852049</v>
      </c>
      <c r="K9" s="36">
        <f t="shared" si="4"/>
        <v>17407479</v>
      </c>
      <c r="L9" s="36">
        <f>'Pay Raise By Residency'!AV9</f>
        <v>3123069.9401690061</v>
      </c>
      <c r="M9" s="1257">
        <f t="shared" si="5"/>
        <v>20530548.940169007</v>
      </c>
    </row>
    <row r="10" spans="1:13" ht="15.6" customHeight="1" x14ac:dyDescent="0.2">
      <c r="A10" s="324">
        <v>4</v>
      </c>
      <c r="B10" s="325" t="s">
        <v>7</v>
      </c>
      <c r="C10" s="36">
        <v>585.76</v>
      </c>
      <c r="D10" s="36">
        <f>ROUND(C10*'3_Levels 1&amp;2'!C10,0)</f>
        <v>1793011</v>
      </c>
      <c r="E10" s="1266">
        <v>0</v>
      </c>
      <c r="F10" s="717">
        <f>'3_Levels 1&amp;2'!C10</f>
        <v>3061</v>
      </c>
      <c r="G10" s="36">
        <f t="shared" si="1"/>
        <v>213058</v>
      </c>
      <c r="H10" s="717">
        <f>'3_Levels 1&amp;2'!C10</f>
        <v>3061</v>
      </c>
      <c r="I10" s="36">
        <f t="shared" si="2"/>
        <v>306100</v>
      </c>
      <c r="J10" s="36">
        <f t="shared" si="3"/>
        <v>519158</v>
      </c>
      <c r="K10" s="36">
        <f t="shared" si="4"/>
        <v>2312169</v>
      </c>
      <c r="L10" s="36">
        <f>'Pay Raise By Residency'!AV10</f>
        <v>446827.38370110263</v>
      </c>
      <c r="M10" s="1257">
        <f t="shared" si="5"/>
        <v>2758996.3837011028</v>
      </c>
    </row>
    <row r="11" spans="1:13" ht="15.6" customHeight="1" x14ac:dyDescent="0.2">
      <c r="A11" s="314">
        <v>5</v>
      </c>
      <c r="B11" s="315" t="s">
        <v>8</v>
      </c>
      <c r="C11" s="290">
        <v>555.91</v>
      </c>
      <c r="D11" s="290">
        <f>ROUND(C11*'3_Levels 1&amp;2'!C11,0)</f>
        <v>2873499</v>
      </c>
      <c r="E11" s="1267">
        <v>0</v>
      </c>
      <c r="F11" s="718">
        <f>'3_Levels 1&amp;2'!C11</f>
        <v>5169</v>
      </c>
      <c r="G11" s="290">
        <f t="shared" si="1"/>
        <v>359784</v>
      </c>
      <c r="H11" s="718">
        <f>'3_Levels 1&amp;2'!C11</f>
        <v>5169</v>
      </c>
      <c r="I11" s="290">
        <f t="shared" si="2"/>
        <v>516900</v>
      </c>
      <c r="J11" s="290">
        <f t="shared" si="3"/>
        <v>876684</v>
      </c>
      <c r="K11" s="290">
        <f t="shared" si="4"/>
        <v>3750183</v>
      </c>
      <c r="L11" s="290">
        <f>'Pay Raise By Residency'!AV11</f>
        <v>633375.32295821758</v>
      </c>
      <c r="M11" s="1263">
        <f t="shared" si="5"/>
        <v>4383558.3229582179</v>
      </c>
    </row>
    <row r="12" spans="1:13" ht="15.6" customHeight="1" x14ac:dyDescent="0.2">
      <c r="A12" s="324">
        <v>6</v>
      </c>
      <c r="B12" s="325" t="s">
        <v>9</v>
      </c>
      <c r="C12" s="36">
        <v>545.4799999999999</v>
      </c>
      <c r="D12" s="719">
        <f>ROUND(C12*'3_Levels 1&amp;2'!C12,0)</f>
        <v>3155602</v>
      </c>
      <c r="E12" s="1266">
        <v>0</v>
      </c>
      <c r="F12" s="717">
        <f>'3_Levels 1&amp;2'!C12</f>
        <v>5785</v>
      </c>
      <c r="G12" s="36">
        <f t="shared" si="1"/>
        <v>402660</v>
      </c>
      <c r="H12" s="717">
        <f>'3_Levels 1&amp;2'!C12</f>
        <v>5785</v>
      </c>
      <c r="I12" s="36">
        <f t="shared" si="2"/>
        <v>578500</v>
      </c>
      <c r="J12" s="36">
        <f t="shared" si="3"/>
        <v>981160</v>
      </c>
      <c r="K12" s="36">
        <f t="shared" si="4"/>
        <v>4136762</v>
      </c>
      <c r="L12" s="36">
        <f>'Pay Raise By Residency'!AV12</f>
        <v>801753.66529584129</v>
      </c>
      <c r="M12" s="1257">
        <f t="shared" si="5"/>
        <v>4938515.6652958412</v>
      </c>
    </row>
    <row r="13" spans="1:13" ht="15.6" customHeight="1" x14ac:dyDescent="0.2">
      <c r="A13" s="324">
        <v>7</v>
      </c>
      <c r="B13" s="325" t="s">
        <v>10</v>
      </c>
      <c r="C13" s="36">
        <v>756.91999999999985</v>
      </c>
      <c r="D13" s="36">
        <f>ROUND(C13*'3_Levels 1&amp;2'!C13,0)</f>
        <v>1575907</v>
      </c>
      <c r="E13" s="1266">
        <v>0</v>
      </c>
      <c r="F13" s="717">
        <f>'3_Levels 1&amp;2'!C13</f>
        <v>2082</v>
      </c>
      <c r="G13" s="36">
        <f t="shared" si="1"/>
        <v>144916</v>
      </c>
      <c r="H13" s="717">
        <f>'3_Levels 1&amp;2'!C13</f>
        <v>2082</v>
      </c>
      <c r="I13" s="36">
        <f t="shared" si="2"/>
        <v>208200</v>
      </c>
      <c r="J13" s="36">
        <f t="shared" si="3"/>
        <v>353116</v>
      </c>
      <c r="K13" s="36">
        <f t="shared" si="4"/>
        <v>1929023</v>
      </c>
      <c r="L13" s="36">
        <f>'Pay Raise By Residency'!AV13</f>
        <v>401872.85314408876</v>
      </c>
      <c r="M13" s="1257">
        <f t="shared" si="5"/>
        <v>2330895.8531440888</v>
      </c>
    </row>
    <row r="14" spans="1:13" ht="15.6" customHeight="1" x14ac:dyDescent="0.2">
      <c r="A14" s="324">
        <v>8</v>
      </c>
      <c r="B14" s="325" t="s">
        <v>11</v>
      </c>
      <c r="C14" s="36">
        <v>725.76</v>
      </c>
      <c r="D14" s="36">
        <f>ROUND(C14*'3_Levels 1&amp;2'!C14,0)</f>
        <v>16237428</v>
      </c>
      <c r="E14" s="1266">
        <v>0</v>
      </c>
      <c r="F14" s="717">
        <f>'3_Levels 1&amp;2'!C14</f>
        <v>22373</v>
      </c>
      <c r="G14" s="36">
        <f t="shared" si="1"/>
        <v>1557253</v>
      </c>
      <c r="H14" s="717">
        <f>'3_Levels 1&amp;2'!C14</f>
        <v>22373</v>
      </c>
      <c r="I14" s="36">
        <f t="shared" si="2"/>
        <v>2237300</v>
      </c>
      <c r="J14" s="36">
        <f t="shared" si="3"/>
        <v>3794553</v>
      </c>
      <c r="K14" s="36">
        <f t="shared" si="4"/>
        <v>20031981</v>
      </c>
      <c r="L14" s="36">
        <f>'Pay Raise By Residency'!AV14</f>
        <v>3239800.5644983905</v>
      </c>
      <c r="M14" s="1257">
        <f t="shared" si="5"/>
        <v>23271781.564498391</v>
      </c>
    </row>
    <row r="15" spans="1:13" ht="15.6" customHeight="1" x14ac:dyDescent="0.2">
      <c r="A15" s="324">
        <v>9</v>
      </c>
      <c r="B15" s="325" t="s">
        <v>12</v>
      </c>
      <c r="C15" s="36">
        <v>744.76</v>
      </c>
      <c r="D15" s="36">
        <f>ROUND(C15*'3_Levels 1&amp;2'!C15,0)</f>
        <v>28232362</v>
      </c>
      <c r="E15" s="1266">
        <v>0</v>
      </c>
      <c r="F15" s="717">
        <f>'3_Levels 1&amp;2'!C15</f>
        <v>37908</v>
      </c>
      <c r="G15" s="36">
        <f t="shared" si="1"/>
        <v>2638554</v>
      </c>
      <c r="H15" s="717">
        <f>'3_Levels 1&amp;2'!C15</f>
        <v>37908</v>
      </c>
      <c r="I15" s="36">
        <f t="shared" si="2"/>
        <v>3790800</v>
      </c>
      <c r="J15" s="36">
        <f t="shared" si="3"/>
        <v>6429354</v>
      </c>
      <c r="K15" s="36">
        <f t="shared" si="4"/>
        <v>34661716</v>
      </c>
      <c r="L15" s="36">
        <f>'Pay Raise By Residency'!AV15</f>
        <v>5002569.7756795418</v>
      </c>
      <c r="M15" s="1257">
        <f t="shared" si="5"/>
        <v>39664285.775679544</v>
      </c>
    </row>
    <row r="16" spans="1:13" ht="15.6" customHeight="1" x14ac:dyDescent="0.2">
      <c r="A16" s="314">
        <v>10</v>
      </c>
      <c r="B16" s="315" t="s">
        <v>13</v>
      </c>
      <c r="C16" s="290">
        <v>608.04000000000008</v>
      </c>
      <c r="D16" s="290">
        <f>ROUND(C16*'3_Levels 1&amp;2'!C16,0)</f>
        <v>19894461</v>
      </c>
      <c r="E16" s="1267">
        <v>0</v>
      </c>
      <c r="F16" s="718">
        <f>'3_Levels 1&amp;2'!C16</f>
        <v>32719</v>
      </c>
      <c r="G16" s="290">
        <f t="shared" si="1"/>
        <v>2277378</v>
      </c>
      <c r="H16" s="718">
        <f>'3_Levels 1&amp;2'!C16</f>
        <v>32719</v>
      </c>
      <c r="I16" s="290">
        <f t="shared" si="2"/>
        <v>3271900</v>
      </c>
      <c r="J16" s="290">
        <f t="shared" si="3"/>
        <v>5549278</v>
      </c>
      <c r="K16" s="290">
        <f t="shared" si="4"/>
        <v>25443739</v>
      </c>
      <c r="L16" s="290">
        <f>'Pay Raise By Residency'!AV16</f>
        <v>5139439.2190973526</v>
      </c>
      <c r="M16" s="1263">
        <f t="shared" si="5"/>
        <v>30583178.219097354</v>
      </c>
    </row>
    <row r="17" spans="1:13" ht="15.6" customHeight="1" x14ac:dyDescent="0.2">
      <c r="A17" s="324">
        <v>11</v>
      </c>
      <c r="B17" s="325" t="s">
        <v>14</v>
      </c>
      <c r="C17" s="36">
        <v>706.55</v>
      </c>
      <c r="D17" s="719">
        <f>ROUND(C17*'3_Levels 1&amp;2'!C17,0)</f>
        <v>1091620</v>
      </c>
      <c r="E17" s="1266">
        <v>0</v>
      </c>
      <c r="F17" s="717">
        <f>'3_Levels 1&amp;2'!C17</f>
        <v>1545</v>
      </c>
      <c r="G17" s="36">
        <f t="shared" si="1"/>
        <v>107538</v>
      </c>
      <c r="H17" s="717">
        <f>'3_Levels 1&amp;2'!C17</f>
        <v>1545</v>
      </c>
      <c r="I17" s="36">
        <f t="shared" si="2"/>
        <v>154500</v>
      </c>
      <c r="J17" s="36">
        <f t="shared" si="3"/>
        <v>262038</v>
      </c>
      <c r="K17" s="36">
        <f t="shared" si="4"/>
        <v>1353658</v>
      </c>
      <c r="L17" s="36">
        <f>'Pay Raise By Residency'!AV17</f>
        <v>270406.44034334761</v>
      </c>
      <c r="M17" s="1257">
        <f t="shared" si="5"/>
        <v>1624064.4403433476</v>
      </c>
    </row>
    <row r="18" spans="1:13" ht="15.6" customHeight="1" x14ac:dyDescent="0.2">
      <c r="A18" s="324">
        <v>12</v>
      </c>
      <c r="B18" s="325" t="s">
        <v>15</v>
      </c>
      <c r="C18" s="36">
        <v>1063.31</v>
      </c>
      <c r="D18" s="36">
        <f>ROUND(C18*'3_Levels 1&amp;2'!C18,0)</f>
        <v>1363163</v>
      </c>
      <c r="E18" s="1266">
        <v>0</v>
      </c>
      <c r="F18" s="717">
        <f>'3_Levels 1&amp;2'!C18</f>
        <v>1282</v>
      </c>
      <c r="G18" s="36">
        <f t="shared" si="1"/>
        <v>89233</v>
      </c>
      <c r="H18" s="717">
        <f>'3_Levels 1&amp;2'!C18</f>
        <v>1282</v>
      </c>
      <c r="I18" s="36">
        <f t="shared" si="2"/>
        <v>128200</v>
      </c>
      <c r="J18" s="36">
        <f t="shared" si="3"/>
        <v>217433</v>
      </c>
      <c r="K18" s="36">
        <f t="shared" si="4"/>
        <v>1580596</v>
      </c>
      <c r="L18" s="36">
        <f>'Pay Raise By Residency'!AV18</f>
        <v>271201.12056624668</v>
      </c>
      <c r="M18" s="1257">
        <f t="shared" si="5"/>
        <v>1851797.1205662466</v>
      </c>
    </row>
    <row r="19" spans="1:13" ht="15.6" customHeight="1" x14ac:dyDescent="0.2">
      <c r="A19" s="324">
        <v>13</v>
      </c>
      <c r="B19" s="325" t="s">
        <v>16</v>
      </c>
      <c r="C19" s="36">
        <v>749.43000000000006</v>
      </c>
      <c r="D19" s="36">
        <f>ROUND(C19*'3_Levels 1&amp;2'!C19,0)</f>
        <v>900815</v>
      </c>
      <c r="E19" s="1266">
        <v>0</v>
      </c>
      <c r="F19" s="717">
        <f>'3_Levels 1&amp;2'!C19</f>
        <v>1202</v>
      </c>
      <c r="G19" s="36">
        <f t="shared" si="1"/>
        <v>83664</v>
      </c>
      <c r="H19" s="717">
        <f>'3_Levels 1&amp;2'!C19</f>
        <v>1202</v>
      </c>
      <c r="I19" s="36">
        <f t="shared" si="2"/>
        <v>120200</v>
      </c>
      <c r="J19" s="36">
        <f t="shared" si="3"/>
        <v>203864</v>
      </c>
      <c r="K19" s="36">
        <f t="shared" si="4"/>
        <v>1104679</v>
      </c>
      <c r="L19" s="36">
        <f>'Pay Raise By Residency'!AV19</f>
        <v>188888.10395747004</v>
      </c>
      <c r="M19" s="1257">
        <f t="shared" si="5"/>
        <v>1293567.10395747</v>
      </c>
    </row>
    <row r="20" spans="1:13" ht="15.6" customHeight="1" x14ac:dyDescent="0.2">
      <c r="A20" s="324">
        <v>14</v>
      </c>
      <c r="B20" s="325" t="s">
        <v>17</v>
      </c>
      <c r="C20" s="36">
        <v>809.9799999999999</v>
      </c>
      <c r="D20" s="36">
        <f>ROUND(C20*'3_Levels 1&amp;2'!C20,0)</f>
        <v>1383446</v>
      </c>
      <c r="E20" s="1266">
        <v>0</v>
      </c>
      <c r="F20" s="717">
        <f>'3_Levels 1&amp;2'!C20</f>
        <v>1708</v>
      </c>
      <c r="G20" s="36">
        <f t="shared" si="1"/>
        <v>118884</v>
      </c>
      <c r="H20" s="717">
        <f>'3_Levels 1&amp;2'!C20</f>
        <v>1708</v>
      </c>
      <c r="I20" s="36">
        <f t="shared" si="2"/>
        <v>170800</v>
      </c>
      <c r="J20" s="36">
        <f t="shared" si="3"/>
        <v>289684</v>
      </c>
      <c r="K20" s="36">
        <f t="shared" si="4"/>
        <v>1673130</v>
      </c>
      <c r="L20" s="36">
        <f>'Pay Raise By Residency'!AV20</f>
        <v>272241.35647589137</v>
      </c>
      <c r="M20" s="1257">
        <f t="shared" si="5"/>
        <v>1945371.3564758913</v>
      </c>
    </row>
    <row r="21" spans="1:13" ht="15.6" customHeight="1" x14ac:dyDescent="0.2">
      <c r="A21" s="314">
        <v>15</v>
      </c>
      <c r="B21" s="315" t="s">
        <v>18</v>
      </c>
      <c r="C21" s="290">
        <v>553.79999999999995</v>
      </c>
      <c r="D21" s="290">
        <f>ROUND(C21*'3_Levels 1&amp;2'!C21,0)</f>
        <v>1950484</v>
      </c>
      <c r="E21" s="1267">
        <v>0</v>
      </c>
      <c r="F21" s="718"/>
      <c r="G21" s="290">
        <f t="shared" si="1"/>
        <v>0</v>
      </c>
      <c r="H21" s="718">
        <f>'3_Levels 1&amp;2'!C21</f>
        <v>3522</v>
      </c>
      <c r="I21" s="290">
        <f t="shared" si="2"/>
        <v>352200</v>
      </c>
      <c r="J21" s="290">
        <f t="shared" si="3"/>
        <v>352200</v>
      </c>
      <c r="K21" s="290">
        <f t="shared" si="4"/>
        <v>2302684</v>
      </c>
      <c r="L21" s="290">
        <f>'Pay Raise By Residency'!AV21</f>
        <v>548159.21147976175</v>
      </c>
      <c r="M21" s="1263">
        <f t="shared" si="5"/>
        <v>2850843.2114797616</v>
      </c>
    </row>
    <row r="22" spans="1:13" ht="15.6" customHeight="1" x14ac:dyDescent="0.2">
      <c r="A22" s="324">
        <v>16</v>
      </c>
      <c r="B22" s="325" t="s">
        <v>19</v>
      </c>
      <c r="C22" s="36">
        <v>686.73</v>
      </c>
      <c r="D22" s="719">
        <f>ROUND(C22*'3_Levels 1&amp;2'!C22,0)</f>
        <v>3301111</v>
      </c>
      <c r="E22" s="1266">
        <v>0</v>
      </c>
      <c r="F22" s="717">
        <f>'3_Levels 1&amp;2'!C22</f>
        <v>4807</v>
      </c>
      <c r="G22" s="36">
        <f t="shared" si="1"/>
        <v>334587</v>
      </c>
      <c r="H22" s="717">
        <f>'3_Levels 1&amp;2'!C22</f>
        <v>4807</v>
      </c>
      <c r="I22" s="36">
        <f t="shared" si="2"/>
        <v>480700</v>
      </c>
      <c r="J22" s="36">
        <f t="shared" si="3"/>
        <v>815287</v>
      </c>
      <c r="K22" s="36">
        <f t="shared" si="4"/>
        <v>4116398</v>
      </c>
      <c r="L22" s="36">
        <f>'Pay Raise By Residency'!AV22</f>
        <v>721880.7569138949</v>
      </c>
      <c r="M22" s="1257">
        <f t="shared" si="5"/>
        <v>4838278.7569138948</v>
      </c>
    </row>
    <row r="23" spans="1:13" ht="15.6" customHeight="1" x14ac:dyDescent="0.2">
      <c r="A23" s="324">
        <v>17</v>
      </c>
      <c r="B23" s="325" t="s">
        <v>20</v>
      </c>
      <c r="C23" s="36">
        <v>801.48</v>
      </c>
      <c r="D23" s="36">
        <f>ROUND(C23*'3_Levels 1&amp;2'!C23,0)</f>
        <v>36233308</v>
      </c>
      <c r="E23" s="1266">
        <v>13580692</v>
      </c>
      <c r="F23" s="717"/>
      <c r="G23" s="36">
        <f t="shared" si="1"/>
        <v>0</v>
      </c>
      <c r="H23" s="717">
        <f>'3_Levels 1&amp;2'!C23</f>
        <v>45208</v>
      </c>
      <c r="I23" s="36">
        <f t="shared" si="2"/>
        <v>4520800</v>
      </c>
      <c r="J23" s="36">
        <f t="shared" si="3"/>
        <v>18101492</v>
      </c>
      <c r="K23" s="36">
        <f t="shared" si="4"/>
        <v>54334800</v>
      </c>
      <c r="L23" s="36">
        <f>'Pay Raise By Residency'!AV23</f>
        <v>6888788.3998919819</v>
      </c>
      <c r="M23" s="1257">
        <f t="shared" si="5"/>
        <v>61223588.39989198</v>
      </c>
    </row>
    <row r="24" spans="1:13" ht="15.6" customHeight="1" x14ac:dyDescent="0.2">
      <c r="A24" s="324">
        <v>18</v>
      </c>
      <c r="B24" s="325" t="s">
        <v>21</v>
      </c>
      <c r="C24" s="36">
        <v>845.94999999999993</v>
      </c>
      <c r="D24" s="36">
        <f>ROUND(C24*'3_Levels 1&amp;2'!C24,0)</f>
        <v>743590</v>
      </c>
      <c r="E24" s="1266">
        <v>0</v>
      </c>
      <c r="F24" s="717">
        <f>'3_Levels 1&amp;2'!C24</f>
        <v>879</v>
      </c>
      <c r="G24" s="36">
        <f t="shared" si="1"/>
        <v>61182</v>
      </c>
      <c r="H24" s="717">
        <f>'3_Levels 1&amp;2'!C24</f>
        <v>879</v>
      </c>
      <c r="I24" s="36">
        <f t="shared" si="2"/>
        <v>87900</v>
      </c>
      <c r="J24" s="36">
        <f t="shared" si="3"/>
        <v>149082</v>
      </c>
      <c r="K24" s="36">
        <f t="shared" si="4"/>
        <v>892672</v>
      </c>
      <c r="L24" s="36">
        <f>'Pay Raise By Residency'!AV24</f>
        <v>138447.59862750358</v>
      </c>
      <c r="M24" s="1257">
        <f t="shared" si="5"/>
        <v>1031119.5986275036</v>
      </c>
    </row>
    <row r="25" spans="1:13" ht="15.6" customHeight="1" x14ac:dyDescent="0.2">
      <c r="A25" s="324">
        <v>19</v>
      </c>
      <c r="B25" s="325" t="s">
        <v>22</v>
      </c>
      <c r="C25" s="36">
        <v>905.43</v>
      </c>
      <c r="D25" s="36">
        <f>ROUND(C25*'3_Levels 1&amp;2'!C25,0)</f>
        <v>1621625</v>
      </c>
      <c r="E25" s="1266">
        <v>0</v>
      </c>
      <c r="F25" s="717">
        <f>'3_Levels 1&amp;2'!C25</f>
        <v>1791</v>
      </c>
      <c r="G25" s="36">
        <f t="shared" si="1"/>
        <v>124661</v>
      </c>
      <c r="H25" s="717">
        <f>'3_Levels 1&amp;2'!C25</f>
        <v>1791</v>
      </c>
      <c r="I25" s="36">
        <f t="shared" si="2"/>
        <v>179100</v>
      </c>
      <c r="J25" s="36">
        <f t="shared" si="3"/>
        <v>303761</v>
      </c>
      <c r="K25" s="36">
        <f t="shared" si="4"/>
        <v>1925386</v>
      </c>
      <c r="L25" s="36">
        <f>'Pay Raise By Residency'!AV25</f>
        <v>284439.60580476059</v>
      </c>
      <c r="M25" s="1257">
        <f t="shared" si="5"/>
        <v>2209825.6058047605</v>
      </c>
    </row>
    <row r="26" spans="1:13" ht="15.6" customHeight="1" x14ac:dyDescent="0.2">
      <c r="A26" s="314">
        <v>20</v>
      </c>
      <c r="B26" s="315" t="s">
        <v>23</v>
      </c>
      <c r="C26" s="290">
        <v>586.16999999999996</v>
      </c>
      <c r="D26" s="290">
        <f>ROUND(C26*'3_Levels 1&amp;2'!C26,0)</f>
        <v>3259105</v>
      </c>
      <c r="E26" s="1267">
        <v>0</v>
      </c>
      <c r="F26" s="718"/>
      <c r="G26" s="290">
        <f t="shared" si="1"/>
        <v>0</v>
      </c>
      <c r="H26" s="718">
        <f>'3_Levels 1&amp;2'!C26</f>
        <v>5560</v>
      </c>
      <c r="I26" s="290">
        <f t="shared" si="2"/>
        <v>556000</v>
      </c>
      <c r="J26" s="290">
        <f t="shared" si="3"/>
        <v>556000</v>
      </c>
      <c r="K26" s="290">
        <f t="shared" si="4"/>
        <v>3815105</v>
      </c>
      <c r="L26" s="290">
        <f>'Pay Raise By Residency'!AV26</f>
        <v>777889.53680812917</v>
      </c>
      <c r="M26" s="1263">
        <f t="shared" si="5"/>
        <v>4592994.5368081294</v>
      </c>
    </row>
    <row r="27" spans="1:13" ht="15.6" customHeight="1" x14ac:dyDescent="0.2">
      <c r="A27" s="324">
        <v>21</v>
      </c>
      <c r="B27" s="325" t="s">
        <v>24</v>
      </c>
      <c r="C27" s="36">
        <v>610.35</v>
      </c>
      <c r="D27" s="719">
        <f>ROUND(C27*'3_Levels 1&amp;2'!C27,0)</f>
        <v>1756587</v>
      </c>
      <c r="E27" s="1266">
        <v>0</v>
      </c>
      <c r="F27" s="717">
        <f>'3_Levels 1&amp;2'!C27</f>
        <v>2878</v>
      </c>
      <c r="G27" s="36">
        <f t="shared" si="1"/>
        <v>200321</v>
      </c>
      <c r="H27" s="717">
        <f>'3_Levels 1&amp;2'!C27</f>
        <v>2878</v>
      </c>
      <c r="I27" s="36">
        <f t="shared" si="2"/>
        <v>287800</v>
      </c>
      <c r="J27" s="36">
        <f t="shared" si="3"/>
        <v>488121</v>
      </c>
      <c r="K27" s="36">
        <f t="shared" si="4"/>
        <v>2244708</v>
      </c>
      <c r="L27" s="36">
        <f>'Pay Raise By Residency'!AV27</f>
        <v>449089.89814482513</v>
      </c>
      <c r="M27" s="1257">
        <f t="shared" si="5"/>
        <v>2693797.8981448254</v>
      </c>
    </row>
    <row r="28" spans="1:13" ht="15.6" customHeight="1" x14ac:dyDescent="0.2">
      <c r="A28" s="324">
        <v>22</v>
      </c>
      <c r="B28" s="325" t="s">
        <v>25</v>
      </c>
      <c r="C28" s="36">
        <v>496.36</v>
      </c>
      <c r="D28" s="36">
        <f>ROUND(C28*'3_Levels 1&amp;2'!C28,0)</f>
        <v>1411151</v>
      </c>
      <c r="E28" s="1266">
        <v>0</v>
      </c>
      <c r="F28" s="717">
        <f>'3_Levels 1&amp;2'!C28</f>
        <v>2843</v>
      </c>
      <c r="G28" s="36">
        <f t="shared" si="1"/>
        <v>197885</v>
      </c>
      <c r="H28" s="717">
        <f>'3_Levels 1&amp;2'!C28</f>
        <v>2843</v>
      </c>
      <c r="I28" s="36">
        <f t="shared" si="2"/>
        <v>284300</v>
      </c>
      <c r="J28" s="36">
        <f t="shared" si="3"/>
        <v>482185</v>
      </c>
      <c r="K28" s="36">
        <f t="shared" si="4"/>
        <v>1893336</v>
      </c>
      <c r="L28" s="36">
        <f>'Pay Raise By Residency'!AV28</f>
        <v>427098.82798640913</v>
      </c>
      <c r="M28" s="1257">
        <f t="shared" si="5"/>
        <v>2320434.827986409</v>
      </c>
    </row>
    <row r="29" spans="1:13" ht="15.6" customHeight="1" x14ac:dyDescent="0.2">
      <c r="A29" s="324">
        <v>23</v>
      </c>
      <c r="B29" s="325" t="s">
        <v>26</v>
      </c>
      <c r="C29" s="36">
        <v>688.58</v>
      </c>
      <c r="D29" s="36">
        <f>ROUND(C29*'3_Levels 1&amp;2'!C29,0)</f>
        <v>8295323</v>
      </c>
      <c r="E29" s="1266">
        <v>0</v>
      </c>
      <c r="F29" s="717">
        <f>'3_Levels 1&amp;2'!C29</f>
        <v>12047</v>
      </c>
      <c r="G29" s="36">
        <f t="shared" si="1"/>
        <v>838521</v>
      </c>
      <c r="H29" s="717">
        <f>'3_Levels 1&amp;2'!C29</f>
        <v>12047</v>
      </c>
      <c r="I29" s="36">
        <f t="shared" si="2"/>
        <v>1204700</v>
      </c>
      <c r="J29" s="36">
        <f t="shared" si="3"/>
        <v>2043221</v>
      </c>
      <c r="K29" s="36">
        <f t="shared" si="4"/>
        <v>10338544</v>
      </c>
      <c r="L29" s="36">
        <f>'Pay Raise By Residency'!AV29</f>
        <v>1686430.2242927244</v>
      </c>
      <c r="M29" s="1257">
        <f t="shared" si="5"/>
        <v>12024974.224292725</v>
      </c>
    </row>
    <row r="30" spans="1:13" ht="15.6" customHeight="1" x14ac:dyDescent="0.2">
      <c r="A30" s="324">
        <v>24</v>
      </c>
      <c r="B30" s="325" t="s">
        <v>27</v>
      </c>
      <c r="C30" s="36">
        <v>854.24999999999989</v>
      </c>
      <c r="D30" s="36">
        <f>ROUND(C30*'3_Levels 1&amp;2'!C30,0)</f>
        <v>3727093</v>
      </c>
      <c r="E30" s="1266">
        <v>1654734</v>
      </c>
      <c r="F30" s="717"/>
      <c r="G30" s="36">
        <f t="shared" si="1"/>
        <v>0</v>
      </c>
      <c r="H30" s="717">
        <f>'3_Levels 1&amp;2'!C30</f>
        <v>4363</v>
      </c>
      <c r="I30" s="36">
        <f t="shared" si="2"/>
        <v>436300</v>
      </c>
      <c r="J30" s="36">
        <f t="shared" si="3"/>
        <v>2091034</v>
      </c>
      <c r="K30" s="36">
        <f t="shared" si="4"/>
        <v>5818127</v>
      </c>
      <c r="L30" s="36">
        <f>'Pay Raise By Residency'!AV30</f>
        <v>801630.98046860669</v>
      </c>
      <c r="M30" s="1257">
        <f t="shared" si="5"/>
        <v>6619757.9804686066</v>
      </c>
    </row>
    <row r="31" spans="1:13" ht="15.6" customHeight="1" x14ac:dyDescent="0.2">
      <c r="A31" s="314">
        <v>25</v>
      </c>
      <c r="B31" s="315" t="s">
        <v>28</v>
      </c>
      <c r="C31" s="290">
        <v>653.73</v>
      </c>
      <c r="D31" s="290">
        <f>ROUND(C31*'3_Levels 1&amp;2'!C31,0)</f>
        <v>1444090</v>
      </c>
      <c r="E31" s="1267">
        <v>0</v>
      </c>
      <c r="F31" s="718">
        <f>'3_Levels 1&amp;2'!C31</f>
        <v>2209</v>
      </c>
      <c r="G31" s="290">
        <f t="shared" si="1"/>
        <v>153756</v>
      </c>
      <c r="H31" s="718">
        <f>'3_Levels 1&amp;2'!C31</f>
        <v>2209</v>
      </c>
      <c r="I31" s="290">
        <f t="shared" si="2"/>
        <v>220900</v>
      </c>
      <c r="J31" s="290">
        <f t="shared" si="3"/>
        <v>374656</v>
      </c>
      <c r="K31" s="290">
        <f t="shared" si="4"/>
        <v>1818746</v>
      </c>
      <c r="L31" s="290">
        <f>'Pay Raise By Residency'!AV31</f>
        <v>341675.93370564963</v>
      </c>
      <c r="M31" s="1263">
        <f t="shared" si="5"/>
        <v>2160421.9337056498</v>
      </c>
    </row>
    <row r="32" spans="1:13" ht="15.6" customHeight="1" x14ac:dyDescent="0.2">
      <c r="A32" s="324">
        <v>26</v>
      </c>
      <c r="B32" s="325" t="s">
        <v>29</v>
      </c>
      <c r="C32" s="36">
        <v>836.83</v>
      </c>
      <c r="D32" s="719">
        <f>ROUND(C32*'3_Levels 1&amp;2'!C32,0)</f>
        <v>42577074</v>
      </c>
      <c r="E32" s="1266">
        <v>14897747</v>
      </c>
      <c r="F32" s="717"/>
      <c r="G32" s="36">
        <f t="shared" si="1"/>
        <v>0</v>
      </c>
      <c r="H32" s="717">
        <f>'3_Levels 1&amp;2'!C32</f>
        <v>50879</v>
      </c>
      <c r="I32" s="36">
        <f t="shared" si="2"/>
        <v>5087900</v>
      </c>
      <c r="J32" s="36">
        <f t="shared" si="3"/>
        <v>19985647</v>
      </c>
      <c r="K32" s="36">
        <f t="shared" si="4"/>
        <v>62562721</v>
      </c>
      <c r="L32" s="36">
        <f>'Pay Raise By Residency'!AV32</f>
        <v>6992363.4827537294</v>
      </c>
      <c r="M32" s="1257">
        <f t="shared" si="5"/>
        <v>69555084.482753724</v>
      </c>
    </row>
    <row r="33" spans="1:13" ht="15.6" customHeight="1" x14ac:dyDescent="0.2">
      <c r="A33" s="324">
        <v>27</v>
      </c>
      <c r="B33" s="325" t="s">
        <v>30</v>
      </c>
      <c r="C33" s="36">
        <v>693.06</v>
      </c>
      <c r="D33" s="36">
        <f>ROUND(C33*'3_Levels 1&amp;2'!C33,0)</f>
        <v>3804206</v>
      </c>
      <c r="E33" s="1266">
        <v>0</v>
      </c>
      <c r="F33" s="717">
        <f>'3_Levels 1&amp;2'!C33</f>
        <v>5489</v>
      </c>
      <c r="G33" s="36">
        <f t="shared" si="1"/>
        <v>382057</v>
      </c>
      <c r="H33" s="717">
        <f>'3_Levels 1&amp;2'!C33</f>
        <v>5489</v>
      </c>
      <c r="I33" s="36">
        <f t="shared" si="2"/>
        <v>548900</v>
      </c>
      <c r="J33" s="36">
        <f t="shared" si="3"/>
        <v>930957</v>
      </c>
      <c r="K33" s="36">
        <f t="shared" si="4"/>
        <v>4735163</v>
      </c>
      <c r="L33" s="36">
        <f>'Pay Raise By Residency'!AV33</f>
        <v>766273.72029098216</v>
      </c>
      <c r="M33" s="1257">
        <f t="shared" si="5"/>
        <v>5501436.7202909822</v>
      </c>
    </row>
    <row r="34" spans="1:13" ht="15.6" customHeight="1" x14ac:dyDescent="0.2">
      <c r="A34" s="324">
        <v>28</v>
      </c>
      <c r="B34" s="325" t="s">
        <v>31</v>
      </c>
      <c r="C34" s="36">
        <v>694.4</v>
      </c>
      <c r="D34" s="36">
        <f>ROUND(C34*'3_Levels 1&amp;2'!C34,0)</f>
        <v>23143658</v>
      </c>
      <c r="E34" s="1266">
        <v>1996377</v>
      </c>
      <c r="F34" s="717">
        <f>'3_Levels 1&amp;2'!C34</f>
        <v>33329</v>
      </c>
      <c r="G34" s="36">
        <f t="shared" si="1"/>
        <v>2319836</v>
      </c>
      <c r="H34" s="717">
        <f>'3_Levels 1&amp;2'!C34</f>
        <v>33329</v>
      </c>
      <c r="I34" s="36">
        <f t="shared" si="2"/>
        <v>3332900</v>
      </c>
      <c r="J34" s="36">
        <f t="shared" si="3"/>
        <v>7649113</v>
      </c>
      <c r="K34" s="36">
        <f t="shared" si="4"/>
        <v>30792771</v>
      </c>
      <c r="L34" s="36">
        <f>'Pay Raise By Residency'!AV34</f>
        <v>4542280.9368145242</v>
      </c>
      <c r="M34" s="1257">
        <f t="shared" si="5"/>
        <v>35335051.936814524</v>
      </c>
    </row>
    <row r="35" spans="1:13" ht="15.6" customHeight="1" x14ac:dyDescent="0.2">
      <c r="A35" s="324">
        <v>29</v>
      </c>
      <c r="B35" s="325" t="s">
        <v>32</v>
      </c>
      <c r="C35" s="36">
        <v>754.94999999999993</v>
      </c>
      <c r="D35" s="36">
        <f>ROUND(C35*'3_Levels 1&amp;2'!C35,0)</f>
        <v>10649325</v>
      </c>
      <c r="E35" s="1266">
        <v>0</v>
      </c>
      <c r="F35" s="717">
        <f>'3_Levels 1&amp;2'!C35</f>
        <v>14106</v>
      </c>
      <c r="G35" s="36">
        <f t="shared" si="1"/>
        <v>981836</v>
      </c>
      <c r="H35" s="717">
        <f>'3_Levels 1&amp;2'!C35</f>
        <v>14106</v>
      </c>
      <c r="I35" s="36">
        <f t="shared" si="2"/>
        <v>1410600</v>
      </c>
      <c r="J35" s="36">
        <f t="shared" si="3"/>
        <v>2392436</v>
      </c>
      <c r="K35" s="36">
        <f t="shared" si="4"/>
        <v>13041761</v>
      </c>
      <c r="L35" s="36">
        <f>'Pay Raise By Residency'!AV35</f>
        <v>1876796.6625128065</v>
      </c>
      <c r="M35" s="1257">
        <f t="shared" si="5"/>
        <v>14918557.662512807</v>
      </c>
    </row>
    <row r="36" spans="1:13" ht="15.6" customHeight="1" x14ac:dyDescent="0.2">
      <c r="A36" s="314">
        <v>30</v>
      </c>
      <c r="B36" s="315" t="s">
        <v>33</v>
      </c>
      <c r="C36" s="290">
        <v>727.17</v>
      </c>
      <c r="D36" s="290">
        <f>ROUND(C36*'3_Levels 1&amp;2'!C36,0)</f>
        <v>1826651</v>
      </c>
      <c r="E36" s="1267">
        <v>0</v>
      </c>
      <c r="F36" s="718">
        <f>'3_Levels 1&amp;2'!C36</f>
        <v>2512</v>
      </c>
      <c r="G36" s="290">
        <f t="shared" si="1"/>
        <v>174846</v>
      </c>
      <c r="H36" s="718">
        <f>'3_Levels 1&amp;2'!C36</f>
        <v>2512</v>
      </c>
      <c r="I36" s="290">
        <f t="shared" si="2"/>
        <v>251200</v>
      </c>
      <c r="J36" s="290">
        <f t="shared" si="3"/>
        <v>426046</v>
      </c>
      <c r="K36" s="290">
        <f t="shared" si="4"/>
        <v>2252697</v>
      </c>
      <c r="L36" s="290">
        <f>'Pay Raise By Residency'!AV36</f>
        <v>382301.09630945994</v>
      </c>
      <c r="M36" s="1263">
        <f t="shared" si="5"/>
        <v>2634998.0963094598</v>
      </c>
    </row>
    <row r="37" spans="1:13" ht="15.6" customHeight="1" x14ac:dyDescent="0.2">
      <c r="A37" s="324">
        <v>31</v>
      </c>
      <c r="B37" s="325" t="s">
        <v>34</v>
      </c>
      <c r="C37" s="36">
        <v>620.83000000000004</v>
      </c>
      <c r="D37" s="719">
        <f>ROUND(C37*'3_Levels 1&amp;2'!C37,0)</f>
        <v>3832384</v>
      </c>
      <c r="E37" s="1266">
        <v>0</v>
      </c>
      <c r="F37" s="717">
        <f>'3_Levels 1&amp;2'!C37</f>
        <v>6173</v>
      </c>
      <c r="G37" s="36">
        <f t="shared" si="1"/>
        <v>429666</v>
      </c>
      <c r="H37" s="717">
        <f>'3_Levels 1&amp;2'!C37</f>
        <v>6173</v>
      </c>
      <c r="I37" s="36">
        <f t="shared" si="2"/>
        <v>617300</v>
      </c>
      <c r="J37" s="36">
        <f t="shared" si="3"/>
        <v>1046966</v>
      </c>
      <c r="K37" s="36">
        <f t="shared" si="4"/>
        <v>4879350</v>
      </c>
      <c r="L37" s="36">
        <f>'Pay Raise By Residency'!AV37</f>
        <v>984960.18628908077</v>
      </c>
      <c r="M37" s="1257">
        <f t="shared" si="5"/>
        <v>5864310.1862890804</v>
      </c>
    </row>
    <row r="38" spans="1:13" ht="15.6" customHeight="1" x14ac:dyDescent="0.2">
      <c r="A38" s="324">
        <v>32</v>
      </c>
      <c r="B38" s="325" t="s">
        <v>35</v>
      </c>
      <c r="C38" s="36">
        <v>559.77</v>
      </c>
      <c r="D38" s="36">
        <f>ROUND(C38*'3_Levels 1&amp;2'!C38,0)</f>
        <v>14510358</v>
      </c>
      <c r="E38" s="1266">
        <v>0</v>
      </c>
      <c r="F38" s="717">
        <f>'3_Levels 1&amp;2'!C38</f>
        <v>25922</v>
      </c>
      <c r="G38" s="36">
        <f t="shared" si="1"/>
        <v>1804279</v>
      </c>
      <c r="H38" s="717">
        <f>'3_Levels 1&amp;2'!C38</f>
        <v>25922</v>
      </c>
      <c r="I38" s="36">
        <f t="shared" si="2"/>
        <v>2592200</v>
      </c>
      <c r="J38" s="36">
        <f t="shared" si="3"/>
        <v>4396479</v>
      </c>
      <c r="K38" s="36">
        <f t="shared" si="4"/>
        <v>18906837</v>
      </c>
      <c r="L38" s="36">
        <f>'Pay Raise By Residency'!AV38</f>
        <v>3653497.4297805349</v>
      </c>
      <c r="M38" s="1257">
        <f t="shared" si="5"/>
        <v>22560334.429780535</v>
      </c>
    </row>
    <row r="39" spans="1:13" ht="15.6" customHeight="1" x14ac:dyDescent="0.2">
      <c r="A39" s="324">
        <v>33</v>
      </c>
      <c r="B39" s="325" t="s">
        <v>36</v>
      </c>
      <c r="C39" s="36">
        <v>655.31000000000006</v>
      </c>
      <c r="D39" s="36">
        <f>ROUND(C39*'3_Levels 1&amp;2'!C39,0)</f>
        <v>925298</v>
      </c>
      <c r="E39" s="1266">
        <v>0</v>
      </c>
      <c r="F39" s="717">
        <f>'3_Levels 1&amp;2'!C39</f>
        <v>1412</v>
      </c>
      <c r="G39" s="36">
        <f t="shared" ref="G39:G70" si="6">ROUND($G$3*F39,0)</f>
        <v>98281</v>
      </c>
      <c r="H39" s="717">
        <f>'3_Levels 1&amp;2'!C39</f>
        <v>1412</v>
      </c>
      <c r="I39" s="36">
        <f t="shared" ref="I39:I70" si="7">ROUND(H39*$I$3,0)</f>
        <v>141200</v>
      </c>
      <c r="J39" s="36">
        <f t="shared" ref="J39:J70" si="8">E39+G39+I39</f>
        <v>239481</v>
      </c>
      <c r="K39" s="36">
        <f t="shared" ref="K39:K75" si="9">D39+E39+G39+I39</f>
        <v>1164779</v>
      </c>
      <c r="L39" s="36">
        <f>'Pay Raise By Residency'!AV39</f>
        <v>218702.65768285049</v>
      </c>
      <c r="M39" s="1257">
        <f t="shared" si="5"/>
        <v>1383481.6576828505</v>
      </c>
    </row>
    <row r="40" spans="1:13" ht="15.6" customHeight="1" x14ac:dyDescent="0.2">
      <c r="A40" s="324">
        <v>34</v>
      </c>
      <c r="B40" s="325" t="s">
        <v>37</v>
      </c>
      <c r="C40" s="36">
        <v>644.11000000000013</v>
      </c>
      <c r="D40" s="36">
        <f>ROUND(C40*'3_Levels 1&amp;2'!C40,0)</f>
        <v>2312999</v>
      </c>
      <c r="E40" s="1266">
        <v>0</v>
      </c>
      <c r="F40" s="717">
        <f>'3_Levels 1&amp;2'!C40</f>
        <v>3591</v>
      </c>
      <c r="G40" s="36">
        <f t="shared" si="6"/>
        <v>249948</v>
      </c>
      <c r="H40" s="717">
        <f>'3_Levels 1&amp;2'!C40</f>
        <v>3591</v>
      </c>
      <c r="I40" s="36">
        <f t="shared" si="7"/>
        <v>359100</v>
      </c>
      <c r="J40" s="36">
        <f t="shared" si="8"/>
        <v>609048</v>
      </c>
      <c r="K40" s="36">
        <f t="shared" si="9"/>
        <v>2922047</v>
      </c>
      <c r="L40" s="36">
        <f>'Pay Raise By Residency'!AV40</f>
        <v>475470.07494720339</v>
      </c>
      <c r="M40" s="1257">
        <f t="shared" si="5"/>
        <v>3397517.0749472035</v>
      </c>
    </row>
    <row r="41" spans="1:13" ht="15.6" customHeight="1" x14ac:dyDescent="0.2">
      <c r="A41" s="314">
        <v>35</v>
      </c>
      <c r="B41" s="315" t="s">
        <v>38</v>
      </c>
      <c r="C41" s="290">
        <v>537.96</v>
      </c>
      <c r="D41" s="290">
        <f>ROUND(C41*'3_Levels 1&amp;2'!C41,0)</f>
        <v>3018494</v>
      </c>
      <c r="E41" s="1267">
        <v>0</v>
      </c>
      <c r="F41" s="718">
        <f>'3_Levels 1&amp;2'!C41</f>
        <v>5611</v>
      </c>
      <c r="G41" s="290">
        <f t="shared" si="6"/>
        <v>390549</v>
      </c>
      <c r="H41" s="718">
        <f>'3_Levels 1&amp;2'!C41</f>
        <v>5611</v>
      </c>
      <c r="I41" s="290">
        <f t="shared" si="7"/>
        <v>561100</v>
      </c>
      <c r="J41" s="290">
        <f t="shared" si="8"/>
        <v>951649</v>
      </c>
      <c r="K41" s="290">
        <f t="shared" si="9"/>
        <v>3970143</v>
      </c>
      <c r="L41" s="290">
        <f>'Pay Raise By Residency'!AV41</f>
        <v>835772.96567417739</v>
      </c>
      <c r="M41" s="1263">
        <f t="shared" si="5"/>
        <v>4805915.9656741777</v>
      </c>
    </row>
    <row r="42" spans="1:13" ht="15.6" customHeight="1" x14ac:dyDescent="0.2">
      <c r="A42" s="324">
        <v>36</v>
      </c>
      <c r="B42" s="325" t="s">
        <v>39</v>
      </c>
      <c r="C42" s="36">
        <v>732.46</v>
      </c>
      <c r="D42" s="719">
        <f>ROUND(('8_2.1.20 SIS'!C42*C42)+(SUM('8_2.1.20 SIS'!D42:AU42)*'9_Per Pupil Summary'!G42),0)</f>
        <v>34284890</v>
      </c>
      <c r="E42" s="1266">
        <v>0</v>
      </c>
      <c r="F42" s="717">
        <f>'3_Levels 1&amp;2'!C42</f>
        <v>46775</v>
      </c>
      <c r="G42" s="36">
        <f t="shared" si="6"/>
        <v>3255734</v>
      </c>
      <c r="H42" s="717">
        <f>'3_Levels 1&amp;2'!C42</f>
        <v>46775</v>
      </c>
      <c r="I42" s="36">
        <f t="shared" si="7"/>
        <v>4677500</v>
      </c>
      <c r="J42" s="36">
        <f t="shared" si="8"/>
        <v>7933234</v>
      </c>
      <c r="K42" s="36">
        <f t="shared" si="9"/>
        <v>42218124</v>
      </c>
      <c r="L42" s="36">
        <f>'Pay Raise By Residency'!AV42</f>
        <v>6691959.3656563396</v>
      </c>
      <c r="M42" s="1257">
        <f t="shared" si="5"/>
        <v>48910083.365656339</v>
      </c>
    </row>
    <row r="43" spans="1:13" ht="15.6" customHeight="1" x14ac:dyDescent="0.2">
      <c r="A43" s="324">
        <v>37</v>
      </c>
      <c r="B43" s="325" t="s">
        <v>40</v>
      </c>
      <c r="C43" s="36">
        <v>653.61</v>
      </c>
      <c r="D43" s="36">
        <f>ROUND(C43*'3_Levels 1&amp;2'!C43,0)</f>
        <v>12166297</v>
      </c>
      <c r="E43" s="1266">
        <v>0</v>
      </c>
      <c r="F43" s="717">
        <f>'3_Levels 1&amp;2'!C43</f>
        <v>18614</v>
      </c>
      <c r="G43" s="36">
        <f t="shared" si="6"/>
        <v>1295612</v>
      </c>
      <c r="H43" s="717">
        <f>'3_Levels 1&amp;2'!C43</f>
        <v>18614</v>
      </c>
      <c r="I43" s="36">
        <f t="shared" si="7"/>
        <v>1861400</v>
      </c>
      <c r="J43" s="36">
        <f t="shared" si="8"/>
        <v>3157012</v>
      </c>
      <c r="K43" s="36">
        <f t="shared" si="9"/>
        <v>15323309</v>
      </c>
      <c r="L43" s="36">
        <f>'Pay Raise By Residency'!AV43</f>
        <v>2829394.6178921065</v>
      </c>
      <c r="M43" s="1257">
        <f t="shared" si="5"/>
        <v>18152703.617892105</v>
      </c>
    </row>
    <row r="44" spans="1:13" ht="15.6" customHeight="1" x14ac:dyDescent="0.2">
      <c r="A44" s="324">
        <v>38</v>
      </c>
      <c r="B44" s="325" t="s">
        <v>41</v>
      </c>
      <c r="C44" s="36">
        <v>829.92000000000007</v>
      </c>
      <c r="D44" s="36">
        <f>ROUND(C44*'3_Levels 1&amp;2'!C44,0)</f>
        <v>3219260</v>
      </c>
      <c r="E44" s="1266">
        <v>1258024</v>
      </c>
      <c r="F44" s="717"/>
      <c r="G44" s="36">
        <f t="shared" si="6"/>
        <v>0</v>
      </c>
      <c r="H44" s="717">
        <f>'3_Levels 1&amp;2'!C44</f>
        <v>3879</v>
      </c>
      <c r="I44" s="36">
        <f t="shared" si="7"/>
        <v>387900</v>
      </c>
      <c r="J44" s="36">
        <f t="shared" si="8"/>
        <v>1645924</v>
      </c>
      <c r="K44" s="36">
        <f t="shared" si="9"/>
        <v>4865184</v>
      </c>
      <c r="L44" s="36">
        <f>'Pay Raise By Residency'!AV44</f>
        <v>642046.30920598691</v>
      </c>
      <c r="M44" s="1257">
        <f t="shared" si="5"/>
        <v>5507230.3092059866</v>
      </c>
    </row>
    <row r="45" spans="1:13" ht="15.6" customHeight="1" x14ac:dyDescent="0.2">
      <c r="A45" s="324">
        <v>39</v>
      </c>
      <c r="B45" s="325" t="s">
        <v>42</v>
      </c>
      <c r="C45" s="36">
        <v>779.66</v>
      </c>
      <c r="D45" s="36">
        <f>ROUND(C45*'3_Levels 1&amp;2'!C45,0)</f>
        <v>2059082</v>
      </c>
      <c r="E45" s="1266">
        <v>324688</v>
      </c>
      <c r="F45" s="717">
        <f>'3_Levels 1&amp;2'!C45</f>
        <v>2641</v>
      </c>
      <c r="G45" s="36">
        <f t="shared" si="6"/>
        <v>183825</v>
      </c>
      <c r="H45" s="717">
        <f>'3_Levels 1&amp;2'!C45</f>
        <v>2641</v>
      </c>
      <c r="I45" s="36">
        <f t="shared" si="7"/>
        <v>264100</v>
      </c>
      <c r="J45" s="36">
        <f t="shared" si="8"/>
        <v>772613</v>
      </c>
      <c r="K45" s="36">
        <f t="shared" si="9"/>
        <v>2831695</v>
      </c>
      <c r="L45" s="36">
        <f>'Pay Raise By Residency'!AV45</f>
        <v>281953.00363011891</v>
      </c>
      <c r="M45" s="1257">
        <f t="shared" si="5"/>
        <v>3113648.0036301189</v>
      </c>
    </row>
    <row r="46" spans="1:13" ht="15.6" customHeight="1" x14ac:dyDescent="0.2">
      <c r="A46" s="314">
        <v>40</v>
      </c>
      <c r="B46" s="315" t="s">
        <v>43</v>
      </c>
      <c r="C46" s="290">
        <v>700.2700000000001</v>
      </c>
      <c r="D46" s="290">
        <f>ROUND(C46*'3_Levels 1&amp;2'!C46,0)</f>
        <v>15289695</v>
      </c>
      <c r="E46" s="1267">
        <v>0</v>
      </c>
      <c r="F46" s="718">
        <f>'3_Levels 1&amp;2'!C46</f>
        <v>21834</v>
      </c>
      <c r="G46" s="290">
        <f t="shared" si="6"/>
        <v>1519737</v>
      </c>
      <c r="H46" s="718">
        <f>'3_Levels 1&amp;2'!C46</f>
        <v>21834</v>
      </c>
      <c r="I46" s="290">
        <f t="shared" si="7"/>
        <v>2183400</v>
      </c>
      <c r="J46" s="290">
        <f t="shared" si="8"/>
        <v>3703137</v>
      </c>
      <c r="K46" s="290">
        <f t="shared" si="9"/>
        <v>18992832</v>
      </c>
      <c r="L46" s="290">
        <f>'Pay Raise By Residency'!AV46</f>
        <v>3250785.8904649764</v>
      </c>
      <c r="M46" s="1263">
        <f t="shared" si="5"/>
        <v>22243617.890464976</v>
      </c>
    </row>
    <row r="47" spans="1:13" ht="15.6" customHeight="1" x14ac:dyDescent="0.2">
      <c r="A47" s="324">
        <v>41</v>
      </c>
      <c r="B47" s="325" t="s">
        <v>44</v>
      </c>
      <c r="C47" s="36">
        <v>886.22</v>
      </c>
      <c r="D47" s="719">
        <f>ROUND(C47*'3_Levels 1&amp;2'!C47,0)</f>
        <v>1147655</v>
      </c>
      <c r="E47" s="1266">
        <v>0</v>
      </c>
      <c r="F47" s="717">
        <f>'3_Levels 1&amp;2'!C47</f>
        <v>1295</v>
      </c>
      <c r="G47" s="36">
        <f t="shared" si="6"/>
        <v>90137</v>
      </c>
      <c r="H47" s="717">
        <f>'3_Levels 1&amp;2'!C47</f>
        <v>1295</v>
      </c>
      <c r="I47" s="36">
        <f t="shared" si="7"/>
        <v>129500</v>
      </c>
      <c r="J47" s="36">
        <f t="shared" si="8"/>
        <v>219637</v>
      </c>
      <c r="K47" s="36">
        <f t="shared" si="9"/>
        <v>1367292</v>
      </c>
      <c r="L47" s="36">
        <f>'Pay Raise By Residency'!AV47</f>
        <v>232224.96789833691</v>
      </c>
      <c r="M47" s="1257">
        <f t="shared" si="5"/>
        <v>1599516.9678983369</v>
      </c>
    </row>
    <row r="48" spans="1:13" ht="15.6" customHeight="1" x14ac:dyDescent="0.2">
      <c r="A48" s="324">
        <v>42</v>
      </c>
      <c r="B48" s="325" t="s">
        <v>45</v>
      </c>
      <c r="C48" s="36">
        <v>534.28</v>
      </c>
      <c r="D48" s="36">
        <f>ROUND(C48*'3_Levels 1&amp;2'!C48,0)</f>
        <v>1456982</v>
      </c>
      <c r="E48" s="1266">
        <v>0</v>
      </c>
      <c r="F48" s="717">
        <f>'3_Levels 1&amp;2'!C48</f>
        <v>2727</v>
      </c>
      <c r="G48" s="36">
        <f t="shared" si="6"/>
        <v>189810</v>
      </c>
      <c r="H48" s="717">
        <f>'3_Levels 1&amp;2'!C48</f>
        <v>2727</v>
      </c>
      <c r="I48" s="36">
        <f t="shared" si="7"/>
        <v>272700</v>
      </c>
      <c r="J48" s="36">
        <f t="shared" si="8"/>
        <v>462510</v>
      </c>
      <c r="K48" s="36">
        <f t="shared" si="9"/>
        <v>1919492</v>
      </c>
      <c r="L48" s="36">
        <f>'Pay Raise By Residency'!AV48</f>
        <v>384289.17202029686</v>
      </c>
      <c r="M48" s="1257">
        <f t="shared" si="5"/>
        <v>2303781.172020297</v>
      </c>
    </row>
    <row r="49" spans="1:13" ht="15.6" customHeight="1" x14ac:dyDescent="0.2">
      <c r="A49" s="324">
        <v>43</v>
      </c>
      <c r="B49" s="325" t="s">
        <v>46</v>
      </c>
      <c r="C49" s="36">
        <v>574.6099999999999</v>
      </c>
      <c r="D49" s="36">
        <f>ROUND(C49*'3_Levels 1&amp;2'!C49,0)</f>
        <v>2308208</v>
      </c>
      <c r="E49" s="1266">
        <v>0</v>
      </c>
      <c r="F49" s="717">
        <f>'3_Levels 1&amp;2'!C49</f>
        <v>4017</v>
      </c>
      <c r="G49" s="36">
        <f t="shared" si="6"/>
        <v>279600</v>
      </c>
      <c r="H49" s="717">
        <f>'3_Levels 1&amp;2'!C49</f>
        <v>4017</v>
      </c>
      <c r="I49" s="36">
        <f t="shared" si="7"/>
        <v>401700</v>
      </c>
      <c r="J49" s="36">
        <f t="shared" si="8"/>
        <v>681300</v>
      </c>
      <c r="K49" s="36">
        <f t="shared" si="9"/>
        <v>2989508</v>
      </c>
      <c r="L49" s="36">
        <f>'Pay Raise By Residency'!AV49</f>
        <v>604842.01282204257</v>
      </c>
      <c r="M49" s="1257">
        <f t="shared" si="5"/>
        <v>3594350.0128220427</v>
      </c>
    </row>
    <row r="50" spans="1:13" ht="15.6" customHeight="1" x14ac:dyDescent="0.2">
      <c r="A50" s="324">
        <v>44</v>
      </c>
      <c r="B50" s="325" t="s">
        <v>47</v>
      </c>
      <c r="C50" s="36">
        <v>663.16000000000008</v>
      </c>
      <c r="D50" s="36">
        <f>ROUND(C50*'3_Levels 1&amp;2'!C50,0)</f>
        <v>4945847</v>
      </c>
      <c r="E50" s="1266">
        <v>0</v>
      </c>
      <c r="F50" s="717">
        <f>'3_Levels 1&amp;2'!C50</f>
        <v>7458</v>
      </c>
      <c r="G50" s="36">
        <f t="shared" si="6"/>
        <v>519108</v>
      </c>
      <c r="H50" s="717">
        <f>'3_Levels 1&amp;2'!C50</f>
        <v>7458</v>
      </c>
      <c r="I50" s="36">
        <f t="shared" si="7"/>
        <v>745800</v>
      </c>
      <c r="J50" s="36">
        <f t="shared" si="8"/>
        <v>1264908</v>
      </c>
      <c r="K50" s="36">
        <f t="shared" si="9"/>
        <v>6210755</v>
      </c>
      <c r="L50" s="36">
        <f>'Pay Raise By Residency'!AV50</f>
        <v>977233.54283188377</v>
      </c>
      <c r="M50" s="1257">
        <f t="shared" si="5"/>
        <v>7187988.5428318838</v>
      </c>
    </row>
    <row r="51" spans="1:13" ht="15.6" customHeight="1" x14ac:dyDescent="0.2">
      <c r="A51" s="314">
        <v>45</v>
      </c>
      <c r="B51" s="315" t="s">
        <v>48</v>
      </c>
      <c r="C51" s="290">
        <v>753.96000000000015</v>
      </c>
      <c r="D51" s="290">
        <f>ROUND(C51*'3_Levels 1&amp;2'!C51,0)</f>
        <v>7142263</v>
      </c>
      <c r="E51" s="1267">
        <v>2883682</v>
      </c>
      <c r="F51" s="718"/>
      <c r="G51" s="290">
        <f t="shared" si="6"/>
        <v>0</v>
      </c>
      <c r="H51" s="718">
        <f>'3_Levels 1&amp;2'!C51</f>
        <v>9473</v>
      </c>
      <c r="I51" s="290">
        <f t="shared" si="7"/>
        <v>947300</v>
      </c>
      <c r="J51" s="290">
        <f t="shared" si="8"/>
        <v>3830982</v>
      </c>
      <c r="K51" s="290">
        <f t="shared" si="9"/>
        <v>10973245</v>
      </c>
      <c r="L51" s="290">
        <f>'Pay Raise By Residency'!AV51</f>
        <v>1727049.3252987326</v>
      </c>
      <c r="M51" s="1263">
        <f t="shared" si="5"/>
        <v>12700294.325298732</v>
      </c>
    </row>
    <row r="52" spans="1:13" ht="15.6" customHeight="1" x14ac:dyDescent="0.2">
      <c r="A52" s="324">
        <v>46</v>
      </c>
      <c r="B52" s="325" t="s">
        <v>49</v>
      </c>
      <c r="C52" s="36">
        <v>728.06</v>
      </c>
      <c r="D52" s="719">
        <f>ROUND(C52*'3_Levels 1&amp;2'!C52,0)</f>
        <v>862751</v>
      </c>
      <c r="E52" s="1266">
        <v>0</v>
      </c>
      <c r="F52" s="717">
        <f>'3_Levels 1&amp;2'!C52</f>
        <v>1185</v>
      </c>
      <c r="G52" s="36">
        <f t="shared" si="6"/>
        <v>82481</v>
      </c>
      <c r="H52" s="717">
        <f>'3_Levels 1&amp;2'!C52</f>
        <v>1185</v>
      </c>
      <c r="I52" s="36">
        <f t="shared" si="7"/>
        <v>118500</v>
      </c>
      <c r="J52" s="36">
        <f t="shared" si="8"/>
        <v>200981</v>
      </c>
      <c r="K52" s="36">
        <f t="shared" si="9"/>
        <v>1063732</v>
      </c>
      <c r="L52" s="36">
        <f>'Pay Raise By Residency'!AV52</f>
        <v>163792.36305283057</v>
      </c>
      <c r="M52" s="1257">
        <f t="shared" si="5"/>
        <v>1227524.3630528306</v>
      </c>
    </row>
    <row r="53" spans="1:13" ht="15.6" customHeight="1" x14ac:dyDescent="0.2">
      <c r="A53" s="324">
        <v>47</v>
      </c>
      <c r="B53" s="325" t="s">
        <v>50</v>
      </c>
      <c r="C53" s="36">
        <v>910.76</v>
      </c>
      <c r="D53" s="36">
        <f>ROUND(C53*'3_Levels 1&amp;2'!C53,0)</f>
        <v>3192214</v>
      </c>
      <c r="E53" s="1266">
        <v>1060614</v>
      </c>
      <c r="F53" s="717"/>
      <c r="G53" s="36">
        <f t="shared" si="6"/>
        <v>0</v>
      </c>
      <c r="H53" s="717">
        <f>'3_Levels 1&amp;2'!C53</f>
        <v>3505</v>
      </c>
      <c r="I53" s="36">
        <f t="shared" si="7"/>
        <v>350500</v>
      </c>
      <c r="J53" s="36">
        <f t="shared" si="8"/>
        <v>1411114</v>
      </c>
      <c r="K53" s="36">
        <f t="shared" si="9"/>
        <v>4603328</v>
      </c>
      <c r="L53" s="36">
        <f>'Pay Raise By Residency'!AV53</f>
        <v>574124.7454086194</v>
      </c>
      <c r="M53" s="1257">
        <f t="shared" si="5"/>
        <v>5177452.7454086198</v>
      </c>
    </row>
    <row r="54" spans="1:13" ht="15.6" customHeight="1" x14ac:dyDescent="0.2">
      <c r="A54" s="324">
        <v>48</v>
      </c>
      <c r="B54" s="325" t="s">
        <v>73</v>
      </c>
      <c r="C54" s="36">
        <v>871.07</v>
      </c>
      <c r="D54" s="36">
        <f>ROUND(C54*'3_Levels 1&amp;2'!C54,0)</f>
        <v>5056561</v>
      </c>
      <c r="E54" s="1266">
        <v>0</v>
      </c>
      <c r="F54" s="717">
        <f>'3_Levels 1&amp;2'!C54</f>
        <v>5805</v>
      </c>
      <c r="G54" s="36">
        <f t="shared" si="6"/>
        <v>404052</v>
      </c>
      <c r="H54" s="717">
        <f>'3_Levels 1&amp;2'!C54</f>
        <v>5805</v>
      </c>
      <c r="I54" s="36">
        <f t="shared" si="7"/>
        <v>580500</v>
      </c>
      <c r="J54" s="36">
        <f t="shared" si="8"/>
        <v>984552</v>
      </c>
      <c r="K54" s="36">
        <f t="shared" si="9"/>
        <v>6041113</v>
      </c>
      <c r="L54" s="36">
        <f>'Pay Raise By Residency'!AV54</f>
        <v>969365.60008988844</v>
      </c>
      <c r="M54" s="1257">
        <f t="shared" si="5"/>
        <v>7010478.6000898881</v>
      </c>
    </row>
    <row r="55" spans="1:13" ht="15.6" customHeight="1" x14ac:dyDescent="0.2">
      <c r="A55" s="324">
        <v>49</v>
      </c>
      <c r="B55" s="325" t="s">
        <v>51</v>
      </c>
      <c r="C55" s="36">
        <v>574.43999999999994</v>
      </c>
      <c r="D55" s="36">
        <f>ROUND(C55*'3_Levels 1&amp;2'!C55,0)</f>
        <v>7441870</v>
      </c>
      <c r="E55" s="1266">
        <v>0</v>
      </c>
      <c r="F55" s="717">
        <f>'3_Levels 1&amp;2'!C55</f>
        <v>12955</v>
      </c>
      <c r="G55" s="36">
        <f t="shared" si="6"/>
        <v>901722</v>
      </c>
      <c r="H55" s="717">
        <f>'3_Levels 1&amp;2'!C55</f>
        <v>12955</v>
      </c>
      <c r="I55" s="36">
        <f t="shared" si="7"/>
        <v>1295500</v>
      </c>
      <c r="J55" s="36">
        <f t="shared" si="8"/>
        <v>2197222</v>
      </c>
      <c r="K55" s="36">
        <f t="shared" si="9"/>
        <v>9639092</v>
      </c>
      <c r="L55" s="36">
        <f>'Pay Raise By Residency'!AV55</f>
        <v>1927082.2227943675</v>
      </c>
      <c r="M55" s="1257">
        <f t="shared" si="5"/>
        <v>11566174.222794367</v>
      </c>
    </row>
    <row r="56" spans="1:13" ht="15.6" customHeight="1" x14ac:dyDescent="0.2">
      <c r="A56" s="314">
        <v>50</v>
      </c>
      <c r="B56" s="315" t="s">
        <v>52</v>
      </c>
      <c r="C56" s="290">
        <v>634.46</v>
      </c>
      <c r="D56" s="290">
        <f>ROUND(C56*'3_Levels 1&amp;2'!C56,0)</f>
        <v>4687390</v>
      </c>
      <c r="E56" s="1267">
        <v>0</v>
      </c>
      <c r="F56" s="718">
        <f>'3_Levels 1&amp;2'!C56</f>
        <v>7388</v>
      </c>
      <c r="G56" s="290">
        <f t="shared" si="6"/>
        <v>514235</v>
      </c>
      <c r="H56" s="718">
        <f>'3_Levels 1&amp;2'!C56</f>
        <v>7388</v>
      </c>
      <c r="I56" s="290">
        <f t="shared" si="7"/>
        <v>738800</v>
      </c>
      <c r="J56" s="290">
        <f t="shared" si="8"/>
        <v>1253035</v>
      </c>
      <c r="K56" s="290">
        <f t="shared" si="9"/>
        <v>5940425</v>
      </c>
      <c r="L56" s="290">
        <f>'Pay Raise By Residency'!AV56</f>
        <v>979862.09648946067</v>
      </c>
      <c r="M56" s="1263">
        <f t="shared" si="5"/>
        <v>6920287.0964894611</v>
      </c>
    </row>
    <row r="57" spans="1:13" ht="15.6" customHeight="1" x14ac:dyDescent="0.2">
      <c r="A57" s="324">
        <v>51</v>
      </c>
      <c r="B57" s="325" t="s">
        <v>53</v>
      </c>
      <c r="C57" s="36">
        <v>706.66</v>
      </c>
      <c r="D57" s="719">
        <f>ROUND(C57*'3_Levels 1&amp;2'!C57,0)</f>
        <v>5779065</v>
      </c>
      <c r="E57" s="1266">
        <v>0</v>
      </c>
      <c r="F57" s="717">
        <f>'3_Levels 1&amp;2'!C57</f>
        <v>8178</v>
      </c>
      <c r="G57" s="36">
        <f t="shared" si="6"/>
        <v>569223</v>
      </c>
      <c r="H57" s="717">
        <f>'3_Levels 1&amp;2'!C57</f>
        <v>8178</v>
      </c>
      <c r="I57" s="36">
        <f t="shared" si="7"/>
        <v>817800</v>
      </c>
      <c r="J57" s="36">
        <f t="shared" si="8"/>
        <v>1387023</v>
      </c>
      <c r="K57" s="36">
        <f t="shared" si="9"/>
        <v>7166088</v>
      </c>
      <c r="L57" s="36">
        <f>'Pay Raise By Residency'!AV57</f>
        <v>1234265.289195722</v>
      </c>
      <c r="M57" s="1257">
        <f t="shared" si="5"/>
        <v>8400353.289195722</v>
      </c>
    </row>
    <row r="58" spans="1:13" ht="15.6" customHeight="1" x14ac:dyDescent="0.2">
      <c r="A58" s="324">
        <v>52</v>
      </c>
      <c r="B58" s="325" t="s">
        <v>54</v>
      </c>
      <c r="C58" s="36">
        <v>658.37</v>
      </c>
      <c r="D58" s="36">
        <f>ROUND(C58*'3_Levels 1&amp;2'!C58,0)</f>
        <v>25049662</v>
      </c>
      <c r="E58" s="1266">
        <v>0</v>
      </c>
      <c r="F58" s="717">
        <f>'3_Levels 1&amp;2'!C58</f>
        <v>38048</v>
      </c>
      <c r="G58" s="36">
        <f t="shared" si="6"/>
        <v>2648298</v>
      </c>
      <c r="H58" s="717">
        <f>'3_Levels 1&amp;2'!C58</f>
        <v>38048</v>
      </c>
      <c r="I58" s="36">
        <f t="shared" si="7"/>
        <v>3804800</v>
      </c>
      <c r="J58" s="36">
        <f t="shared" si="8"/>
        <v>6453098</v>
      </c>
      <c r="K58" s="36">
        <f t="shared" si="9"/>
        <v>31502760</v>
      </c>
      <c r="L58" s="36">
        <f>'Pay Raise By Residency'!AV58</f>
        <v>5905914.5582009517</v>
      </c>
      <c r="M58" s="1257">
        <f t="shared" si="5"/>
        <v>37408674.558200955</v>
      </c>
    </row>
    <row r="59" spans="1:13" ht="15.6" customHeight="1" x14ac:dyDescent="0.2">
      <c r="A59" s="324">
        <v>53</v>
      </c>
      <c r="B59" s="325" t="s">
        <v>55</v>
      </c>
      <c r="C59" s="36">
        <v>689.74</v>
      </c>
      <c r="D59" s="36">
        <f>ROUND(C59*'3_Levels 1&amp;2'!C59,0)</f>
        <v>13316120</v>
      </c>
      <c r="E59" s="1266">
        <v>0</v>
      </c>
      <c r="F59" s="717">
        <f>'3_Levels 1&amp;2'!C59</f>
        <v>19306</v>
      </c>
      <c r="G59" s="36">
        <f t="shared" si="6"/>
        <v>1343778</v>
      </c>
      <c r="H59" s="717">
        <f>'3_Levels 1&amp;2'!C59</f>
        <v>19306</v>
      </c>
      <c r="I59" s="36">
        <f t="shared" si="7"/>
        <v>1930600</v>
      </c>
      <c r="J59" s="36">
        <f t="shared" si="8"/>
        <v>3274378</v>
      </c>
      <c r="K59" s="36">
        <f t="shared" si="9"/>
        <v>16590498</v>
      </c>
      <c r="L59" s="36">
        <f>'Pay Raise By Residency'!AV59</f>
        <v>2838773.5796880359</v>
      </c>
      <c r="M59" s="1257">
        <f t="shared" si="5"/>
        <v>19429271.579688035</v>
      </c>
    </row>
    <row r="60" spans="1:13" ht="15.6" customHeight="1" x14ac:dyDescent="0.2">
      <c r="A60" s="324">
        <v>54</v>
      </c>
      <c r="B60" s="325" t="s">
        <v>56</v>
      </c>
      <c r="C60" s="36">
        <v>951.45</v>
      </c>
      <c r="D60" s="36">
        <f>ROUND(C60*'3_Levels 1&amp;2'!C60,0)</f>
        <v>435764</v>
      </c>
      <c r="E60" s="1266">
        <v>0</v>
      </c>
      <c r="F60" s="717">
        <f>'3_Levels 1&amp;2'!C60</f>
        <v>458</v>
      </c>
      <c r="G60" s="36">
        <f t="shared" si="6"/>
        <v>31879</v>
      </c>
      <c r="H60" s="717">
        <f>'3_Levels 1&amp;2'!C60</f>
        <v>458</v>
      </c>
      <c r="I60" s="36">
        <f t="shared" si="7"/>
        <v>45800</v>
      </c>
      <c r="J60" s="36">
        <f t="shared" si="8"/>
        <v>77679</v>
      </c>
      <c r="K60" s="36">
        <f t="shared" si="9"/>
        <v>513443</v>
      </c>
      <c r="L60" s="36">
        <f>'Pay Raise By Residency'!AV60</f>
        <v>93166.658522720274</v>
      </c>
      <c r="M60" s="1257">
        <f t="shared" si="5"/>
        <v>606609.65852272022</v>
      </c>
    </row>
    <row r="61" spans="1:13" ht="15.6" customHeight="1" x14ac:dyDescent="0.2">
      <c r="A61" s="314">
        <v>55</v>
      </c>
      <c r="B61" s="315" t="s">
        <v>57</v>
      </c>
      <c r="C61" s="290">
        <v>795.14</v>
      </c>
      <c r="D61" s="290">
        <f>ROUND(C61*'3_Levels 1&amp;2'!C61,0)</f>
        <v>13179446</v>
      </c>
      <c r="E61" s="1267">
        <v>0</v>
      </c>
      <c r="F61" s="718">
        <f>'3_Levels 1&amp;2'!C61</f>
        <v>16575</v>
      </c>
      <c r="G61" s="290">
        <f t="shared" si="6"/>
        <v>1153689</v>
      </c>
      <c r="H61" s="718">
        <f>'3_Levels 1&amp;2'!C61</f>
        <v>16575</v>
      </c>
      <c r="I61" s="290">
        <f t="shared" si="7"/>
        <v>1657500</v>
      </c>
      <c r="J61" s="290">
        <f t="shared" si="8"/>
        <v>2811189</v>
      </c>
      <c r="K61" s="290">
        <f t="shared" si="9"/>
        <v>15990635</v>
      </c>
      <c r="L61" s="290">
        <f>'Pay Raise By Residency'!AV61</f>
        <v>2231335.303513051</v>
      </c>
      <c r="M61" s="1263">
        <f t="shared" si="5"/>
        <v>18221970.30351305</v>
      </c>
    </row>
    <row r="62" spans="1:13" ht="15.6" customHeight="1" x14ac:dyDescent="0.2">
      <c r="A62" s="324">
        <v>56</v>
      </c>
      <c r="B62" s="325" t="s">
        <v>58</v>
      </c>
      <c r="C62" s="36">
        <v>614.66000000000008</v>
      </c>
      <c r="D62" s="719">
        <f>ROUND(C62*'3_Levels 1&amp;2'!C62,0)</f>
        <v>1840907</v>
      </c>
      <c r="E62" s="1266">
        <v>0</v>
      </c>
      <c r="F62" s="717">
        <f>'3_Levels 1&amp;2'!C62</f>
        <v>2995</v>
      </c>
      <c r="G62" s="36">
        <f t="shared" si="6"/>
        <v>208464</v>
      </c>
      <c r="H62" s="717">
        <f>'3_Levels 1&amp;2'!C62</f>
        <v>2995</v>
      </c>
      <c r="I62" s="36">
        <f t="shared" si="7"/>
        <v>299500</v>
      </c>
      <c r="J62" s="36">
        <f t="shared" si="8"/>
        <v>507964</v>
      </c>
      <c r="K62" s="36">
        <f t="shared" si="9"/>
        <v>2348871</v>
      </c>
      <c r="L62" s="36">
        <f>'Pay Raise By Residency'!AV62</f>
        <v>387051.35734467552</v>
      </c>
      <c r="M62" s="1257">
        <f t="shared" si="5"/>
        <v>2735922.3573446753</v>
      </c>
    </row>
    <row r="63" spans="1:13" ht="15.6" customHeight="1" x14ac:dyDescent="0.2">
      <c r="A63" s="324">
        <v>57</v>
      </c>
      <c r="B63" s="325" t="s">
        <v>59</v>
      </c>
      <c r="C63" s="36">
        <v>764.51</v>
      </c>
      <c r="D63" s="36">
        <f>ROUND(C63*'3_Levels 1&amp;2'!C63,0)</f>
        <v>7125233</v>
      </c>
      <c r="E63" s="1266">
        <v>0</v>
      </c>
      <c r="F63" s="717">
        <f>'3_Levels 1&amp;2'!C63</f>
        <v>9320</v>
      </c>
      <c r="G63" s="36">
        <f t="shared" si="6"/>
        <v>648711</v>
      </c>
      <c r="H63" s="717">
        <f>'3_Levels 1&amp;2'!C63</f>
        <v>9320</v>
      </c>
      <c r="I63" s="36">
        <f t="shared" si="7"/>
        <v>932000</v>
      </c>
      <c r="J63" s="36">
        <f t="shared" si="8"/>
        <v>1580711</v>
      </c>
      <c r="K63" s="36">
        <f t="shared" si="9"/>
        <v>8705944</v>
      </c>
      <c r="L63" s="36">
        <f>'Pay Raise By Residency'!AV63</f>
        <v>1293807.0603758174</v>
      </c>
      <c r="M63" s="1257">
        <f t="shared" si="5"/>
        <v>9999751.0603758171</v>
      </c>
    </row>
    <row r="64" spans="1:13" ht="15.6" customHeight="1" x14ac:dyDescent="0.2">
      <c r="A64" s="324">
        <v>58</v>
      </c>
      <c r="B64" s="325" t="s">
        <v>60</v>
      </c>
      <c r="C64" s="36">
        <v>697.04</v>
      </c>
      <c r="D64" s="36">
        <f>ROUND(C64*'3_Levels 1&amp;2'!C64,0)</f>
        <v>5588170</v>
      </c>
      <c r="E64" s="1266">
        <v>0</v>
      </c>
      <c r="F64" s="717">
        <f>'3_Levels 1&amp;2'!C64</f>
        <v>8017</v>
      </c>
      <c r="G64" s="36">
        <f t="shared" si="6"/>
        <v>558016</v>
      </c>
      <c r="H64" s="717">
        <f>'3_Levels 1&amp;2'!C64</f>
        <v>8017</v>
      </c>
      <c r="I64" s="36">
        <f t="shared" si="7"/>
        <v>801700</v>
      </c>
      <c r="J64" s="36">
        <f t="shared" si="8"/>
        <v>1359716</v>
      </c>
      <c r="K64" s="36">
        <f t="shared" si="9"/>
        <v>6947886</v>
      </c>
      <c r="L64" s="36">
        <f>'Pay Raise By Residency'!AV64</f>
        <v>1095245.0276555794</v>
      </c>
      <c r="M64" s="1257">
        <f t="shared" si="5"/>
        <v>8043131.0276555791</v>
      </c>
    </row>
    <row r="65" spans="1:13" ht="15.6" customHeight="1" x14ac:dyDescent="0.2">
      <c r="A65" s="324">
        <v>59</v>
      </c>
      <c r="B65" s="325" t="s">
        <v>61</v>
      </c>
      <c r="C65" s="36">
        <v>689.52</v>
      </c>
      <c r="D65" s="36">
        <f>ROUND(C65*'3_Levels 1&amp;2'!C65,0)</f>
        <v>3444152</v>
      </c>
      <c r="E65" s="1266">
        <v>0</v>
      </c>
      <c r="F65" s="717">
        <f>'3_Levels 1&amp;2'!C65</f>
        <v>4995</v>
      </c>
      <c r="G65" s="36">
        <f t="shared" si="6"/>
        <v>347673</v>
      </c>
      <c r="H65" s="717">
        <f>'3_Levels 1&amp;2'!C65</f>
        <v>4995</v>
      </c>
      <c r="I65" s="36">
        <f t="shared" si="7"/>
        <v>499500</v>
      </c>
      <c r="J65" s="36">
        <f t="shared" si="8"/>
        <v>847173</v>
      </c>
      <c r="K65" s="36">
        <f t="shared" si="9"/>
        <v>4291325</v>
      </c>
      <c r="L65" s="36">
        <f>'Pay Raise By Residency'!AV65</f>
        <v>734404.88532948855</v>
      </c>
      <c r="M65" s="1257">
        <f t="shared" si="5"/>
        <v>5025729.8853294887</v>
      </c>
    </row>
    <row r="66" spans="1:13" ht="15.6" customHeight="1" x14ac:dyDescent="0.2">
      <c r="A66" s="314">
        <v>60</v>
      </c>
      <c r="B66" s="315" t="s">
        <v>62</v>
      </c>
      <c r="C66" s="290">
        <v>594.04</v>
      </c>
      <c r="D66" s="290">
        <f>ROUND(C66*'3_Levels 1&amp;2'!C66,0)</f>
        <v>3469788</v>
      </c>
      <c r="E66" s="1267">
        <v>0</v>
      </c>
      <c r="F66" s="718">
        <f>'3_Levels 1&amp;2'!C66</f>
        <v>5841</v>
      </c>
      <c r="G66" s="290">
        <f t="shared" si="6"/>
        <v>406558</v>
      </c>
      <c r="H66" s="718">
        <f>'3_Levels 1&amp;2'!C66</f>
        <v>5841</v>
      </c>
      <c r="I66" s="290">
        <f t="shared" si="7"/>
        <v>584100</v>
      </c>
      <c r="J66" s="290">
        <f t="shared" si="8"/>
        <v>990658</v>
      </c>
      <c r="K66" s="290">
        <f t="shared" si="9"/>
        <v>4460446</v>
      </c>
      <c r="L66" s="290">
        <f>'Pay Raise By Residency'!AV66</f>
        <v>765630.68259339023</v>
      </c>
      <c r="M66" s="1263">
        <f t="shared" si="5"/>
        <v>5226076.6825933903</v>
      </c>
    </row>
    <row r="67" spans="1:13" ht="15.6" customHeight="1" x14ac:dyDescent="0.2">
      <c r="A67" s="324">
        <v>61</v>
      </c>
      <c r="B67" s="325" t="s">
        <v>63</v>
      </c>
      <c r="C67" s="36">
        <v>833.70999999999992</v>
      </c>
      <c r="D67" s="719">
        <f>ROUND(C67*'3_Levels 1&amp;2'!C67,0)</f>
        <v>3133916</v>
      </c>
      <c r="E67" s="1266">
        <v>0</v>
      </c>
      <c r="F67" s="717">
        <f>'3_Levels 1&amp;2'!C67</f>
        <v>3759</v>
      </c>
      <c r="G67" s="36">
        <f t="shared" si="6"/>
        <v>261642</v>
      </c>
      <c r="H67" s="717">
        <f>'3_Levels 1&amp;2'!C67</f>
        <v>3759</v>
      </c>
      <c r="I67" s="36">
        <f t="shared" si="7"/>
        <v>375900</v>
      </c>
      <c r="J67" s="36">
        <f t="shared" si="8"/>
        <v>637542</v>
      </c>
      <c r="K67" s="36">
        <f t="shared" si="9"/>
        <v>3771458</v>
      </c>
      <c r="L67" s="36">
        <f>'Pay Raise By Residency'!AV67</f>
        <v>655737.15884420276</v>
      </c>
      <c r="M67" s="1257">
        <f t="shared" si="5"/>
        <v>4427195.1588442028</v>
      </c>
    </row>
    <row r="68" spans="1:13" ht="15.6" customHeight="1" x14ac:dyDescent="0.2">
      <c r="A68" s="324">
        <v>62</v>
      </c>
      <c r="B68" s="325" t="s">
        <v>64</v>
      </c>
      <c r="C68" s="36">
        <v>516.08000000000004</v>
      </c>
      <c r="D68" s="36">
        <f>ROUND(C68*'3_Levels 1&amp;2'!C68,0)</f>
        <v>984681</v>
      </c>
      <c r="E68" s="1266">
        <v>0</v>
      </c>
      <c r="F68" s="717">
        <f>'3_Levels 1&amp;2'!C68</f>
        <v>1908</v>
      </c>
      <c r="G68" s="36">
        <f t="shared" si="6"/>
        <v>132805</v>
      </c>
      <c r="H68" s="717">
        <f>'3_Levels 1&amp;2'!C68</f>
        <v>1908</v>
      </c>
      <c r="I68" s="36">
        <f t="shared" si="7"/>
        <v>190800</v>
      </c>
      <c r="J68" s="36">
        <f t="shared" si="8"/>
        <v>323605</v>
      </c>
      <c r="K68" s="36">
        <f t="shared" si="9"/>
        <v>1308286</v>
      </c>
      <c r="L68" s="36">
        <f>'Pay Raise By Residency'!AV68</f>
        <v>263039.9816322425</v>
      </c>
      <c r="M68" s="1257">
        <f t="shared" si="5"/>
        <v>1571325.9816322424</v>
      </c>
    </row>
    <row r="69" spans="1:13" ht="15.6" customHeight="1" x14ac:dyDescent="0.2">
      <c r="A69" s="324">
        <v>63</v>
      </c>
      <c r="B69" s="325" t="s">
        <v>65</v>
      </c>
      <c r="C69" s="36">
        <v>756.79</v>
      </c>
      <c r="D69" s="36">
        <f>ROUND(C69*'3_Levels 1&amp;2'!C69,0)</f>
        <v>1597584</v>
      </c>
      <c r="E69" s="1266">
        <v>680156</v>
      </c>
      <c r="F69" s="717"/>
      <c r="G69" s="36">
        <f t="shared" si="6"/>
        <v>0</v>
      </c>
      <c r="H69" s="717">
        <f>'3_Levels 1&amp;2'!C69</f>
        <v>2111</v>
      </c>
      <c r="I69" s="36">
        <f t="shared" si="7"/>
        <v>211100</v>
      </c>
      <c r="J69" s="36">
        <f t="shared" si="8"/>
        <v>891256</v>
      </c>
      <c r="K69" s="36">
        <f t="shared" si="9"/>
        <v>2488840</v>
      </c>
      <c r="L69" s="36">
        <f>'Pay Raise By Residency'!AV69</f>
        <v>370963.5269984348</v>
      </c>
      <c r="M69" s="1257">
        <f t="shared" si="5"/>
        <v>2859803.5269984347</v>
      </c>
    </row>
    <row r="70" spans="1:13" ht="15.6" customHeight="1" x14ac:dyDescent="0.2">
      <c r="A70" s="324">
        <v>64</v>
      </c>
      <c r="B70" s="325" t="s">
        <v>66</v>
      </c>
      <c r="C70" s="36">
        <v>592.66</v>
      </c>
      <c r="D70" s="36">
        <f>ROUND(C70*'3_Levels 1&amp;2'!C70,0)</f>
        <v>1203100</v>
      </c>
      <c r="E70" s="1266">
        <v>0</v>
      </c>
      <c r="F70" s="717">
        <f>'3_Levels 1&amp;2'!C70</f>
        <v>2030</v>
      </c>
      <c r="G70" s="36">
        <f t="shared" si="6"/>
        <v>141296</v>
      </c>
      <c r="H70" s="717">
        <f>'3_Levels 1&amp;2'!C70</f>
        <v>2030</v>
      </c>
      <c r="I70" s="36">
        <f t="shared" si="7"/>
        <v>203000</v>
      </c>
      <c r="J70" s="36">
        <f t="shared" si="8"/>
        <v>344296</v>
      </c>
      <c r="K70" s="36">
        <f t="shared" si="9"/>
        <v>1547396</v>
      </c>
      <c r="L70" s="36">
        <f>'Pay Raise By Residency'!AV70</f>
        <v>322545.62988863332</v>
      </c>
      <c r="M70" s="1257">
        <f t="shared" si="5"/>
        <v>1869941.6298886333</v>
      </c>
    </row>
    <row r="71" spans="1:13" ht="15.6" customHeight="1" x14ac:dyDescent="0.2">
      <c r="A71" s="314">
        <v>65</v>
      </c>
      <c r="B71" s="315" t="s">
        <v>67</v>
      </c>
      <c r="C71" s="290">
        <v>829.12</v>
      </c>
      <c r="D71" s="290">
        <f>ROUND(C71*'3_Levels 1&amp;2'!C71,0)</f>
        <v>6591504</v>
      </c>
      <c r="E71" s="1267">
        <v>0</v>
      </c>
      <c r="F71" s="718">
        <f>'3_Levels 1&amp;2'!C71</f>
        <v>7950</v>
      </c>
      <c r="G71" s="290">
        <f>ROUND($G$3*F71,0)</f>
        <v>553353</v>
      </c>
      <c r="H71" s="718">
        <f>'3_Levels 1&amp;2'!C71</f>
        <v>7950</v>
      </c>
      <c r="I71" s="290">
        <f>ROUND(H71*$I$3,0)</f>
        <v>795000</v>
      </c>
      <c r="J71" s="290">
        <f>E71+G71+I71</f>
        <v>1348353</v>
      </c>
      <c r="K71" s="290">
        <f t="shared" si="9"/>
        <v>7939857</v>
      </c>
      <c r="L71" s="290">
        <f>'Pay Raise By Residency'!AV71</f>
        <v>1294660.3876430613</v>
      </c>
      <c r="M71" s="1263">
        <f t="shared" si="5"/>
        <v>9234517.3876430616</v>
      </c>
    </row>
    <row r="72" spans="1:13" ht="15.6" customHeight="1" x14ac:dyDescent="0.2">
      <c r="A72" s="324">
        <v>66</v>
      </c>
      <c r="B72" s="325" t="s">
        <v>68</v>
      </c>
      <c r="C72" s="36">
        <v>730.06</v>
      </c>
      <c r="D72" s="719">
        <f>ROUND(C72*'3_Levels 1&amp;2'!C72,0)</f>
        <v>1358642</v>
      </c>
      <c r="E72" s="1266">
        <v>0</v>
      </c>
      <c r="F72" s="717">
        <f>'3_Levels 1&amp;2'!C72</f>
        <v>1861</v>
      </c>
      <c r="G72" s="36">
        <f>ROUND($G$3*F72,0)</f>
        <v>129533</v>
      </c>
      <c r="H72" s="717">
        <f>'3_Levels 1&amp;2'!C72</f>
        <v>1861</v>
      </c>
      <c r="I72" s="36">
        <f>ROUND(H72*$I$3,0)</f>
        <v>186100</v>
      </c>
      <c r="J72" s="36">
        <f>E72+G72+I72</f>
        <v>315633</v>
      </c>
      <c r="K72" s="36">
        <f t="shared" si="9"/>
        <v>1674275</v>
      </c>
      <c r="L72" s="36">
        <f>'Pay Raise By Residency'!AV72</f>
        <v>299704.19039252505</v>
      </c>
      <c r="M72" s="1257">
        <f>K72+L72</f>
        <v>1973979.1903925249</v>
      </c>
    </row>
    <row r="73" spans="1:13" ht="15.6" customHeight="1" x14ac:dyDescent="0.2">
      <c r="A73" s="324">
        <v>67</v>
      </c>
      <c r="B73" s="325" t="s">
        <v>2</v>
      </c>
      <c r="C73" s="36">
        <v>715.61</v>
      </c>
      <c r="D73" s="36">
        <f>ROUND(C73*'3_Levels 1&amp;2'!C73,0)</f>
        <v>3912240</v>
      </c>
      <c r="E73" s="1266">
        <v>0</v>
      </c>
      <c r="F73" s="717">
        <f>'3_Levels 1&amp;2'!C73</f>
        <v>5467</v>
      </c>
      <c r="G73" s="36">
        <f>ROUND($G$3*F73,0)</f>
        <v>380526</v>
      </c>
      <c r="H73" s="717">
        <f>'3_Levels 1&amp;2'!C73</f>
        <v>5467</v>
      </c>
      <c r="I73" s="36">
        <f>ROUND(H73*$I$3,0)</f>
        <v>546700</v>
      </c>
      <c r="J73" s="36">
        <f>E73+G73+I73</f>
        <v>927226</v>
      </c>
      <c r="K73" s="36">
        <f t="shared" si="9"/>
        <v>4839466</v>
      </c>
      <c r="L73" s="36">
        <f>'Pay Raise By Residency'!AV73</f>
        <v>639462.72022956912</v>
      </c>
      <c r="M73" s="1257">
        <f>K73+L73</f>
        <v>5478928.7202295689</v>
      </c>
    </row>
    <row r="74" spans="1:13" ht="15.6" customHeight="1" x14ac:dyDescent="0.2">
      <c r="A74" s="324">
        <v>68</v>
      </c>
      <c r="B74" s="325" t="s">
        <v>1</v>
      </c>
      <c r="C74" s="36">
        <v>798.7</v>
      </c>
      <c r="D74" s="36">
        <f>ROUND(C74*'3_Levels 1&amp;2'!C74,0)</f>
        <v>1392933</v>
      </c>
      <c r="E74" s="1266">
        <v>0</v>
      </c>
      <c r="F74" s="717">
        <f>'3_Levels 1&amp;2'!C74</f>
        <v>1744</v>
      </c>
      <c r="G74" s="36">
        <f>ROUND($G$3*F74,0)</f>
        <v>121390</v>
      </c>
      <c r="H74" s="717">
        <f>'3_Levels 1&amp;2'!C74</f>
        <v>1744</v>
      </c>
      <c r="I74" s="36">
        <f>ROUND(H74*$I$3,0)</f>
        <v>174400</v>
      </c>
      <c r="J74" s="36">
        <f>E74+G74+I74</f>
        <v>295790</v>
      </c>
      <c r="K74" s="36">
        <f t="shared" si="9"/>
        <v>1688723</v>
      </c>
      <c r="L74" s="36">
        <f>'Pay Raise By Residency'!AV74</f>
        <v>244928.22296004047</v>
      </c>
      <c r="M74" s="1257">
        <f>K74+L74</f>
        <v>1933651.2229600404</v>
      </c>
    </row>
    <row r="75" spans="1:13" ht="15.6" customHeight="1" x14ac:dyDescent="0.2">
      <c r="A75" s="328">
        <v>69</v>
      </c>
      <c r="B75" s="329" t="s">
        <v>74</v>
      </c>
      <c r="C75" s="296">
        <v>705.67</v>
      </c>
      <c r="D75" s="296">
        <f>ROUND(C75*'3_Levels 1&amp;2'!C75,0)</f>
        <v>3407680</v>
      </c>
      <c r="E75" s="1268">
        <v>0</v>
      </c>
      <c r="F75" s="720">
        <f>'3_Levels 1&amp;2'!C75</f>
        <v>4829</v>
      </c>
      <c r="G75" s="296">
        <f>ROUND($G$3*F75,0)</f>
        <v>336118</v>
      </c>
      <c r="H75" s="720">
        <f>'3_Levels 1&amp;2'!C75</f>
        <v>4829</v>
      </c>
      <c r="I75" s="296">
        <f>ROUND(H75*$I$3,0)</f>
        <v>482900</v>
      </c>
      <c r="J75" s="296">
        <f>E75+G75+I75</f>
        <v>819018</v>
      </c>
      <c r="K75" s="296">
        <f t="shared" si="9"/>
        <v>4226698</v>
      </c>
      <c r="L75" s="296">
        <f>'Pay Raise By Residency'!AV75</f>
        <v>529224.11083898554</v>
      </c>
      <c r="M75" s="1264">
        <f>K75+L75</f>
        <v>4755922.1108389851</v>
      </c>
    </row>
    <row r="76" spans="1:13" s="38" customFormat="1" ht="15.6" customHeight="1" thickBot="1" x14ac:dyDescent="0.25">
      <c r="A76" s="721"/>
      <c r="B76" s="722" t="s">
        <v>69</v>
      </c>
      <c r="C76" s="42">
        <f>ROUND(D76/'3_Levels 1&amp;2'!C76,2)</f>
        <v>706.51</v>
      </c>
      <c r="D76" s="454">
        <f t="shared" ref="D76:I76" si="10">SUM(D7:D75)</f>
        <v>481130038</v>
      </c>
      <c r="E76" s="1265">
        <f t="shared" si="10"/>
        <v>38336714</v>
      </c>
      <c r="F76" s="1269">
        <f t="shared" si="10"/>
        <v>552499</v>
      </c>
      <c r="G76" s="1265">
        <f t="shared" si="10"/>
        <v>38456221</v>
      </c>
      <c r="H76" s="723">
        <f t="shared" si="10"/>
        <v>680999</v>
      </c>
      <c r="I76" s="42">
        <f t="shared" si="10"/>
        <v>68099900</v>
      </c>
      <c r="J76" s="42">
        <f>SUM(J7:J75)</f>
        <v>144892835</v>
      </c>
      <c r="K76" s="42">
        <f>SUM(K7:K75)</f>
        <v>626022873</v>
      </c>
      <c r="L76" s="42">
        <f>SUM(L7:L75)</f>
        <v>98893113.000000015</v>
      </c>
      <c r="M76" s="1262">
        <f>SUM(M7:M75)</f>
        <v>724915986.00000012</v>
      </c>
    </row>
    <row r="77" spans="1:13" ht="13.5" thickTop="1" x14ac:dyDescent="0.2"/>
  </sheetData>
  <sheetProtection password="D893" sheet="1" formatCells="0" formatColumn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M1:M3"/>
    <mergeCell ref="L1:L3"/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FY2020-21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Q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7" width="17.42578125" customWidth="1"/>
    <col min="18" max="18" width="11.5703125" bestFit="1" customWidth="1"/>
  </cols>
  <sheetData>
    <row r="1" spans="1:17" ht="27.75" customHeight="1" x14ac:dyDescent="0.2">
      <c r="A1" s="1566" t="s">
        <v>79</v>
      </c>
      <c r="B1" s="1566"/>
      <c r="C1" s="1567" t="s">
        <v>1279</v>
      </c>
      <c r="D1" s="1568"/>
      <c r="E1" s="1568"/>
      <c r="F1" s="1568"/>
      <c r="G1" s="1568"/>
      <c r="H1" s="1568"/>
      <c r="I1" s="1567" t="s">
        <v>1278</v>
      </c>
      <c r="J1" s="1567"/>
      <c r="K1" s="1567"/>
      <c r="L1" s="1567"/>
      <c r="M1" s="1569" t="s">
        <v>1412</v>
      </c>
      <c r="N1" s="1569"/>
      <c r="O1" s="1084" t="s">
        <v>488</v>
      </c>
      <c r="P1" s="1084" t="s">
        <v>1227</v>
      </c>
      <c r="Q1" s="1084" t="s">
        <v>1272</v>
      </c>
    </row>
    <row r="2" spans="1:17" ht="117.75" customHeight="1" x14ac:dyDescent="0.2">
      <c r="A2" s="1566"/>
      <c r="B2" s="1566"/>
      <c r="C2" s="1565" t="s">
        <v>477</v>
      </c>
      <c r="D2" s="1565" t="s">
        <v>359</v>
      </c>
      <c r="E2" s="1565" t="s">
        <v>1151</v>
      </c>
      <c r="F2" s="1085" t="s">
        <v>485</v>
      </c>
      <c r="G2" s="1565" t="s">
        <v>478</v>
      </c>
      <c r="H2" s="1085" t="s">
        <v>486</v>
      </c>
      <c r="I2" s="1565" t="s">
        <v>859</v>
      </c>
      <c r="J2" s="1565" t="s">
        <v>489</v>
      </c>
      <c r="K2" s="1565" t="s">
        <v>490</v>
      </c>
      <c r="L2" s="1565" t="s">
        <v>491</v>
      </c>
      <c r="M2" s="1570" t="s">
        <v>492</v>
      </c>
      <c r="N2" s="1570" t="s">
        <v>493</v>
      </c>
      <c r="O2" s="1085" t="s">
        <v>1413</v>
      </c>
      <c r="P2" s="1565" t="s">
        <v>1011</v>
      </c>
      <c r="Q2" s="1565" t="s">
        <v>1193</v>
      </c>
    </row>
    <row r="3" spans="1:17" ht="28.5" customHeight="1" x14ac:dyDescent="0.2">
      <c r="A3" s="1566"/>
      <c r="B3" s="1566"/>
      <c r="C3" s="1565"/>
      <c r="D3" s="1565"/>
      <c r="E3" s="1565"/>
      <c r="F3" s="1086" t="s">
        <v>494</v>
      </c>
      <c r="G3" s="1565"/>
      <c r="H3" s="1087" t="s">
        <v>495</v>
      </c>
      <c r="I3" s="1565"/>
      <c r="J3" s="1565"/>
      <c r="K3" s="1565"/>
      <c r="L3" s="1565"/>
      <c r="M3" s="1570"/>
      <c r="N3" s="1570"/>
      <c r="O3" s="1086" t="s">
        <v>496</v>
      </c>
      <c r="P3" s="1565"/>
      <c r="Q3" s="1565"/>
    </row>
    <row r="4" spans="1:17" ht="14.45" customHeight="1" x14ac:dyDescent="0.2">
      <c r="A4" s="1088"/>
      <c r="B4" s="1088"/>
      <c r="C4" s="1089">
        <f>B4+1</f>
        <v>1</v>
      </c>
      <c r="D4" s="1090">
        <f t="shared" ref="D4:N4" si="0">C4+1</f>
        <v>2</v>
      </c>
      <c r="E4" s="1090">
        <f t="shared" si="0"/>
        <v>3</v>
      </c>
      <c r="F4" s="1090">
        <f t="shared" si="0"/>
        <v>4</v>
      </c>
      <c r="G4" s="1090">
        <f>F4+1</f>
        <v>5</v>
      </c>
      <c r="H4" s="1090">
        <f t="shared" si="0"/>
        <v>6</v>
      </c>
      <c r="I4" s="1090">
        <f t="shared" si="0"/>
        <v>7</v>
      </c>
      <c r="J4" s="1090">
        <f t="shared" si="0"/>
        <v>8</v>
      </c>
      <c r="K4" s="1090">
        <f t="shared" si="0"/>
        <v>9</v>
      </c>
      <c r="L4" s="1090">
        <f t="shared" si="0"/>
        <v>10</v>
      </c>
      <c r="M4" s="1090">
        <f t="shared" si="0"/>
        <v>11</v>
      </c>
      <c r="N4" s="1090">
        <f t="shared" si="0"/>
        <v>12</v>
      </c>
      <c r="O4" s="1090">
        <f>N4+1</f>
        <v>13</v>
      </c>
      <c r="P4" s="1090">
        <f>O4+1</f>
        <v>14</v>
      </c>
      <c r="Q4" s="1090">
        <f>P4+1</f>
        <v>15</v>
      </c>
    </row>
    <row r="5" spans="1:17" ht="14.45" hidden="1" customHeight="1" x14ac:dyDescent="0.2">
      <c r="A5" s="1091"/>
      <c r="B5" s="493"/>
      <c r="C5" s="1092" t="s">
        <v>677</v>
      </c>
      <c r="D5" s="1092" t="s">
        <v>678</v>
      </c>
      <c r="E5" s="1092" t="s">
        <v>679</v>
      </c>
      <c r="F5" s="1092" t="s">
        <v>680</v>
      </c>
      <c r="G5" s="1092" t="s">
        <v>681</v>
      </c>
      <c r="H5" s="1092" t="s">
        <v>682</v>
      </c>
      <c r="I5" s="1092" t="s">
        <v>683</v>
      </c>
      <c r="J5" s="1092" t="s">
        <v>684</v>
      </c>
      <c r="K5" s="1092" t="s">
        <v>685</v>
      </c>
      <c r="L5" s="1092" t="s">
        <v>686</v>
      </c>
      <c r="M5" s="1092"/>
      <c r="N5" s="1092"/>
      <c r="O5" s="1092" t="s">
        <v>687</v>
      </c>
      <c r="P5" s="1092"/>
      <c r="Q5" s="1092"/>
    </row>
    <row r="6" spans="1:17" ht="25.5" hidden="1" x14ac:dyDescent="0.2">
      <c r="A6" s="1091"/>
      <c r="B6" s="493"/>
      <c r="C6" s="1093" t="s">
        <v>554</v>
      </c>
      <c r="D6" s="1093" t="s">
        <v>554</v>
      </c>
      <c r="E6" s="1093" t="s">
        <v>554</v>
      </c>
      <c r="F6" s="1093" t="s">
        <v>555</v>
      </c>
      <c r="G6" s="1093" t="s">
        <v>688</v>
      </c>
      <c r="H6" s="1093" t="s">
        <v>555</v>
      </c>
      <c r="I6" s="1093" t="s">
        <v>554</v>
      </c>
      <c r="J6" s="1093" t="s">
        <v>554</v>
      </c>
      <c r="K6" s="1093" t="s">
        <v>554</v>
      </c>
      <c r="L6" s="1093" t="s">
        <v>554</v>
      </c>
      <c r="M6" s="1093" t="s">
        <v>689</v>
      </c>
      <c r="N6" s="1093" t="s">
        <v>689</v>
      </c>
      <c r="O6" s="1093" t="s">
        <v>555</v>
      </c>
      <c r="P6" s="1093"/>
      <c r="Q6" s="1093"/>
    </row>
    <row r="7" spans="1:17" ht="16.149999999999999" customHeight="1" x14ac:dyDescent="0.2">
      <c r="A7" s="1094">
        <v>1</v>
      </c>
      <c r="B7" s="1095" t="s">
        <v>4</v>
      </c>
      <c r="C7" s="1096">
        <v>3055.7472969678847</v>
      </c>
      <c r="D7" s="1096">
        <v>768</v>
      </c>
      <c r="E7" s="1096">
        <v>169.60411365564036</v>
      </c>
      <c r="F7" s="1097">
        <f>SUM(C7:E7)</f>
        <v>3993.3514106235252</v>
      </c>
      <c r="G7" s="1096">
        <v>777.48</v>
      </c>
      <c r="H7" s="1097">
        <f t="shared" ref="H7:H70" si="1">SUM(F7:G7)</f>
        <v>4770.8314106235248</v>
      </c>
      <c r="I7" s="1096">
        <v>672.26440533293464</v>
      </c>
      <c r="J7" s="1096">
        <v>183.3448378180731</v>
      </c>
      <c r="K7" s="1096">
        <v>4583.6209454518266</v>
      </c>
      <c r="L7" s="1096">
        <v>1833.4483781807305</v>
      </c>
      <c r="M7" s="1096">
        <v>2624</v>
      </c>
      <c r="N7" s="1096">
        <v>2624</v>
      </c>
      <c r="O7" s="1097">
        <f t="shared" ref="O7:O70" si="2">F7+N7</f>
        <v>6617.3514106235252</v>
      </c>
      <c r="P7" s="1096">
        <f>'2_State Distrib and Adjs'!AN7</f>
        <v>5874</v>
      </c>
      <c r="Q7" s="1096">
        <f>'3_Levels 1&amp;2'!AM7+'3_Levels 1&amp;2'!AX7</f>
        <v>7707.2262298558107</v>
      </c>
    </row>
    <row r="8" spans="1:17" ht="16.149999999999999" customHeight="1" x14ac:dyDescent="0.2">
      <c r="A8" s="595">
        <v>2</v>
      </c>
      <c r="B8" s="418" t="s">
        <v>5</v>
      </c>
      <c r="C8" s="1098">
        <v>3365.5939892153938</v>
      </c>
      <c r="D8" s="1098">
        <v>1422</v>
      </c>
      <c r="E8" s="1098">
        <v>169.60425639726375</v>
      </c>
      <c r="F8" s="1099">
        <f t="shared" ref="F8:F71" si="3">SUM(C8:E8)</f>
        <v>4957.198245612658</v>
      </c>
      <c r="G8" s="1098">
        <v>842.32</v>
      </c>
      <c r="H8" s="1099">
        <f t="shared" si="1"/>
        <v>5799.5182456126577</v>
      </c>
      <c r="I8" s="1098">
        <v>740.43067762738667</v>
      </c>
      <c r="J8" s="1098">
        <v>201.93563935292366</v>
      </c>
      <c r="K8" s="1098">
        <v>5048.3909838230902</v>
      </c>
      <c r="L8" s="1098">
        <v>2019.3563935292364</v>
      </c>
      <c r="M8" s="1098">
        <v>2844</v>
      </c>
      <c r="N8" s="1098">
        <v>3394</v>
      </c>
      <c r="O8" s="1099">
        <f t="shared" si="2"/>
        <v>8351.198245612657</v>
      </c>
      <c r="P8" s="1098">
        <f>'2_State Distrib and Adjs'!AN8</f>
        <v>7292</v>
      </c>
      <c r="Q8" s="1098">
        <f>'3_Levels 1&amp;2'!AM8+'3_Levels 1&amp;2'!AX8</f>
        <v>9356.0454218393716</v>
      </c>
    </row>
    <row r="9" spans="1:17" ht="16.149999999999999" customHeight="1" x14ac:dyDescent="0.2">
      <c r="A9" s="595">
        <v>3</v>
      </c>
      <c r="B9" s="418" t="s">
        <v>6</v>
      </c>
      <c r="C9" s="1098">
        <v>2512.8341460040806</v>
      </c>
      <c r="D9" s="1098">
        <v>644</v>
      </c>
      <c r="E9" s="1098">
        <v>169.60412997534343</v>
      </c>
      <c r="F9" s="1099">
        <f t="shared" si="3"/>
        <v>3326.4382759794239</v>
      </c>
      <c r="G9" s="1098">
        <v>596.84</v>
      </c>
      <c r="H9" s="1099">
        <f t="shared" si="1"/>
        <v>3923.2782759794241</v>
      </c>
      <c r="I9" s="1098">
        <v>552.82351212089759</v>
      </c>
      <c r="J9" s="1098">
        <v>150.77004876024483</v>
      </c>
      <c r="K9" s="1098">
        <v>3769.2512190061211</v>
      </c>
      <c r="L9" s="1098">
        <v>1507.7004876024482</v>
      </c>
      <c r="M9" s="1098">
        <v>5748</v>
      </c>
      <c r="N9" s="1098">
        <v>6656</v>
      </c>
      <c r="O9" s="1099">
        <f t="shared" si="2"/>
        <v>9982.4382759794244</v>
      </c>
      <c r="P9" s="1098">
        <f>'2_State Distrib and Adjs'!AN9</f>
        <v>4738</v>
      </c>
      <c r="Q9" s="1098">
        <f>'3_Levels 1&amp;2'!AM9+'3_Levels 1&amp;2'!AX9</f>
        <v>7938.0538340965122</v>
      </c>
    </row>
    <row r="10" spans="1:17" ht="16.149999999999999" customHeight="1" x14ac:dyDescent="0.2">
      <c r="A10" s="595">
        <v>4</v>
      </c>
      <c r="B10" s="418" t="s">
        <v>7</v>
      </c>
      <c r="C10" s="1098">
        <v>2990.0980810492192</v>
      </c>
      <c r="D10" s="1098">
        <v>1182</v>
      </c>
      <c r="E10" s="1098">
        <v>169.60405096373734</v>
      </c>
      <c r="F10" s="1099">
        <f t="shared" si="3"/>
        <v>4341.702132012957</v>
      </c>
      <c r="G10" s="1098">
        <v>585.76</v>
      </c>
      <c r="H10" s="1099">
        <f t="shared" si="1"/>
        <v>4927.4621320129572</v>
      </c>
      <c r="I10" s="1098">
        <v>657.82157783082835</v>
      </c>
      <c r="J10" s="1098">
        <v>179.40588486295314</v>
      </c>
      <c r="K10" s="1098">
        <v>4485.1471215738293</v>
      </c>
      <c r="L10" s="1098">
        <v>1794.0588486295314</v>
      </c>
      <c r="M10" s="1098">
        <v>4742</v>
      </c>
      <c r="N10" s="1098">
        <v>4742</v>
      </c>
      <c r="O10" s="1099">
        <f t="shared" si="2"/>
        <v>9083.702132012957</v>
      </c>
      <c r="P10" s="1098">
        <f>'2_State Distrib and Adjs'!AN10</f>
        <v>6559</v>
      </c>
      <c r="Q10" s="1098">
        <f>'3_Levels 1&amp;2'!AM10+'3_Levels 1&amp;2'!AX10</f>
        <v>9653.4789774583478</v>
      </c>
    </row>
    <row r="11" spans="1:17" ht="16.149999999999999" customHeight="1" x14ac:dyDescent="0.2">
      <c r="A11" s="596">
        <v>5</v>
      </c>
      <c r="B11" s="419" t="s">
        <v>8</v>
      </c>
      <c r="C11" s="1100">
        <v>3235.305641658053</v>
      </c>
      <c r="D11" s="1100">
        <v>764</v>
      </c>
      <c r="E11" s="1100">
        <v>169.60417875798026</v>
      </c>
      <c r="F11" s="1101">
        <f t="shared" si="3"/>
        <v>4168.9098204160337</v>
      </c>
      <c r="G11" s="1100">
        <v>555.91</v>
      </c>
      <c r="H11" s="1101">
        <f t="shared" si="1"/>
        <v>4724.8198204160335</v>
      </c>
      <c r="I11" s="1100">
        <v>711.76724116477158</v>
      </c>
      <c r="J11" s="1100">
        <v>194.11833849948317</v>
      </c>
      <c r="K11" s="1100">
        <v>4852.9584624870795</v>
      </c>
      <c r="L11" s="1100">
        <v>1941.1833849948316</v>
      </c>
      <c r="M11" s="1100">
        <v>2297</v>
      </c>
      <c r="N11" s="1100">
        <v>2297</v>
      </c>
      <c r="O11" s="1101">
        <f t="shared" si="2"/>
        <v>6465.9098204160337</v>
      </c>
      <c r="P11" s="1100">
        <f>'2_State Distrib and Adjs'!AN11</f>
        <v>6244</v>
      </c>
      <c r="Q11" s="1100">
        <f>'3_Levels 1&amp;2'!AM11+'3_Levels 1&amp;2'!AX11</f>
        <v>7936.2487599148772</v>
      </c>
    </row>
    <row r="12" spans="1:17" ht="16.149999999999999" customHeight="1" x14ac:dyDescent="0.2">
      <c r="A12" s="1094">
        <v>6</v>
      </c>
      <c r="B12" s="1095" t="s">
        <v>9</v>
      </c>
      <c r="C12" s="1096">
        <v>3053.0241388076288</v>
      </c>
      <c r="D12" s="1096">
        <v>1171</v>
      </c>
      <c r="E12" s="1096">
        <v>169.60414866032843</v>
      </c>
      <c r="F12" s="1097">
        <f t="shared" si="3"/>
        <v>4393.6282874679564</v>
      </c>
      <c r="G12" s="1096">
        <v>545.4799999999999</v>
      </c>
      <c r="H12" s="1097">
        <f t="shared" si="1"/>
        <v>4939.108287467956</v>
      </c>
      <c r="I12" s="1096">
        <v>671.66531053767835</v>
      </c>
      <c r="J12" s="1096">
        <v>183.18144832845772</v>
      </c>
      <c r="K12" s="1096">
        <v>4579.5362082114425</v>
      </c>
      <c r="L12" s="1096">
        <v>1831.8144832845771</v>
      </c>
      <c r="M12" s="1096">
        <v>4146</v>
      </c>
      <c r="N12" s="1096">
        <v>4981</v>
      </c>
      <c r="O12" s="1097">
        <f t="shared" si="2"/>
        <v>9374.6282874679564</v>
      </c>
      <c r="P12" s="1096">
        <f>'2_State Distrib and Adjs'!AN12</f>
        <v>6340</v>
      </c>
      <c r="Q12" s="1096">
        <f>'3_Levels 1&amp;2'!AM12+'3_Levels 1&amp;2'!AX12</f>
        <v>9188.0273811581683</v>
      </c>
    </row>
    <row r="13" spans="1:17" ht="16.149999999999999" customHeight="1" x14ac:dyDescent="0.2">
      <c r="A13" s="595">
        <v>7</v>
      </c>
      <c r="B13" s="418" t="s">
        <v>10</v>
      </c>
      <c r="C13" s="1098">
        <v>1926.8389641776996</v>
      </c>
      <c r="D13" s="1098">
        <v>225</v>
      </c>
      <c r="E13" s="1098">
        <v>169.60422670509126</v>
      </c>
      <c r="F13" s="1099">
        <f t="shared" si="3"/>
        <v>2321.4431908827905</v>
      </c>
      <c r="G13" s="1098">
        <v>756.91999999999985</v>
      </c>
      <c r="H13" s="1099">
        <f t="shared" si="1"/>
        <v>3078.3631908827901</v>
      </c>
      <c r="I13" s="1098">
        <v>423.90457211909398</v>
      </c>
      <c r="J13" s="1098">
        <v>115.61033785066198</v>
      </c>
      <c r="K13" s="1098">
        <v>2890.2584462665495</v>
      </c>
      <c r="L13" s="1098">
        <v>1156.1033785066199</v>
      </c>
      <c r="M13" s="1098">
        <v>11809</v>
      </c>
      <c r="N13" s="1098">
        <v>12899</v>
      </c>
      <c r="O13" s="1099">
        <f t="shared" si="2"/>
        <v>15220.44319088279</v>
      </c>
      <c r="P13" s="1098">
        <f>'2_State Distrib and Adjs'!AN13</f>
        <v>4160</v>
      </c>
      <c r="Q13" s="1098">
        <f>'3_Levels 1&amp;2'!AM13+'3_Levels 1&amp;2'!AX13</f>
        <v>8796.4858501440922</v>
      </c>
    </row>
    <row r="14" spans="1:17" ht="16.149999999999999" customHeight="1" x14ac:dyDescent="0.2">
      <c r="A14" s="595">
        <v>8</v>
      </c>
      <c r="B14" s="418" t="s">
        <v>11</v>
      </c>
      <c r="C14" s="1098">
        <v>2897.4937356196178</v>
      </c>
      <c r="D14" s="1098">
        <v>994</v>
      </c>
      <c r="E14" s="1098">
        <v>169.60412103875206</v>
      </c>
      <c r="F14" s="1099">
        <f t="shared" si="3"/>
        <v>4061.0978566583699</v>
      </c>
      <c r="G14" s="1098">
        <v>725.76</v>
      </c>
      <c r="H14" s="1099">
        <f t="shared" si="1"/>
        <v>4786.8578566583701</v>
      </c>
      <c r="I14" s="1098">
        <v>637.44862183631585</v>
      </c>
      <c r="J14" s="1098">
        <v>173.84962413717705</v>
      </c>
      <c r="K14" s="1098">
        <v>4346.2406034294272</v>
      </c>
      <c r="L14" s="1098">
        <v>1738.4962413717703</v>
      </c>
      <c r="M14" s="1098">
        <v>4488</v>
      </c>
      <c r="N14" s="1098">
        <v>5095</v>
      </c>
      <c r="O14" s="1099">
        <f t="shared" si="2"/>
        <v>9156.097856658369</v>
      </c>
      <c r="P14" s="1098">
        <f>'2_State Distrib and Adjs'!AN14</f>
        <v>5934</v>
      </c>
      <c r="Q14" s="1098">
        <f>'3_Levels 1&amp;2'!AM14+'3_Levels 1&amp;2'!AX14</f>
        <v>8674.633902471729</v>
      </c>
    </row>
    <row r="15" spans="1:17" ht="16.149999999999999" customHeight="1" x14ac:dyDescent="0.2">
      <c r="A15" s="595">
        <v>9</v>
      </c>
      <c r="B15" s="418" t="s">
        <v>12</v>
      </c>
      <c r="C15" s="1098">
        <v>2740.4656800138519</v>
      </c>
      <c r="D15" s="1098">
        <v>858</v>
      </c>
      <c r="E15" s="1098">
        <v>169.60414688192466</v>
      </c>
      <c r="F15" s="1099">
        <f t="shared" si="3"/>
        <v>3768.0698268957767</v>
      </c>
      <c r="G15" s="1098">
        <v>744.76</v>
      </c>
      <c r="H15" s="1099">
        <f t="shared" si="1"/>
        <v>4512.8298268957769</v>
      </c>
      <c r="I15" s="1098">
        <v>602.90244960304733</v>
      </c>
      <c r="J15" s="1098">
        <v>164.42794080083112</v>
      </c>
      <c r="K15" s="1098">
        <v>4110.6985200207773</v>
      </c>
      <c r="L15" s="1098">
        <v>1644.2794080083111</v>
      </c>
      <c r="M15" s="1098">
        <v>4945</v>
      </c>
      <c r="N15" s="1098">
        <v>5755</v>
      </c>
      <c r="O15" s="1099">
        <f t="shared" si="2"/>
        <v>9523.0698268957767</v>
      </c>
      <c r="P15" s="1098">
        <f>'2_State Distrib and Adjs'!AN15</f>
        <v>5568</v>
      </c>
      <c r="Q15" s="1098">
        <f>'3_Levels 1&amp;2'!AM15+'3_Levels 1&amp;2'!AX15</f>
        <v>8478.9234188034188</v>
      </c>
    </row>
    <row r="16" spans="1:17" ht="16.149999999999999" customHeight="1" x14ac:dyDescent="0.2">
      <c r="A16" s="596">
        <v>10</v>
      </c>
      <c r="B16" s="419" t="s">
        <v>13</v>
      </c>
      <c r="C16" s="1100">
        <v>2182.7137043801467</v>
      </c>
      <c r="D16" s="1100">
        <v>420</v>
      </c>
      <c r="E16" s="1100">
        <v>169.60414438094074</v>
      </c>
      <c r="F16" s="1101">
        <f t="shared" si="3"/>
        <v>2772.3178487610876</v>
      </c>
      <c r="G16" s="1100">
        <v>608.04000000000008</v>
      </c>
      <c r="H16" s="1101">
        <f t="shared" si="1"/>
        <v>3380.3578487610876</v>
      </c>
      <c r="I16" s="1100">
        <v>480.19701496363234</v>
      </c>
      <c r="J16" s="1100">
        <v>130.9628222628088</v>
      </c>
      <c r="K16" s="1100">
        <v>3274.0705565702201</v>
      </c>
      <c r="L16" s="1100">
        <v>1309.628222628088</v>
      </c>
      <c r="M16" s="1100">
        <v>6446</v>
      </c>
      <c r="N16" s="1100">
        <v>7574</v>
      </c>
      <c r="O16" s="1101">
        <f t="shared" si="2"/>
        <v>10346.317848761088</v>
      </c>
      <c r="P16" s="1100">
        <f>'2_State Distrib and Adjs'!AN16</f>
        <v>4326</v>
      </c>
      <c r="Q16" s="1100">
        <f>'3_Levels 1&amp;2'!AM16+'3_Levels 1&amp;2'!AX16</f>
        <v>8287.2261089886597</v>
      </c>
    </row>
    <row r="17" spans="1:17" ht="16.149999999999999" customHeight="1" x14ac:dyDescent="0.2">
      <c r="A17" s="1094">
        <v>11</v>
      </c>
      <c r="B17" s="1095" t="s">
        <v>14</v>
      </c>
      <c r="C17" s="1096">
        <v>3300.6717006224194</v>
      </c>
      <c r="D17" s="1096">
        <v>1560</v>
      </c>
      <c r="E17" s="1096">
        <v>169.60388349514562</v>
      </c>
      <c r="F17" s="1097">
        <f t="shared" si="3"/>
        <v>5030.2755841175649</v>
      </c>
      <c r="G17" s="1096">
        <v>706.55</v>
      </c>
      <c r="H17" s="1097">
        <f t="shared" si="1"/>
        <v>5736.8255841175651</v>
      </c>
      <c r="I17" s="1096">
        <v>726.14777413693218</v>
      </c>
      <c r="J17" s="1096">
        <v>198.04030203734513</v>
      </c>
      <c r="K17" s="1096">
        <v>4951.0075509336284</v>
      </c>
      <c r="L17" s="1096">
        <v>1980.4030203734517</v>
      </c>
      <c r="M17" s="1096">
        <v>2986</v>
      </c>
      <c r="N17" s="1096">
        <v>3498</v>
      </c>
      <c r="O17" s="1097">
        <f t="shared" si="2"/>
        <v>8528.275584117564</v>
      </c>
      <c r="P17" s="1096">
        <f>'2_State Distrib and Adjs'!AN17</f>
        <v>7884</v>
      </c>
      <c r="Q17" s="1096">
        <f>'3_Levels 1&amp;2'!AM17+'3_Levels 1&amp;2'!AX17</f>
        <v>10590.871262135923</v>
      </c>
    </row>
    <row r="18" spans="1:17" ht="16.149999999999999" customHeight="1" x14ac:dyDescent="0.2">
      <c r="A18" s="595">
        <v>12</v>
      </c>
      <c r="B18" s="418" t="s">
        <v>15</v>
      </c>
      <c r="C18" s="1098">
        <v>1028.1530712374531</v>
      </c>
      <c r="D18" s="1098">
        <v>0</v>
      </c>
      <c r="E18" s="1098">
        <v>169.60452418096725</v>
      </c>
      <c r="F18" s="1099">
        <f t="shared" si="3"/>
        <v>1197.7575954184204</v>
      </c>
      <c r="G18" s="1098">
        <v>1063.31</v>
      </c>
      <c r="H18" s="1099">
        <f t="shared" si="1"/>
        <v>2261.0675954184203</v>
      </c>
      <c r="I18" s="1098">
        <v>226.19367567223972</v>
      </c>
      <c r="J18" s="1098">
        <v>61.689184274247189</v>
      </c>
      <c r="K18" s="1098">
        <v>1542.2296068561795</v>
      </c>
      <c r="L18" s="1098">
        <v>616.89184274247191</v>
      </c>
      <c r="M18" s="1098">
        <v>10952</v>
      </c>
      <c r="N18" s="1098">
        <v>10952</v>
      </c>
      <c r="O18" s="1099">
        <f t="shared" si="2"/>
        <v>12149.757595418421</v>
      </c>
      <c r="P18" s="1098">
        <f>'2_State Distrib and Adjs'!AN18</f>
        <v>2859</v>
      </c>
      <c r="Q18" s="1098">
        <f>'3_Levels 1&amp;2'!AM18+'3_Levels 1&amp;2'!AX18</f>
        <v>8676.9923556942285</v>
      </c>
    </row>
    <row r="19" spans="1:17" ht="16.149999999999999" customHeight="1" x14ac:dyDescent="0.2">
      <c r="A19" s="595">
        <v>13</v>
      </c>
      <c r="B19" s="418" t="s">
        <v>16</v>
      </c>
      <c r="C19" s="1098">
        <v>3308.2871510078226</v>
      </c>
      <c r="D19" s="1098">
        <v>1348</v>
      </c>
      <c r="E19" s="1098">
        <v>169.60399334442596</v>
      </c>
      <c r="F19" s="1099">
        <f t="shared" si="3"/>
        <v>4825.8911443522484</v>
      </c>
      <c r="G19" s="1098">
        <v>749.43000000000006</v>
      </c>
      <c r="H19" s="1099">
        <f t="shared" si="1"/>
        <v>5575.3211443522487</v>
      </c>
      <c r="I19" s="1098">
        <v>727.82317322172094</v>
      </c>
      <c r="J19" s="1098">
        <v>198.49722906046935</v>
      </c>
      <c r="K19" s="1098">
        <v>4962.4307265117341</v>
      </c>
      <c r="L19" s="1098">
        <v>1984.9722906046936</v>
      </c>
      <c r="M19" s="1098">
        <v>3131</v>
      </c>
      <c r="N19" s="1098">
        <v>3172</v>
      </c>
      <c r="O19" s="1099">
        <f t="shared" si="2"/>
        <v>7997.8911443522484</v>
      </c>
      <c r="P19" s="1098">
        <f>'2_State Distrib and Adjs'!AN19</f>
        <v>7599</v>
      </c>
      <c r="Q19" s="1098">
        <f>'3_Levels 1&amp;2'!AM19+'3_Levels 1&amp;2'!AX19</f>
        <v>9816.4058402662231</v>
      </c>
    </row>
    <row r="20" spans="1:17" ht="16.149999999999999" customHeight="1" x14ac:dyDescent="0.2">
      <c r="A20" s="595">
        <v>14</v>
      </c>
      <c r="B20" s="418" t="s">
        <v>17</v>
      </c>
      <c r="C20" s="1098">
        <v>3019.9972829275134</v>
      </c>
      <c r="D20" s="1098">
        <v>1383</v>
      </c>
      <c r="E20" s="1098">
        <v>169.60421545667447</v>
      </c>
      <c r="F20" s="1099">
        <f t="shared" si="3"/>
        <v>4572.6014983841887</v>
      </c>
      <c r="G20" s="1098">
        <v>809.9799999999999</v>
      </c>
      <c r="H20" s="1099">
        <f t="shared" si="1"/>
        <v>5382.5814983841883</v>
      </c>
      <c r="I20" s="1098">
        <v>664.39940224405302</v>
      </c>
      <c r="J20" s="1098">
        <v>181.19983697565078</v>
      </c>
      <c r="K20" s="1098">
        <v>4529.9959243912708</v>
      </c>
      <c r="L20" s="1098">
        <v>1811.9983697565083</v>
      </c>
      <c r="M20" s="1098">
        <v>3870</v>
      </c>
      <c r="N20" s="1098">
        <v>4181</v>
      </c>
      <c r="O20" s="1099">
        <f t="shared" si="2"/>
        <v>8753.6014983841887</v>
      </c>
      <c r="P20" s="1098">
        <f>'2_State Distrib and Adjs'!AN20</f>
        <v>7753</v>
      </c>
      <c r="Q20" s="1098">
        <f>'3_Levels 1&amp;2'!AM20+'3_Levels 1&amp;2'!AX20</f>
        <v>11067.567822014051</v>
      </c>
    </row>
    <row r="21" spans="1:17" ht="16.149999999999999" customHeight="1" x14ac:dyDescent="0.2">
      <c r="A21" s="596">
        <v>15</v>
      </c>
      <c r="B21" s="419" t="s">
        <v>18</v>
      </c>
      <c r="C21" s="1100">
        <v>3250.1106332486047</v>
      </c>
      <c r="D21" s="1100">
        <v>1300</v>
      </c>
      <c r="E21" s="1100">
        <v>100</v>
      </c>
      <c r="F21" s="1101">
        <f t="shared" si="3"/>
        <v>4650.1106332486052</v>
      </c>
      <c r="G21" s="1100">
        <v>553.79999999999995</v>
      </c>
      <c r="H21" s="1101">
        <f t="shared" si="1"/>
        <v>5203.9106332486053</v>
      </c>
      <c r="I21" s="1100">
        <v>715.02433931469295</v>
      </c>
      <c r="J21" s="1100">
        <v>195.0066379949163</v>
      </c>
      <c r="K21" s="1100">
        <v>4875.1659498729068</v>
      </c>
      <c r="L21" s="1100">
        <v>1950.0663799491629</v>
      </c>
      <c r="M21" s="1100">
        <v>3213</v>
      </c>
      <c r="N21" s="1100">
        <v>3213</v>
      </c>
      <c r="O21" s="1101">
        <f t="shared" si="2"/>
        <v>7863.1106332486052</v>
      </c>
      <c r="P21" s="1100">
        <f>'2_State Distrib and Adjs'!AN21</f>
        <v>6968</v>
      </c>
      <c r="Q21" s="1100">
        <f>'3_Levels 1&amp;2'!AM21+'3_Levels 1&amp;2'!AX21</f>
        <v>9441.6648551959115</v>
      </c>
    </row>
    <row r="22" spans="1:17" ht="16.149999999999999" customHeight="1" x14ac:dyDescent="0.2">
      <c r="A22" s="1094">
        <v>16</v>
      </c>
      <c r="B22" s="1095" t="s">
        <v>479</v>
      </c>
      <c r="C22" s="1096">
        <v>1234.1094604697303</v>
      </c>
      <c r="D22" s="1096">
        <v>0</v>
      </c>
      <c r="E22" s="1096">
        <v>169.60411899313502</v>
      </c>
      <c r="F22" s="1097">
        <f t="shared" si="3"/>
        <v>1403.7135794628653</v>
      </c>
      <c r="G22" s="1096">
        <v>686.73</v>
      </c>
      <c r="H22" s="1097">
        <f t="shared" si="1"/>
        <v>2090.4435794628653</v>
      </c>
      <c r="I22" s="1096">
        <v>271.50408130334068</v>
      </c>
      <c r="J22" s="1096">
        <v>74.046567628183823</v>
      </c>
      <c r="K22" s="1096">
        <v>1851.1641907045957</v>
      </c>
      <c r="L22" s="1096">
        <v>740.46567628183834</v>
      </c>
      <c r="M22" s="1096">
        <v>13038</v>
      </c>
      <c r="N22" s="1096">
        <v>14583</v>
      </c>
      <c r="O22" s="1097">
        <f t="shared" si="2"/>
        <v>15986.713579462865</v>
      </c>
      <c r="P22" s="1096">
        <f>'2_State Distrib and Adjs'!AN22</f>
        <v>2615</v>
      </c>
      <c r="Q22" s="1096">
        <f>'3_Levels 1&amp;2'!AM22+'3_Levels 1&amp;2'!AX22</f>
        <v>7832.4763698772622</v>
      </c>
    </row>
    <row r="23" spans="1:17" ht="16.149999999999999" customHeight="1" x14ac:dyDescent="0.2">
      <c r="A23" s="595">
        <v>17</v>
      </c>
      <c r="B23" s="418" t="s">
        <v>20</v>
      </c>
      <c r="C23" s="1098">
        <v>2022.5099824878614</v>
      </c>
      <c r="D23" s="1098">
        <v>280</v>
      </c>
      <c r="E23" s="1098">
        <v>400.40461865156607</v>
      </c>
      <c r="F23" s="1099">
        <f t="shared" si="3"/>
        <v>2702.9146011394278</v>
      </c>
      <c r="G23" s="1098">
        <v>801.48</v>
      </c>
      <c r="H23" s="1099">
        <f t="shared" si="1"/>
        <v>3504.3946011394278</v>
      </c>
      <c r="I23" s="1098">
        <v>444.95219614732957</v>
      </c>
      <c r="J23" s="1098">
        <v>121.35059894927173</v>
      </c>
      <c r="K23" s="1098">
        <v>3033.7649737317925</v>
      </c>
      <c r="L23" s="1098">
        <v>1213.5059894927169</v>
      </c>
      <c r="M23" s="1098">
        <v>6829</v>
      </c>
      <c r="N23" s="1098">
        <v>7749</v>
      </c>
      <c r="O23" s="1099">
        <f t="shared" si="2"/>
        <v>10451.914601139428</v>
      </c>
      <c r="P23" s="1098">
        <f>'2_State Distrib and Adjs'!AN23</f>
        <v>4306</v>
      </c>
      <c r="Q23" s="1098">
        <f>'3_Levels 1&amp;2'!AM23+'3_Levels 1&amp;2'!AX23</f>
        <v>8207.5861458149011</v>
      </c>
    </row>
    <row r="24" spans="1:17" ht="16.149999999999999" customHeight="1" x14ac:dyDescent="0.2">
      <c r="A24" s="595">
        <v>18</v>
      </c>
      <c r="B24" s="418" t="s">
        <v>21</v>
      </c>
      <c r="C24" s="1098">
        <v>3113.6348661088937</v>
      </c>
      <c r="D24" s="1098">
        <v>965</v>
      </c>
      <c r="E24" s="1098">
        <v>169.60409556313994</v>
      </c>
      <c r="F24" s="1099">
        <f t="shared" si="3"/>
        <v>4248.2389616720338</v>
      </c>
      <c r="G24" s="1098">
        <v>845.94999999999993</v>
      </c>
      <c r="H24" s="1099">
        <f t="shared" si="1"/>
        <v>5094.1889616720337</v>
      </c>
      <c r="I24" s="1098">
        <v>684.99967054395665</v>
      </c>
      <c r="J24" s="1098">
        <v>186.81809196653361</v>
      </c>
      <c r="K24" s="1098">
        <v>4670.4522991633412</v>
      </c>
      <c r="L24" s="1098">
        <v>0</v>
      </c>
      <c r="M24" s="1098">
        <v>3192</v>
      </c>
      <c r="N24" s="1098">
        <v>3192</v>
      </c>
      <c r="O24" s="1099">
        <f t="shared" si="2"/>
        <v>7440.2389616720338</v>
      </c>
      <c r="P24" s="1098">
        <f>'2_State Distrib and Adjs'!AN24</f>
        <v>6983</v>
      </c>
      <c r="Q24" s="1098">
        <f>'3_Levels 1&amp;2'!AM24+'3_Levels 1&amp;2'!AX24</f>
        <v>9145.1230716723549</v>
      </c>
    </row>
    <row r="25" spans="1:17" ht="16.149999999999999" customHeight="1" x14ac:dyDescent="0.2">
      <c r="A25" s="595">
        <v>19</v>
      </c>
      <c r="B25" s="418" t="s">
        <v>22</v>
      </c>
      <c r="C25" s="1098">
        <v>2624.5311129821921</v>
      </c>
      <c r="D25" s="1098">
        <v>824</v>
      </c>
      <c r="E25" s="1098">
        <v>169.60413176996093</v>
      </c>
      <c r="F25" s="1099">
        <f t="shared" si="3"/>
        <v>3618.1352447521531</v>
      </c>
      <c r="G25" s="1098">
        <v>905.43</v>
      </c>
      <c r="H25" s="1099">
        <f t="shared" si="1"/>
        <v>4523.5652447521534</v>
      </c>
      <c r="I25" s="1098">
        <v>577.39684485608223</v>
      </c>
      <c r="J25" s="1098">
        <v>157.47186677893151</v>
      </c>
      <c r="K25" s="1098">
        <v>3936.7966694732881</v>
      </c>
      <c r="L25" s="1098">
        <v>1574.7186677893151</v>
      </c>
      <c r="M25" s="1098">
        <v>4392</v>
      </c>
      <c r="N25" s="1098">
        <v>4392</v>
      </c>
      <c r="O25" s="1099">
        <f t="shared" si="2"/>
        <v>8010.1352447521531</v>
      </c>
      <c r="P25" s="1098">
        <f>'2_State Distrib and Adjs'!AN25</f>
        <v>6026</v>
      </c>
      <c r="Q25" s="1098">
        <f>'3_Levels 1&amp;2'!AM25+'3_Levels 1&amp;2'!AX25</f>
        <v>9335.4585817978787</v>
      </c>
    </row>
    <row r="26" spans="1:17" ht="16.149999999999999" customHeight="1" x14ac:dyDescent="0.2">
      <c r="A26" s="596">
        <v>20</v>
      </c>
      <c r="B26" s="419" t="s">
        <v>23</v>
      </c>
      <c r="C26" s="1100">
        <v>3204.4257570272712</v>
      </c>
      <c r="D26" s="1100">
        <v>992</v>
      </c>
      <c r="E26" s="1100">
        <v>100</v>
      </c>
      <c r="F26" s="1101">
        <f t="shared" si="3"/>
        <v>4296.4257570272712</v>
      </c>
      <c r="G26" s="1100">
        <v>586.16999999999996</v>
      </c>
      <c r="H26" s="1101">
        <f t="shared" si="1"/>
        <v>4882.5957570272712</v>
      </c>
      <c r="I26" s="1100">
        <v>704.97366654599966</v>
      </c>
      <c r="J26" s="1100">
        <v>192.26554542163626</v>
      </c>
      <c r="K26" s="1100">
        <v>4806.6386355409068</v>
      </c>
      <c r="L26" s="1100">
        <v>1922.6554542163628</v>
      </c>
      <c r="M26" s="1100">
        <v>2592</v>
      </c>
      <c r="N26" s="1100">
        <v>2693</v>
      </c>
      <c r="O26" s="1101">
        <f t="shared" si="2"/>
        <v>6989.4257570272712</v>
      </c>
      <c r="P26" s="1100">
        <f>'2_State Distrib and Adjs'!AN26</f>
        <v>6442</v>
      </c>
      <c r="Q26" s="1100">
        <f>'3_Levels 1&amp;2'!AM26+'3_Levels 1&amp;2'!AX26</f>
        <v>8586.7921582733816</v>
      </c>
    </row>
    <row r="27" spans="1:17" ht="16.149999999999999" customHeight="1" x14ac:dyDescent="0.2">
      <c r="A27" s="1094">
        <v>21</v>
      </c>
      <c r="B27" s="1095" t="s">
        <v>24</v>
      </c>
      <c r="C27" s="1096">
        <v>3257.1351338743248</v>
      </c>
      <c r="D27" s="1096">
        <v>1008</v>
      </c>
      <c r="E27" s="1096">
        <v>169.60423905489924</v>
      </c>
      <c r="F27" s="1097">
        <f t="shared" si="3"/>
        <v>4434.7393729292235</v>
      </c>
      <c r="G27" s="1096">
        <v>610.35</v>
      </c>
      <c r="H27" s="1097">
        <f t="shared" si="1"/>
        <v>5045.0893729292238</v>
      </c>
      <c r="I27" s="1096">
        <v>716.56972945235145</v>
      </c>
      <c r="J27" s="1096">
        <v>195.42810803245948</v>
      </c>
      <c r="K27" s="1096">
        <v>4885.7027008114874</v>
      </c>
      <c r="L27" s="1096">
        <v>1954.2810803245948</v>
      </c>
      <c r="M27" s="1096">
        <v>1975</v>
      </c>
      <c r="N27" s="1096">
        <v>2897</v>
      </c>
      <c r="O27" s="1097">
        <f t="shared" si="2"/>
        <v>7331.7393729292235</v>
      </c>
      <c r="P27" s="1096">
        <f>'2_State Distrib and Adjs'!AN27</f>
        <v>7109</v>
      </c>
      <c r="Q27" s="1096">
        <f>'3_Levels 1&amp;2'!AM27+'3_Levels 1&amp;2'!AX27</f>
        <v>9219.6533495482981</v>
      </c>
    </row>
    <row r="28" spans="1:17" ht="16.149999999999999" customHeight="1" x14ac:dyDescent="0.2">
      <c r="A28" s="595">
        <v>22</v>
      </c>
      <c r="B28" s="418" t="s">
        <v>25</v>
      </c>
      <c r="C28" s="1098">
        <v>3537.0492713622057</v>
      </c>
      <c r="D28" s="1098">
        <v>1153</v>
      </c>
      <c r="E28" s="1098">
        <v>169.60429124164614</v>
      </c>
      <c r="F28" s="1099">
        <f t="shared" si="3"/>
        <v>4859.6535626038522</v>
      </c>
      <c r="G28" s="1098">
        <v>496.36</v>
      </c>
      <c r="H28" s="1099">
        <f t="shared" si="1"/>
        <v>5356.0135626038518</v>
      </c>
      <c r="I28" s="1098">
        <v>778.15083969968509</v>
      </c>
      <c r="J28" s="1098">
        <v>212.22295628173237</v>
      </c>
      <c r="K28" s="1098">
        <v>5305.5739070433083</v>
      </c>
      <c r="L28" s="1098">
        <v>2122.2295628173233</v>
      </c>
      <c r="M28" s="1098">
        <v>1263</v>
      </c>
      <c r="N28" s="1098">
        <v>2117</v>
      </c>
      <c r="O28" s="1099">
        <f t="shared" si="2"/>
        <v>6976.6535626038522</v>
      </c>
      <c r="P28" s="1098">
        <f>'2_State Distrib and Adjs'!AN28</f>
        <v>7609</v>
      </c>
      <c r="Q28" s="1098">
        <f>'3_Levels 1&amp;2'!AM28+'3_Levels 1&amp;2'!AX28</f>
        <v>9333.4477453394302</v>
      </c>
    </row>
    <row r="29" spans="1:17" ht="16.149999999999999" customHeight="1" x14ac:dyDescent="0.2">
      <c r="A29" s="595">
        <v>23</v>
      </c>
      <c r="B29" s="418" t="s">
        <v>26</v>
      </c>
      <c r="C29" s="1098">
        <v>2920.5908389243887</v>
      </c>
      <c r="D29" s="1098">
        <v>1040</v>
      </c>
      <c r="E29" s="1098">
        <v>169.60413380924712</v>
      </c>
      <c r="F29" s="1099">
        <f t="shared" si="3"/>
        <v>4130.194972733636</v>
      </c>
      <c r="G29" s="1098">
        <v>688.58</v>
      </c>
      <c r="H29" s="1099">
        <f t="shared" si="1"/>
        <v>4818.7749727336359</v>
      </c>
      <c r="I29" s="1098">
        <v>642.52998456336547</v>
      </c>
      <c r="J29" s="1098">
        <v>175.2354503354633</v>
      </c>
      <c r="K29" s="1098">
        <v>4380.886258386583</v>
      </c>
      <c r="L29" s="1098">
        <v>1752.3545033546334</v>
      </c>
      <c r="M29" s="1098">
        <v>2792</v>
      </c>
      <c r="N29" s="1098">
        <v>3854</v>
      </c>
      <c r="O29" s="1099">
        <f t="shared" si="2"/>
        <v>7984.194972733636</v>
      </c>
      <c r="P29" s="1098">
        <f>'2_State Distrib and Adjs'!AN29</f>
        <v>6089</v>
      </c>
      <c r="Q29" s="1098">
        <f>'3_Levels 1&amp;2'!AM29+'3_Levels 1&amp;2'!AX29</f>
        <v>8928.5127583630783</v>
      </c>
    </row>
    <row r="30" spans="1:17" ht="16.149999999999999" customHeight="1" x14ac:dyDescent="0.2">
      <c r="A30" s="595">
        <v>24</v>
      </c>
      <c r="B30" s="418" t="s">
        <v>27</v>
      </c>
      <c r="C30" s="1098">
        <v>1147.6539250699261</v>
      </c>
      <c r="D30" s="1098">
        <v>0</v>
      </c>
      <c r="E30" s="1098">
        <v>479.26518450607381</v>
      </c>
      <c r="F30" s="1099">
        <f t="shared" si="3"/>
        <v>1626.919109576</v>
      </c>
      <c r="G30" s="1098">
        <v>854.24999999999989</v>
      </c>
      <c r="H30" s="1099">
        <f t="shared" si="1"/>
        <v>2481.1691095759998</v>
      </c>
      <c r="I30" s="1098">
        <v>252.48386351538372</v>
      </c>
      <c r="J30" s="1098">
        <v>68.859235504195553</v>
      </c>
      <c r="K30" s="1098">
        <v>1721.4808876048889</v>
      </c>
      <c r="L30" s="1098">
        <v>688.59235504195556</v>
      </c>
      <c r="M30" s="1098">
        <v>15558</v>
      </c>
      <c r="N30" s="1098">
        <v>16268</v>
      </c>
      <c r="O30" s="1099">
        <f t="shared" si="2"/>
        <v>17894.919109576</v>
      </c>
      <c r="P30" s="1098">
        <f>'2_State Distrib and Adjs'!AN30</f>
        <v>3023</v>
      </c>
      <c r="Q30" s="1098">
        <f>'3_Levels 1&amp;2'!AM30+'3_Levels 1&amp;2'!AX30</f>
        <v>8398.4657254182894</v>
      </c>
    </row>
    <row r="31" spans="1:17" ht="16.149999999999999" customHeight="1" x14ac:dyDescent="0.2">
      <c r="A31" s="596">
        <v>25</v>
      </c>
      <c r="B31" s="419" t="s">
        <v>28</v>
      </c>
      <c r="C31" s="1100">
        <v>2674.2133478446312</v>
      </c>
      <c r="D31" s="1100">
        <v>880</v>
      </c>
      <c r="E31" s="1100">
        <v>169.60434585785424</v>
      </c>
      <c r="F31" s="1101">
        <f t="shared" si="3"/>
        <v>3723.8176937024855</v>
      </c>
      <c r="G31" s="1100">
        <v>653.73</v>
      </c>
      <c r="H31" s="1101">
        <f t="shared" si="1"/>
        <v>4377.547693702485</v>
      </c>
      <c r="I31" s="1100">
        <v>588.32693652581884</v>
      </c>
      <c r="J31" s="1100">
        <v>160.45280087067789</v>
      </c>
      <c r="K31" s="1100">
        <v>4011.3200217669473</v>
      </c>
      <c r="L31" s="1100">
        <v>1604.5280087067786</v>
      </c>
      <c r="M31" s="1100">
        <v>4849</v>
      </c>
      <c r="N31" s="1100">
        <v>4849</v>
      </c>
      <c r="O31" s="1101">
        <f t="shared" si="2"/>
        <v>8572.8176937024855</v>
      </c>
      <c r="P31" s="1100">
        <f>'2_State Distrib and Adjs'!AN31</f>
        <v>5753</v>
      </c>
      <c r="Q31" s="1100">
        <f>'3_Levels 1&amp;2'!AM31+'3_Levels 1&amp;2'!AX31</f>
        <v>9193.9935672249885</v>
      </c>
    </row>
    <row r="32" spans="1:17" ht="16.149999999999999" customHeight="1" x14ac:dyDescent="0.2">
      <c r="A32" s="1094">
        <v>26</v>
      </c>
      <c r="B32" s="1095" t="s">
        <v>29</v>
      </c>
      <c r="C32" s="1096">
        <v>2216.8762816084441</v>
      </c>
      <c r="D32" s="1096">
        <v>450</v>
      </c>
      <c r="E32" s="1096">
        <v>392.80738615145737</v>
      </c>
      <c r="F32" s="1097">
        <f t="shared" si="3"/>
        <v>3059.6836677599013</v>
      </c>
      <c r="G32" s="1096">
        <v>836.83</v>
      </c>
      <c r="H32" s="1097">
        <f t="shared" si="1"/>
        <v>3896.5136677599012</v>
      </c>
      <c r="I32" s="1096">
        <v>487.71278195385764</v>
      </c>
      <c r="J32" s="1096">
        <v>133.0125768965066</v>
      </c>
      <c r="K32" s="1096">
        <v>3325.3144224126654</v>
      </c>
      <c r="L32" s="1096">
        <v>1330.1257689650663</v>
      </c>
      <c r="M32" s="1096">
        <v>5430</v>
      </c>
      <c r="N32" s="1096">
        <v>6050</v>
      </c>
      <c r="O32" s="1097">
        <f t="shared" si="2"/>
        <v>9109.6836677599022</v>
      </c>
      <c r="P32" s="1096">
        <f>'2_State Distrib and Adjs'!AN32</f>
        <v>4869</v>
      </c>
      <c r="Q32" s="1096">
        <f>'3_Levels 1&amp;2'!AM32+'3_Levels 1&amp;2'!AX32</f>
        <v>8564.9407441183976</v>
      </c>
    </row>
    <row r="33" spans="1:17" ht="16.149999999999999" customHeight="1" x14ac:dyDescent="0.2">
      <c r="A33" s="595">
        <v>27</v>
      </c>
      <c r="B33" s="418" t="s">
        <v>30</v>
      </c>
      <c r="C33" s="1098">
        <v>3152.8986386774118</v>
      </c>
      <c r="D33" s="1098">
        <v>1254</v>
      </c>
      <c r="E33" s="1098">
        <v>169.60411732556022</v>
      </c>
      <c r="F33" s="1099">
        <f t="shared" si="3"/>
        <v>4576.5027560029721</v>
      </c>
      <c r="G33" s="1098">
        <v>693.06</v>
      </c>
      <c r="H33" s="1099">
        <f t="shared" si="1"/>
        <v>5269.5627560029716</v>
      </c>
      <c r="I33" s="1098">
        <v>693.63770050903065</v>
      </c>
      <c r="J33" s="1098">
        <v>189.17391832064473</v>
      </c>
      <c r="K33" s="1098">
        <v>4729.3479580161184</v>
      </c>
      <c r="L33" s="1098">
        <v>1891.7391832064473</v>
      </c>
      <c r="M33" s="1098">
        <v>3124</v>
      </c>
      <c r="N33" s="1098">
        <v>3720</v>
      </c>
      <c r="O33" s="1099">
        <f t="shared" si="2"/>
        <v>8296.5027560029721</v>
      </c>
      <c r="P33" s="1098">
        <f>'2_State Distrib and Adjs'!AN33</f>
        <v>6709</v>
      </c>
      <c r="Q33" s="1098">
        <f>'3_Levels 1&amp;2'!AM33+'3_Levels 1&amp;2'!AX33</f>
        <v>9260.4225250501004</v>
      </c>
    </row>
    <row r="34" spans="1:17" ht="16.149999999999999" customHeight="1" x14ac:dyDescent="0.2">
      <c r="A34" s="595">
        <v>28</v>
      </c>
      <c r="B34" s="418" t="s">
        <v>31</v>
      </c>
      <c r="C34" s="1098">
        <v>2248.1813101696002</v>
      </c>
      <c r="D34" s="1098">
        <v>446</v>
      </c>
      <c r="E34" s="1098">
        <v>229.5032254193045</v>
      </c>
      <c r="F34" s="1099">
        <f t="shared" si="3"/>
        <v>2923.6845355889045</v>
      </c>
      <c r="G34" s="1098">
        <v>694.4</v>
      </c>
      <c r="H34" s="1099">
        <f t="shared" si="1"/>
        <v>3618.0845355889046</v>
      </c>
      <c r="I34" s="1098">
        <v>494.59988823731209</v>
      </c>
      <c r="J34" s="1098">
        <v>134.890878610176</v>
      </c>
      <c r="K34" s="1098">
        <v>3372.2719652544006</v>
      </c>
      <c r="L34" s="1098">
        <v>1348.9087861017604</v>
      </c>
      <c r="M34" s="1098">
        <v>5316</v>
      </c>
      <c r="N34" s="1098">
        <v>5704</v>
      </c>
      <c r="O34" s="1099">
        <f t="shared" si="2"/>
        <v>8627.6845355889054</v>
      </c>
      <c r="P34" s="1098">
        <f>'2_State Distrib and Adjs'!AN34</f>
        <v>4396</v>
      </c>
      <c r="Q34" s="1098">
        <f>'3_Levels 1&amp;2'!AM34+'3_Levels 1&amp;2'!AX34</f>
        <v>7902.6858936661774</v>
      </c>
    </row>
    <row r="35" spans="1:17" ht="16.149999999999999" customHeight="1" x14ac:dyDescent="0.2">
      <c r="A35" s="595">
        <v>29</v>
      </c>
      <c r="B35" s="418" t="s">
        <v>32</v>
      </c>
      <c r="C35" s="1098">
        <v>2646.0647948803157</v>
      </c>
      <c r="D35" s="1098">
        <v>757</v>
      </c>
      <c r="E35" s="1098">
        <v>169.60414008223452</v>
      </c>
      <c r="F35" s="1099">
        <f t="shared" si="3"/>
        <v>3572.6689349625503</v>
      </c>
      <c r="G35" s="1098">
        <v>754.94999999999993</v>
      </c>
      <c r="H35" s="1099">
        <f t="shared" si="1"/>
        <v>4327.6189349625502</v>
      </c>
      <c r="I35" s="1098">
        <v>582.13425487366942</v>
      </c>
      <c r="J35" s="1098">
        <v>158.76388769281897</v>
      </c>
      <c r="K35" s="1098">
        <v>3969.0971923204738</v>
      </c>
      <c r="L35" s="1098">
        <v>1587.6388769281893</v>
      </c>
      <c r="M35" s="1098">
        <v>4414</v>
      </c>
      <c r="N35" s="1098">
        <v>5139</v>
      </c>
      <c r="O35" s="1099">
        <f t="shared" si="2"/>
        <v>8711.6689349625503</v>
      </c>
      <c r="P35" s="1098">
        <f>'2_State Distrib and Adjs'!AN35</f>
        <v>5234</v>
      </c>
      <c r="Q35" s="1098">
        <f>'3_Levels 1&amp;2'!AM35+'3_Levels 1&amp;2'!AX35</f>
        <v>8146.1196327803773</v>
      </c>
    </row>
    <row r="36" spans="1:17" ht="16.149999999999999" customHeight="1" x14ac:dyDescent="0.2">
      <c r="A36" s="596">
        <v>30</v>
      </c>
      <c r="B36" s="419" t="s">
        <v>33</v>
      </c>
      <c r="C36" s="1100">
        <v>3131.2256291689055</v>
      </c>
      <c r="D36" s="1100">
        <v>1239</v>
      </c>
      <c r="E36" s="1100">
        <v>169.60429936305732</v>
      </c>
      <c r="F36" s="1101">
        <f t="shared" si="3"/>
        <v>4539.8299285319627</v>
      </c>
      <c r="G36" s="1100">
        <v>727.17</v>
      </c>
      <c r="H36" s="1101">
        <f t="shared" si="1"/>
        <v>5266.9999285319627</v>
      </c>
      <c r="I36" s="1100">
        <v>688.86963841715931</v>
      </c>
      <c r="J36" s="1100">
        <v>187.87353775013435</v>
      </c>
      <c r="K36" s="1100">
        <v>4696.8384437533587</v>
      </c>
      <c r="L36" s="1100">
        <v>1878.7353775013435</v>
      </c>
      <c r="M36" s="1100">
        <v>3435</v>
      </c>
      <c r="N36" s="1100">
        <v>4635</v>
      </c>
      <c r="O36" s="1101">
        <f t="shared" si="2"/>
        <v>9174.8299285319627</v>
      </c>
      <c r="P36" s="1100">
        <f>'2_State Distrib and Adjs'!AN36</f>
        <v>6713</v>
      </c>
      <c r="Q36" s="1100">
        <f>'3_Levels 1&amp;2'!AM36+'3_Levels 1&amp;2'!AX36</f>
        <v>9263.2352388535037</v>
      </c>
    </row>
    <row r="37" spans="1:17" ht="16.149999999999999" customHeight="1" x14ac:dyDescent="0.2">
      <c r="A37" s="1094">
        <v>31</v>
      </c>
      <c r="B37" s="1095" t="s">
        <v>34</v>
      </c>
      <c r="C37" s="1096">
        <v>2530.7187305265429</v>
      </c>
      <c r="D37" s="1096">
        <v>747</v>
      </c>
      <c r="E37" s="1096">
        <v>169.60408229386036</v>
      </c>
      <c r="F37" s="1097">
        <f t="shared" si="3"/>
        <v>3447.3228128204032</v>
      </c>
      <c r="G37" s="1096">
        <v>620.83000000000004</v>
      </c>
      <c r="H37" s="1097">
        <f t="shared" si="1"/>
        <v>4068.1528128204031</v>
      </c>
      <c r="I37" s="1096">
        <v>556.75812071583937</v>
      </c>
      <c r="J37" s="1096">
        <v>151.84312383159258</v>
      </c>
      <c r="K37" s="1096">
        <v>3796.0780957898141</v>
      </c>
      <c r="L37" s="1096">
        <v>1518.4312383159256</v>
      </c>
      <c r="M37" s="1096">
        <v>5430</v>
      </c>
      <c r="N37" s="1096">
        <v>6175</v>
      </c>
      <c r="O37" s="1097">
        <f t="shared" si="2"/>
        <v>9622.3228128204028</v>
      </c>
      <c r="P37" s="1096">
        <f>'2_State Distrib and Adjs'!AN37</f>
        <v>5343</v>
      </c>
      <c r="Q37" s="1096">
        <f>'3_Levels 1&amp;2'!AM37+'3_Levels 1&amp;2'!AX37</f>
        <v>8997.4791965008917</v>
      </c>
    </row>
    <row r="38" spans="1:17" ht="16.149999999999999" customHeight="1" x14ac:dyDescent="0.2">
      <c r="A38" s="595">
        <v>32</v>
      </c>
      <c r="B38" s="418" t="s">
        <v>35</v>
      </c>
      <c r="C38" s="1098">
        <v>3354.335802108491</v>
      </c>
      <c r="D38" s="1098">
        <v>1223</v>
      </c>
      <c r="E38" s="1098">
        <v>169.60415862973537</v>
      </c>
      <c r="F38" s="1099">
        <f t="shared" si="3"/>
        <v>4746.9399607382265</v>
      </c>
      <c r="G38" s="1098">
        <v>559.77</v>
      </c>
      <c r="H38" s="1099">
        <f t="shared" si="1"/>
        <v>5306.7099607382261</v>
      </c>
      <c r="I38" s="1098">
        <v>737.95387646386791</v>
      </c>
      <c r="J38" s="1098">
        <v>201.26014812650942</v>
      </c>
      <c r="K38" s="1098">
        <v>5031.5037031627353</v>
      </c>
      <c r="L38" s="1098">
        <v>2012.6014812650944</v>
      </c>
      <c r="M38" s="1098">
        <v>2430</v>
      </c>
      <c r="N38" s="1098">
        <v>2849</v>
      </c>
      <c r="O38" s="1099">
        <f t="shared" si="2"/>
        <v>7595.9399607382265</v>
      </c>
      <c r="P38" s="1098">
        <f>'2_State Distrib and Adjs'!AN38</f>
        <v>6576</v>
      </c>
      <c r="Q38" s="1098">
        <f>'3_Levels 1&amp;2'!AM38+'3_Levels 1&amp;2'!AX38</f>
        <v>8634.1210878790207</v>
      </c>
    </row>
    <row r="39" spans="1:17" ht="16.149999999999999" customHeight="1" x14ac:dyDescent="0.2">
      <c r="A39" s="595">
        <v>33</v>
      </c>
      <c r="B39" s="418" t="s">
        <v>36</v>
      </c>
      <c r="C39" s="1098">
        <v>2876.0974875985539</v>
      </c>
      <c r="D39" s="1098">
        <v>1120</v>
      </c>
      <c r="E39" s="1098">
        <v>169.6041076487252</v>
      </c>
      <c r="F39" s="1099">
        <f t="shared" si="3"/>
        <v>4165.7015952472793</v>
      </c>
      <c r="G39" s="1098">
        <v>655.31000000000006</v>
      </c>
      <c r="H39" s="1099">
        <f t="shared" si="1"/>
        <v>4821.0115952472797</v>
      </c>
      <c r="I39" s="1098">
        <v>632.74144727168186</v>
      </c>
      <c r="J39" s="1098">
        <v>172.56584925591324</v>
      </c>
      <c r="K39" s="1098">
        <v>4314.14623139783</v>
      </c>
      <c r="L39" s="1098">
        <v>1725.6584925591321</v>
      </c>
      <c r="M39" s="1098">
        <v>2522</v>
      </c>
      <c r="N39" s="1098">
        <v>4565</v>
      </c>
      <c r="O39" s="1099">
        <f t="shared" si="2"/>
        <v>8730.7015952472793</v>
      </c>
      <c r="P39" s="1098">
        <f>'2_State Distrib and Adjs'!AN39</f>
        <v>6743</v>
      </c>
      <c r="Q39" s="1098">
        <f>'3_Levels 1&amp;2'!AM39+'3_Levels 1&amp;2'!AX39</f>
        <v>10041.616487252126</v>
      </c>
    </row>
    <row r="40" spans="1:17" ht="16.149999999999999" customHeight="1" x14ac:dyDescent="0.2">
      <c r="A40" s="595">
        <v>34</v>
      </c>
      <c r="B40" s="418" t="s">
        <v>37</v>
      </c>
      <c r="C40" s="1098">
        <v>3214.1824209098199</v>
      </c>
      <c r="D40" s="1098">
        <v>1327</v>
      </c>
      <c r="E40" s="1098">
        <v>169.60401002506265</v>
      </c>
      <c r="F40" s="1099">
        <f t="shared" si="3"/>
        <v>4710.7864309348824</v>
      </c>
      <c r="G40" s="1098">
        <v>644.11000000000013</v>
      </c>
      <c r="H40" s="1099">
        <f t="shared" si="1"/>
        <v>5354.896430934883</v>
      </c>
      <c r="I40" s="1098">
        <v>707.12013260016033</v>
      </c>
      <c r="J40" s="1098">
        <v>192.85094525458919</v>
      </c>
      <c r="K40" s="1098">
        <v>4821.2736313647301</v>
      </c>
      <c r="L40" s="1098">
        <v>1928.5094525458921</v>
      </c>
      <c r="M40" s="1098">
        <v>3265</v>
      </c>
      <c r="N40" s="1098">
        <v>3695</v>
      </c>
      <c r="O40" s="1099">
        <f t="shared" si="2"/>
        <v>8405.7864309348824</v>
      </c>
      <c r="P40" s="1098">
        <f>'2_State Distrib and Adjs'!AN40</f>
        <v>7229</v>
      </c>
      <c r="Q40" s="1098">
        <f>'3_Levels 1&amp;2'!AM40+'3_Levels 1&amp;2'!AX40</f>
        <v>9870.4576886661089</v>
      </c>
    </row>
    <row r="41" spans="1:17" ht="16.149999999999999" customHeight="1" x14ac:dyDescent="0.2">
      <c r="A41" s="596">
        <v>35</v>
      </c>
      <c r="B41" s="419" t="s">
        <v>38</v>
      </c>
      <c r="C41" s="1100">
        <v>2725.1184237705938</v>
      </c>
      <c r="D41" s="1100">
        <v>884</v>
      </c>
      <c r="E41" s="1100">
        <v>169.60417037961147</v>
      </c>
      <c r="F41" s="1101">
        <f t="shared" si="3"/>
        <v>3778.7225941502052</v>
      </c>
      <c r="G41" s="1100">
        <v>537.96</v>
      </c>
      <c r="H41" s="1101">
        <f t="shared" si="1"/>
        <v>4316.6825941502047</v>
      </c>
      <c r="I41" s="1100">
        <v>599.5260532295307</v>
      </c>
      <c r="J41" s="1100">
        <v>163.50710542623563</v>
      </c>
      <c r="K41" s="1100">
        <v>4087.6776356558908</v>
      </c>
      <c r="L41" s="1100">
        <v>1635.0710542623563</v>
      </c>
      <c r="M41" s="1100">
        <v>4356</v>
      </c>
      <c r="N41" s="1100">
        <v>4926</v>
      </c>
      <c r="O41" s="1101">
        <f t="shared" si="2"/>
        <v>8704.7225941502056</v>
      </c>
      <c r="P41" s="1100">
        <f>'2_State Distrib and Adjs'!AN41</f>
        <v>5534</v>
      </c>
      <c r="Q41" s="1100">
        <f>'3_Levels 1&amp;2'!AM41+'3_Levels 1&amp;2'!AX41</f>
        <v>8844.7169328105501</v>
      </c>
    </row>
    <row r="42" spans="1:17" ht="16.149999999999999" customHeight="1" x14ac:dyDescent="0.2">
      <c r="A42" s="1094">
        <v>36</v>
      </c>
      <c r="B42" s="1095" t="s">
        <v>468</v>
      </c>
      <c r="C42" s="1096">
        <v>2085.0706736409602</v>
      </c>
      <c r="D42" s="1096">
        <v>345</v>
      </c>
      <c r="E42" s="1096">
        <v>169.60414751469801</v>
      </c>
      <c r="F42" s="1097">
        <f t="shared" si="3"/>
        <v>2599.6748211556583</v>
      </c>
      <c r="G42" s="1096">
        <v>746.03</v>
      </c>
      <c r="H42" s="1097">
        <f t="shared" si="1"/>
        <v>3345.7048211556585</v>
      </c>
      <c r="I42" s="1096">
        <v>458.7155482010113</v>
      </c>
      <c r="J42" s="1096">
        <v>125.10424041845762</v>
      </c>
      <c r="K42" s="1096">
        <v>3127.6060104614403</v>
      </c>
      <c r="L42" s="1096">
        <v>1251.0424041845763</v>
      </c>
      <c r="M42" s="1096">
        <v>5922</v>
      </c>
      <c r="N42" s="1096">
        <v>6596</v>
      </c>
      <c r="O42" s="1097">
        <f t="shared" si="2"/>
        <v>9195.6748211556587</v>
      </c>
      <c r="P42" s="1096">
        <f>'2_State Distrib and Adjs'!AN42</f>
        <v>4299</v>
      </c>
      <c r="Q42" s="1096">
        <f>'3_Levels 1&amp;2'!AM42+'3_Levels 1&amp;2'!AX42</f>
        <v>8372.8678246926775</v>
      </c>
    </row>
    <row r="43" spans="1:17" ht="16.149999999999999" customHeight="1" x14ac:dyDescent="0.2">
      <c r="A43" s="595">
        <v>37</v>
      </c>
      <c r="B43" s="418" t="s">
        <v>40</v>
      </c>
      <c r="C43" s="1098">
        <v>3156.195590377883</v>
      </c>
      <c r="D43" s="1098">
        <v>1216</v>
      </c>
      <c r="E43" s="1098">
        <v>169.60416890512516</v>
      </c>
      <c r="F43" s="1099">
        <f t="shared" si="3"/>
        <v>4541.7997592830088</v>
      </c>
      <c r="G43" s="1098">
        <v>653.61</v>
      </c>
      <c r="H43" s="1099">
        <f t="shared" si="1"/>
        <v>5195.4097592830085</v>
      </c>
      <c r="I43" s="1098">
        <v>694.36302988313435</v>
      </c>
      <c r="J43" s="1098">
        <v>189.37173542267297</v>
      </c>
      <c r="K43" s="1098">
        <v>4734.2933855668243</v>
      </c>
      <c r="L43" s="1098">
        <v>1893.7173542267299</v>
      </c>
      <c r="M43" s="1098">
        <v>3279</v>
      </c>
      <c r="N43" s="1098">
        <v>4318</v>
      </c>
      <c r="O43" s="1099">
        <f t="shared" si="2"/>
        <v>8859.7997592830088</v>
      </c>
      <c r="P43" s="1098">
        <f>'2_State Distrib and Adjs'!AN43</f>
        <v>6486</v>
      </c>
      <c r="Q43" s="1098">
        <f>'3_Levels 1&amp;2'!AM43+'3_Levels 1&amp;2'!AX43</f>
        <v>8965.516042763511</v>
      </c>
    </row>
    <row r="44" spans="1:17" ht="16.149999999999999" customHeight="1" x14ac:dyDescent="0.2">
      <c r="A44" s="595">
        <v>38</v>
      </c>
      <c r="B44" s="418" t="s">
        <v>41</v>
      </c>
      <c r="C44" s="1098">
        <v>1003.7499109368114</v>
      </c>
      <c r="D44" s="1098">
        <v>0</v>
      </c>
      <c r="E44" s="1098">
        <v>424.3165764372261</v>
      </c>
      <c r="F44" s="1099">
        <f t="shared" si="3"/>
        <v>1428.0664873740375</v>
      </c>
      <c r="G44" s="1098">
        <v>829.92000000000007</v>
      </c>
      <c r="H44" s="1099">
        <f t="shared" si="1"/>
        <v>2257.9864873740376</v>
      </c>
      <c r="I44" s="1098">
        <v>220.82498040609849</v>
      </c>
      <c r="J44" s="1098">
        <v>60.224994656208672</v>
      </c>
      <c r="K44" s="1098">
        <v>1505.6248664052171</v>
      </c>
      <c r="L44" s="1098">
        <v>602.24994656208685</v>
      </c>
      <c r="M44" s="1098">
        <v>11056</v>
      </c>
      <c r="N44" s="1098">
        <v>11056</v>
      </c>
      <c r="O44" s="1099">
        <f t="shared" si="2"/>
        <v>12484.066487374037</v>
      </c>
      <c r="P44" s="1098">
        <f>'2_State Distrib and Adjs'!AN44</f>
        <v>2822</v>
      </c>
      <c r="Q44" s="1098">
        <f>'3_Levels 1&amp;2'!AM44+'3_Levels 1&amp;2'!AX44</f>
        <v>8808.8195849445729</v>
      </c>
    </row>
    <row r="45" spans="1:17" ht="16.149999999999999" customHeight="1" x14ac:dyDescent="0.2">
      <c r="A45" s="595">
        <v>39</v>
      </c>
      <c r="B45" s="418" t="s">
        <v>42</v>
      </c>
      <c r="C45" s="1098">
        <v>1656.9243468145605</v>
      </c>
      <c r="D45" s="1098">
        <v>0</v>
      </c>
      <c r="E45" s="1098">
        <v>292.54562665656948</v>
      </c>
      <c r="F45" s="1099">
        <f t="shared" si="3"/>
        <v>1949.4699734711301</v>
      </c>
      <c r="G45" s="1098">
        <v>779.66</v>
      </c>
      <c r="H45" s="1099">
        <f t="shared" si="1"/>
        <v>2729.1299734711301</v>
      </c>
      <c r="I45" s="1098">
        <v>364.52335629920327</v>
      </c>
      <c r="J45" s="1098">
        <v>99.415460808873604</v>
      </c>
      <c r="K45" s="1098">
        <v>2485.3865202218408</v>
      </c>
      <c r="L45" s="1098">
        <v>994.15460808873615</v>
      </c>
      <c r="M45" s="1098">
        <v>5734</v>
      </c>
      <c r="N45" s="1098">
        <v>5734</v>
      </c>
      <c r="O45" s="1099">
        <f t="shared" si="2"/>
        <v>7683.4699734711303</v>
      </c>
      <c r="P45" s="1098">
        <f>'2_State Distrib and Adjs'!AN45</f>
        <v>3725</v>
      </c>
      <c r="Q45" s="1098">
        <f>'3_Levels 1&amp;2'!AM45+'3_Levels 1&amp;2'!AX45</f>
        <v>8732.4221734191597</v>
      </c>
    </row>
    <row r="46" spans="1:17" ht="16.149999999999999" customHeight="1" x14ac:dyDescent="0.2">
      <c r="A46" s="596">
        <v>40</v>
      </c>
      <c r="B46" s="419" t="s">
        <v>43</v>
      </c>
      <c r="C46" s="1100">
        <v>2962.6060466660556</v>
      </c>
      <c r="D46" s="1100">
        <v>1057</v>
      </c>
      <c r="E46" s="1100">
        <v>169.60414949161859</v>
      </c>
      <c r="F46" s="1101">
        <f t="shared" si="3"/>
        <v>4189.2101961576745</v>
      </c>
      <c r="G46" s="1100">
        <v>700.2700000000001</v>
      </c>
      <c r="H46" s="1101">
        <f t="shared" si="1"/>
        <v>4889.480196157675</v>
      </c>
      <c r="I46" s="1100">
        <v>651.7733302665323</v>
      </c>
      <c r="J46" s="1100">
        <v>177.75636279996331</v>
      </c>
      <c r="K46" s="1100">
        <v>4443.9090699990838</v>
      </c>
      <c r="L46" s="1100">
        <v>1777.5636279996336</v>
      </c>
      <c r="M46" s="1100">
        <v>3999</v>
      </c>
      <c r="N46" s="1100">
        <v>4263</v>
      </c>
      <c r="O46" s="1101">
        <f t="shared" si="2"/>
        <v>8452.2101961576736</v>
      </c>
      <c r="P46" s="1100">
        <f>'2_State Distrib and Adjs'!AN46</f>
        <v>6102</v>
      </c>
      <c r="Q46" s="1100">
        <f>'3_Levels 1&amp;2'!AM46+'3_Levels 1&amp;2'!AX46</f>
        <v>8811.3050792342219</v>
      </c>
    </row>
    <row r="47" spans="1:17" ht="16.149999999999999" customHeight="1" x14ac:dyDescent="0.2">
      <c r="A47" s="1094">
        <v>41</v>
      </c>
      <c r="B47" s="1095" t="s">
        <v>44</v>
      </c>
      <c r="C47" s="1096">
        <v>1520.7866342377258</v>
      </c>
      <c r="D47" s="1096">
        <v>0</v>
      </c>
      <c r="E47" s="1096">
        <v>169.603861003861</v>
      </c>
      <c r="F47" s="1097">
        <f t="shared" si="3"/>
        <v>1690.3904952415869</v>
      </c>
      <c r="G47" s="1096">
        <v>886.22</v>
      </c>
      <c r="H47" s="1097">
        <f t="shared" si="1"/>
        <v>2576.6104952415872</v>
      </c>
      <c r="I47" s="1096">
        <v>334.57305953229968</v>
      </c>
      <c r="J47" s="1096">
        <v>91.247198054263549</v>
      </c>
      <c r="K47" s="1096">
        <v>2281.1799513565888</v>
      </c>
      <c r="L47" s="1096">
        <v>912.47198054263549</v>
      </c>
      <c r="M47" s="1096">
        <v>11396</v>
      </c>
      <c r="N47" s="1096">
        <v>13077</v>
      </c>
      <c r="O47" s="1097">
        <f t="shared" si="2"/>
        <v>14767.390495241587</v>
      </c>
      <c r="P47" s="1096">
        <f>'2_State Distrib and Adjs'!AN47</f>
        <v>3528</v>
      </c>
      <c r="Q47" s="1096">
        <f>'3_Levels 1&amp;2'!AM47+'3_Levels 1&amp;2'!AX47</f>
        <v>8907.396563706563</v>
      </c>
    </row>
    <row r="48" spans="1:17" ht="16.149999999999999" customHeight="1" x14ac:dyDescent="0.2">
      <c r="A48" s="595">
        <v>42</v>
      </c>
      <c r="B48" s="418" t="s">
        <v>45</v>
      </c>
      <c r="C48" s="1098">
        <v>2688.4088533464701</v>
      </c>
      <c r="D48" s="1098">
        <v>908</v>
      </c>
      <c r="E48" s="1098">
        <v>169.60396039603961</v>
      </c>
      <c r="F48" s="1099">
        <f t="shared" si="3"/>
        <v>3766.0128137425099</v>
      </c>
      <c r="G48" s="1098">
        <v>534.28</v>
      </c>
      <c r="H48" s="1099">
        <f t="shared" si="1"/>
        <v>4300.2928137425097</v>
      </c>
      <c r="I48" s="1098">
        <v>591.44994773622352</v>
      </c>
      <c r="J48" s="1098">
        <v>161.30453120078818</v>
      </c>
      <c r="K48" s="1098">
        <v>4032.6132800197051</v>
      </c>
      <c r="L48" s="1098">
        <v>1613.0453120078821</v>
      </c>
      <c r="M48" s="1098">
        <v>3887</v>
      </c>
      <c r="N48" s="1098">
        <v>4918</v>
      </c>
      <c r="O48" s="1099">
        <f t="shared" si="2"/>
        <v>8684.012813742509</v>
      </c>
      <c r="P48" s="1098">
        <f>'2_State Distrib and Adjs'!AN48</f>
        <v>5757</v>
      </c>
      <c r="Q48" s="1098">
        <f>'3_Levels 1&amp;2'!AM48+'3_Levels 1&amp;2'!AX48</f>
        <v>9367.8114888155487</v>
      </c>
    </row>
    <row r="49" spans="1:17" ht="16.149999999999999" customHeight="1" x14ac:dyDescent="0.2">
      <c r="A49" s="595">
        <v>43</v>
      </c>
      <c r="B49" s="418" t="s">
        <v>46</v>
      </c>
      <c r="C49" s="1098">
        <v>3017.5485721188088</v>
      </c>
      <c r="D49" s="1098">
        <v>1182</v>
      </c>
      <c r="E49" s="1098">
        <v>169.60418222554145</v>
      </c>
      <c r="F49" s="1099">
        <f t="shared" si="3"/>
        <v>4369.1527543443499</v>
      </c>
      <c r="G49" s="1098">
        <v>574.6099999999999</v>
      </c>
      <c r="H49" s="1099">
        <f t="shared" si="1"/>
        <v>4943.7627543443496</v>
      </c>
      <c r="I49" s="1098">
        <v>663.86068586613794</v>
      </c>
      <c r="J49" s="1098">
        <v>181.05291432712855</v>
      </c>
      <c r="K49" s="1098">
        <v>4526.3228581782132</v>
      </c>
      <c r="L49" s="1098">
        <v>1810.5291432712852</v>
      </c>
      <c r="M49" s="1098">
        <v>4071</v>
      </c>
      <c r="N49" s="1098">
        <v>4936</v>
      </c>
      <c r="O49" s="1099">
        <f t="shared" si="2"/>
        <v>9305.1527543443499</v>
      </c>
      <c r="P49" s="1098">
        <f>'2_State Distrib and Adjs'!AN49</f>
        <v>6493</v>
      </c>
      <c r="Q49" s="1098">
        <f>'3_Levels 1&amp;2'!AM49+'3_Levels 1&amp;2'!AX49</f>
        <v>9488.8764077669912</v>
      </c>
    </row>
    <row r="50" spans="1:17" ht="16.149999999999999" customHeight="1" x14ac:dyDescent="0.2">
      <c r="A50" s="595">
        <v>44</v>
      </c>
      <c r="B50" s="418" t="s">
        <v>47</v>
      </c>
      <c r="C50" s="1098">
        <v>2971.4111010334168</v>
      </c>
      <c r="D50" s="1098">
        <v>1045</v>
      </c>
      <c r="E50" s="1098">
        <v>169.60418342719228</v>
      </c>
      <c r="F50" s="1099">
        <f t="shared" si="3"/>
        <v>4186.0152844606091</v>
      </c>
      <c r="G50" s="1098">
        <v>663.16000000000008</v>
      </c>
      <c r="H50" s="1099">
        <f t="shared" si="1"/>
        <v>4849.175284460609</v>
      </c>
      <c r="I50" s="1098">
        <v>653.71044222735168</v>
      </c>
      <c r="J50" s="1098">
        <v>178.28466606200499</v>
      </c>
      <c r="K50" s="1098">
        <v>4457.1166515501254</v>
      </c>
      <c r="L50" s="1098">
        <v>1782.84666062005</v>
      </c>
      <c r="M50" s="1098">
        <v>4266</v>
      </c>
      <c r="N50" s="1098">
        <v>4266</v>
      </c>
      <c r="O50" s="1099">
        <f t="shared" si="2"/>
        <v>8452.0152844606091</v>
      </c>
      <c r="P50" s="1098">
        <f>'2_State Distrib and Adjs'!AN50</f>
        <v>5991</v>
      </c>
      <c r="Q50" s="1098">
        <f>'3_Levels 1&amp;2'!AM50+'3_Levels 1&amp;2'!AX50</f>
        <v>8662.2609117725933</v>
      </c>
    </row>
    <row r="51" spans="1:17" ht="16.149999999999999" customHeight="1" x14ac:dyDescent="0.2">
      <c r="A51" s="596">
        <v>45</v>
      </c>
      <c r="B51" s="419" t="s">
        <v>48</v>
      </c>
      <c r="C51" s="1100">
        <v>1373.0857824729417</v>
      </c>
      <c r="D51" s="1100">
        <v>0</v>
      </c>
      <c r="E51" s="1100">
        <v>404.41064076849995</v>
      </c>
      <c r="F51" s="1101">
        <f t="shared" si="3"/>
        <v>1777.4964232414416</v>
      </c>
      <c r="G51" s="1100">
        <v>753.96000000000015</v>
      </c>
      <c r="H51" s="1101">
        <f t="shared" si="1"/>
        <v>2531.4564232414418</v>
      </c>
      <c r="I51" s="1100">
        <v>302.07887214404712</v>
      </c>
      <c r="J51" s="1100">
        <v>82.385146948376487</v>
      </c>
      <c r="K51" s="1100">
        <v>2059.6286737094124</v>
      </c>
      <c r="L51" s="1100">
        <v>823.85146948376496</v>
      </c>
      <c r="M51" s="1100">
        <v>13614</v>
      </c>
      <c r="N51" s="1100">
        <v>15010</v>
      </c>
      <c r="O51" s="1101">
        <f t="shared" si="2"/>
        <v>16787.496423241442</v>
      </c>
      <c r="P51" s="1100">
        <f>'2_State Distrib and Adjs'!AN51</f>
        <v>3060</v>
      </c>
      <c r="Q51" s="1100">
        <f>'3_Levels 1&amp;2'!AM51+'3_Levels 1&amp;2'!AX51</f>
        <v>7853.0362356170172</v>
      </c>
    </row>
    <row r="52" spans="1:17" ht="16.149999999999999" customHeight="1" x14ac:dyDescent="0.2">
      <c r="A52" s="1094">
        <v>46</v>
      </c>
      <c r="B52" s="1095" t="s">
        <v>49</v>
      </c>
      <c r="C52" s="1096">
        <v>3368.9761072663837</v>
      </c>
      <c r="D52" s="1096">
        <v>1413</v>
      </c>
      <c r="E52" s="1096">
        <v>169.60421940928271</v>
      </c>
      <c r="F52" s="1097">
        <f t="shared" si="3"/>
        <v>4951.5803266756666</v>
      </c>
      <c r="G52" s="1096">
        <v>728.06</v>
      </c>
      <c r="H52" s="1097">
        <f t="shared" si="1"/>
        <v>5679.6403266756661</v>
      </c>
      <c r="I52" s="1096">
        <v>741.17474359860444</v>
      </c>
      <c r="J52" s="1096">
        <v>202.13856643598302</v>
      </c>
      <c r="K52" s="1096">
        <v>5053.4641608995762</v>
      </c>
      <c r="L52" s="1096">
        <v>2021.3856643598301</v>
      </c>
      <c r="M52" s="1096">
        <v>1830</v>
      </c>
      <c r="N52" s="1096">
        <v>3110</v>
      </c>
      <c r="O52" s="1097">
        <f t="shared" si="2"/>
        <v>8061.5803266756666</v>
      </c>
      <c r="P52" s="1096">
        <f>'2_State Distrib and Adjs'!AN52</f>
        <v>8006</v>
      </c>
      <c r="Q52" s="1096">
        <f>'3_Levels 1&amp;2'!AM52+'3_Levels 1&amp;2'!AX52</f>
        <v>10300.317552742616</v>
      </c>
    </row>
    <row r="53" spans="1:17" ht="16.149999999999999" customHeight="1" x14ac:dyDescent="0.2">
      <c r="A53" s="595">
        <v>47</v>
      </c>
      <c r="B53" s="418" t="s">
        <v>50</v>
      </c>
      <c r="C53" s="1098">
        <v>1118.4089913885816</v>
      </c>
      <c r="D53" s="1098">
        <v>0</v>
      </c>
      <c r="E53" s="1098">
        <v>402.60028530670473</v>
      </c>
      <c r="F53" s="1099">
        <f t="shared" si="3"/>
        <v>1521.0092766952864</v>
      </c>
      <c r="G53" s="1098">
        <v>910.76</v>
      </c>
      <c r="H53" s="1099">
        <f t="shared" si="1"/>
        <v>2431.7692766952864</v>
      </c>
      <c r="I53" s="1098">
        <v>246.04997810548801</v>
      </c>
      <c r="J53" s="1098">
        <v>67.104539483314909</v>
      </c>
      <c r="K53" s="1098">
        <v>1677.6134870828723</v>
      </c>
      <c r="L53" s="1098">
        <v>671.04539483314898</v>
      </c>
      <c r="M53" s="1098">
        <v>14039</v>
      </c>
      <c r="N53" s="1098">
        <v>15928</v>
      </c>
      <c r="O53" s="1099">
        <f t="shared" si="2"/>
        <v>17449.009276695288</v>
      </c>
      <c r="P53" s="1098">
        <f>'2_State Distrib and Adjs'!AN53</f>
        <v>3020</v>
      </c>
      <c r="Q53" s="1098">
        <f>'3_Levels 1&amp;2'!AM53+'3_Levels 1&amp;2'!AX53</f>
        <v>8625.0299001426538</v>
      </c>
    </row>
    <row r="54" spans="1:17" ht="16.149999999999999" customHeight="1" x14ac:dyDescent="0.2">
      <c r="A54" s="595">
        <v>48</v>
      </c>
      <c r="B54" s="418" t="s">
        <v>480</v>
      </c>
      <c r="C54" s="1098">
        <v>2345.0861869264627</v>
      </c>
      <c r="D54" s="1098">
        <v>580</v>
      </c>
      <c r="E54" s="1098">
        <v>169.60413436692505</v>
      </c>
      <c r="F54" s="1099">
        <f t="shared" si="3"/>
        <v>3094.6903212933876</v>
      </c>
      <c r="G54" s="1098">
        <v>871.07</v>
      </c>
      <c r="H54" s="1099">
        <f t="shared" si="1"/>
        <v>3965.7603212933877</v>
      </c>
      <c r="I54" s="1098">
        <v>515.91896112382176</v>
      </c>
      <c r="J54" s="1098">
        <v>140.70517121558774</v>
      </c>
      <c r="K54" s="1098">
        <v>3517.629280389694</v>
      </c>
      <c r="L54" s="1098">
        <v>1407.0517121558776</v>
      </c>
      <c r="M54" s="1098">
        <v>7134</v>
      </c>
      <c r="N54" s="1098">
        <v>8769</v>
      </c>
      <c r="O54" s="1099">
        <f t="shared" si="2"/>
        <v>11863.690321293387</v>
      </c>
      <c r="P54" s="1098">
        <f>'2_State Distrib and Adjs'!AN54</f>
        <v>5123</v>
      </c>
      <c r="Q54" s="1098">
        <f>'3_Levels 1&amp;2'!AM54+'3_Levels 1&amp;2'!AX54</f>
        <v>8783.503996554693</v>
      </c>
    </row>
    <row r="55" spans="1:17" ht="16.149999999999999" customHeight="1" x14ac:dyDescent="0.2">
      <c r="A55" s="595">
        <v>49</v>
      </c>
      <c r="B55" s="418" t="s">
        <v>51</v>
      </c>
      <c r="C55" s="1098">
        <v>3021.1980240857683</v>
      </c>
      <c r="D55" s="1098">
        <v>825</v>
      </c>
      <c r="E55" s="1098">
        <v>169.60416827479739</v>
      </c>
      <c r="F55" s="1099">
        <f t="shared" si="3"/>
        <v>4015.8021923605656</v>
      </c>
      <c r="G55" s="1098">
        <v>574.43999999999994</v>
      </c>
      <c r="H55" s="1099">
        <f t="shared" si="1"/>
        <v>4590.2421923605652</v>
      </c>
      <c r="I55" s="1098">
        <v>664.663565298869</v>
      </c>
      <c r="J55" s="1098">
        <v>181.27188144514608</v>
      </c>
      <c r="K55" s="1098">
        <v>4531.7970361286525</v>
      </c>
      <c r="L55" s="1098">
        <v>1812.718814451461</v>
      </c>
      <c r="M55" s="1098">
        <v>2960</v>
      </c>
      <c r="N55" s="1098">
        <v>2960</v>
      </c>
      <c r="O55" s="1099">
        <f t="shared" si="2"/>
        <v>6975.8021923605656</v>
      </c>
      <c r="P55" s="1098">
        <f>'2_State Distrib and Adjs'!AN55</f>
        <v>5977</v>
      </c>
      <c r="Q55" s="1098">
        <f>'3_Levels 1&amp;2'!AM55+'3_Levels 1&amp;2'!AX55</f>
        <v>8267.8495137012724</v>
      </c>
    </row>
    <row r="56" spans="1:17" ht="16.149999999999999" customHeight="1" x14ac:dyDescent="0.2">
      <c r="A56" s="596">
        <v>50</v>
      </c>
      <c r="B56" s="419" t="s">
        <v>52</v>
      </c>
      <c r="C56" s="1100">
        <v>2871.6786814135662</v>
      </c>
      <c r="D56" s="1100">
        <v>979</v>
      </c>
      <c r="E56" s="1100">
        <v>169.60408770979967</v>
      </c>
      <c r="F56" s="1101">
        <f t="shared" si="3"/>
        <v>4020.2827691233661</v>
      </c>
      <c r="G56" s="1100">
        <v>634.46</v>
      </c>
      <c r="H56" s="1101">
        <f t="shared" si="1"/>
        <v>4654.7427691233661</v>
      </c>
      <c r="I56" s="1100">
        <v>631.76930991098448</v>
      </c>
      <c r="J56" s="1100">
        <v>172.30072088481396</v>
      </c>
      <c r="K56" s="1100">
        <v>4307.5180221203491</v>
      </c>
      <c r="L56" s="1100">
        <v>1723.0072088481395</v>
      </c>
      <c r="M56" s="1100">
        <v>2741</v>
      </c>
      <c r="N56" s="1100">
        <v>3853</v>
      </c>
      <c r="O56" s="1101">
        <f t="shared" si="2"/>
        <v>7873.2827691233661</v>
      </c>
      <c r="P56" s="1100">
        <f>'2_State Distrib and Adjs'!AN56</f>
        <v>5823</v>
      </c>
      <c r="Q56" s="1100">
        <f>'3_Levels 1&amp;2'!AM56+'3_Levels 1&amp;2'!AX56</f>
        <v>8711.0049539794272</v>
      </c>
    </row>
    <row r="57" spans="1:17" ht="16.149999999999999" customHeight="1" x14ac:dyDescent="0.2">
      <c r="A57" s="1094">
        <v>51</v>
      </c>
      <c r="B57" s="1095" t="s">
        <v>53</v>
      </c>
      <c r="C57" s="1096">
        <v>2745.1931862814345</v>
      </c>
      <c r="D57" s="1096">
        <v>932</v>
      </c>
      <c r="E57" s="1096">
        <v>169.6041819515774</v>
      </c>
      <c r="F57" s="1097">
        <f t="shared" si="3"/>
        <v>3846.7973682330121</v>
      </c>
      <c r="G57" s="1096">
        <v>706.66</v>
      </c>
      <c r="H57" s="1097">
        <f t="shared" si="1"/>
        <v>4553.4573682330119</v>
      </c>
      <c r="I57" s="1096">
        <v>603.9425009819156</v>
      </c>
      <c r="J57" s="1096">
        <v>164.71159117688603</v>
      </c>
      <c r="K57" s="1096">
        <v>4117.7897794221517</v>
      </c>
      <c r="L57" s="1096">
        <v>1647.1159117688608</v>
      </c>
      <c r="M57" s="1096">
        <v>4413</v>
      </c>
      <c r="N57" s="1096">
        <v>4908</v>
      </c>
      <c r="O57" s="1097">
        <f t="shared" si="2"/>
        <v>8754.7973682330121</v>
      </c>
      <c r="P57" s="1096">
        <f>'2_State Distrib and Adjs'!AN57</f>
        <v>5921</v>
      </c>
      <c r="Q57" s="1096">
        <f>'3_Levels 1&amp;2'!AM57+'3_Levels 1&amp;2'!AX57</f>
        <v>9158.3445218879933</v>
      </c>
    </row>
    <row r="58" spans="1:17" ht="16.149999999999999" customHeight="1" x14ac:dyDescent="0.2">
      <c r="A58" s="595">
        <v>52</v>
      </c>
      <c r="B58" s="418" t="s">
        <v>54</v>
      </c>
      <c r="C58" s="1098">
        <v>2768.732817926812</v>
      </c>
      <c r="D58" s="1098">
        <v>939</v>
      </c>
      <c r="E58" s="1098">
        <v>169.60413162321279</v>
      </c>
      <c r="F58" s="1099">
        <f t="shared" si="3"/>
        <v>3877.3369495500247</v>
      </c>
      <c r="G58" s="1098">
        <v>658.37</v>
      </c>
      <c r="H58" s="1099">
        <f t="shared" si="1"/>
        <v>4535.7069495500245</v>
      </c>
      <c r="I58" s="1098">
        <v>609.12121994389861</v>
      </c>
      <c r="J58" s="1098">
        <v>166.12396907560873</v>
      </c>
      <c r="K58" s="1098">
        <v>4153.0992268902173</v>
      </c>
      <c r="L58" s="1098">
        <v>1661.2396907560867</v>
      </c>
      <c r="M58" s="1098">
        <v>5718</v>
      </c>
      <c r="N58" s="1098">
        <v>6493</v>
      </c>
      <c r="O58" s="1099">
        <f t="shared" si="2"/>
        <v>10370.336949550025</v>
      </c>
      <c r="P58" s="1098">
        <f>'2_State Distrib and Adjs'!AN58</f>
        <v>5854</v>
      </c>
      <c r="Q58" s="1098">
        <f>'3_Levels 1&amp;2'!AM58+'3_Levels 1&amp;2'!AX58</f>
        <v>9045.3056570647605</v>
      </c>
    </row>
    <row r="59" spans="1:17" ht="16.149999999999999" customHeight="1" x14ac:dyDescent="0.2">
      <c r="A59" s="595">
        <v>53</v>
      </c>
      <c r="B59" s="418" t="s">
        <v>55</v>
      </c>
      <c r="C59" s="1098">
        <v>3094.3709619246915</v>
      </c>
      <c r="D59" s="1098">
        <v>850</v>
      </c>
      <c r="E59" s="1098">
        <v>169.60416450844298</v>
      </c>
      <c r="F59" s="1099">
        <f t="shared" si="3"/>
        <v>4113.9751264331344</v>
      </c>
      <c r="G59" s="1098">
        <v>689.74</v>
      </c>
      <c r="H59" s="1099">
        <f t="shared" si="1"/>
        <v>4803.7151264331342</v>
      </c>
      <c r="I59" s="1098">
        <v>680.76161162343215</v>
      </c>
      <c r="J59" s="1098">
        <v>185.66225771548147</v>
      </c>
      <c r="K59" s="1098">
        <v>4641.5564428870375</v>
      </c>
      <c r="L59" s="1098">
        <v>1856.622577154815</v>
      </c>
      <c r="M59" s="1098">
        <v>2712</v>
      </c>
      <c r="N59" s="1098">
        <v>2852</v>
      </c>
      <c r="O59" s="1099">
        <f t="shared" si="2"/>
        <v>6965.9751264331344</v>
      </c>
      <c r="P59" s="1098">
        <f>'2_State Distrib and Adjs'!AN59</f>
        <v>6091</v>
      </c>
      <c r="Q59" s="1098">
        <f>'3_Levels 1&amp;2'!AM59+'3_Levels 1&amp;2'!AX59</f>
        <v>8102.7274443178285</v>
      </c>
    </row>
    <row r="60" spans="1:17" ht="16.149999999999999" customHeight="1" x14ac:dyDescent="0.2">
      <c r="A60" s="595">
        <v>54</v>
      </c>
      <c r="B60" s="418" t="s">
        <v>56</v>
      </c>
      <c r="C60" s="1098">
        <v>2504.341912477571</v>
      </c>
      <c r="D60" s="1098">
        <v>838</v>
      </c>
      <c r="E60" s="1098">
        <v>169.60480349344979</v>
      </c>
      <c r="F60" s="1099">
        <f t="shared" si="3"/>
        <v>3511.9467159710207</v>
      </c>
      <c r="G60" s="1098">
        <v>951.45</v>
      </c>
      <c r="H60" s="1099">
        <f t="shared" si="1"/>
        <v>4463.396715971021</v>
      </c>
      <c r="I60" s="1098">
        <v>550.95522074506562</v>
      </c>
      <c r="J60" s="1098">
        <v>150.26051474865426</v>
      </c>
      <c r="K60" s="1098">
        <v>3756.5128687163565</v>
      </c>
      <c r="L60" s="1098">
        <v>1502.6051474865426</v>
      </c>
      <c r="M60" s="1098">
        <v>6685</v>
      </c>
      <c r="N60" s="1098">
        <v>6685</v>
      </c>
      <c r="O60" s="1099">
        <f t="shared" si="2"/>
        <v>10196.94671597102</v>
      </c>
      <c r="P60" s="1098">
        <f>'2_State Distrib and Adjs'!AN60</f>
        <v>6401</v>
      </c>
      <c r="Q60" s="1098">
        <f>'3_Levels 1&amp;2'!AM60+'3_Levels 1&amp;2'!AX60</f>
        <v>10372.70310043668</v>
      </c>
    </row>
    <row r="61" spans="1:17" ht="16.149999999999999" customHeight="1" x14ac:dyDescent="0.2">
      <c r="A61" s="596">
        <v>55</v>
      </c>
      <c r="B61" s="419" t="s">
        <v>57</v>
      </c>
      <c r="C61" s="1100">
        <v>2702.0637595072872</v>
      </c>
      <c r="D61" s="1100">
        <v>833</v>
      </c>
      <c r="E61" s="1100">
        <v>169.6041628959276</v>
      </c>
      <c r="F61" s="1101">
        <f t="shared" si="3"/>
        <v>3704.6679224032146</v>
      </c>
      <c r="G61" s="1100">
        <v>795.14</v>
      </c>
      <c r="H61" s="1101">
        <f t="shared" si="1"/>
        <v>4499.8079224032144</v>
      </c>
      <c r="I61" s="1100">
        <v>594.45402709160317</v>
      </c>
      <c r="J61" s="1100">
        <v>162.12382557043722</v>
      </c>
      <c r="K61" s="1100">
        <v>4053.0956392609305</v>
      </c>
      <c r="L61" s="1100">
        <v>1621.238255704372</v>
      </c>
      <c r="M61" s="1100">
        <v>4148</v>
      </c>
      <c r="N61" s="1100">
        <v>4148</v>
      </c>
      <c r="O61" s="1101">
        <f t="shared" si="2"/>
        <v>7852.6679224032141</v>
      </c>
      <c r="P61" s="1100">
        <f>'2_State Distrib and Adjs'!AN61</f>
        <v>5567</v>
      </c>
      <c r="Q61" s="1100">
        <f>'3_Levels 1&amp;2'!AM61+'3_Levels 1&amp;2'!AX61</f>
        <v>8504.1642533936647</v>
      </c>
    </row>
    <row r="62" spans="1:17" ht="16.149999999999999" customHeight="1" x14ac:dyDescent="0.2">
      <c r="A62" s="1094">
        <v>56</v>
      </c>
      <c r="B62" s="1095" t="s">
        <v>58</v>
      </c>
      <c r="C62" s="1096">
        <v>3100.825912382471</v>
      </c>
      <c r="D62" s="1096">
        <v>1267</v>
      </c>
      <c r="E62" s="1096">
        <v>169.60400667779632</v>
      </c>
      <c r="F62" s="1097">
        <f t="shared" si="3"/>
        <v>4537.4299190602669</v>
      </c>
      <c r="G62" s="1096">
        <v>614.66000000000008</v>
      </c>
      <c r="H62" s="1097">
        <f t="shared" si="1"/>
        <v>5152.0899190602668</v>
      </c>
      <c r="I62" s="1096">
        <v>682.18170072414364</v>
      </c>
      <c r="J62" s="1096">
        <v>186.04955474294829</v>
      </c>
      <c r="K62" s="1096">
        <v>4651.2388685737069</v>
      </c>
      <c r="L62" s="1096">
        <v>1860.4955474294827</v>
      </c>
      <c r="M62" s="1096">
        <v>3503</v>
      </c>
      <c r="N62" s="1096">
        <v>4373</v>
      </c>
      <c r="O62" s="1097">
        <f t="shared" si="2"/>
        <v>8910.4299190602669</v>
      </c>
      <c r="P62" s="1096">
        <f>'2_State Distrib and Adjs'!AN62</f>
        <v>7094</v>
      </c>
      <c r="Q62" s="1096">
        <f>'3_Levels 1&amp;2'!AM62+'3_Levels 1&amp;2'!AX62</f>
        <v>9642.638731218698</v>
      </c>
    </row>
    <row r="63" spans="1:17" ht="16.149999999999999" customHeight="1" x14ac:dyDescent="0.2">
      <c r="A63" s="595">
        <v>57</v>
      </c>
      <c r="B63" s="418" t="s">
        <v>59</v>
      </c>
      <c r="C63" s="1098">
        <v>3161.9106262784585</v>
      </c>
      <c r="D63" s="1098">
        <v>903</v>
      </c>
      <c r="E63" s="1098">
        <v>169.60418454935623</v>
      </c>
      <c r="F63" s="1099">
        <f t="shared" si="3"/>
        <v>4234.5148108278145</v>
      </c>
      <c r="G63" s="1098">
        <v>764.51</v>
      </c>
      <c r="H63" s="1099">
        <f t="shared" si="1"/>
        <v>4999.0248108278147</v>
      </c>
      <c r="I63" s="1098">
        <v>695.62033778126079</v>
      </c>
      <c r="J63" s="1098">
        <v>189.71463757670747</v>
      </c>
      <c r="K63" s="1098">
        <v>4742.8659394176884</v>
      </c>
      <c r="L63" s="1098">
        <v>1897.1463757670747</v>
      </c>
      <c r="M63" s="1098">
        <v>2649</v>
      </c>
      <c r="N63" s="1098">
        <v>2649</v>
      </c>
      <c r="O63" s="1099">
        <f t="shared" si="2"/>
        <v>6883.5148108278145</v>
      </c>
      <c r="P63" s="1098">
        <f>'2_State Distrib and Adjs'!AN63</f>
        <v>6199</v>
      </c>
      <c r="Q63" s="1098">
        <f>'3_Levels 1&amp;2'!AM63+'3_Levels 1&amp;2'!AX63</f>
        <v>8035.5839914163089</v>
      </c>
    </row>
    <row r="64" spans="1:17" ht="16.149999999999999" customHeight="1" x14ac:dyDescent="0.2">
      <c r="A64" s="595">
        <v>58</v>
      </c>
      <c r="B64" s="418" t="s">
        <v>60</v>
      </c>
      <c r="C64" s="1098">
        <v>3399.6148421395246</v>
      </c>
      <c r="D64" s="1098">
        <v>1227</v>
      </c>
      <c r="E64" s="1098">
        <v>169.6040913059748</v>
      </c>
      <c r="F64" s="1099">
        <f t="shared" si="3"/>
        <v>4796.2189334454997</v>
      </c>
      <c r="G64" s="1098">
        <v>697.04</v>
      </c>
      <c r="H64" s="1099">
        <f t="shared" si="1"/>
        <v>5493.2589334454997</v>
      </c>
      <c r="I64" s="1098">
        <v>747.91526527069539</v>
      </c>
      <c r="J64" s="1098">
        <v>203.97689052837148</v>
      </c>
      <c r="K64" s="1098">
        <v>5099.4222632092869</v>
      </c>
      <c r="L64" s="1098">
        <v>2039.7689052837147</v>
      </c>
      <c r="M64" s="1098">
        <v>2184</v>
      </c>
      <c r="N64" s="1098">
        <v>2687</v>
      </c>
      <c r="O64" s="1099">
        <f t="shared" si="2"/>
        <v>7483.2189334454997</v>
      </c>
      <c r="P64" s="1098">
        <f>'2_State Distrib and Adjs'!AN64</f>
        <v>6781</v>
      </c>
      <c r="Q64" s="1098">
        <f>'3_Levels 1&amp;2'!AM64+'3_Levels 1&amp;2'!AX64</f>
        <v>8601.041609080703</v>
      </c>
    </row>
    <row r="65" spans="1:17" ht="16.149999999999999" customHeight="1" x14ac:dyDescent="0.2">
      <c r="A65" s="595">
        <v>59</v>
      </c>
      <c r="B65" s="418" t="s">
        <v>61</v>
      </c>
      <c r="C65" s="1098">
        <v>3590.2560637300003</v>
      </c>
      <c r="D65" s="1098">
        <v>753</v>
      </c>
      <c r="E65" s="1098">
        <v>169.60420420420419</v>
      </c>
      <c r="F65" s="1099">
        <f t="shared" si="3"/>
        <v>4512.8602679342048</v>
      </c>
      <c r="G65" s="1098">
        <v>689.52</v>
      </c>
      <c r="H65" s="1099">
        <f t="shared" si="1"/>
        <v>5202.3802679342043</v>
      </c>
      <c r="I65" s="1098">
        <v>789.8563340206</v>
      </c>
      <c r="J65" s="1098">
        <v>215.41536382379999</v>
      </c>
      <c r="K65" s="1098">
        <v>5385.384095595</v>
      </c>
      <c r="L65" s="1098">
        <v>2154.153638238</v>
      </c>
      <c r="M65" s="1098">
        <v>1459</v>
      </c>
      <c r="N65" s="1098">
        <v>1677</v>
      </c>
      <c r="O65" s="1099">
        <f t="shared" si="2"/>
        <v>6189.8602679342048</v>
      </c>
      <c r="P65" s="1098">
        <f>'2_State Distrib and Adjs'!AN65</f>
        <v>7385</v>
      </c>
      <c r="Q65" s="1098">
        <f>'3_Levels 1&amp;2'!AM65+'3_Levels 1&amp;2'!AX65</f>
        <v>8298.6085085085087</v>
      </c>
    </row>
    <row r="66" spans="1:17" ht="16.149999999999999" customHeight="1" x14ac:dyDescent="0.2">
      <c r="A66" s="596">
        <v>60</v>
      </c>
      <c r="B66" s="419" t="s">
        <v>62</v>
      </c>
      <c r="C66" s="1100">
        <v>3013.58259022021</v>
      </c>
      <c r="D66" s="1100">
        <v>1165</v>
      </c>
      <c r="E66" s="1100">
        <v>169.60417736688922</v>
      </c>
      <c r="F66" s="1101">
        <f t="shared" si="3"/>
        <v>4348.1867675870999</v>
      </c>
      <c r="G66" s="1100">
        <v>594.04</v>
      </c>
      <c r="H66" s="1101">
        <f t="shared" si="1"/>
        <v>4942.2267675870999</v>
      </c>
      <c r="I66" s="1100">
        <v>662.98816984844609</v>
      </c>
      <c r="J66" s="1100">
        <v>180.8149554132126</v>
      </c>
      <c r="K66" s="1100">
        <v>4520.3738853303148</v>
      </c>
      <c r="L66" s="1100">
        <v>1808.1495541321258</v>
      </c>
      <c r="M66" s="1100">
        <v>3628</v>
      </c>
      <c r="N66" s="1100">
        <v>4762</v>
      </c>
      <c r="O66" s="1101">
        <f t="shared" si="2"/>
        <v>9110.1867675870999</v>
      </c>
      <c r="P66" s="1100">
        <f>'2_State Distrib and Adjs'!AN66</f>
        <v>6430</v>
      </c>
      <c r="Q66" s="1100">
        <f>'3_Levels 1&amp;2'!AM66+'3_Levels 1&amp;2'!AX66</f>
        <v>9372.658072247903</v>
      </c>
    </row>
    <row r="67" spans="1:17" ht="16.149999999999999" customHeight="1" x14ac:dyDescent="0.2">
      <c r="A67" s="1094">
        <v>61</v>
      </c>
      <c r="B67" s="1095" t="s">
        <v>63</v>
      </c>
      <c r="C67" s="1096">
        <v>1868.4911128702915</v>
      </c>
      <c r="D67" s="1096">
        <v>166</v>
      </c>
      <c r="E67" s="1096">
        <v>169.60415003990423</v>
      </c>
      <c r="F67" s="1097">
        <f t="shared" si="3"/>
        <v>2204.0952629101957</v>
      </c>
      <c r="G67" s="1096">
        <v>833.70999999999992</v>
      </c>
      <c r="H67" s="1097">
        <f t="shared" si="1"/>
        <v>3037.8052629101958</v>
      </c>
      <c r="I67" s="1096">
        <v>411.06804483146419</v>
      </c>
      <c r="J67" s="1096">
        <v>112.10946677221749</v>
      </c>
      <c r="K67" s="1096">
        <v>2802.7366693054373</v>
      </c>
      <c r="L67" s="1096">
        <v>1121.0946677221748</v>
      </c>
      <c r="M67" s="1096">
        <v>9315</v>
      </c>
      <c r="N67" s="1096">
        <v>11045</v>
      </c>
      <c r="O67" s="1097">
        <f t="shared" si="2"/>
        <v>13249.095262910196</v>
      </c>
      <c r="P67" s="1096">
        <f>'2_State Distrib and Adjs'!AN67</f>
        <v>3993</v>
      </c>
      <c r="Q67" s="1096">
        <f>'3_Levels 1&amp;2'!AM67+'3_Levels 1&amp;2'!AX67</f>
        <v>8459.4492364990692</v>
      </c>
    </row>
    <row r="68" spans="1:17" ht="16.149999999999999" customHeight="1" x14ac:dyDescent="0.2">
      <c r="A68" s="595">
        <v>62</v>
      </c>
      <c r="B68" s="418" t="s">
        <v>64</v>
      </c>
      <c r="C68" s="1098">
        <v>3342.469760408896</v>
      </c>
      <c r="D68" s="1098">
        <v>932</v>
      </c>
      <c r="E68" s="1098">
        <v>169.60429769392033</v>
      </c>
      <c r="F68" s="1099">
        <f t="shared" si="3"/>
        <v>4444.0740581028167</v>
      </c>
      <c r="G68" s="1098">
        <v>516.08000000000004</v>
      </c>
      <c r="H68" s="1099">
        <f t="shared" si="1"/>
        <v>4960.1540581028166</v>
      </c>
      <c r="I68" s="1098">
        <v>735.34334728995714</v>
      </c>
      <c r="J68" s="1098">
        <v>200.54818562453374</v>
      </c>
      <c r="K68" s="1098">
        <v>5013.7046406133441</v>
      </c>
      <c r="L68" s="1098">
        <v>2005.4818562453377</v>
      </c>
      <c r="M68" s="1098">
        <v>2551</v>
      </c>
      <c r="N68" s="1098">
        <v>2551</v>
      </c>
      <c r="O68" s="1099">
        <f t="shared" si="2"/>
        <v>6995.0740581028167</v>
      </c>
      <c r="P68" s="1098">
        <f>'2_State Distrib and Adjs'!AN68</f>
        <v>6820</v>
      </c>
      <c r="Q68" s="1098">
        <f>'3_Levels 1&amp;2'!AM68+'3_Levels 1&amp;2'!AX68</f>
        <v>8654.1952201257864</v>
      </c>
    </row>
    <row r="69" spans="1:17" ht="16.149999999999999" customHeight="1" x14ac:dyDescent="0.2">
      <c r="A69" s="595">
        <v>63</v>
      </c>
      <c r="B69" s="418" t="s">
        <v>65</v>
      </c>
      <c r="C69" s="1098">
        <v>1947.3336192136946</v>
      </c>
      <c r="D69" s="1098">
        <v>240</v>
      </c>
      <c r="E69" s="1098">
        <v>422.19611558503078</v>
      </c>
      <c r="F69" s="1099">
        <f t="shared" si="3"/>
        <v>2609.5297347987257</v>
      </c>
      <c r="G69" s="1098">
        <v>756.79</v>
      </c>
      <c r="H69" s="1099">
        <f t="shared" si="1"/>
        <v>3366.3197347987257</v>
      </c>
      <c r="I69" s="1098">
        <v>428.41339622701275</v>
      </c>
      <c r="J69" s="1098">
        <v>116.84001715282167</v>
      </c>
      <c r="K69" s="1098">
        <v>2921.0004288205419</v>
      </c>
      <c r="L69" s="1098">
        <v>1168.4001715282166</v>
      </c>
      <c r="M69" s="1098">
        <v>9745</v>
      </c>
      <c r="N69" s="1098">
        <v>10770</v>
      </c>
      <c r="O69" s="1099">
        <f t="shared" si="2"/>
        <v>13379.529734798725</v>
      </c>
      <c r="P69" s="1098">
        <f>'2_State Distrib and Adjs'!AN69</f>
        <v>4416</v>
      </c>
      <c r="Q69" s="1098">
        <f>'3_Levels 1&amp;2'!AM69+'3_Levels 1&amp;2'!AX69</f>
        <v>8941.0284557081941</v>
      </c>
    </row>
    <row r="70" spans="1:17" ht="16.149999999999999" customHeight="1" x14ac:dyDescent="0.2">
      <c r="A70" s="595">
        <v>64</v>
      </c>
      <c r="B70" s="418" t="s">
        <v>66</v>
      </c>
      <c r="C70" s="1098">
        <v>3138.7249495480783</v>
      </c>
      <c r="D70" s="1098">
        <v>1382</v>
      </c>
      <c r="E70" s="1098">
        <v>169.60394088669952</v>
      </c>
      <c r="F70" s="1099">
        <f t="shared" si="3"/>
        <v>4690.3288904347773</v>
      </c>
      <c r="G70" s="1098">
        <v>592.66</v>
      </c>
      <c r="H70" s="1099">
        <f t="shared" si="1"/>
        <v>5282.9888904347772</v>
      </c>
      <c r="I70" s="1098">
        <v>690.51948890057713</v>
      </c>
      <c r="J70" s="1098">
        <v>188.3234969728847</v>
      </c>
      <c r="K70" s="1098">
        <v>4708.0874243221169</v>
      </c>
      <c r="L70" s="1098">
        <v>1883.2349697288466</v>
      </c>
      <c r="M70" s="1098">
        <v>3090</v>
      </c>
      <c r="N70" s="1098">
        <v>3347</v>
      </c>
      <c r="O70" s="1099">
        <f t="shared" si="2"/>
        <v>8037.3288904347773</v>
      </c>
      <c r="P70" s="1098">
        <f>'2_State Distrib and Adjs'!AN70</f>
        <v>7233</v>
      </c>
      <c r="Q70" s="1098">
        <f>'3_Levels 1&amp;2'!AM70+'3_Levels 1&amp;2'!AX70</f>
        <v>10269.903842364532</v>
      </c>
    </row>
    <row r="71" spans="1:17" ht="16.149999999999999" customHeight="1" x14ac:dyDescent="0.2">
      <c r="A71" s="596">
        <v>65</v>
      </c>
      <c r="B71" s="419" t="s">
        <v>481</v>
      </c>
      <c r="C71" s="1100">
        <v>2640.6013974262664</v>
      </c>
      <c r="D71" s="1100">
        <v>849</v>
      </c>
      <c r="E71" s="1100">
        <v>169.60415094339623</v>
      </c>
      <c r="F71" s="1101">
        <f t="shared" si="3"/>
        <v>3659.2055483696627</v>
      </c>
      <c r="G71" s="1100">
        <v>829.12</v>
      </c>
      <c r="H71" s="1101">
        <f t="shared" ref="H71:H76" si="4">SUM(F71:G71)</f>
        <v>4488.325548369663</v>
      </c>
      <c r="I71" s="1100">
        <v>580.93230743377865</v>
      </c>
      <c r="J71" s="1100">
        <v>158.43608384557601</v>
      </c>
      <c r="K71" s="1100">
        <v>3960.9020961394003</v>
      </c>
      <c r="L71" s="1100">
        <v>1584.3608384557599</v>
      </c>
      <c r="M71" s="1100">
        <v>4931</v>
      </c>
      <c r="N71" s="1100">
        <v>5324</v>
      </c>
      <c r="O71" s="1101">
        <f t="shared" ref="O71:O76" si="5">F71+N71</f>
        <v>8983.2055483696622</v>
      </c>
      <c r="P71" s="1100">
        <f>'2_State Distrib and Adjs'!AN71</f>
        <v>5840</v>
      </c>
      <c r="Q71" s="1100">
        <f>'3_Levels 1&amp;2'!AM71+'3_Levels 1&amp;2'!AX71</f>
        <v>9153.3326415094343</v>
      </c>
    </row>
    <row r="72" spans="1:17" ht="16.149999999999999" customHeight="1" x14ac:dyDescent="0.2">
      <c r="A72" s="595">
        <v>66</v>
      </c>
      <c r="B72" s="418" t="s">
        <v>482</v>
      </c>
      <c r="C72" s="1096">
        <v>2909.063081134394</v>
      </c>
      <c r="D72" s="1096">
        <v>1250</v>
      </c>
      <c r="E72" s="1096">
        <v>169.60397635679743</v>
      </c>
      <c r="F72" s="1097">
        <f>SUM(C72:E72)</f>
        <v>4328.6670574911923</v>
      </c>
      <c r="G72" s="1096">
        <v>730.06</v>
      </c>
      <c r="H72" s="1097">
        <f t="shared" si="4"/>
        <v>5058.7270574911927</v>
      </c>
      <c r="I72" s="1096">
        <v>639.99387784956684</v>
      </c>
      <c r="J72" s="1096">
        <v>174.54378486806365</v>
      </c>
      <c r="K72" s="1096">
        <v>4363.5946217015917</v>
      </c>
      <c r="L72" s="1096">
        <v>1745.4378486806363</v>
      </c>
      <c r="M72" s="1096">
        <v>4564</v>
      </c>
      <c r="N72" s="1096">
        <v>4564</v>
      </c>
      <c r="O72" s="1097">
        <f t="shared" si="5"/>
        <v>8892.6670574911914</v>
      </c>
      <c r="P72" s="1096">
        <f>'2_State Distrib and Adjs'!AN72</f>
        <v>7228</v>
      </c>
      <c r="Q72" s="1096">
        <f>'3_Levels 1&amp;2'!AM72+'3_Levels 1&amp;2'!AX72</f>
        <v>10780.923745298227</v>
      </c>
    </row>
    <row r="73" spans="1:17" ht="16.149999999999999" customHeight="1" x14ac:dyDescent="0.2">
      <c r="A73" s="595">
        <v>67</v>
      </c>
      <c r="B73" s="418" t="s">
        <v>2</v>
      </c>
      <c r="C73" s="1098">
        <v>2987.4388134975325</v>
      </c>
      <c r="D73" s="1098">
        <v>1068</v>
      </c>
      <c r="E73" s="1098">
        <v>169.60417047740992</v>
      </c>
      <c r="F73" s="1099">
        <f>SUM(C73:E73)</f>
        <v>4225.0429839749422</v>
      </c>
      <c r="G73" s="1098">
        <v>715.61</v>
      </c>
      <c r="H73" s="1099">
        <f t="shared" si="4"/>
        <v>4940.6529839749419</v>
      </c>
      <c r="I73" s="1098">
        <v>657.23653896945723</v>
      </c>
      <c r="J73" s="1098">
        <v>179.24632880985197</v>
      </c>
      <c r="K73" s="1098">
        <v>4481.1582202462987</v>
      </c>
      <c r="L73" s="1098">
        <v>1792.4632880985196</v>
      </c>
      <c r="M73" s="1098">
        <v>4379</v>
      </c>
      <c r="N73" s="1098">
        <v>6269</v>
      </c>
      <c r="O73" s="1099">
        <f t="shared" si="5"/>
        <v>10494.042983974941</v>
      </c>
      <c r="P73" s="1098">
        <f>'2_State Distrib and Adjs'!AN73</f>
        <v>6126</v>
      </c>
      <c r="Q73" s="1098">
        <f>'3_Levels 1&amp;2'!AM73+'3_Levels 1&amp;2'!AX73</f>
        <v>8759.3020486555706</v>
      </c>
    </row>
    <row r="74" spans="1:17" ht="16.149999999999999" customHeight="1" x14ac:dyDescent="0.2">
      <c r="A74" s="595">
        <v>68</v>
      </c>
      <c r="B74" s="418" t="s">
        <v>483</v>
      </c>
      <c r="C74" s="1098">
        <v>3272.2812375908325</v>
      </c>
      <c r="D74" s="1098">
        <v>1403</v>
      </c>
      <c r="E74" s="1098">
        <v>169.60435779816513</v>
      </c>
      <c r="F74" s="1099">
        <f>SUM(C74:E74)</f>
        <v>4844.8855953889979</v>
      </c>
      <c r="G74" s="1098">
        <v>798.7</v>
      </c>
      <c r="H74" s="1099">
        <f t="shared" si="4"/>
        <v>5643.5855953889977</v>
      </c>
      <c r="I74" s="1098">
        <v>719.90187226998307</v>
      </c>
      <c r="J74" s="1098">
        <v>196.33687425544989</v>
      </c>
      <c r="K74" s="1098">
        <v>4908.4218563862487</v>
      </c>
      <c r="L74" s="1098">
        <v>1963.3687425544992</v>
      </c>
      <c r="M74" s="1098">
        <v>3456</v>
      </c>
      <c r="N74" s="1098">
        <v>3456</v>
      </c>
      <c r="O74" s="1099">
        <f t="shared" si="5"/>
        <v>8300.8855953889979</v>
      </c>
      <c r="P74" s="1098">
        <f>'2_State Distrib and Adjs'!AN74</f>
        <v>7811</v>
      </c>
      <c r="Q74" s="1098">
        <f>'3_Levels 1&amp;2'!AM74+'3_Levels 1&amp;2'!AX74</f>
        <v>9934.1260321100926</v>
      </c>
    </row>
    <row r="75" spans="1:17" ht="16.149999999999999" customHeight="1" x14ac:dyDescent="0.2">
      <c r="A75" s="596">
        <v>69</v>
      </c>
      <c r="B75" s="419" t="s">
        <v>74</v>
      </c>
      <c r="C75" s="1102">
        <v>3267.2946917295271</v>
      </c>
      <c r="D75" s="1102">
        <v>1308</v>
      </c>
      <c r="E75" s="1102">
        <v>169.6040588113481</v>
      </c>
      <c r="F75" s="1103">
        <f>SUM(C75:E75)</f>
        <v>4744.898750540875</v>
      </c>
      <c r="G75" s="1102">
        <v>705.67</v>
      </c>
      <c r="H75" s="1103">
        <f t="shared" si="4"/>
        <v>5450.568750540875</v>
      </c>
      <c r="I75" s="1102">
        <v>718.80483218049585</v>
      </c>
      <c r="J75" s="1102">
        <v>196.03768150377158</v>
      </c>
      <c r="K75" s="1102">
        <v>4900.9420375942909</v>
      </c>
      <c r="L75" s="1102">
        <v>1960.3768150377159</v>
      </c>
      <c r="M75" s="1102">
        <v>2775</v>
      </c>
      <c r="N75" s="1102">
        <v>3969</v>
      </c>
      <c r="O75" s="1103">
        <f t="shared" si="5"/>
        <v>8713.898750540875</v>
      </c>
      <c r="P75" s="1102">
        <f>'2_State Distrib and Adjs'!AN75</f>
        <v>6784</v>
      </c>
      <c r="Q75" s="1102">
        <f>'3_Levels 1&amp;2'!AM75+'3_Levels 1&amp;2'!AX75</f>
        <v>9063.7347276868913</v>
      </c>
    </row>
    <row r="76" spans="1:17" ht="16.149999999999999" customHeight="1" thickBot="1" x14ac:dyDescent="0.25">
      <c r="A76" s="990"/>
      <c r="B76" s="990" t="s">
        <v>484</v>
      </c>
      <c r="C76" s="1104">
        <v>2608.6902087612802</v>
      </c>
      <c r="D76" s="1104">
        <v>741</v>
      </c>
      <c r="E76" s="1104">
        <v>212.76512153468653</v>
      </c>
      <c r="F76" s="1105">
        <f>SUM(C76:E76)</f>
        <v>3562.4553302959666</v>
      </c>
      <c r="G76" s="1104">
        <f>'3A_Level 3'!C76</f>
        <v>706.51</v>
      </c>
      <c r="H76" s="1105">
        <f t="shared" si="4"/>
        <v>4268.9653302959669</v>
      </c>
      <c r="I76" s="1104">
        <v>570.35224473434255</v>
      </c>
      <c r="J76" s="1104">
        <v>158.37628411149953</v>
      </c>
      <c r="K76" s="1104">
        <v>3936.5780458287281</v>
      </c>
      <c r="L76" s="1104">
        <v>1527.9418817790604</v>
      </c>
      <c r="M76" s="1104">
        <v>5029</v>
      </c>
      <c r="N76" s="1104">
        <v>5688</v>
      </c>
      <c r="O76" s="1105">
        <f t="shared" si="5"/>
        <v>9250.4553302959666</v>
      </c>
      <c r="P76" s="1104">
        <f>'2_State Distrib and Adjs'!AN76</f>
        <v>5417</v>
      </c>
      <c r="Q76" s="1104">
        <f>'3_Levels 1&amp;2'!AM76+'3_Levels 1&amp;2'!AX76</f>
        <v>8579.7368128734415</v>
      </c>
    </row>
    <row r="77" spans="1:17" ht="9.6" customHeight="1" thickTop="1" x14ac:dyDescent="0.2"/>
    <row r="78" spans="1:17" ht="16.149999999999999" customHeight="1" x14ac:dyDescent="0.2">
      <c r="C78" s="417" t="s">
        <v>497</v>
      </c>
    </row>
    <row r="79" spans="1:17" ht="16.149999999999999" customHeight="1" x14ac:dyDescent="0.2"/>
  </sheetData>
  <sheetProtection password="D893" sheet="1" objects="1" scenarios="1"/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71" fitToWidth="0" orientation="portrait" r:id="rId2"/>
  <headerFooter alignWithMargins="0">
    <oddHeader>&amp;L&amp;"Arial,Bold"&amp;18Table 9: FY2020-21 Budget Letter
&amp;K000000Per Pupil Summary (March 2021)</oddHeader>
    <oddFooter>&amp;R&amp;P</oddFooter>
  </headerFooter>
  <colBreaks count="2" manualBreakCount="2">
    <brk id="8" max="77" man="1"/>
    <brk id="14" max="7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C7" sqref="C7"/>
      <selection pane="topRight" activeCell="C7" sqref="C7"/>
      <selection pane="bottomLeft" activeCell="C7" sqref="C7"/>
      <selection pane="bottomRight" activeCell="D5" sqref="D5"/>
    </sheetView>
  </sheetViews>
  <sheetFormatPr defaultColWidth="9.140625" defaultRowHeight="12.75" x14ac:dyDescent="0.2"/>
  <cols>
    <col min="1" max="1" width="9" style="24" bestFit="1" customWidth="1"/>
    <col min="2" max="2" width="8.85546875" style="24" bestFit="1" customWidth="1"/>
    <col min="3" max="3" width="37.7109375" style="23" bestFit="1" customWidth="1"/>
    <col min="4" max="4" width="14" style="21" customWidth="1"/>
    <col min="5" max="16384" width="9.140625" style="21"/>
  </cols>
  <sheetData>
    <row r="1" spans="1:4" ht="70.5" customHeight="1" x14ac:dyDescent="0.2">
      <c r="A1" s="1571" t="s">
        <v>79</v>
      </c>
      <c r="B1" s="1571"/>
      <c r="C1" s="1571"/>
      <c r="D1" s="780" t="s">
        <v>478</v>
      </c>
    </row>
    <row r="2" spans="1:4" ht="17.25" customHeight="1" x14ac:dyDescent="0.2">
      <c r="A2" s="727"/>
      <c r="B2" s="729"/>
      <c r="C2" s="728"/>
      <c r="D2" s="501">
        <v>1</v>
      </c>
    </row>
    <row r="3" spans="1:4" s="643" customFormat="1" ht="24.75" customHeight="1" x14ac:dyDescent="0.2">
      <c r="A3" s="641"/>
      <c r="B3" s="642"/>
      <c r="C3" s="645"/>
      <c r="D3" s="646" t="s">
        <v>681</v>
      </c>
    </row>
    <row r="4" spans="1:4" s="643" customFormat="1" ht="24.75" hidden="1" customHeight="1" x14ac:dyDescent="0.2">
      <c r="A4" s="641"/>
      <c r="B4" s="642"/>
      <c r="C4" s="645"/>
      <c r="D4" s="646" t="s">
        <v>758</v>
      </c>
    </row>
    <row r="5" spans="1:4" s="22" customFormat="1" ht="17.25" customHeight="1" x14ac:dyDescent="0.2">
      <c r="A5" s="502">
        <v>318001</v>
      </c>
      <c r="B5" s="503">
        <v>318001</v>
      </c>
      <c r="C5" s="504" t="s">
        <v>235</v>
      </c>
      <c r="D5" s="782">
        <v>605.97</v>
      </c>
    </row>
    <row r="6" spans="1:4" s="22" customFormat="1" ht="17.25" customHeight="1" x14ac:dyDescent="0.2">
      <c r="A6" s="508">
        <v>319001</v>
      </c>
      <c r="B6" s="226">
        <v>319001</v>
      </c>
      <c r="C6" s="506" t="s">
        <v>236</v>
      </c>
      <c r="D6" s="783">
        <v>699.9</v>
      </c>
    </row>
    <row r="7" spans="1:4" ht="17.25" customHeight="1" x14ac:dyDescent="0.2">
      <c r="A7" s="508">
        <v>321001</v>
      </c>
      <c r="B7" s="226">
        <v>321001</v>
      </c>
      <c r="C7" s="506" t="s">
        <v>313</v>
      </c>
      <c r="D7" s="783">
        <v>716.3</v>
      </c>
    </row>
    <row r="8" spans="1:4" ht="17.25" customHeight="1" x14ac:dyDescent="0.2">
      <c r="A8" s="508">
        <v>329001</v>
      </c>
      <c r="B8" s="226">
        <v>329001</v>
      </c>
      <c r="C8" s="506" t="s">
        <v>314</v>
      </c>
      <c r="D8" s="783">
        <v>598.4</v>
      </c>
    </row>
    <row r="9" spans="1:4" ht="17.25" customHeight="1" x14ac:dyDescent="0.2">
      <c r="A9" s="509">
        <v>331001</v>
      </c>
      <c r="B9" s="510">
        <v>331001</v>
      </c>
      <c r="C9" s="511" t="s">
        <v>315</v>
      </c>
      <c r="D9" s="784">
        <v>714.81</v>
      </c>
    </row>
    <row r="10" spans="1:4" ht="17.25" customHeight="1" x14ac:dyDescent="0.2">
      <c r="A10" s="502">
        <v>333001</v>
      </c>
      <c r="B10" s="503">
        <v>333001</v>
      </c>
      <c r="C10" s="504" t="s">
        <v>307</v>
      </c>
      <c r="D10" s="782">
        <v>536.12</v>
      </c>
    </row>
    <row r="11" spans="1:4" ht="17.25" customHeight="1" x14ac:dyDescent="0.2">
      <c r="A11" s="508">
        <v>336001</v>
      </c>
      <c r="B11" s="226">
        <v>336001</v>
      </c>
      <c r="C11" s="506" t="s">
        <v>309</v>
      </c>
      <c r="D11" s="783">
        <v>527.02</v>
      </c>
    </row>
    <row r="12" spans="1:4" ht="17.25" customHeight="1" x14ac:dyDescent="0.2">
      <c r="A12" s="508">
        <v>337001</v>
      </c>
      <c r="B12" s="226">
        <v>337001</v>
      </c>
      <c r="C12" s="506" t="s">
        <v>316</v>
      </c>
      <c r="D12" s="783">
        <v>788.9</v>
      </c>
    </row>
    <row r="13" spans="1:4" ht="17.25" customHeight="1" x14ac:dyDescent="0.2">
      <c r="A13" s="508">
        <v>340001</v>
      </c>
      <c r="B13" s="226">
        <v>340001</v>
      </c>
      <c r="C13" s="506" t="s">
        <v>310</v>
      </c>
      <c r="D13" s="783">
        <v>659.21</v>
      </c>
    </row>
    <row r="14" spans="1:4" ht="17.25" customHeight="1" x14ac:dyDescent="0.2">
      <c r="A14" s="509">
        <v>396211</v>
      </c>
      <c r="B14" s="510" t="s">
        <v>429</v>
      </c>
      <c r="C14" s="511" t="s">
        <v>838</v>
      </c>
      <c r="D14" s="784">
        <v>744.76</v>
      </c>
    </row>
    <row r="15" spans="1:4" ht="17.25" customHeight="1" x14ac:dyDescent="0.2">
      <c r="A15" s="502" t="s">
        <v>432</v>
      </c>
      <c r="B15" s="503" t="s">
        <v>282</v>
      </c>
      <c r="C15" s="504" t="s">
        <v>325</v>
      </c>
      <c r="D15" s="782">
        <v>801.48</v>
      </c>
    </row>
    <row r="16" spans="1:4" ht="17.25" customHeight="1" x14ac:dyDescent="0.2">
      <c r="A16" s="508">
        <v>396212</v>
      </c>
      <c r="B16" s="226" t="s">
        <v>435</v>
      </c>
      <c r="C16" s="506" t="s">
        <v>327</v>
      </c>
      <c r="D16" s="783">
        <v>801.48</v>
      </c>
    </row>
    <row r="17" spans="1:4" ht="17.25" customHeight="1" x14ac:dyDescent="0.2">
      <c r="A17" s="508" t="s">
        <v>433</v>
      </c>
      <c r="B17" s="226" t="s">
        <v>306</v>
      </c>
      <c r="C17" s="506" t="s">
        <v>326</v>
      </c>
      <c r="D17" s="783">
        <v>801.48</v>
      </c>
    </row>
    <row r="18" spans="1:4" ht="17.25" customHeight="1" x14ac:dyDescent="0.2">
      <c r="A18" s="508" t="s">
        <v>431</v>
      </c>
      <c r="B18" s="226" t="s">
        <v>281</v>
      </c>
      <c r="C18" s="506" t="s">
        <v>324</v>
      </c>
      <c r="D18" s="783">
        <v>801.48</v>
      </c>
    </row>
    <row r="19" spans="1:4" ht="17.25" customHeight="1" x14ac:dyDescent="0.2">
      <c r="A19" s="509" t="s">
        <v>341</v>
      </c>
      <c r="B19" s="510" t="s">
        <v>341</v>
      </c>
      <c r="C19" s="511" t="s">
        <v>331</v>
      </c>
      <c r="D19" s="784">
        <v>801.48</v>
      </c>
    </row>
    <row r="20" spans="1:4" ht="17.25" customHeight="1" x14ac:dyDescent="0.2">
      <c r="A20" s="508" t="s">
        <v>342</v>
      </c>
      <c r="B20" s="226" t="s">
        <v>342</v>
      </c>
      <c r="C20" s="506" t="s">
        <v>332</v>
      </c>
      <c r="D20" s="783">
        <v>801.48</v>
      </c>
    </row>
    <row r="21" spans="1:4" ht="17.25" customHeight="1" x14ac:dyDescent="0.2">
      <c r="A21" s="509" t="s">
        <v>430</v>
      </c>
      <c r="B21" s="510">
        <v>389002</v>
      </c>
      <c r="C21" s="511" t="s">
        <v>329</v>
      </c>
      <c r="D21" s="784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&amp;L&amp;"Arial,Bold"&amp;18&amp;K000000Table 4:  FY2020-21 Budget Letter SIMULATION 
Level 4 Supplementary Allocations - &amp;KFF0000Simulation</oddHeader>
    <oddFooter>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3" style="395" bestFit="1" customWidth="1"/>
    <col min="2" max="2" width="18.5703125" style="395" bestFit="1" customWidth="1"/>
    <col min="3" max="3" width="14.42578125" style="397" bestFit="1" customWidth="1"/>
    <col min="4" max="4" width="13.28515625" style="397" customWidth="1"/>
    <col min="5" max="5" width="13.7109375" style="397" customWidth="1"/>
    <col min="6" max="6" width="10.42578125" style="397" customWidth="1"/>
    <col min="7" max="7" width="14.42578125" style="397" customWidth="1"/>
    <col min="8" max="8" width="10" style="397" bestFit="1" customWidth="1"/>
    <col min="9" max="9" width="11.7109375" style="397" bestFit="1" customWidth="1"/>
    <col min="10" max="10" width="12.28515625" style="397" customWidth="1"/>
    <col min="11" max="11" width="12.7109375" style="397" customWidth="1"/>
    <col min="12" max="12" width="10.7109375" style="397" customWidth="1"/>
    <col min="13" max="13" width="11.7109375" style="397" customWidth="1"/>
    <col min="14" max="14" width="9.5703125" style="397" customWidth="1"/>
    <col min="15" max="15" width="10.42578125" style="397" customWidth="1"/>
    <col min="16" max="16" width="11.7109375" style="397" bestFit="1" customWidth="1"/>
    <col min="17" max="17" width="9.5703125" style="397" customWidth="1"/>
    <col min="18" max="20" width="10.5703125" style="397" bestFit="1" customWidth="1"/>
    <col min="21" max="21" width="12.7109375" style="397" bestFit="1" customWidth="1"/>
    <col min="22" max="22" width="10.5703125" style="397" bestFit="1" customWidth="1"/>
    <col min="23" max="23" width="10.7109375" style="397" bestFit="1" customWidth="1"/>
    <col min="24" max="24" width="10.140625" style="397" customWidth="1"/>
    <col min="25" max="25" width="10.42578125" style="397" bestFit="1" customWidth="1"/>
    <col min="26" max="26" width="11.7109375" style="397" bestFit="1" customWidth="1"/>
    <col min="27" max="27" width="8.7109375" style="397" customWidth="1"/>
    <col min="28" max="28" width="10.7109375" style="397" bestFit="1" customWidth="1"/>
    <col min="29" max="29" width="9.42578125" style="397" customWidth="1"/>
    <col min="30" max="30" width="10.42578125" style="397" bestFit="1" customWidth="1"/>
    <col min="31" max="32" width="11.7109375" style="397" bestFit="1" customWidth="1"/>
    <col min="33" max="33" width="10.7109375" style="397" bestFit="1" customWidth="1"/>
    <col min="34" max="34" width="2.5703125" style="397" customWidth="1"/>
    <col min="35" max="35" width="14.42578125" style="397" bestFit="1" customWidth="1"/>
    <col min="36" max="36" width="3.7109375" style="396" bestFit="1" customWidth="1"/>
    <col min="37" max="37" width="14.42578125" style="397" bestFit="1" customWidth="1"/>
    <col min="38" max="38" width="3.7109375" style="396" bestFit="1" customWidth="1"/>
    <col min="39" max="16384" width="9.140625" style="395"/>
  </cols>
  <sheetData>
    <row r="1" spans="1:38" s="109" customFormat="1" ht="22.5" customHeight="1" x14ac:dyDescent="0.2">
      <c r="A1" s="1572" t="s">
        <v>79</v>
      </c>
      <c r="B1" s="1573"/>
      <c r="C1" s="1578" t="s">
        <v>1280</v>
      </c>
      <c r="D1" s="1578" t="s">
        <v>476</v>
      </c>
      <c r="E1" s="1579" t="s">
        <v>475</v>
      </c>
      <c r="F1" s="1580"/>
      <c r="G1" s="1580"/>
      <c r="H1" s="1581"/>
      <c r="I1" s="1582" t="s">
        <v>860</v>
      </c>
      <c r="J1" s="1583"/>
      <c r="K1" s="1583"/>
      <c r="L1" s="1583"/>
      <c r="M1" s="1584"/>
      <c r="N1" s="1585" t="s">
        <v>474</v>
      </c>
      <c r="O1" s="1586"/>
      <c r="P1" s="1586"/>
      <c r="Q1" s="1586"/>
      <c r="R1" s="1587"/>
      <c r="S1" s="1588" t="s">
        <v>473</v>
      </c>
      <c r="T1" s="1589"/>
      <c r="U1" s="1589"/>
      <c r="V1" s="1589"/>
      <c r="W1" s="1590"/>
      <c r="X1" s="1591" t="s">
        <v>472</v>
      </c>
      <c r="Y1" s="1592"/>
      <c r="Z1" s="1592"/>
      <c r="AA1" s="1592"/>
      <c r="AB1" s="1593"/>
      <c r="AC1" s="1582" t="s">
        <v>471</v>
      </c>
      <c r="AD1" s="1583"/>
      <c r="AE1" s="1583"/>
      <c r="AF1" s="1583"/>
      <c r="AG1" s="1584"/>
      <c r="AH1" s="416"/>
      <c r="AI1" s="1594" t="s">
        <v>1284</v>
      </c>
      <c r="AJ1" s="1594"/>
      <c r="AK1" s="1594" t="s">
        <v>1284</v>
      </c>
      <c r="AL1" s="1594"/>
    </row>
    <row r="2" spans="1:38" s="414" customFormat="1" ht="77.25" customHeight="1" x14ac:dyDescent="0.2">
      <c r="A2" s="1574"/>
      <c r="B2" s="1575"/>
      <c r="C2" s="1578"/>
      <c r="D2" s="1578"/>
      <c r="E2" s="430" t="s">
        <v>1281</v>
      </c>
      <c r="F2" s="430" t="s">
        <v>511</v>
      </c>
      <c r="G2" s="430" t="s">
        <v>512</v>
      </c>
      <c r="H2" s="430" t="s">
        <v>513</v>
      </c>
      <c r="I2" s="429" t="s">
        <v>514</v>
      </c>
      <c r="J2" s="429" t="s">
        <v>511</v>
      </c>
      <c r="K2" s="429" t="s">
        <v>512</v>
      </c>
      <c r="L2" s="429" t="s">
        <v>1282</v>
      </c>
      <c r="M2" s="429" t="s">
        <v>80</v>
      </c>
      <c r="N2" s="428" t="s">
        <v>514</v>
      </c>
      <c r="O2" s="428" t="s">
        <v>511</v>
      </c>
      <c r="P2" s="428" t="s">
        <v>512</v>
      </c>
      <c r="Q2" s="428" t="s">
        <v>1283</v>
      </c>
      <c r="R2" s="428" t="s">
        <v>80</v>
      </c>
      <c r="S2" s="431" t="s">
        <v>514</v>
      </c>
      <c r="T2" s="431" t="s">
        <v>511</v>
      </c>
      <c r="U2" s="431" t="s">
        <v>512</v>
      </c>
      <c r="V2" s="431" t="s">
        <v>1282</v>
      </c>
      <c r="W2" s="431" t="s">
        <v>80</v>
      </c>
      <c r="X2" s="427" t="s">
        <v>514</v>
      </c>
      <c r="Y2" s="427" t="s">
        <v>511</v>
      </c>
      <c r="Z2" s="427" t="s">
        <v>512</v>
      </c>
      <c r="AA2" s="427" t="s">
        <v>1282</v>
      </c>
      <c r="AB2" s="427" t="s">
        <v>80</v>
      </c>
      <c r="AC2" s="429" t="s">
        <v>514</v>
      </c>
      <c r="AD2" s="429" t="s">
        <v>511</v>
      </c>
      <c r="AE2" s="429" t="s">
        <v>512</v>
      </c>
      <c r="AF2" s="429" t="s">
        <v>1282</v>
      </c>
      <c r="AG2" s="429" t="s">
        <v>80</v>
      </c>
      <c r="AH2" s="415"/>
      <c r="AI2" s="1594"/>
      <c r="AJ2" s="1594"/>
      <c r="AK2" s="1594"/>
      <c r="AL2" s="1594"/>
    </row>
    <row r="3" spans="1:38" s="414" customFormat="1" ht="15.6" hidden="1" customHeight="1" x14ac:dyDescent="0.2">
      <c r="A3" s="481"/>
      <c r="B3" s="482"/>
      <c r="C3" s="483"/>
      <c r="D3" s="483"/>
      <c r="E3" s="430"/>
      <c r="F3" s="430"/>
      <c r="G3" s="430"/>
      <c r="H3" s="430"/>
      <c r="I3" s="429"/>
      <c r="J3" s="429"/>
      <c r="K3" s="429"/>
      <c r="L3" s="429"/>
      <c r="M3" s="429"/>
      <c r="N3" s="428"/>
      <c r="O3" s="428"/>
      <c r="P3" s="428"/>
      <c r="Q3" s="428"/>
      <c r="R3" s="428"/>
      <c r="S3" s="431"/>
      <c r="T3" s="431"/>
      <c r="U3" s="431"/>
      <c r="V3" s="431"/>
      <c r="W3" s="431"/>
      <c r="X3" s="427"/>
      <c r="Y3" s="427"/>
      <c r="Z3" s="427"/>
      <c r="AA3" s="427"/>
      <c r="AB3" s="427"/>
      <c r="AC3" s="429"/>
      <c r="AD3" s="429"/>
      <c r="AE3" s="429"/>
      <c r="AF3" s="429"/>
      <c r="AG3" s="429"/>
      <c r="AH3" s="415"/>
      <c r="AI3" s="480"/>
      <c r="AJ3" s="480"/>
      <c r="AK3" s="480"/>
      <c r="AL3" s="480"/>
    </row>
    <row r="4" spans="1:38" s="410" customFormat="1" ht="14.25" customHeight="1" x14ac:dyDescent="0.2">
      <c r="A4" s="413"/>
      <c r="B4" s="413"/>
      <c r="C4" s="412">
        <v>1</v>
      </c>
      <c r="D4" s="412">
        <v>2</v>
      </c>
      <c r="E4" s="412">
        <v>3</v>
      </c>
      <c r="F4" s="412">
        <v>4</v>
      </c>
      <c r="G4" s="412">
        <v>5</v>
      </c>
      <c r="H4" s="412">
        <v>6</v>
      </c>
      <c r="I4" s="412">
        <v>7</v>
      </c>
      <c r="J4" s="412">
        <v>8</v>
      </c>
      <c r="K4" s="412">
        <v>9</v>
      </c>
      <c r="L4" s="412">
        <v>10</v>
      </c>
      <c r="M4" s="412">
        <v>11</v>
      </c>
      <c r="N4" s="412">
        <v>12</v>
      </c>
      <c r="O4" s="412">
        <v>13</v>
      </c>
      <c r="P4" s="412">
        <v>14</v>
      </c>
      <c r="Q4" s="412">
        <v>15</v>
      </c>
      <c r="R4" s="412">
        <v>16</v>
      </c>
      <c r="S4" s="412">
        <v>17</v>
      </c>
      <c r="T4" s="412">
        <v>18</v>
      </c>
      <c r="U4" s="412">
        <v>19</v>
      </c>
      <c r="V4" s="412">
        <v>20</v>
      </c>
      <c r="W4" s="412">
        <v>21</v>
      </c>
      <c r="X4" s="412">
        <v>22</v>
      </c>
      <c r="Y4" s="412">
        <v>23</v>
      </c>
      <c r="Z4" s="412">
        <v>24</v>
      </c>
      <c r="AA4" s="412">
        <v>25</v>
      </c>
      <c r="AB4" s="412">
        <v>26</v>
      </c>
      <c r="AC4" s="412">
        <v>27</v>
      </c>
      <c r="AD4" s="412">
        <v>28</v>
      </c>
      <c r="AE4" s="412">
        <v>29</v>
      </c>
      <c r="AF4" s="412">
        <v>30</v>
      </c>
      <c r="AG4" s="412">
        <v>31</v>
      </c>
      <c r="AH4" s="411"/>
      <c r="AI4" s="1576" t="s">
        <v>470</v>
      </c>
      <c r="AJ4" s="1577"/>
      <c r="AK4" s="1576" t="s">
        <v>469</v>
      </c>
      <c r="AL4" s="1577"/>
    </row>
    <row r="5" spans="1:38" s="410" customFormat="1" ht="14.25" hidden="1" customHeight="1" x14ac:dyDescent="0.2">
      <c r="A5" s="413"/>
      <c r="B5" s="413"/>
      <c r="C5" s="492" t="s">
        <v>273</v>
      </c>
      <c r="D5" s="492" t="s">
        <v>227</v>
      </c>
      <c r="E5" s="492" t="s">
        <v>228</v>
      </c>
      <c r="F5" s="492" t="s">
        <v>655</v>
      </c>
      <c r="G5" s="492" t="s">
        <v>656</v>
      </c>
      <c r="H5" s="492" t="s">
        <v>657</v>
      </c>
      <c r="I5" s="492" t="s">
        <v>229</v>
      </c>
      <c r="J5" s="492" t="s">
        <v>658</v>
      </c>
      <c r="K5" s="492" t="s">
        <v>659</v>
      </c>
      <c r="L5" s="492" t="s">
        <v>660</v>
      </c>
      <c r="M5" s="492" t="s">
        <v>661</v>
      </c>
      <c r="N5" s="492" t="s">
        <v>230</v>
      </c>
      <c r="O5" s="492" t="s">
        <v>662</v>
      </c>
      <c r="P5" s="492" t="s">
        <v>663</v>
      </c>
      <c r="Q5" s="492" t="s">
        <v>664</v>
      </c>
      <c r="R5" s="492" t="s">
        <v>665</v>
      </c>
      <c r="S5" s="492" t="s">
        <v>231</v>
      </c>
      <c r="T5" s="492" t="s">
        <v>666</v>
      </c>
      <c r="U5" s="492" t="s">
        <v>667</v>
      </c>
      <c r="V5" s="492" t="s">
        <v>668</v>
      </c>
      <c r="W5" s="492" t="s">
        <v>669</v>
      </c>
      <c r="X5" s="492" t="s">
        <v>335</v>
      </c>
      <c r="Y5" s="492" t="s">
        <v>670</v>
      </c>
      <c r="Z5" s="492" t="s">
        <v>671</v>
      </c>
      <c r="AA5" s="492" t="s">
        <v>672</v>
      </c>
      <c r="AB5" s="492" t="s">
        <v>673</v>
      </c>
      <c r="AC5" s="492" t="s">
        <v>232</v>
      </c>
      <c r="AD5" s="492" t="s">
        <v>674</v>
      </c>
      <c r="AE5" s="492" t="s">
        <v>675</v>
      </c>
      <c r="AF5" s="492" t="s">
        <v>228</v>
      </c>
      <c r="AG5" s="492" t="s">
        <v>676</v>
      </c>
      <c r="AH5" s="411"/>
      <c r="AI5" s="1576"/>
      <c r="AJ5" s="1577"/>
      <c r="AK5" s="1576"/>
      <c r="AL5" s="1577"/>
    </row>
    <row r="6" spans="1:38" s="408" customFormat="1" ht="25.5" hidden="1" x14ac:dyDescent="0.2">
      <c r="A6" s="413"/>
      <c r="B6" s="413"/>
      <c r="C6" s="492" t="s">
        <v>554</v>
      </c>
      <c r="D6" s="492" t="s">
        <v>554</v>
      </c>
      <c r="E6" s="492" t="s">
        <v>554</v>
      </c>
      <c r="F6" s="492" t="s">
        <v>555</v>
      </c>
      <c r="G6" s="492" t="s">
        <v>555</v>
      </c>
      <c r="H6" s="492" t="s">
        <v>555</v>
      </c>
      <c r="I6" s="492" t="s">
        <v>554</v>
      </c>
      <c r="J6" s="492" t="s">
        <v>555</v>
      </c>
      <c r="K6" s="492" t="s">
        <v>555</v>
      </c>
      <c r="L6" s="492" t="s">
        <v>554</v>
      </c>
      <c r="M6" s="492" t="s">
        <v>555</v>
      </c>
      <c r="N6" s="492" t="s">
        <v>554</v>
      </c>
      <c r="O6" s="492" t="s">
        <v>555</v>
      </c>
      <c r="P6" s="492" t="s">
        <v>555</v>
      </c>
      <c r="Q6" s="492" t="s">
        <v>554</v>
      </c>
      <c r="R6" s="492" t="s">
        <v>555</v>
      </c>
      <c r="S6" s="492" t="s">
        <v>554</v>
      </c>
      <c r="T6" s="492" t="s">
        <v>555</v>
      </c>
      <c r="U6" s="492" t="s">
        <v>555</v>
      </c>
      <c r="V6" s="492" t="s">
        <v>554</v>
      </c>
      <c r="W6" s="492" t="s">
        <v>555</v>
      </c>
      <c r="X6" s="492" t="s">
        <v>554</v>
      </c>
      <c r="Y6" s="492" t="s">
        <v>555</v>
      </c>
      <c r="Z6" s="492" t="s">
        <v>555</v>
      </c>
      <c r="AA6" s="492" t="s">
        <v>554</v>
      </c>
      <c r="AB6" s="492" t="s">
        <v>555</v>
      </c>
      <c r="AC6" s="492" t="s">
        <v>554</v>
      </c>
      <c r="AD6" s="492" t="s">
        <v>555</v>
      </c>
      <c r="AE6" s="492" t="s">
        <v>555</v>
      </c>
      <c r="AF6" s="492" t="s">
        <v>554</v>
      </c>
      <c r="AG6" s="492" t="s">
        <v>555</v>
      </c>
      <c r="AH6" s="409"/>
      <c r="AI6" s="1577"/>
      <c r="AJ6" s="1577"/>
      <c r="AK6" s="1577"/>
      <c r="AL6" s="1577"/>
    </row>
    <row r="7" spans="1:38" s="406" customFormat="1" ht="16.149999999999999" customHeight="1" x14ac:dyDescent="0.2">
      <c r="A7" s="925">
        <v>1</v>
      </c>
      <c r="B7" s="925" t="s">
        <v>4</v>
      </c>
      <c r="C7" s="926">
        <v>39236437</v>
      </c>
      <c r="D7" s="927">
        <v>12840.21</v>
      </c>
      <c r="E7" s="927">
        <v>9432</v>
      </c>
      <c r="F7" s="928">
        <v>0.734567425299119</v>
      </c>
      <c r="G7" s="929">
        <v>28821808.50500109</v>
      </c>
      <c r="H7" s="926">
        <v>3055.7472969678847</v>
      </c>
      <c r="I7" s="927">
        <v>1471.8</v>
      </c>
      <c r="J7" s="928">
        <v>0.11462429352790959</v>
      </c>
      <c r="K7" s="929">
        <v>4497448.8716773326</v>
      </c>
      <c r="L7" s="927">
        <v>6690</v>
      </c>
      <c r="M7" s="926">
        <v>672.26440533293464</v>
      </c>
      <c r="N7" s="927">
        <v>274.11</v>
      </c>
      <c r="O7" s="928">
        <v>2.1347781695159194E-2</v>
      </c>
      <c r="P7" s="929">
        <v>837610.89157186693</v>
      </c>
      <c r="Q7" s="927">
        <v>4568.5</v>
      </c>
      <c r="R7" s="926">
        <v>183.3448378180731</v>
      </c>
      <c r="S7" s="927">
        <v>1618.5</v>
      </c>
      <c r="T7" s="928">
        <v>0.12604934031452758</v>
      </c>
      <c r="U7" s="929">
        <v>4945727.0001425212</v>
      </c>
      <c r="V7" s="927">
        <v>1079</v>
      </c>
      <c r="W7" s="926">
        <v>4583.6209454518266</v>
      </c>
      <c r="X7" s="927">
        <v>43.8</v>
      </c>
      <c r="Y7" s="928">
        <v>3.4111591632847126E-3</v>
      </c>
      <c r="Z7" s="929">
        <v>133841.73160719333</v>
      </c>
      <c r="AA7" s="927">
        <v>73</v>
      </c>
      <c r="AB7" s="926">
        <v>1833.4483781807305</v>
      </c>
      <c r="AC7" s="927">
        <v>0</v>
      </c>
      <c r="AD7" s="928">
        <v>0</v>
      </c>
      <c r="AE7" s="929">
        <v>0</v>
      </c>
      <c r="AF7" s="927">
        <v>9432</v>
      </c>
      <c r="AG7" s="926">
        <v>0</v>
      </c>
      <c r="AH7" s="930"/>
      <c r="AI7" s="931">
        <v>39236437</v>
      </c>
      <c r="AJ7" s="932">
        <v>0</v>
      </c>
      <c r="AK7" s="931">
        <v>39236437</v>
      </c>
      <c r="AL7" s="932">
        <v>0</v>
      </c>
    </row>
    <row r="8" spans="1:38" s="406" customFormat="1" ht="16.149999999999999" customHeight="1" x14ac:dyDescent="0.2">
      <c r="A8" s="925">
        <v>2</v>
      </c>
      <c r="B8" s="925" t="s">
        <v>5</v>
      </c>
      <c r="C8" s="926">
        <v>19170855</v>
      </c>
      <c r="D8" s="927">
        <v>5696.1282499999998</v>
      </c>
      <c r="E8" s="927">
        <v>3947</v>
      </c>
      <c r="F8" s="928">
        <v>0.69292681392839073</v>
      </c>
      <c r="G8" s="929">
        <v>13283999.47543316</v>
      </c>
      <c r="H8" s="926">
        <v>3365.5939892153938</v>
      </c>
      <c r="I8" s="927">
        <v>589.6</v>
      </c>
      <c r="J8" s="928">
        <v>0.10350890536918653</v>
      </c>
      <c r="K8" s="929">
        <v>1984354.2160413964</v>
      </c>
      <c r="L8" s="927">
        <v>2680</v>
      </c>
      <c r="M8" s="926">
        <v>740.43067762738667</v>
      </c>
      <c r="N8" s="927">
        <v>108.45</v>
      </c>
      <c r="O8" s="928">
        <v>1.9039248282374965E-2</v>
      </c>
      <c r="P8" s="929">
        <v>364998.6681304095</v>
      </c>
      <c r="Q8" s="927">
        <v>1807.5</v>
      </c>
      <c r="R8" s="926">
        <v>201.93563935292366</v>
      </c>
      <c r="S8" s="927">
        <v>652.5</v>
      </c>
      <c r="T8" s="928">
        <v>0.11455149381511907</v>
      </c>
      <c r="U8" s="929">
        <v>2196050.0779630444</v>
      </c>
      <c r="V8" s="927">
        <v>435</v>
      </c>
      <c r="W8" s="926">
        <v>5048.3909838230902</v>
      </c>
      <c r="X8" s="927">
        <v>24.599999999999998</v>
      </c>
      <c r="Y8" s="928">
        <v>4.3187229852136846E-3</v>
      </c>
      <c r="Z8" s="929">
        <v>82793.612134698691</v>
      </c>
      <c r="AA8" s="927">
        <v>41</v>
      </c>
      <c r="AB8" s="926">
        <v>2019.3563935292364</v>
      </c>
      <c r="AC8" s="927">
        <v>373.97825</v>
      </c>
      <c r="AD8" s="928">
        <v>6.5654815619715021E-2</v>
      </c>
      <c r="AE8" s="929">
        <v>1258658.9502972919</v>
      </c>
      <c r="AF8" s="927">
        <v>3947</v>
      </c>
      <c r="AG8" s="926">
        <v>318.89003047815856</v>
      </c>
      <c r="AH8" s="930"/>
      <c r="AI8" s="933">
        <v>19170855</v>
      </c>
      <c r="AJ8" s="932">
        <v>0</v>
      </c>
      <c r="AK8" s="933">
        <v>19170855</v>
      </c>
      <c r="AL8" s="932">
        <v>0</v>
      </c>
    </row>
    <row r="9" spans="1:38" s="406" customFormat="1" ht="16.149999999999999" customHeight="1" x14ac:dyDescent="0.2">
      <c r="A9" s="925">
        <v>3</v>
      </c>
      <c r="B9" s="925" t="s">
        <v>6</v>
      </c>
      <c r="C9" s="926">
        <v>75570170</v>
      </c>
      <c r="D9" s="927">
        <v>30073.68</v>
      </c>
      <c r="E9" s="927">
        <v>22712</v>
      </c>
      <c r="F9" s="928">
        <v>0.75521186632297743</v>
      </c>
      <c r="G9" s="929">
        <v>57071489.124044679</v>
      </c>
      <c r="H9" s="926">
        <v>2512.8341460040806</v>
      </c>
      <c r="I9" s="927">
        <v>2778.16</v>
      </c>
      <c r="J9" s="928">
        <v>9.2378451855576027E-2</v>
      </c>
      <c r="K9" s="929">
        <v>6981055.3110626955</v>
      </c>
      <c r="L9" s="927">
        <v>12628</v>
      </c>
      <c r="M9" s="926">
        <v>552.82351212089759</v>
      </c>
      <c r="N9" s="927">
        <v>727.62</v>
      </c>
      <c r="O9" s="928">
        <v>2.4194578116146743E-2</v>
      </c>
      <c r="P9" s="929">
        <v>1828388.3813154891</v>
      </c>
      <c r="Q9" s="927">
        <v>12127</v>
      </c>
      <c r="R9" s="926">
        <v>150.77004876024483</v>
      </c>
      <c r="S9" s="927">
        <v>3535.5</v>
      </c>
      <c r="T9" s="928">
        <v>0.11756126952205384</v>
      </c>
      <c r="U9" s="929">
        <v>8884125.123197427</v>
      </c>
      <c r="V9" s="927">
        <v>2357</v>
      </c>
      <c r="W9" s="926">
        <v>3769.2512190061211</v>
      </c>
      <c r="X9" s="927">
        <v>320.39999999999998</v>
      </c>
      <c r="Y9" s="928">
        <v>1.0653834183245947E-2</v>
      </c>
      <c r="Z9" s="929">
        <v>805112.06037970737</v>
      </c>
      <c r="AA9" s="927">
        <v>534</v>
      </c>
      <c r="AB9" s="926">
        <v>1507.7004876024482</v>
      </c>
      <c r="AC9" s="927">
        <v>0</v>
      </c>
      <c r="AD9" s="928">
        <v>0</v>
      </c>
      <c r="AE9" s="929">
        <v>0</v>
      </c>
      <c r="AF9" s="927">
        <v>22712</v>
      </c>
      <c r="AG9" s="926">
        <v>0</v>
      </c>
      <c r="AH9" s="930"/>
      <c r="AI9" s="933">
        <v>75570170</v>
      </c>
      <c r="AJ9" s="932">
        <v>0</v>
      </c>
      <c r="AK9" s="933">
        <v>75570170</v>
      </c>
      <c r="AL9" s="932">
        <v>0</v>
      </c>
    </row>
    <row r="10" spans="1:38" s="406" customFormat="1" ht="16.149999999999999" customHeight="1" x14ac:dyDescent="0.2">
      <c r="A10" s="925">
        <v>4</v>
      </c>
      <c r="B10" s="925" t="s">
        <v>7</v>
      </c>
      <c r="C10" s="926">
        <v>14124029</v>
      </c>
      <c r="D10" s="927">
        <v>4723.6005700000005</v>
      </c>
      <c r="E10" s="927">
        <v>3061</v>
      </c>
      <c r="F10" s="928">
        <v>0.64802261635767389</v>
      </c>
      <c r="G10" s="929">
        <v>9152690.2260916606</v>
      </c>
      <c r="H10" s="926">
        <v>2990.0980810492192</v>
      </c>
      <c r="I10" s="927">
        <v>478.72</v>
      </c>
      <c r="J10" s="928">
        <v>0.10134641845891723</v>
      </c>
      <c r="K10" s="929">
        <v>1431419.7533598824</v>
      </c>
      <c r="L10" s="927">
        <v>2176</v>
      </c>
      <c r="M10" s="926">
        <v>657.82157783082835</v>
      </c>
      <c r="N10" s="927">
        <v>77.55</v>
      </c>
      <c r="O10" s="928">
        <v>1.641756089465456E-2</v>
      </c>
      <c r="P10" s="929">
        <v>231882.10618536695</v>
      </c>
      <c r="Q10" s="927">
        <v>1292.5</v>
      </c>
      <c r="R10" s="926">
        <v>179.40588486295314</v>
      </c>
      <c r="S10" s="927">
        <v>675</v>
      </c>
      <c r="T10" s="928">
        <v>0.14289946620105518</v>
      </c>
      <c r="U10" s="929">
        <v>2018316.2047082232</v>
      </c>
      <c r="V10" s="927">
        <v>450</v>
      </c>
      <c r="W10" s="926">
        <v>4485.1471215738293</v>
      </c>
      <c r="X10" s="927">
        <v>69</v>
      </c>
      <c r="Y10" s="928">
        <v>1.4607500989441195E-2</v>
      </c>
      <c r="Z10" s="929">
        <v>206316.76759239612</v>
      </c>
      <c r="AA10" s="927">
        <v>115</v>
      </c>
      <c r="AB10" s="926">
        <v>1794.0588486295314</v>
      </c>
      <c r="AC10" s="927">
        <v>362.33057000000002</v>
      </c>
      <c r="AD10" s="928">
        <v>7.6706437098257862E-2</v>
      </c>
      <c r="AE10" s="929">
        <v>1083403.9420624699</v>
      </c>
      <c r="AF10" s="927">
        <v>3061</v>
      </c>
      <c r="AG10" s="926">
        <v>353.9379098537961</v>
      </c>
      <c r="AH10" s="930"/>
      <c r="AI10" s="933">
        <v>14124029</v>
      </c>
      <c r="AJ10" s="932">
        <v>0</v>
      </c>
      <c r="AK10" s="933">
        <v>14124028.999999998</v>
      </c>
      <c r="AL10" s="932">
        <v>0</v>
      </c>
    </row>
    <row r="11" spans="1:38" s="407" customFormat="1" ht="16.149999999999999" customHeight="1" x14ac:dyDescent="0.2">
      <c r="A11" s="934">
        <v>5</v>
      </c>
      <c r="B11" s="934" t="s">
        <v>8</v>
      </c>
      <c r="C11" s="935">
        <v>24388462</v>
      </c>
      <c r="D11" s="936">
        <v>7538.2250399999994</v>
      </c>
      <c r="E11" s="937">
        <v>5169</v>
      </c>
      <c r="F11" s="938">
        <v>0.68570518558039761</v>
      </c>
      <c r="G11" s="939">
        <v>16723294.861730475</v>
      </c>
      <c r="H11" s="935">
        <v>3235.305641658053</v>
      </c>
      <c r="I11" s="936">
        <v>924</v>
      </c>
      <c r="J11" s="938">
        <v>0.12257527403294398</v>
      </c>
      <c r="K11" s="939">
        <v>2989422.4128920408</v>
      </c>
      <c r="L11" s="936">
        <v>4200</v>
      </c>
      <c r="M11" s="935">
        <v>711.76724116477158</v>
      </c>
      <c r="N11" s="936">
        <v>210.12</v>
      </c>
      <c r="O11" s="938">
        <v>2.7873935692426612E-2</v>
      </c>
      <c r="P11" s="939">
        <v>679802.42142519006</v>
      </c>
      <c r="Q11" s="936">
        <v>3502</v>
      </c>
      <c r="R11" s="935">
        <v>194.11833849948317</v>
      </c>
      <c r="S11" s="936">
        <v>903</v>
      </c>
      <c r="T11" s="938">
        <v>0.11978947235037707</v>
      </c>
      <c r="U11" s="939">
        <v>2921480.9944172218</v>
      </c>
      <c r="V11" s="936">
        <v>602</v>
      </c>
      <c r="W11" s="935">
        <v>4852.9584624870795</v>
      </c>
      <c r="X11" s="936">
        <v>10.799999999999999</v>
      </c>
      <c r="Y11" s="938">
        <v>1.4326980081772671E-3</v>
      </c>
      <c r="Z11" s="939">
        <v>34941.300929906967</v>
      </c>
      <c r="AA11" s="936">
        <v>18</v>
      </c>
      <c r="AB11" s="935">
        <v>1941.1833849948316</v>
      </c>
      <c r="AC11" s="936">
        <v>321.30504000000002</v>
      </c>
      <c r="AD11" s="938">
        <v>4.2623434335677522E-2</v>
      </c>
      <c r="AE11" s="939">
        <v>1039520.0086051665</v>
      </c>
      <c r="AF11" s="937">
        <v>5169</v>
      </c>
      <c r="AG11" s="935">
        <v>201.10659868546458</v>
      </c>
      <c r="AH11" s="930"/>
      <c r="AI11" s="940">
        <v>24388462</v>
      </c>
      <c r="AJ11" s="940">
        <v>0</v>
      </c>
      <c r="AK11" s="940">
        <v>24388462.000000004</v>
      </c>
      <c r="AL11" s="940">
        <v>0</v>
      </c>
    </row>
    <row r="12" spans="1:38" s="406" customFormat="1" ht="16.149999999999999" customHeight="1" x14ac:dyDescent="0.2">
      <c r="A12" s="925">
        <v>6</v>
      </c>
      <c r="B12" s="925" t="s">
        <v>9</v>
      </c>
      <c r="C12" s="926">
        <v>25762694</v>
      </c>
      <c r="D12" s="927">
        <v>8438.4180500000002</v>
      </c>
      <c r="E12" s="927">
        <v>5785</v>
      </c>
      <c r="F12" s="928">
        <v>0.68555503717903621</v>
      </c>
      <c r="G12" s="929">
        <v>17661744.643002134</v>
      </c>
      <c r="H12" s="926">
        <v>3053.0241388076288</v>
      </c>
      <c r="I12" s="927">
        <v>784.08</v>
      </c>
      <c r="J12" s="928">
        <v>9.2917889982945326E-2</v>
      </c>
      <c r="K12" s="929">
        <v>2393815.1667562858</v>
      </c>
      <c r="L12" s="927">
        <v>3564</v>
      </c>
      <c r="M12" s="926">
        <v>671.66531053767835</v>
      </c>
      <c r="N12" s="927">
        <v>125.78999999999999</v>
      </c>
      <c r="O12" s="928">
        <v>1.4906822493820389E-2</v>
      </c>
      <c r="P12" s="929">
        <v>384039.9064206116</v>
      </c>
      <c r="Q12" s="927">
        <v>2096.5</v>
      </c>
      <c r="R12" s="926">
        <v>183.18144832845772</v>
      </c>
      <c r="S12" s="927">
        <v>1437</v>
      </c>
      <c r="T12" s="928">
        <v>0.170292582269019</v>
      </c>
      <c r="U12" s="929">
        <v>4387195.6874665618</v>
      </c>
      <c r="V12" s="927">
        <v>958</v>
      </c>
      <c r="W12" s="926">
        <v>4579.5362082114425</v>
      </c>
      <c r="X12" s="927">
        <v>42</v>
      </c>
      <c r="Y12" s="928">
        <v>4.9772362249817662E-3</v>
      </c>
      <c r="Z12" s="929">
        <v>128227.0138299204</v>
      </c>
      <c r="AA12" s="927">
        <v>70</v>
      </c>
      <c r="AB12" s="926">
        <v>1831.8144832845771</v>
      </c>
      <c r="AC12" s="927">
        <v>264.54804999999999</v>
      </c>
      <c r="AD12" s="928">
        <v>3.135043185019732E-2</v>
      </c>
      <c r="AE12" s="929">
        <v>807671.5825244874</v>
      </c>
      <c r="AF12" s="927">
        <v>5785</v>
      </c>
      <c r="AG12" s="926">
        <v>139.61479386767283</v>
      </c>
      <c r="AH12" s="930"/>
      <c r="AI12" s="933">
        <v>25762694</v>
      </c>
      <c r="AJ12" s="932">
        <v>0</v>
      </c>
      <c r="AK12" s="933">
        <v>25762694</v>
      </c>
      <c r="AL12" s="932">
        <v>0</v>
      </c>
    </row>
    <row r="13" spans="1:38" s="406" customFormat="1" ht="16.149999999999999" customHeight="1" x14ac:dyDescent="0.2">
      <c r="A13" s="925">
        <v>7</v>
      </c>
      <c r="B13" s="925" t="s">
        <v>10</v>
      </c>
      <c r="C13" s="926">
        <v>6265054</v>
      </c>
      <c r="D13" s="927">
        <v>3251.4673600000001</v>
      </c>
      <c r="E13" s="927">
        <v>2082</v>
      </c>
      <c r="F13" s="928">
        <v>0.64032628025520144</v>
      </c>
      <c r="G13" s="929">
        <v>4011678.7234179708</v>
      </c>
      <c r="H13" s="926">
        <v>1926.8389641776996</v>
      </c>
      <c r="I13" s="927">
        <v>342.1</v>
      </c>
      <c r="J13" s="928">
        <v>0.10521403481042479</v>
      </c>
      <c r="K13" s="929">
        <v>659171.60964519111</v>
      </c>
      <c r="L13" s="927">
        <v>1555</v>
      </c>
      <c r="M13" s="926">
        <v>423.90457211909398</v>
      </c>
      <c r="N13" s="927">
        <v>53.16</v>
      </c>
      <c r="O13" s="928">
        <v>1.6349541334469985E-2</v>
      </c>
      <c r="P13" s="929">
        <v>102430.75933568651</v>
      </c>
      <c r="Q13" s="927">
        <v>886</v>
      </c>
      <c r="R13" s="926">
        <v>115.61033785066198</v>
      </c>
      <c r="S13" s="927">
        <v>432</v>
      </c>
      <c r="T13" s="928">
        <v>0.13286308985122336</v>
      </c>
      <c r="U13" s="929">
        <v>832394.43252476631</v>
      </c>
      <c r="V13" s="927">
        <v>288</v>
      </c>
      <c r="W13" s="926">
        <v>2890.2584462665495</v>
      </c>
      <c r="X13" s="927">
        <v>41.4</v>
      </c>
      <c r="Y13" s="928">
        <v>1.2732712777408905E-2</v>
      </c>
      <c r="Z13" s="929">
        <v>79771.133116956771</v>
      </c>
      <c r="AA13" s="927">
        <v>69</v>
      </c>
      <c r="AB13" s="926">
        <v>1156.1033785066199</v>
      </c>
      <c r="AC13" s="927">
        <v>300.80736000000002</v>
      </c>
      <c r="AD13" s="928">
        <v>9.2514340971271508E-2</v>
      </c>
      <c r="AE13" s="929">
        <v>579607.34195942839</v>
      </c>
      <c r="AF13" s="927">
        <v>2082</v>
      </c>
      <c r="AG13" s="926">
        <v>278.38969354439405</v>
      </c>
      <c r="AH13" s="930"/>
      <c r="AI13" s="933">
        <v>6265054</v>
      </c>
      <c r="AJ13" s="932">
        <v>0</v>
      </c>
      <c r="AK13" s="933">
        <v>6265054</v>
      </c>
      <c r="AL13" s="932">
        <v>0</v>
      </c>
    </row>
    <row r="14" spans="1:38" s="406" customFormat="1" ht="16.149999999999999" customHeight="1" x14ac:dyDescent="0.2">
      <c r="A14" s="925">
        <v>8</v>
      </c>
      <c r="B14" s="925" t="s">
        <v>11</v>
      </c>
      <c r="C14" s="926">
        <v>90506491</v>
      </c>
      <c r="D14" s="927">
        <v>31236.129999999997</v>
      </c>
      <c r="E14" s="927">
        <v>22373</v>
      </c>
      <c r="F14" s="928">
        <v>0.7162539021319223</v>
      </c>
      <c r="G14" s="929">
        <v>64825627.347017705</v>
      </c>
      <c r="H14" s="926">
        <v>2897.4937356196178</v>
      </c>
      <c r="I14" s="927">
        <v>2644.4</v>
      </c>
      <c r="J14" s="928">
        <v>8.4658374773059278E-2</v>
      </c>
      <c r="K14" s="929">
        <v>7662132.4344725162</v>
      </c>
      <c r="L14" s="927">
        <v>12020</v>
      </c>
      <c r="M14" s="926">
        <v>637.44862183631585</v>
      </c>
      <c r="N14" s="927">
        <v>513.92999999999995</v>
      </c>
      <c r="O14" s="928">
        <v>1.6453062527272105E-2</v>
      </c>
      <c r="P14" s="929">
        <v>1489108.95554699</v>
      </c>
      <c r="Q14" s="927">
        <v>8565.5</v>
      </c>
      <c r="R14" s="926">
        <v>173.84962413717705</v>
      </c>
      <c r="S14" s="927">
        <v>4863</v>
      </c>
      <c r="T14" s="928">
        <v>0.155685099274462</v>
      </c>
      <c r="U14" s="929">
        <v>14090512.036318202</v>
      </c>
      <c r="V14" s="927">
        <v>3242</v>
      </c>
      <c r="W14" s="926">
        <v>4346.2406034294272</v>
      </c>
      <c r="X14" s="927">
        <v>841.8</v>
      </c>
      <c r="Y14" s="928">
        <v>2.6949561293284411E-2</v>
      </c>
      <c r="Z14" s="929">
        <v>2439110.2266445938</v>
      </c>
      <c r="AA14" s="927">
        <v>1403</v>
      </c>
      <c r="AB14" s="926">
        <v>1738.4962413717703</v>
      </c>
      <c r="AC14" s="927">
        <v>0</v>
      </c>
      <c r="AD14" s="928">
        <v>0</v>
      </c>
      <c r="AE14" s="929">
        <v>0</v>
      </c>
      <c r="AF14" s="927">
        <v>22373</v>
      </c>
      <c r="AG14" s="926">
        <v>0</v>
      </c>
      <c r="AH14" s="930"/>
      <c r="AI14" s="933">
        <v>90506491</v>
      </c>
      <c r="AJ14" s="932">
        <v>0</v>
      </c>
      <c r="AK14" s="933">
        <v>90506491.000000015</v>
      </c>
      <c r="AL14" s="932">
        <v>0</v>
      </c>
    </row>
    <row r="15" spans="1:38" s="406" customFormat="1" ht="16.149999999999999" customHeight="1" x14ac:dyDescent="0.2">
      <c r="A15" s="925">
        <v>9</v>
      </c>
      <c r="B15" s="925" t="s">
        <v>12</v>
      </c>
      <c r="C15" s="926">
        <v>143870913</v>
      </c>
      <c r="D15" s="927">
        <v>52498.71</v>
      </c>
      <c r="E15" s="927">
        <v>37908</v>
      </c>
      <c r="F15" s="928">
        <v>0.72207488526860952</v>
      </c>
      <c r="G15" s="929">
        <v>103885572.9979651</v>
      </c>
      <c r="H15" s="926">
        <v>2740.4656800138519</v>
      </c>
      <c r="I15" s="927">
        <v>5982.9</v>
      </c>
      <c r="J15" s="928">
        <v>0.11396280022880562</v>
      </c>
      <c r="K15" s="929">
        <v>16395932.116954872</v>
      </c>
      <c r="L15" s="927">
        <v>27195</v>
      </c>
      <c r="M15" s="926">
        <v>602.90244960304733</v>
      </c>
      <c r="N15" s="927">
        <v>701.01</v>
      </c>
      <c r="O15" s="928">
        <v>1.3352899528388413E-2</v>
      </c>
      <c r="P15" s="929">
        <v>1921093.8463465103</v>
      </c>
      <c r="Q15" s="927">
        <v>11683.5</v>
      </c>
      <c r="R15" s="926">
        <v>164.42794080083112</v>
      </c>
      <c r="S15" s="927">
        <v>6762</v>
      </c>
      <c r="T15" s="928">
        <v>0.12880316487776558</v>
      </c>
      <c r="U15" s="929">
        <v>18531028.928253666</v>
      </c>
      <c r="V15" s="927">
        <v>4508</v>
      </c>
      <c r="W15" s="926">
        <v>4110.6985200207773</v>
      </c>
      <c r="X15" s="927">
        <v>1144.8</v>
      </c>
      <c r="Y15" s="928">
        <v>2.1806250096430939E-2</v>
      </c>
      <c r="Z15" s="929">
        <v>3137285.1104798573</v>
      </c>
      <c r="AA15" s="927">
        <v>1908</v>
      </c>
      <c r="AB15" s="926">
        <v>1644.2794080083111</v>
      </c>
      <c r="AC15" s="927">
        <v>0</v>
      </c>
      <c r="AD15" s="928">
        <v>0</v>
      </c>
      <c r="AE15" s="929">
        <v>0</v>
      </c>
      <c r="AF15" s="927">
        <v>37908</v>
      </c>
      <c r="AG15" s="926">
        <v>0</v>
      </c>
      <c r="AH15" s="930"/>
      <c r="AI15" s="933">
        <v>143870913</v>
      </c>
      <c r="AJ15" s="932">
        <v>0</v>
      </c>
      <c r="AK15" s="933">
        <v>143870913.00000003</v>
      </c>
      <c r="AL15" s="932">
        <v>0</v>
      </c>
    </row>
    <row r="16" spans="1:38" s="407" customFormat="1" ht="16.149999999999999" customHeight="1" x14ac:dyDescent="0.2">
      <c r="A16" s="934">
        <v>10</v>
      </c>
      <c r="B16" s="934" t="s">
        <v>13</v>
      </c>
      <c r="C16" s="935">
        <v>102180468</v>
      </c>
      <c r="D16" s="936">
        <v>46813.5</v>
      </c>
      <c r="E16" s="937">
        <v>32719</v>
      </c>
      <c r="F16" s="938">
        <v>0.6989223194164077</v>
      </c>
      <c r="G16" s="939">
        <v>71416209.693614021</v>
      </c>
      <c r="H16" s="935">
        <v>2182.7137043801467</v>
      </c>
      <c r="I16" s="936">
        <v>4699.6400000000003</v>
      </c>
      <c r="J16" s="938">
        <v>0.10039069926410117</v>
      </c>
      <c r="K16" s="939">
        <v>10257968.633653114</v>
      </c>
      <c r="L16" s="936">
        <v>21362</v>
      </c>
      <c r="M16" s="935">
        <v>480.19701496363234</v>
      </c>
      <c r="N16" s="936">
        <v>658.26</v>
      </c>
      <c r="O16" s="938">
        <v>1.4061328462943381E-2</v>
      </c>
      <c r="P16" s="939">
        <v>1436793.1230452755</v>
      </c>
      <c r="Q16" s="936">
        <v>10971</v>
      </c>
      <c r="R16" s="935">
        <v>130.9628222628088</v>
      </c>
      <c r="S16" s="936">
        <v>8172</v>
      </c>
      <c r="T16" s="938">
        <v>0.17456502931846582</v>
      </c>
      <c r="U16" s="939">
        <v>17837136.392194558</v>
      </c>
      <c r="V16" s="936">
        <v>5448</v>
      </c>
      <c r="W16" s="935">
        <v>3274.0705565702201</v>
      </c>
      <c r="X16" s="936">
        <v>564.6</v>
      </c>
      <c r="Y16" s="938">
        <v>1.2060623538081964E-2</v>
      </c>
      <c r="Z16" s="939">
        <v>1232360.1574930309</v>
      </c>
      <c r="AA16" s="936">
        <v>941</v>
      </c>
      <c r="AB16" s="935">
        <v>1309.628222628088</v>
      </c>
      <c r="AC16" s="936">
        <v>0</v>
      </c>
      <c r="AD16" s="938">
        <v>0</v>
      </c>
      <c r="AE16" s="939">
        <v>0</v>
      </c>
      <c r="AF16" s="937">
        <v>32719</v>
      </c>
      <c r="AG16" s="935">
        <v>0</v>
      </c>
      <c r="AH16" s="930"/>
      <c r="AI16" s="940">
        <v>102180468</v>
      </c>
      <c r="AJ16" s="940">
        <v>0</v>
      </c>
      <c r="AK16" s="940">
        <v>102180468</v>
      </c>
      <c r="AL16" s="940">
        <v>0</v>
      </c>
    </row>
    <row r="17" spans="1:38" s="406" customFormat="1" ht="16.149999999999999" customHeight="1" x14ac:dyDescent="0.2">
      <c r="A17" s="925">
        <v>11</v>
      </c>
      <c r="B17" s="925" t="s">
        <v>14</v>
      </c>
      <c r="C17" s="926">
        <v>8398843</v>
      </c>
      <c r="D17" s="927">
        <v>2544.5860000000002</v>
      </c>
      <c r="E17" s="927">
        <v>1545</v>
      </c>
      <c r="F17" s="928">
        <v>0.60717146129075605</v>
      </c>
      <c r="G17" s="929">
        <v>5099537.7774616377</v>
      </c>
      <c r="H17" s="926">
        <v>3300.6717006224194</v>
      </c>
      <c r="I17" s="927">
        <v>249.04</v>
      </c>
      <c r="J17" s="928">
        <v>9.7870537682750738E-2</v>
      </c>
      <c r="K17" s="929">
        <v>821999.28032300726</v>
      </c>
      <c r="L17" s="927">
        <v>1132</v>
      </c>
      <c r="M17" s="926">
        <v>726.14777413693218</v>
      </c>
      <c r="N17" s="927">
        <v>56.699999999999996</v>
      </c>
      <c r="O17" s="928">
        <v>2.2282603142515123E-2</v>
      </c>
      <c r="P17" s="929">
        <v>187148.08542529115</v>
      </c>
      <c r="Q17" s="927">
        <v>945</v>
      </c>
      <c r="R17" s="926">
        <v>198.04030203734513</v>
      </c>
      <c r="S17" s="927">
        <v>418.5</v>
      </c>
      <c r="T17" s="928">
        <v>0.16446683271856402</v>
      </c>
      <c r="U17" s="929">
        <v>1381331.1067104824</v>
      </c>
      <c r="V17" s="927">
        <v>279</v>
      </c>
      <c r="W17" s="926">
        <v>4951.0075509336284</v>
      </c>
      <c r="X17" s="927">
        <v>30</v>
      </c>
      <c r="Y17" s="928">
        <v>1.1789737112441866E-2</v>
      </c>
      <c r="Z17" s="929">
        <v>99020.151018672579</v>
      </c>
      <c r="AA17" s="927">
        <v>50</v>
      </c>
      <c r="AB17" s="926">
        <v>1980.4030203734517</v>
      </c>
      <c r="AC17" s="927">
        <v>245.346</v>
      </c>
      <c r="AD17" s="928">
        <v>9.6418828052972069E-2</v>
      </c>
      <c r="AE17" s="929">
        <v>809806.59906090808</v>
      </c>
      <c r="AF17" s="927">
        <v>1545</v>
      </c>
      <c r="AG17" s="926">
        <v>524.1466660588402</v>
      </c>
      <c r="AH17" s="930"/>
      <c r="AI17" s="933">
        <v>8398843</v>
      </c>
      <c r="AJ17" s="932">
        <v>0</v>
      </c>
      <c r="AK17" s="933">
        <v>8398843</v>
      </c>
      <c r="AL17" s="932">
        <v>0</v>
      </c>
    </row>
    <row r="18" spans="1:38" s="406" customFormat="1" ht="16.149999999999999" customHeight="1" x14ac:dyDescent="0.2">
      <c r="A18" s="925">
        <v>12</v>
      </c>
      <c r="B18" s="925" t="s">
        <v>15</v>
      </c>
      <c r="C18" s="926">
        <v>2084260</v>
      </c>
      <c r="D18" s="927">
        <v>2027.18842</v>
      </c>
      <c r="E18" s="927">
        <v>1282</v>
      </c>
      <c r="F18" s="928">
        <v>0.63240298107069892</v>
      </c>
      <c r="G18" s="929">
        <v>1318092.237326415</v>
      </c>
      <c r="H18" s="926">
        <v>1028.1530712374531</v>
      </c>
      <c r="I18" s="927">
        <v>151.14000000000001</v>
      </c>
      <c r="J18" s="928">
        <v>7.4556463774590825E-2</v>
      </c>
      <c r="K18" s="929">
        <v>155395.05518682869</v>
      </c>
      <c r="L18" s="927">
        <v>687</v>
      </c>
      <c r="M18" s="926">
        <v>226.19367567223972</v>
      </c>
      <c r="N18" s="927">
        <v>34.979999999999997</v>
      </c>
      <c r="O18" s="928">
        <v>1.7255426113769928E-2</v>
      </c>
      <c r="P18" s="929">
        <v>35964.794431886112</v>
      </c>
      <c r="Q18" s="927">
        <v>583</v>
      </c>
      <c r="R18" s="926">
        <v>61.689184274247189</v>
      </c>
      <c r="S18" s="927">
        <v>301.5</v>
      </c>
      <c r="T18" s="928">
        <v>0.14872815818472365</v>
      </c>
      <c r="U18" s="929">
        <v>309988.1509780921</v>
      </c>
      <c r="V18" s="927">
        <v>201</v>
      </c>
      <c r="W18" s="926">
        <v>1542.2296068561795</v>
      </c>
      <c r="X18" s="927">
        <v>45</v>
      </c>
      <c r="Y18" s="928">
        <v>2.2198232564884127E-2</v>
      </c>
      <c r="Z18" s="929">
        <v>46266.888205685391</v>
      </c>
      <c r="AA18" s="927">
        <v>75</v>
      </c>
      <c r="AB18" s="926">
        <v>616.89184274247191</v>
      </c>
      <c r="AC18" s="927">
        <v>212.56842</v>
      </c>
      <c r="AD18" s="928">
        <v>0.10485873829133259</v>
      </c>
      <c r="AE18" s="929">
        <v>218552.87387109286</v>
      </c>
      <c r="AF18" s="927">
        <v>1282</v>
      </c>
      <c r="AG18" s="926">
        <v>170.4780607418821</v>
      </c>
      <c r="AH18" s="930"/>
      <c r="AI18" s="933">
        <v>2084260</v>
      </c>
      <c r="AJ18" s="932">
        <v>0</v>
      </c>
      <c r="AK18" s="933">
        <v>2084260</v>
      </c>
      <c r="AL18" s="932">
        <v>0</v>
      </c>
    </row>
    <row r="19" spans="1:38" s="406" customFormat="1" ht="16.149999999999999" customHeight="1" x14ac:dyDescent="0.2">
      <c r="A19" s="925">
        <v>13</v>
      </c>
      <c r="B19" s="925" t="s">
        <v>16</v>
      </c>
      <c r="C19" s="926">
        <v>6305284</v>
      </c>
      <c r="D19" s="927">
        <v>1905.9059</v>
      </c>
      <c r="E19" s="927">
        <v>1202</v>
      </c>
      <c r="F19" s="928">
        <v>0.63067122044168078</v>
      </c>
      <c r="G19" s="929">
        <v>3976561.1555114025</v>
      </c>
      <c r="H19" s="926">
        <v>3308.2871510078226</v>
      </c>
      <c r="I19" s="927">
        <v>210.76</v>
      </c>
      <c r="J19" s="928">
        <v>0.11058258437628006</v>
      </c>
      <c r="K19" s="929">
        <v>697254.59994640865</v>
      </c>
      <c r="L19" s="927">
        <v>958</v>
      </c>
      <c r="M19" s="926">
        <v>727.82317322172094</v>
      </c>
      <c r="N19" s="927">
        <v>37.769999999999996</v>
      </c>
      <c r="O19" s="928">
        <v>1.9817347750484427E-2</v>
      </c>
      <c r="P19" s="929">
        <v>124954.00569356546</v>
      </c>
      <c r="Q19" s="927">
        <v>629.5</v>
      </c>
      <c r="R19" s="926">
        <v>198.49722906046935</v>
      </c>
      <c r="S19" s="927">
        <v>250.5</v>
      </c>
      <c r="T19" s="928">
        <v>0.13143356133164813</v>
      </c>
      <c r="U19" s="929">
        <v>828725.93132745964</v>
      </c>
      <c r="V19" s="927">
        <v>167</v>
      </c>
      <c r="W19" s="926">
        <v>4962.4307265117341</v>
      </c>
      <c r="X19" s="927">
        <v>3</v>
      </c>
      <c r="Y19" s="928">
        <v>1.5740546267263248E-3</v>
      </c>
      <c r="Z19" s="929">
        <v>9924.8614530234681</v>
      </c>
      <c r="AA19" s="927">
        <v>5</v>
      </c>
      <c r="AB19" s="926">
        <v>1984.9722906046936</v>
      </c>
      <c r="AC19" s="927">
        <v>201.87589999999997</v>
      </c>
      <c r="AD19" s="928">
        <v>0.10592123147318028</v>
      </c>
      <c r="AE19" s="929">
        <v>667863.44606813998</v>
      </c>
      <c r="AF19" s="927">
        <v>1202</v>
      </c>
      <c r="AG19" s="926">
        <v>555.62682701176368</v>
      </c>
      <c r="AH19" s="930"/>
      <c r="AI19" s="933">
        <v>6305284</v>
      </c>
      <c r="AJ19" s="932">
        <v>0</v>
      </c>
      <c r="AK19" s="933">
        <v>6305283.9999999991</v>
      </c>
      <c r="AL19" s="932">
        <v>0</v>
      </c>
    </row>
    <row r="20" spans="1:38" s="406" customFormat="1" ht="16.149999999999999" customHeight="1" x14ac:dyDescent="0.2">
      <c r="A20" s="925">
        <v>14</v>
      </c>
      <c r="B20" s="925" t="s">
        <v>17</v>
      </c>
      <c r="C20" s="926">
        <v>9127551</v>
      </c>
      <c r="D20" s="927">
        <v>3022.3706000000002</v>
      </c>
      <c r="E20" s="927">
        <v>1708</v>
      </c>
      <c r="F20" s="928">
        <v>0.56511931395838744</v>
      </c>
      <c r="G20" s="929">
        <v>5158155.3592401929</v>
      </c>
      <c r="H20" s="926">
        <v>3019.9972829275134</v>
      </c>
      <c r="I20" s="927">
        <v>312.18</v>
      </c>
      <c r="J20" s="928">
        <v>0.10328978186857693</v>
      </c>
      <c r="K20" s="929">
        <v>942782.75178431126</v>
      </c>
      <c r="L20" s="927">
        <v>1419</v>
      </c>
      <c r="M20" s="926">
        <v>664.39940224405302</v>
      </c>
      <c r="N20" s="927">
        <v>47.19</v>
      </c>
      <c r="O20" s="928">
        <v>1.5613571677808139E-2</v>
      </c>
      <c r="P20" s="929">
        <v>142513.67178134935</v>
      </c>
      <c r="Q20" s="927">
        <v>786.5</v>
      </c>
      <c r="R20" s="926">
        <v>181.19983697565078</v>
      </c>
      <c r="S20" s="927">
        <v>603</v>
      </c>
      <c r="T20" s="928">
        <v>0.19951226365158528</v>
      </c>
      <c r="U20" s="929">
        <v>1821058.3616052908</v>
      </c>
      <c r="V20" s="927">
        <v>402</v>
      </c>
      <c r="W20" s="926">
        <v>4529.9959243912708</v>
      </c>
      <c r="X20" s="927">
        <v>88.2</v>
      </c>
      <c r="Y20" s="928">
        <v>2.918239080276919E-2</v>
      </c>
      <c r="Z20" s="929">
        <v>266363.76035420672</v>
      </c>
      <c r="AA20" s="927">
        <v>147</v>
      </c>
      <c r="AB20" s="926">
        <v>1811.9983697565083</v>
      </c>
      <c r="AC20" s="927">
        <v>263.80060000000003</v>
      </c>
      <c r="AD20" s="928">
        <v>8.728267804087296E-2</v>
      </c>
      <c r="AE20" s="929">
        <v>796677.09523464798</v>
      </c>
      <c r="AF20" s="927">
        <v>1708</v>
      </c>
      <c r="AG20" s="926">
        <v>466.43858034815457</v>
      </c>
      <c r="AH20" s="930"/>
      <c r="AI20" s="933">
        <v>9127551</v>
      </c>
      <c r="AJ20" s="932">
        <v>0</v>
      </c>
      <c r="AK20" s="933">
        <v>9127551</v>
      </c>
      <c r="AL20" s="932">
        <v>0</v>
      </c>
    </row>
    <row r="21" spans="1:38" s="407" customFormat="1" ht="16.149999999999999" customHeight="1" x14ac:dyDescent="0.2">
      <c r="A21" s="934">
        <v>15</v>
      </c>
      <c r="B21" s="934" t="s">
        <v>18</v>
      </c>
      <c r="C21" s="935">
        <v>17414300</v>
      </c>
      <c r="D21" s="936">
        <v>5358.06376</v>
      </c>
      <c r="E21" s="937">
        <v>3522</v>
      </c>
      <c r="F21" s="938">
        <v>0.65732700426095714</v>
      </c>
      <c r="G21" s="939">
        <v>11446889.650301585</v>
      </c>
      <c r="H21" s="935">
        <v>3250.1106332486047</v>
      </c>
      <c r="I21" s="936">
        <v>631.17999999999995</v>
      </c>
      <c r="J21" s="938">
        <v>0.11780001662391563</v>
      </c>
      <c r="K21" s="939">
        <v>2051404.829493854</v>
      </c>
      <c r="L21" s="936">
        <v>2869</v>
      </c>
      <c r="M21" s="935">
        <v>715.02433931469295</v>
      </c>
      <c r="N21" s="936">
        <v>110.97</v>
      </c>
      <c r="O21" s="938">
        <v>2.0710839767983651E-2</v>
      </c>
      <c r="P21" s="939">
        <v>360664.77697159769</v>
      </c>
      <c r="Q21" s="936">
        <v>1849.5</v>
      </c>
      <c r="R21" s="935">
        <v>195.0066379949163</v>
      </c>
      <c r="S21" s="936">
        <v>646.5</v>
      </c>
      <c r="T21" s="938">
        <v>0.12065925844824213</v>
      </c>
      <c r="U21" s="939">
        <v>2101196.5243952228</v>
      </c>
      <c r="V21" s="936">
        <v>431</v>
      </c>
      <c r="W21" s="935">
        <v>4875.1659498729068</v>
      </c>
      <c r="X21" s="936">
        <v>73.8</v>
      </c>
      <c r="Y21" s="938">
        <v>1.3773632286899101E-2</v>
      </c>
      <c r="Z21" s="939">
        <v>239858.16473374702</v>
      </c>
      <c r="AA21" s="936">
        <v>123</v>
      </c>
      <c r="AB21" s="935">
        <v>1950.0663799491629</v>
      </c>
      <c r="AC21" s="936">
        <v>373.61375999999996</v>
      </c>
      <c r="AD21" s="938">
        <v>6.9729248612002331E-2</v>
      </c>
      <c r="AE21" s="939">
        <v>1214286.0541039922</v>
      </c>
      <c r="AF21" s="937">
        <v>3522</v>
      </c>
      <c r="AG21" s="935">
        <v>344.77173597501195</v>
      </c>
      <c r="AH21" s="930"/>
      <c r="AI21" s="940">
        <v>17414300</v>
      </c>
      <c r="AJ21" s="940">
        <v>0</v>
      </c>
      <c r="AK21" s="940">
        <v>17414299.999999996</v>
      </c>
      <c r="AL21" s="940">
        <v>0</v>
      </c>
    </row>
    <row r="22" spans="1:38" s="406" customFormat="1" ht="16.149999999999999" customHeight="1" x14ac:dyDescent="0.2">
      <c r="A22" s="925">
        <v>16</v>
      </c>
      <c r="B22" s="925" t="s">
        <v>19</v>
      </c>
      <c r="C22" s="926">
        <v>8449467</v>
      </c>
      <c r="D22" s="927">
        <v>6846.61067</v>
      </c>
      <c r="E22" s="927">
        <v>4807</v>
      </c>
      <c r="F22" s="928">
        <v>0.70209921838596379</v>
      </c>
      <c r="G22" s="929">
        <v>5932364.1764779938</v>
      </c>
      <c r="H22" s="926">
        <v>1234.1094604697303</v>
      </c>
      <c r="I22" s="927">
        <v>639.32000000000005</v>
      </c>
      <c r="J22" s="928">
        <v>9.3377589410966175E-2</v>
      </c>
      <c r="K22" s="929">
        <v>788990.86026750808</v>
      </c>
      <c r="L22" s="927">
        <v>2906</v>
      </c>
      <c r="M22" s="926">
        <v>271.50408130334068</v>
      </c>
      <c r="N22" s="927">
        <v>144.6</v>
      </c>
      <c r="O22" s="928">
        <v>2.1119939042773116E-2</v>
      </c>
      <c r="P22" s="929">
        <v>178452.22798392302</v>
      </c>
      <c r="Q22" s="927">
        <v>2410</v>
      </c>
      <c r="R22" s="926">
        <v>74.046567628183823</v>
      </c>
      <c r="S22" s="927">
        <v>763.5</v>
      </c>
      <c r="T22" s="928">
        <v>0.1115150308378788</v>
      </c>
      <c r="U22" s="929">
        <v>942242.57306863926</v>
      </c>
      <c r="V22" s="927">
        <v>509</v>
      </c>
      <c r="W22" s="926">
        <v>1851.1641907045957</v>
      </c>
      <c r="X22" s="927">
        <v>147</v>
      </c>
      <c r="Y22" s="928">
        <v>2.1470477450122046E-2</v>
      </c>
      <c r="Z22" s="929">
        <v>181414.09068905038</v>
      </c>
      <c r="AA22" s="927">
        <v>245</v>
      </c>
      <c r="AB22" s="926">
        <v>740.46567628183834</v>
      </c>
      <c r="AC22" s="927">
        <v>345.19067000000001</v>
      </c>
      <c r="AD22" s="928">
        <v>5.0417744872296062E-2</v>
      </c>
      <c r="AE22" s="929">
        <v>426003.07151288481</v>
      </c>
      <c r="AF22" s="927">
        <v>4807</v>
      </c>
      <c r="AG22" s="926">
        <v>88.62140035633135</v>
      </c>
      <c r="AH22" s="930"/>
      <c r="AI22" s="933">
        <v>8449467</v>
      </c>
      <c r="AJ22" s="932">
        <v>0</v>
      </c>
      <c r="AK22" s="933">
        <v>8449466.9999999981</v>
      </c>
      <c r="AL22" s="932">
        <v>0</v>
      </c>
    </row>
    <row r="23" spans="1:38" s="406" customFormat="1" ht="16.149999999999999" customHeight="1" x14ac:dyDescent="0.2">
      <c r="A23" s="925">
        <v>17</v>
      </c>
      <c r="B23" s="925" t="s">
        <v>20</v>
      </c>
      <c r="C23" s="926">
        <v>127930370</v>
      </c>
      <c r="D23" s="927">
        <v>63253.270000000004</v>
      </c>
      <c r="E23" s="927">
        <v>45208</v>
      </c>
      <c r="F23" s="928">
        <v>0.71471403770903852</v>
      </c>
      <c r="G23" s="929">
        <v>91433631.288311243</v>
      </c>
      <c r="H23" s="926">
        <v>2022.5099824878614</v>
      </c>
      <c r="I23" s="927">
        <v>8071.14</v>
      </c>
      <c r="J23" s="928">
        <v>0.12760035963358099</v>
      </c>
      <c r="K23" s="929">
        <v>16323961.22005708</v>
      </c>
      <c r="L23" s="927">
        <v>36687</v>
      </c>
      <c r="M23" s="926">
        <v>444.95219614732957</v>
      </c>
      <c r="N23" s="927">
        <v>1226.43</v>
      </c>
      <c r="O23" s="928">
        <v>1.9389195214729611E-2</v>
      </c>
      <c r="P23" s="929">
        <v>2480466.9178225887</v>
      </c>
      <c r="Q23" s="927">
        <v>20440.5</v>
      </c>
      <c r="R23" s="926">
        <v>121.35059894927173</v>
      </c>
      <c r="S23" s="927">
        <v>7813.5</v>
      </c>
      <c r="T23" s="928">
        <v>0.12352721052998523</v>
      </c>
      <c r="U23" s="929">
        <v>15802881.748168908</v>
      </c>
      <c r="V23" s="927">
        <v>5209</v>
      </c>
      <c r="W23" s="926">
        <v>3033.7649737317925</v>
      </c>
      <c r="X23" s="927">
        <v>934.19999999999993</v>
      </c>
      <c r="Y23" s="928">
        <v>1.476919691266554E-2</v>
      </c>
      <c r="Z23" s="929">
        <v>1889428.8256401604</v>
      </c>
      <c r="AA23" s="927">
        <v>1557</v>
      </c>
      <c r="AB23" s="926">
        <v>1213.5059894927169</v>
      </c>
      <c r="AC23" s="927">
        <v>0</v>
      </c>
      <c r="AD23" s="928">
        <v>0</v>
      </c>
      <c r="AE23" s="929">
        <v>0</v>
      </c>
      <c r="AF23" s="927">
        <v>45208</v>
      </c>
      <c r="AG23" s="926">
        <v>0</v>
      </c>
      <c r="AH23" s="930"/>
      <c r="AI23" s="933">
        <v>127930369.99999997</v>
      </c>
      <c r="AJ23" s="932">
        <v>0</v>
      </c>
      <c r="AK23" s="933">
        <v>127930369.99999997</v>
      </c>
      <c r="AL23" s="932">
        <v>0</v>
      </c>
    </row>
    <row r="24" spans="1:38" s="406" customFormat="1" ht="16.149999999999999" customHeight="1" x14ac:dyDescent="0.2">
      <c r="A24" s="925">
        <v>18</v>
      </c>
      <c r="B24" s="925" t="s">
        <v>21</v>
      </c>
      <c r="C24" s="926">
        <v>4388968</v>
      </c>
      <c r="D24" s="927">
        <v>1409.5962399999999</v>
      </c>
      <c r="E24" s="927">
        <v>879</v>
      </c>
      <c r="F24" s="928">
        <v>0.62358282113465346</v>
      </c>
      <c r="G24" s="929">
        <v>2736885.0473097176</v>
      </c>
      <c r="H24" s="926">
        <v>3113.6348661088937</v>
      </c>
      <c r="I24" s="927">
        <v>187</v>
      </c>
      <c r="J24" s="928">
        <v>0.13266210187961341</v>
      </c>
      <c r="K24" s="929">
        <v>582249.71996236313</v>
      </c>
      <c r="L24" s="927">
        <v>850</v>
      </c>
      <c r="M24" s="926">
        <v>684.99967054395665</v>
      </c>
      <c r="N24" s="927">
        <v>32.4</v>
      </c>
      <c r="O24" s="928">
        <v>2.2985305352403607E-2</v>
      </c>
      <c r="P24" s="929">
        <v>100881.76966192815</v>
      </c>
      <c r="Q24" s="927">
        <v>540</v>
      </c>
      <c r="R24" s="926">
        <v>186.81809196653361</v>
      </c>
      <c r="S24" s="927">
        <v>156</v>
      </c>
      <c r="T24" s="928">
        <v>0.11066998873379516</v>
      </c>
      <c r="U24" s="929">
        <v>485727.03911298746</v>
      </c>
      <c r="V24" s="927">
        <v>104</v>
      </c>
      <c r="W24" s="926">
        <v>4670.4522991633412</v>
      </c>
      <c r="X24" s="927">
        <v>0</v>
      </c>
      <c r="Y24" s="928">
        <v>0</v>
      </c>
      <c r="Z24" s="929">
        <v>0</v>
      </c>
      <c r="AA24" s="927">
        <v>0</v>
      </c>
      <c r="AB24" s="926">
        <v>0</v>
      </c>
      <c r="AC24" s="927">
        <v>155.19623999999999</v>
      </c>
      <c r="AD24" s="928">
        <v>0.11009978289953441</v>
      </c>
      <c r="AE24" s="929">
        <v>483224.42395300377</v>
      </c>
      <c r="AF24" s="927">
        <v>879</v>
      </c>
      <c r="AG24" s="926">
        <v>549.74337196018632</v>
      </c>
      <c r="AH24" s="930"/>
      <c r="AI24" s="933">
        <v>4388968</v>
      </c>
      <c r="AJ24" s="932">
        <v>0</v>
      </c>
      <c r="AK24" s="933">
        <v>4388968</v>
      </c>
      <c r="AL24" s="932">
        <v>0</v>
      </c>
    </row>
    <row r="25" spans="1:38" s="406" customFormat="1" ht="16.149999999999999" customHeight="1" x14ac:dyDescent="0.2">
      <c r="A25" s="925">
        <v>19</v>
      </c>
      <c r="B25" s="925" t="s">
        <v>22</v>
      </c>
      <c r="C25" s="926">
        <v>7381971</v>
      </c>
      <c r="D25" s="927">
        <v>2812.6818400000002</v>
      </c>
      <c r="E25" s="927">
        <v>1791</v>
      </c>
      <c r="F25" s="928">
        <v>0.63675883085304807</v>
      </c>
      <c r="G25" s="929">
        <v>4700535.223351106</v>
      </c>
      <c r="H25" s="926">
        <v>2624.5311129821921</v>
      </c>
      <c r="I25" s="927">
        <v>349.36</v>
      </c>
      <c r="J25" s="928">
        <v>0.12420885826176487</v>
      </c>
      <c r="K25" s="929">
        <v>916906.1896314586</v>
      </c>
      <c r="L25" s="927">
        <v>1588</v>
      </c>
      <c r="M25" s="926">
        <v>577.39684485608223</v>
      </c>
      <c r="N25" s="927">
        <v>34.26</v>
      </c>
      <c r="O25" s="928">
        <v>1.218054580961777E-2</v>
      </c>
      <c r="P25" s="929">
        <v>89916.435930769891</v>
      </c>
      <c r="Q25" s="927">
        <v>571</v>
      </c>
      <c r="R25" s="926">
        <v>157.47186677893151</v>
      </c>
      <c r="S25" s="927">
        <v>342</v>
      </c>
      <c r="T25" s="928">
        <v>0.12159213855485339</v>
      </c>
      <c r="U25" s="929">
        <v>897589.64063990966</v>
      </c>
      <c r="V25" s="927">
        <v>228</v>
      </c>
      <c r="W25" s="926">
        <v>3936.7966694732881</v>
      </c>
      <c r="X25" s="927">
        <v>23.4</v>
      </c>
      <c r="Y25" s="928">
        <v>8.3194621116478625E-3</v>
      </c>
      <c r="Z25" s="929">
        <v>61414.028043783284</v>
      </c>
      <c r="AA25" s="927">
        <v>39</v>
      </c>
      <c r="AB25" s="926">
        <v>1574.7186677893151</v>
      </c>
      <c r="AC25" s="927">
        <v>272.66183999999998</v>
      </c>
      <c r="AD25" s="928">
        <v>9.6940164409068025E-2</v>
      </c>
      <c r="AE25" s="929">
        <v>715609.48240297229</v>
      </c>
      <c r="AF25" s="927">
        <v>1791</v>
      </c>
      <c r="AG25" s="926">
        <v>399.5586166404089</v>
      </c>
      <c r="AH25" s="930"/>
      <c r="AI25" s="933">
        <v>7381971</v>
      </c>
      <c r="AJ25" s="932">
        <v>0</v>
      </c>
      <c r="AK25" s="933">
        <v>7381970.9999999991</v>
      </c>
      <c r="AL25" s="932">
        <v>0</v>
      </c>
    </row>
    <row r="26" spans="1:38" s="407" customFormat="1" ht="16.149999999999999" customHeight="1" x14ac:dyDescent="0.2">
      <c r="A26" s="934">
        <v>20</v>
      </c>
      <c r="B26" s="934" t="s">
        <v>23</v>
      </c>
      <c r="C26" s="935">
        <v>26509890</v>
      </c>
      <c r="D26" s="936">
        <v>8272.898799999999</v>
      </c>
      <c r="E26" s="937">
        <v>5560</v>
      </c>
      <c r="F26" s="938">
        <v>0.67207397726175511</v>
      </c>
      <c r="G26" s="939">
        <v>17816607.209071629</v>
      </c>
      <c r="H26" s="935">
        <v>3204.4257570272712</v>
      </c>
      <c r="I26" s="936">
        <v>910.58</v>
      </c>
      <c r="J26" s="938">
        <v>0.1100678277365124</v>
      </c>
      <c r="K26" s="939">
        <v>2917886.0058338926</v>
      </c>
      <c r="L26" s="936">
        <v>4139</v>
      </c>
      <c r="M26" s="935">
        <v>704.97366654599966</v>
      </c>
      <c r="N26" s="936">
        <v>135.6</v>
      </c>
      <c r="O26" s="938">
        <v>1.6390868941851437E-2</v>
      </c>
      <c r="P26" s="939">
        <v>434520.13265289797</v>
      </c>
      <c r="Q26" s="936">
        <v>2260</v>
      </c>
      <c r="R26" s="935">
        <v>192.26554542163626</v>
      </c>
      <c r="S26" s="936">
        <v>1300.5</v>
      </c>
      <c r="T26" s="938">
        <v>0.15720003730735835</v>
      </c>
      <c r="U26" s="939">
        <v>4167355.6970139658</v>
      </c>
      <c r="V26" s="936">
        <v>867</v>
      </c>
      <c r="W26" s="935">
        <v>4806.6386355409068</v>
      </c>
      <c r="X26" s="936">
        <v>78.599999999999994</v>
      </c>
      <c r="Y26" s="938">
        <v>9.5009019087722926E-3</v>
      </c>
      <c r="Z26" s="939">
        <v>251867.86450234352</v>
      </c>
      <c r="AA26" s="936">
        <v>131</v>
      </c>
      <c r="AB26" s="935">
        <v>1922.6554542163628</v>
      </c>
      <c r="AC26" s="936">
        <v>287.61879999999996</v>
      </c>
      <c r="AD26" s="938">
        <v>3.4766386843750587E-2</v>
      </c>
      <c r="AE26" s="939">
        <v>921653.09092527523</v>
      </c>
      <c r="AF26" s="937">
        <v>5560</v>
      </c>
      <c r="AG26" s="935">
        <v>165.76494441102074</v>
      </c>
      <c r="AH26" s="930"/>
      <c r="AI26" s="940">
        <v>26509890.000000004</v>
      </c>
      <c r="AJ26" s="940">
        <v>0</v>
      </c>
      <c r="AK26" s="940">
        <v>26509890.000000007</v>
      </c>
      <c r="AL26" s="940">
        <v>0</v>
      </c>
    </row>
    <row r="27" spans="1:38" s="406" customFormat="1" ht="16.149999999999999" customHeight="1" x14ac:dyDescent="0.2">
      <c r="A27" s="925">
        <v>21</v>
      </c>
      <c r="B27" s="925" t="s">
        <v>24</v>
      </c>
      <c r="C27" s="926">
        <v>15290730</v>
      </c>
      <c r="D27" s="927">
        <v>4694.5334999999995</v>
      </c>
      <c r="E27" s="927">
        <v>2878</v>
      </c>
      <c r="F27" s="928">
        <v>0.61305345887935414</v>
      </c>
      <c r="G27" s="929">
        <v>9374034.9152903073</v>
      </c>
      <c r="H27" s="926">
        <v>3257.1351338743248</v>
      </c>
      <c r="I27" s="927">
        <v>525.58000000000004</v>
      </c>
      <c r="J27" s="928">
        <v>0.11195574597561186</v>
      </c>
      <c r="K27" s="929">
        <v>1711885.0836616675</v>
      </c>
      <c r="L27" s="927">
        <v>2389</v>
      </c>
      <c r="M27" s="926">
        <v>716.56972945235145</v>
      </c>
      <c r="N27" s="927">
        <v>68.039999999999992</v>
      </c>
      <c r="O27" s="928">
        <v>1.4493452863846856E-2</v>
      </c>
      <c r="P27" s="929">
        <v>221615.47450880904</v>
      </c>
      <c r="Q27" s="927">
        <v>1134</v>
      </c>
      <c r="R27" s="926">
        <v>195.42810803245948</v>
      </c>
      <c r="S27" s="927">
        <v>798</v>
      </c>
      <c r="T27" s="928">
        <v>0.16998494099573475</v>
      </c>
      <c r="U27" s="929">
        <v>2599193.8368317112</v>
      </c>
      <c r="V27" s="927">
        <v>532</v>
      </c>
      <c r="W27" s="926">
        <v>4885.7027008114874</v>
      </c>
      <c r="X27" s="927">
        <v>70.2</v>
      </c>
      <c r="Y27" s="928">
        <v>1.4953562478572154E-2</v>
      </c>
      <c r="Z27" s="929">
        <v>228650.88639797759</v>
      </c>
      <c r="AA27" s="927">
        <v>117</v>
      </c>
      <c r="AB27" s="926">
        <v>1954.2810803245948</v>
      </c>
      <c r="AC27" s="927">
        <v>354.71350000000001</v>
      </c>
      <c r="AD27" s="928">
        <v>7.5558838806880399E-2</v>
      </c>
      <c r="AE27" s="929">
        <v>1155349.8033095303</v>
      </c>
      <c r="AF27" s="927">
        <v>2878</v>
      </c>
      <c r="AG27" s="926">
        <v>401.44190525001051</v>
      </c>
      <c r="AH27" s="930"/>
      <c r="AI27" s="933">
        <v>15290730.000000004</v>
      </c>
      <c r="AJ27" s="932">
        <v>0</v>
      </c>
      <c r="AK27" s="933">
        <v>15290730.000000004</v>
      </c>
      <c r="AL27" s="932">
        <v>0</v>
      </c>
    </row>
    <row r="28" spans="1:38" s="406" customFormat="1" ht="16.149999999999999" customHeight="1" x14ac:dyDescent="0.2">
      <c r="A28" s="925">
        <v>22</v>
      </c>
      <c r="B28" s="925" t="s">
        <v>25</v>
      </c>
      <c r="C28" s="926">
        <v>16433846</v>
      </c>
      <c r="D28" s="927">
        <v>4646.2021700000005</v>
      </c>
      <c r="E28" s="927">
        <v>2843</v>
      </c>
      <c r="F28" s="928">
        <v>0.61189760926825953</v>
      </c>
      <c r="G28" s="929">
        <v>10055831.078482751</v>
      </c>
      <c r="H28" s="926">
        <v>3537.0492713622057</v>
      </c>
      <c r="I28" s="927">
        <v>472.34</v>
      </c>
      <c r="J28" s="928">
        <v>0.1016615254174357</v>
      </c>
      <c r="K28" s="929">
        <v>1670689.852835224</v>
      </c>
      <c r="L28" s="927">
        <v>2147</v>
      </c>
      <c r="M28" s="926">
        <v>778.15083969968509</v>
      </c>
      <c r="N28" s="927">
        <v>96.39</v>
      </c>
      <c r="O28" s="928">
        <v>2.0745976277653021E-2</v>
      </c>
      <c r="P28" s="929">
        <v>340936.17926660302</v>
      </c>
      <c r="Q28" s="927">
        <v>1606.5</v>
      </c>
      <c r="R28" s="926">
        <v>212.22295628173237</v>
      </c>
      <c r="S28" s="927">
        <v>870</v>
      </c>
      <c r="T28" s="928">
        <v>0.18724970807716701</v>
      </c>
      <c r="U28" s="929">
        <v>3077232.8660851186</v>
      </c>
      <c r="V28" s="927">
        <v>580</v>
      </c>
      <c r="W28" s="926">
        <v>5305.5739070433083</v>
      </c>
      <c r="X28" s="927">
        <v>11.4</v>
      </c>
      <c r="Y28" s="928">
        <v>2.4536168644594299E-3</v>
      </c>
      <c r="Z28" s="929">
        <v>40322.361693529143</v>
      </c>
      <c r="AA28" s="927">
        <v>19</v>
      </c>
      <c r="AB28" s="926">
        <v>2122.2295628173233</v>
      </c>
      <c r="AC28" s="927">
        <v>353.07216999999997</v>
      </c>
      <c r="AD28" s="928">
        <v>7.5991564095025152E-2</v>
      </c>
      <c r="AE28" s="929">
        <v>1248833.6616367728</v>
      </c>
      <c r="AF28" s="927">
        <v>2843</v>
      </c>
      <c r="AG28" s="926">
        <v>439.2661490104723</v>
      </c>
      <c r="AH28" s="930"/>
      <c r="AI28" s="933">
        <v>16433845.999999998</v>
      </c>
      <c r="AJ28" s="932">
        <v>0</v>
      </c>
      <c r="AK28" s="933">
        <v>16433845.999999998</v>
      </c>
      <c r="AL28" s="932">
        <v>0</v>
      </c>
    </row>
    <row r="29" spans="1:38" s="406" customFormat="1" ht="16.149999999999999" customHeight="1" x14ac:dyDescent="0.2">
      <c r="A29" s="925">
        <v>23</v>
      </c>
      <c r="B29" s="925" t="s">
        <v>26</v>
      </c>
      <c r="C29" s="926">
        <v>50478207</v>
      </c>
      <c r="D29" s="927">
        <v>17283.559999999998</v>
      </c>
      <c r="E29" s="927">
        <v>12047</v>
      </c>
      <c r="F29" s="928">
        <v>0.69702075266901042</v>
      </c>
      <c r="G29" s="929">
        <v>35184357.83652211</v>
      </c>
      <c r="H29" s="926">
        <v>2920.5908389243887</v>
      </c>
      <c r="I29" s="927">
        <v>1970.1</v>
      </c>
      <c r="J29" s="928">
        <v>0.11398693324754855</v>
      </c>
      <c r="K29" s="929">
        <v>5753856.011764938</v>
      </c>
      <c r="L29" s="927">
        <v>8955</v>
      </c>
      <c r="M29" s="926">
        <v>642.52998456336547</v>
      </c>
      <c r="N29" s="927">
        <v>391.26</v>
      </c>
      <c r="O29" s="928">
        <v>2.2637697326245289E-2</v>
      </c>
      <c r="P29" s="929">
        <v>1142710.3716375562</v>
      </c>
      <c r="Q29" s="927">
        <v>6521</v>
      </c>
      <c r="R29" s="926">
        <v>175.2354503354633</v>
      </c>
      <c r="S29" s="927">
        <v>2637</v>
      </c>
      <c r="T29" s="928">
        <v>0.15257273385807094</v>
      </c>
      <c r="U29" s="929">
        <v>7701598.0422436129</v>
      </c>
      <c r="V29" s="927">
        <v>1758</v>
      </c>
      <c r="W29" s="926">
        <v>4380.886258386583</v>
      </c>
      <c r="X29" s="927">
        <v>238.2</v>
      </c>
      <c r="Y29" s="928">
        <v>1.378188289912495E-2</v>
      </c>
      <c r="Z29" s="929">
        <v>695684.73783178942</v>
      </c>
      <c r="AA29" s="927">
        <v>397</v>
      </c>
      <c r="AB29" s="926">
        <v>1752.3545033546334</v>
      </c>
      <c r="AC29" s="927">
        <v>0</v>
      </c>
      <c r="AD29" s="928">
        <v>0</v>
      </c>
      <c r="AE29" s="929">
        <v>0</v>
      </c>
      <c r="AF29" s="927">
        <v>12047</v>
      </c>
      <c r="AG29" s="926">
        <v>0</v>
      </c>
      <c r="AH29" s="930"/>
      <c r="AI29" s="933">
        <v>50478207.000000007</v>
      </c>
      <c r="AJ29" s="932">
        <v>0</v>
      </c>
      <c r="AK29" s="933">
        <v>50478207</v>
      </c>
      <c r="AL29" s="932">
        <v>0</v>
      </c>
    </row>
    <row r="30" spans="1:38" s="406" customFormat="1" ht="16.149999999999999" customHeight="1" x14ac:dyDescent="0.2">
      <c r="A30" s="925">
        <v>24</v>
      </c>
      <c r="B30" s="925" t="s">
        <v>27</v>
      </c>
      <c r="C30" s="926">
        <v>7370331</v>
      </c>
      <c r="D30" s="927">
        <v>6422.0849500000004</v>
      </c>
      <c r="E30" s="927">
        <v>4363</v>
      </c>
      <c r="F30" s="928">
        <v>0.6793743829252834</v>
      </c>
      <c r="G30" s="929">
        <v>5007214.0750800874</v>
      </c>
      <c r="H30" s="926">
        <v>1147.6539250699261</v>
      </c>
      <c r="I30" s="927">
        <v>758.78</v>
      </c>
      <c r="J30" s="928">
        <v>0.11815166038873402</v>
      </c>
      <c r="K30" s="929">
        <v>870816.84526455845</v>
      </c>
      <c r="L30" s="927">
        <v>3449</v>
      </c>
      <c r="M30" s="926">
        <v>252.48386351538372</v>
      </c>
      <c r="N30" s="927">
        <v>109.44</v>
      </c>
      <c r="O30" s="928">
        <v>1.7041194697992899E-2</v>
      </c>
      <c r="P30" s="929">
        <v>125599.2455596527</v>
      </c>
      <c r="Q30" s="927">
        <v>1824</v>
      </c>
      <c r="R30" s="926">
        <v>68.859235504195553</v>
      </c>
      <c r="S30" s="927">
        <v>736.5</v>
      </c>
      <c r="T30" s="928">
        <v>0.11468238208216164</v>
      </c>
      <c r="U30" s="929">
        <v>845247.11581400048</v>
      </c>
      <c r="V30" s="927">
        <v>491</v>
      </c>
      <c r="W30" s="926">
        <v>1721.4808876048889</v>
      </c>
      <c r="X30" s="927">
        <v>89.399999999999991</v>
      </c>
      <c r="Y30" s="928">
        <v>1.392071277412797E-2</v>
      </c>
      <c r="Z30" s="929">
        <v>102600.26090125137</v>
      </c>
      <c r="AA30" s="927">
        <v>149</v>
      </c>
      <c r="AB30" s="926">
        <v>688.59235504195556</v>
      </c>
      <c r="AC30" s="927">
        <v>364.96494999999999</v>
      </c>
      <c r="AD30" s="928">
        <v>5.6829667131699957E-2</v>
      </c>
      <c r="AE30" s="929">
        <v>418853.45738044928</v>
      </c>
      <c r="AF30" s="927">
        <v>4363</v>
      </c>
      <c r="AG30" s="926">
        <v>96.001250832099302</v>
      </c>
      <c r="AH30" s="930"/>
      <c r="AI30" s="933">
        <v>7370331</v>
      </c>
      <c r="AJ30" s="932">
        <v>0</v>
      </c>
      <c r="AK30" s="933">
        <v>7370331</v>
      </c>
      <c r="AL30" s="932">
        <v>0</v>
      </c>
    </row>
    <row r="31" spans="1:38" s="407" customFormat="1" ht="16.149999999999999" customHeight="1" x14ac:dyDescent="0.2">
      <c r="A31" s="934">
        <v>25</v>
      </c>
      <c r="B31" s="934" t="s">
        <v>28</v>
      </c>
      <c r="C31" s="935">
        <v>8942831</v>
      </c>
      <c r="D31" s="936">
        <v>3344.0978100000002</v>
      </c>
      <c r="E31" s="937">
        <v>2209</v>
      </c>
      <c r="F31" s="938">
        <v>0.66056680321799555</v>
      </c>
      <c r="G31" s="939">
        <v>5907337.2853887901</v>
      </c>
      <c r="H31" s="935">
        <v>2674.2133478446312</v>
      </c>
      <c r="I31" s="936">
        <v>348.92</v>
      </c>
      <c r="J31" s="938">
        <v>0.10433905340824944</v>
      </c>
      <c r="K31" s="939">
        <v>933086.52132994868</v>
      </c>
      <c r="L31" s="936">
        <v>1586</v>
      </c>
      <c r="M31" s="935">
        <v>588.32693652581884</v>
      </c>
      <c r="N31" s="936">
        <v>98.61</v>
      </c>
      <c r="O31" s="938">
        <v>2.9487773863887071E-2</v>
      </c>
      <c r="P31" s="939">
        <v>263704.17823095911</v>
      </c>
      <c r="Q31" s="936">
        <v>1643.5</v>
      </c>
      <c r="R31" s="935">
        <v>160.45280087067789</v>
      </c>
      <c r="S31" s="936">
        <v>325.5</v>
      </c>
      <c r="T31" s="938">
        <v>9.7335669736286809E-2</v>
      </c>
      <c r="U31" s="939">
        <v>870456.44472342753</v>
      </c>
      <c r="V31" s="936">
        <v>217</v>
      </c>
      <c r="W31" s="935">
        <v>4011.3200217669473</v>
      </c>
      <c r="X31" s="936">
        <v>50.4</v>
      </c>
      <c r="Y31" s="938">
        <v>1.5071329507554085E-2</v>
      </c>
      <c r="Z31" s="939">
        <v>134780.35273136941</v>
      </c>
      <c r="AA31" s="936">
        <v>84</v>
      </c>
      <c r="AB31" s="935">
        <v>1604.5280087067786</v>
      </c>
      <c r="AC31" s="936">
        <v>311.66780999999997</v>
      </c>
      <c r="AD31" s="938">
        <v>9.3199370266026982E-2</v>
      </c>
      <c r="AE31" s="939">
        <v>833466.21759550436</v>
      </c>
      <c r="AF31" s="937">
        <v>2209</v>
      </c>
      <c r="AG31" s="935">
        <v>377.30476124739897</v>
      </c>
      <c r="AH31" s="930"/>
      <c r="AI31" s="940">
        <v>8942831</v>
      </c>
      <c r="AJ31" s="940">
        <v>0</v>
      </c>
      <c r="AK31" s="940">
        <v>8942830.9999999981</v>
      </c>
      <c r="AL31" s="940">
        <v>0</v>
      </c>
    </row>
    <row r="32" spans="1:38" s="406" customFormat="1" ht="16.149999999999999" customHeight="1" x14ac:dyDescent="0.2">
      <c r="A32" s="925">
        <v>26</v>
      </c>
      <c r="B32" s="925" t="s">
        <v>29</v>
      </c>
      <c r="C32" s="926">
        <v>161894817</v>
      </c>
      <c r="D32" s="927">
        <v>73028.350000000006</v>
      </c>
      <c r="E32" s="927">
        <v>50879</v>
      </c>
      <c r="F32" s="928">
        <v>0.69670203421000199</v>
      </c>
      <c r="G32" s="929">
        <v>112792448.33195601</v>
      </c>
      <c r="H32" s="926">
        <v>2216.8762816084441</v>
      </c>
      <c r="I32" s="927">
        <v>9075.44</v>
      </c>
      <c r="J32" s="928">
        <v>0.12427283376935122</v>
      </c>
      <c r="K32" s="929">
        <v>20119127.681160536</v>
      </c>
      <c r="L32" s="927">
        <v>41252</v>
      </c>
      <c r="M32" s="926">
        <v>487.71278195385764</v>
      </c>
      <c r="N32" s="927">
        <v>1069.1099999999999</v>
      </c>
      <c r="O32" s="928">
        <v>1.4639657064687889E-2</v>
      </c>
      <c r="P32" s="929">
        <v>2370084.6014304031</v>
      </c>
      <c r="Q32" s="927">
        <v>17818.5</v>
      </c>
      <c r="R32" s="926">
        <v>133.0125768965066</v>
      </c>
      <c r="S32" s="927">
        <v>10191</v>
      </c>
      <c r="T32" s="928">
        <v>0.13954854518827275</v>
      </c>
      <c r="U32" s="929">
        <v>22592186.18587165</v>
      </c>
      <c r="V32" s="927">
        <v>6794</v>
      </c>
      <c r="W32" s="926">
        <v>3325.3144224126654</v>
      </c>
      <c r="X32" s="927">
        <v>1813.8</v>
      </c>
      <c r="Y32" s="928">
        <v>2.483692976768611E-2</v>
      </c>
      <c r="Z32" s="929">
        <v>4020970.1995813954</v>
      </c>
      <c r="AA32" s="927">
        <v>3023</v>
      </c>
      <c r="AB32" s="926">
        <v>1330.1257689650663</v>
      </c>
      <c r="AC32" s="927">
        <v>0</v>
      </c>
      <c r="AD32" s="928">
        <v>0</v>
      </c>
      <c r="AE32" s="929">
        <v>0</v>
      </c>
      <c r="AF32" s="927">
        <v>50879</v>
      </c>
      <c r="AG32" s="926">
        <v>0</v>
      </c>
      <c r="AH32" s="930"/>
      <c r="AI32" s="933">
        <v>161894817</v>
      </c>
      <c r="AJ32" s="932">
        <v>0</v>
      </c>
      <c r="AK32" s="933">
        <v>161894817.00000003</v>
      </c>
      <c r="AL32" s="932">
        <v>0</v>
      </c>
    </row>
    <row r="33" spans="1:38" s="406" customFormat="1" ht="16.149999999999999" customHeight="1" x14ac:dyDescent="0.2">
      <c r="A33" s="925">
        <v>27</v>
      </c>
      <c r="B33" s="925" t="s">
        <v>30</v>
      </c>
      <c r="C33" s="926">
        <v>25208418</v>
      </c>
      <c r="D33" s="927">
        <v>7995.3150700000006</v>
      </c>
      <c r="E33" s="927">
        <v>5489</v>
      </c>
      <c r="F33" s="928">
        <v>0.68652704139150322</v>
      </c>
      <c r="G33" s="929">
        <v>17306260.627700314</v>
      </c>
      <c r="H33" s="926">
        <v>3152.8986386774118</v>
      </c>
      <c r="I33" s="927">
        <v>783.64</v>
      </c>
      <c r="J33" s="928">
        <v>9.8012397652766911E-2</v>
      </c>
      <c r="K33" s="929">
        <v>2470737.4892131672</v>
      </c>
      <c r="L33" s="927">
        <v>3562</v>
      </c>
      <c r="M33" s="926">
        <v>693.63770050903065</v>
      </c>
      <c r="N33" s="927">
        <v>186</v>
      </c>
      <c r="O33" s="928">
        <v>2.3263623555988266E-2</v>
      </c>
      <c r="P33" s="929">
        <v>586439.14679399866</v>
      </c>
      <c r="Q33" s="927">
        <v>3100</v>
      </c>
      <c r="R33" s="926">
        <v>189.17391832064473</v>
      </c>
      <c r="S33" s="927">
        <v>1162.5</v>
      </c>
      <c r="T33" s="928">
        <v>0.14539764722492668</v>
      </c>
      <c r="U33" s="929">
        <v>3665244.6674624919</v>
      </c>
      <c r="V33" s="927">
        <v>775</v>
      </c>
      <c r="W33" s="926">
        <v>4729.3479580161184</v>
      </c>
      <c r="X33" s="927">
        <v>79.8</v>
      </c>
      <c r="Y33" s="928">
        <v>9.9808449449885154E-3</v>
      </c>
      <c r="Z33" s="929">
        <v>251601.31136645749</v>
      </c>
      <c r="AA33" s="927">
        <v>133</v>
      </c>
      <c r="AB33" s="926">
        <v>1891.7391832064473</v>
      </c>
      <c r="AC33" s="927">
        <v>294.37506999999999</v>
      </c>
      <c r="AD33" s="928">
        <v>3.6818445229826316E-2</v>
      </c>
      <c r="AE33" s="929">
        <v>928134.75746356789</v>
      </c>
      <c r="AF33" s="927">
        <v>5489</v>
      </c>
      <c r="AG33" s="926">
        <v>169.08995399226961</v>
      </c>
      <c r="AH33" s="930"/>
      <c r="AI33" s="933">
        <v>25208417.999999996</v>
      </c>
      <c r="AJ33" s="932">
        <v>0</v>
      </c>
      <c r="AK33" s="933">
        <v>25208417.999999996</v>
      </c>
      <c r="AL33" s="932">
        <v>0</v>
      </c>
    </row>
    <row r="34" spans="1:38" s="406" customFormat="1" ht="16.149999999999999" customHeight="1" x14ac:dyDescent="0.2">
      <c r="A34" s="925">
        <v>28</v>
      </c>
      <c r="B34" s="925" t="s">
        <v>31</v>
      </c>
      <c r="C34" s="926">
        <v>100658811</v>
      </c>
      <c r="D34" s="927">
        <v>44773.440000000002</v>
      </c>
      <c r="E34" s="927">
        <v>33329</v>
      </c>
      <c r="F34" s="928">
        <v>0.7443922110965786</v>
      </c>
      <c r="G34" s="929">
        <v>74929634.886642605</v>
      </c>
      <c r="H34" s="926">
        <v>2248.1813101696002</v>
      </c>
      <c r="I34" s="927">
        <v>4779.28</v>
      </c>
      <c r="J34" s="928">
        <v>0.10674364087280315</v>
      </c>
      <c r="K34" s="929">
        <v>10744687.972067367</v>
      </c>
      <c r="L34" s="927">
        <v>21724</v>
      </c>
      <c r="M34" s="926">
        <v>494.59988823731209</v>
      </c>
      <c r="N34" s="927">
        <v>839.16</v>
      </c>
      <c r="O34" s="928">
        <v>1.8742361542914726E-2</v>
      </c>
      <c r="P34" s="929">
        <v>1886583.8282419217</v>
      </c>
      <c r="Q34" s="927">
        <v>13986</v>
      </c>
      <c r="R34" s="926">
        <v>134.890878610176</v>
      </c>
      <c r="S34" s="927">
        <v>4944</v>
      </c>
      <c r="T34" s="928">
        <v>0.1104226076888441</v>
      </c>
      <c r="U34" s="929">
        <v>11115008.397478504</v>
      </c>
      <c r="V34" s="927">
        <v>3296</v>
      </c>
      <c r="W34" s="926">
        <v>3372.2719652544006</v>
      </c>
      <c r="X34" s="927">
        <v>882</v>
      </c>
      <c r="Y34" s="928">
        <v>1.9699178798859324E-2</v>
      </c>
      <c r="Z34" s="929">
        <v>1982895.9155695876</v>
      </c>
      <c r="AA34" s="927">
        <v>1470</v>
      </c>
      <c r="AB34" s="926">
        <v>1348.9087861017604</v>
      </c>
      <c r="AC34" s="927">
        <v>0</v>
      </c>
      <c r="AD34" s="928">
        <v>0</v>
      </c>
      <c r="AE34" s="929">
        <v>0</v>
      </c>
      <c r="AF34" s="927">
        <v>33329</v>
      </c>
      <c r="AG34" s="926">
        <v>0</v>
      </c>
      <c r="AH34" s="930"/>
      <c r="AI34" s="933">
        <v>100658810.99999999</v>
      </c>
      <c r="AJ34" s="932">
        <v>0</v>
      </c>
      <c r="AK34" s="933">
        <v>100658810.99999999</v>
      </c>
      <c r="AL34" s="932">
        <v>0</v>
      </c>
    </row>
    <row r="35" spans="1:38" s="406" customFormat="1" ht="16.149999999999999" customHeight="1" x14ac:dyDescent="0.2">
      <c r="A35" s="925">
        <v>29</v>
      </c>
      <c r="B35" s="925" t="s">
        <v>32</v>
      </c>
      <c r="C35" s="926">
        <v>50084000</v>
      </c>
      <c r="D35" s="927">
        <v>18927.73</v>
      </c>
      <c r="E35" s="927">
        <v>14106</v>
      </c>
      <c r="F35" s="928">
        <v>0.74525577023763545</v>
      </c>
      <c r="G35" s="929">
        <v>37325389.996581733</v>
      </c>
      <c r="H35" s="926">
        <v>2646.0647948803157</v>
      </c>
      <c r="I35" s="927">
        <v>2066.6799999999998</v>
      </c>
      <c r="J35" s="928">
        <v>0.10918794805293608</v>
      </c>
      <c r="K35" s="929">
        <v>5468569.190283251</v>
      </c>
      <c r="L35" s="927">
        <v>9394</v>
      </c>
      <c r="M35" s="926">
        <v>582.13425487366942</v>
      </c>
      <c r="N35" s="927">
        <v>532.35</v>
      </c>
      <c r="O35" s="928">
        <v>2.8125401197079632E-2</v>
      </c>
      <c r="P35" s="929">
        <v>1408632.5935545363</v>
      </c>
      <c r="Q35" s="927">
        <v>8872.5</v>
      </c>
      <c r="R35" s="926">
        <v>158.76388769281897</v>
      </c>
      <c r="S35" s="927">
        <v>2041.5</v>
      </c>
      <c r="T35" s="928">
        <v>0.1078576247653575</v>
      </c>
      <c r="U35" s="929">
        <v>5401941.2787481649</v>
      </c>
      <c r="V35" s="927">
        <v>1361</v>
      </c>
      <c r="W35" s="926">
        <v>3969.0971923204738</v>
      </c>
      <c r="X35" s="927">
        <v>181.2</v>
      </c>
      <c r="Y35" s="928">
        <v>9.5732557469913188E-3</v>
      </c>
      <c r="Z35" s="929">
        <v>479466.94083231321</v>
      </c>
      <c r="AA35" s="927">
        <v>302</v>
      </c>
      <c r="AB35" s="926">
        <v>1587.6388769281893</v>
      </c>
      <c r="AC35" s="927">
        <v>0</v>
      </c>
      <c r="AD35" s="928">
        <v>0</v>
      </c>
      <c r="AE35" s="929">
        <v>0</v>
      </c>
      <c r="AF35" s="927">
        <v>14106</v>
      </c>
      <c r="AG35" s="926">
        <v>0</v>
      </c>
      <c r="AH35" s="930"/>
      <c r="AI35" s="933">
        <v>50084000</v>
      </c>
      <c r="AJ35" s="932">
        <v>0</v>
      </c>
      <c r="AK35" s="933">
        <v>50084000</v>
      </c>
      <c r="AL35" s="932">
        <v>0</v>
      </c>
    </row>
    <row r="36" spans="1:38" s="407" customFormat="1" ht="16.149999999999999" customHeight="1" x14ac:dyDescent="0.2">
      <c r="A36" s="934">
        <v>30</v>
      </c>
      <c r="B36" s="934" t="s">
        <v>33</v>
      </c>
      <c r="C36" s="935">
        <v>11484024</v>
      </c>
      <c r="D36" s="936">
        <v>3667.5811199999998</v>
      </c>
      <c r="E36" s="937">
        <v>2512</v>
      </c>
      <c r="F36" s="938">
        <v>0.68492009251045549</v>
      </c>
      <c r="G36" s="939">
        <v>7865638.7804722907</v>
      </c>
      <c r="H36" s="935">
        <v>3131.2256291689055</v>
      </c>
      <c r="I36" s="936">
        <v>324.06</v>
      </c>
      <c r="J36" s="938">
        <v>8.8357963845118723E-2</v>
      </c>
      <c r="K36" s="939">
        <v>1014704.9773884757</v>
      </c>
      <c r="L36" s="936">
        <v>1473</v>
      </c>
      <c r="M36" s="935">
        <v>688.86963841715931</v>
      </c>
      <c r="N36" s="936">
        <v>49.5</v>
      </c>
      <c r="O36" s="938">
        <v>1.3496633988561922E-2</v>
      </c>
      <c r="P36" s="939">
        <v>154995.66864386084</v>
      </c>
      <c r="Q36" s="936">
        <v>825</v>
      </c>
      <c r="R36" s="935">
        <v>187.87353775013435</v>
      </c>
      <c r="S36" s="936">
        <v>421.5</v>
      </c>
      <c r="T36" s="938">
        <v>0.11492588335714848</v>
      </c>
      <c r="U36" s="939">
        <v>1319811.6026946937</v>
      </c>
      <c r="V36" s="936">
        <v>281</v>
      </c>
      <c r="W36" s="935">
        <v>4696.8384437533587</v>
      </c>
      <c r="X36" s="936">
        <v>26.4</v>
      </c>
      <c r="Y36" s="938">
        <v>7.1982047938996914E-3</v>
      </c>
      <c r="Z36" s="939">
        <v>82664.356610059112</v>
      </c>
      <c r="AA36" s="936">
        <v>44</v>
      </c>
      <c r="AB36" s="935">
        <v>1878.7353775013435</v>
      </c>
      <c r="AC36" s="936">
        <v>334.12111999999996</v>
      </c>
      <c r="AD36" s="938">
        <v>9.1101221504815685E-2</v>
      </c>
      <c r="AE36" s="939">
        <v>1046208.6141906194</v>
      </c>
      <c r="AF36" s="937">
        <v>2512</v>
      </c>
      <c r="AG36" s="935">
        <v>416.48432093575616</v>
      </c>
      <c r="AH36" s="930"/>
      <c r="AI36" s="940">
        <v>11484024</v>
      </c>
      <c r="AJ36" s="940">
        <v>0</v>
      </c>
      <c r="AK36" s="940">
        <v>11484024</v>
      </c>
      <c r="AL36" s="940">
        <v>0</v>
      </c>
    </row>
    <row r="37" spans="1:38" s="406" customFormat="1" ht="16.149999999999999" customHeight="1" x14ac:dyDescent="0.2">
      <c r="A37" s="925">
        <v>31</v>
      </c>
      <c r="B37" s="925" t="s">
        <v>34</v>
      </c>
      <c r="C37" s="926">
        <v>23465463</v>
      </c>
      <c r="D37" s="927">
        <v>9272.2524699999994</v>
      </c>
      <c r="E37" s="927">
        <v>6173</v>
      </c>
      <c r="F37" s="928">
        <v>0.66574977546960612</v>
      </c>
      <c r="G37" s="929">
        <v>15622126.723540351</v>
      </c>
      <c r="H37" s="926">
        <v>2530.7187305265429</v>
      </c>
      <c r="I37" s="927">
        <v>866.8</v>
      </c>
      <c r="J37" s="928">
        <v>9.3483218107412044E-2</v>
      </c>
      <c r="K37" s="929">
        <v>2193626.9956204072</v>
      </c>
      <c r="L37" s="927">
        <v>3940</v>
      </c>
      <c r="M37" s="926">
        <v>556.75812071583937</v>
      </c>
      <c r="N37" s="927">
        <v>176.19</v>
      </c>
      <c r="O37" s="928">
        <v>1.9001855328039833E-2</v>
      </c>
      <c r="P37" s="929">
        <v>445887.33313147159</v>
      </c>
      <c r="Q37" s="927">
        <v>2936.5</v>
      </c>
      <c r="R37" s="926">
        <v>151.84312383159258</v>
      </c>
      <c r="S37" s="927">
        <v>1674</v>
      </c>
      <c r="T37" s="928">
        <v>0.18053865610499281</v>
      </c>
      <c r="U37" s="929">
        <v>4236423.1549014328</v>
      </c>
      <c r="V37" s="927">
        <v>1116</v>
      </c>
      <c r="W37" s="926">
        <v>3796.0780957898141</v>
      </c>
      <c r="X37" s="927">
        <v>163.79999999999998</v>
      </c>
      <c r="Y37" s="928">
        <v>1.7665610436079938E-2</v>
      </c>
      <c r="Z37" s="929">
        <v>414531.72806024767</v>
      </c>
      <c r="AA37" s="927">
        <v>273</v>
      </c>
      <c r="AB37" s="926">
        <v>1518.4312383159256</v>
      </c>
      <c r="AC37" s="927">
        <v>218.46247</v>
      </c>
      <c r="AD37" s="928">
        <v>2.3560884553869357E-2</v>
      </c>
      <c r="AE37" s="929">
        <v>552867.06474609289</v>
      </c>
      <c r="AF37" s="927">
        <v>6173</v>
      </c>
      <c r="AG37" s="926">
        <v>89.562135873334341</v>
      </c>
      <c r="AH37" s="930"/>
      <c r="AI37" s="933">
        <v>23465463.000000004</v>
      </c>
      <c r="AJ37" s="932">
        <v>0</v>
      </c>
      <c r="AK37" s="933">
        <v>23465463.000000004</v>
      </c>
      <c r="AL37" s="932">
        <v>0</v>
      </c>
    </row>
    <row r="38" spans="1:38" s="406" customFormat="1" ht="16.149999999999999" customHeight="1" x14ac:dyDescent="0.2">
      <c r="A38" s="925">
        <v>32</v>
      </c>
      <c r="B38" s="925" t="s">
        <v>35</v>
      </c>
      <c r="C38" s="926">
        <v>119878494</v>
      </c>
      <c r="D38" s="927">
        <v>35738.369999999995</v>
      </c>
      <c r="E38" s="927">
        <v>25922</v>
      </c>
      <c r="F38" s="928">
        <v>0.72532686857290929</v>
      </c>
      <c r="G38" s="929">
        <v>86951092.6622563</v>
      </c>
      <c r="H38" s="926">
        <v>3354.335802108491</v>
      </c>
      <c r="I38" s="927">
        <v>3193.3</v>
      </c>
      <c r="J38" s="928">
        <v>8.9352144487843191E-2</v>
      </c>
      <c r="K38" s="929">
        <v>10711400.516873043</v>
      </c>
      <c r="L38" s="927">
        <v>14515</v>
      </c>
      <c r="M38" s="926">
        <v>737.95387646386791</v>
      </c>
      <c r="N38" s="927">
        <v>783.56999999999994</v>
      </c>
      <c r="O38" s="928">
        <v>2.1925174539297682E-2</v>
      </c>
      <c r="P38" s="929">
        <v>2628356.9044581498</v>
      </c>
      <c r="Q38" s="927">
        <v>13059.5</v>
      </c>
      <c r="R38" s="926">
        <v>201.26014812650942</v>
      </c>
      <c r="S38" s="927">
        <v>5224.5</v>
      </c>
      <c r="T38" s="928">
        <v>0.14618741705343585</v>
      </c>
      <c r="U38" s="929">
        <v>17524727.398115806</v>
      </c>
      <c r="V38" s="927">
        <v>3483</v>
      </c>
      <c r="W38" s="926">
        <v>5031.5037031627353</v>
      </c>
      <c r="X38" s="927">
        <v>615</v>
      </c>
      <c r="Y38" s="928">
        <v>1.7208395346514128E-2</v>
      </c>
      <c r="Z38" s="929">
        <v>2062916.5182967219</v>
      </c>
      <c r="AA38" s="927">
        <v>1025</v>
      </c>
      <c r="AB38" s="926">
        <v>2012.6014812650944</v>
      </c>
      <c r="AC38" s="927">
        <v>0</v>
      </c>
      <c r="AD38" s="928">
        <v>0</v>
      </c>
      <c r="AE38" s="929">
        <v>0</v>
      </c>
      <c r="AF38" s="927">
        <v>25922</v>
      </c>
      <c r="AG38" s="926">
        <v>0</v>
      </c>
      <c r="AH38" s="930"/>
      <c r="AI38" s="933">
        <v>119878494.00000003</v>
      </c>
      <c r="AJ38" s="932">
        <v>0</v>
      </c>
      <c r="AK38" s="933">
        <v>119878494.00000003</v>
      </c>
      <c r="AL38" s="932">
        <v>0</v>
      </c>
    </row>
    <row r="39" spans="1:38" s="406" customFormat="1" ht="16.149999999999999" customHeight="1" x14ac:dyDescent="0.2">
      <c r="A39" s="925">
        <v>33</v>
      </c>
      <c r="B39" s="925" t="s">
        <v>36</v>
      </c>
      <c r="C39" s="926">
        <v>6638488</v>
      </c>
      <c r="D39" s="927">
        <v>2308.1581999999999</v>
      </c>
      <c r="E39" s="927">
        <v>1412</v>
      </c>
      <c r="F39" s="928">
        <v>0.61174316387845518</v>
      </c>
      <c r="G39" s="929">
        <v>4061049.6524891583</v>
      </c>
      <c r="H39" s="926">
        <v>2876.0974875985539</v>
      </c>
      <c r="I39" s="927">
        <v>304.7</v>
      </c>
      <c r="J39" s="928">
        <v>0.13201001560464964</v>
      </c>
      <c r="K39" s="929">
        <v>876346.90447127935</v>
      </c>
      <c r="L39" s="927">
        <v>1385</v>
      </c>
      <c r="M39" s="926">
        <v>632.74144727168186</v>
      </c>
      <c r="N39" s="927">
        <v>56.82</v>
      </c>
      <c r="O39" s="928">
        <v>2.4617030149839819E-2</v>
      </c>
      <c r="P39" s="929">
        <v>163419.85924534983</v>
      </c>
      <c r="Q39" s="927">
        <v>947</v>
      </c>
      <c r="R39" s="926">
        <v>172.56584925591324</v>
      </c>
      <c r="S39" s="927">
        <v>300</v>
      </c>
      <c r="T39" s="928">
        <v>0.12997376003083325</v>
      </c>
      <c r="U39" s="929">
        <v>862829.24627956608</v>
      </c>
      <c r="V39" s="927">
        <v>200</v>
      </c>
      <c r="W39" s="926">
        <v>4314.14623139783</v>
      </c>
      <c r="X39" s="927">
        <v>5.3999999999999995</v>
      </c>
      <c r="Y39" s="928">
        <v>2.3395276805549983E-3</v>
      </c>
      <c r="Z39" s="929">
        <v>15530.926433032189</v>
      </c>
      <c r="AA39" s="927">
        <v>9</v>
      </c>
      <c r="AB39" s="926">
        <v>1725.6584925591321</v>
      </c>
      <c r="AC39" s="927">
        <v>229.23820000000001</v>
      </c>
      <c r="AD39" s="928">
        <v>9.9316502655667202E-2</v>
      </c>
      <c r="AE39" s="929">
        <v>659311.4110816149</v>
      </c>
      <c r="AF39" s="927">
        <v>1412</v>
      </c>
      <c r="AG39" s="926">
        <v>466.93442711162527</v>
      </c>
      <c r="AH39" s="930"/>
      <c r="AI39" s="933">
        <v>6638488.0000000009</v>
      </c>
      <c r="AJ39" s="932">
        <v>0</v>
      </c>
      <c r="AK39" s="933">
        <v>6638488</v>
      </c>
      <c r="AL39" s="932">
        <v>0</v>
      </c>
    </row>
    <row r="40" spans="1:38" s="406" customFormat="1" ht="16.149999999999999" customHeight="1" x14ac:dyDescent="0.2">
      <c r="A40" s="925">
        <v>34</v>
      </c>
      <c r="B40" s="925" t="s">
        <v>37</v>
      </c>
      <c r="C40" s="926">
        <v>18267471</v>
      </c>
      <c r="D40" s="927">
        <v>5683.3958400000001</v>
      </c>
      <c r="E40" s="927">
        <v>3591</v>
      </c>
      <c r="F40" s="928">
        <v>0.63184055819698104</v>
      </c>
      <c r="G40" s="929">
        <v>11542129.073487163</v>
      </c>
      <c r="H40" s="926">
        <v>3214.1824209098199</v>
      </c>
      <c r="I40" s="927">
        <v>663.96</v>
      </c>
      <c r="J40" s="928">
        <v>0.11682452158743178</v>
      </c>
      <c r="K40" s="929">
        <v>2134088.5601872839</v>
      </c>
      <c r="L40" s="927">
        <v>3018</v>
      </c>
      <c r="M40" s="926">
        <v>707.12013260016033</v>
      </c>
      <c r="N40" s="927">
        <v>121.11</v>
      </c>
      <c r="O40" s="928">
        <v>2.1309443052975878E-2</v>
      </c>
      <c r="P40" s="929">
        <v>389269.6329963883</v>
      </c>
      <c r="Q40" s="927">
        <v>2018.5</v>
      </c>
      <c r="R40" s="926">
        <v>192.85094525458919</v>
      </c>
      <c r="S40" s="927">
        <v>921</v>
      </c>
      <c r="T40" s="928">
        <v>0.16205100364784727</v>
      </c>
      <c r="U40" s="929">
        <v>2960262.0096579441</v>
      </c>
      <c r="V40" s="927">
        <v>614</v>
      </c>
      <c r="W40" s="926">
        <v>4821.2736313647301</v>
      </c>
      <c r="X40" s="927">
        <v>12</v>
      </c>
      <c r="Y40" s="928">
        <v>2.1114137283107137E-3</v>
      </c>
      <c r="Z40" s="929">
        <v>38570.189050917841</v>
      </c>
      <c r="AA40" s="927">
        <v>20</v>
      </c>
      <c r="AB40" s="926">
        <v>1928.5094525458921</v>
      </c>
      <c r="AC40" s="927">
        <v>374.32583999999997</v>
      </c>
      <c r="AD40" s="928">
        <v>6.5863059786453293E-2</v>
      </c>
      <c r="AE40" s="929">
        <v>1203151.5346203018</v>
      </c>
      <c r="AF40" s="927">
        <v>3591</v>
      </c>
      <c r="AG40" s="926">
        <v>335.0463755556396</v>
      </c>
      <c r="AH40" s="930"/>
      <c r="AI40" s="933">
        <v>18267471</v>
      </c>
      <c r="AJ40" s="932">
        <v>0</v>
      </c>
      <c r="AK40" s="933">
        <v>18267471</v>
      </c>
      <c r="AL40" s="932">
        <v>0</v>
      </c>
    </row>
    <row r="41" spans="1:38" s="407" customFormat="1" ht="16.149999999999999" customHeight="1" x14ac:dyDescent="0.2">
      <c r="A41" s="934">
        <v>35</v>
      </c>
      <c r="B41" s="934" t="s">
        <v>38</v>
      </c>
      <c r="C41" s="935">
        <v>22141958</v>
      </c>
      <c r="D41" s="936">
        <v>8125.1360700000005</v>
      </c>
      <c r="E41" s="937">
        <v>5611</v>
      </c>
      <c r="F41" s="938">
        <v>0.69057305030462091</v>
      </c>
      <c r="G41" s="939">
        <v>15290639.475776803</v>
      </c>
      <c r="H41" s="935">
        <v>2725.1184237705938</v>
      </c>
      <c r="I41" s="936">
        <v>907.94</v>
      </c>
      <c r="J41" s="938">
        <v>0.11174459014321467</v>
      </c>
      <c r="K41" s="939">
        <v>2474244.0216782731</v>
      </c>
      <c r="L41" s="936">
        <v>4127</v>
      </c>
      <c r="M41" s="935">
        <v>599.5260532295307</v>
      </c>
      <c r="N41" s="936">
        <v>170.67</v>
      </c>
      <c r="O41" s="938">
        <v>2.1005186686061245E-2</v>
      </c>
      <c r="P41" s="939">
        <v>465095.96138492727</v>
      </c>
      <c r="Q41" s="936">
        <v>2844.5</v>
      </c>
      <c r="R41" s="935">
        <v>163.50710542623563</v>
      </c>
      <c r="S41" s="936">
        <v>1021.5</v>
      </c>
      <c r="T41" s="938">
        <v>0.12572097146429695</v>
      </c>
      <c r="U41" s="939">
        <v>2783708.4698816617</v>
      </c>
      <c r="V41" s="936">
        <v>681</v>
      </c>
      <c r="W41" s="935">
        <v>4087.6776356558908</v>
      </c>
      <c r="X41" s="936">
        <v>131.4</v>
      </c>
      <c r="Y41" s="938">
        <v>1.6172036857962428E-2</v>
      </c>
      <c r="Z41" s="939">
        <v>358080.56088345603</v>
      </c>
      <c r="AA41" s="936">
        <v>219</v>
      </c>
      <c r="AB41" s="935">
        <v>1635.0710542623563</v>
      </c>
      <c r="AC41" s="936">
        <v>282.62606999999997</v>
      </c>
      <c r="AD41" s="938">
        <v>3.4784164543843747E-2</v>
      </c>
      <c r="AE41" s="939">
        <v>770189.5103948774</v>
      </c>
      <c r="AF41" s="937">
        <v>5611</v>
      </c>
      <c r="AG41" s="935">
        <v>137.26421500532479</v>
      </c>
      <c r="AH41" s="930"/>
      <c r="AI41" s="940">
        <v>22141958</v>
      </c>
      <c r="AJ41" s="940">
        <v>0</v>
      </c>
      <c r="AK41" s="940">
        <v>22141957.999999996</v>
      </c>
      <c r="AL41" s="940">
        <v>0</v>
      </c>
    </row>
    <row r="42" spans="1:38" s="406" customFormat="1" ht="16.149999999999999" customHeight="1" x14ac:dyDescent="0.2">
      <c r="A42" s="925">
        <v>36</v>
      </c>
      <c r="B42" s="925" t="s">
        <v>39</v>
      </c>
      <c r="C42" s="926">
        <v>142446920</v>
      </c>
      <c r="D42" s="927">
        <v>68317.55</v>
      </c>
      <c r="E42" s="927">
        <v>46775</v>
      </c>
      <c r="F42" s="928">
        <v>0.68467033727058413</v>
      </c>
      <c r="G42" s="929">
        <v>97529180.759555921</v>
      </c>
      <c r="H42" s="926">
        <v>2085.0706736409602</v>
      </c>
      <c r="I42" s="927">
        <v>8577.36</v>
      </c>
      <c r="J42" s="928">
        <v>0.12555134076090257</v>
      </c>
      <c r="K42" s="929">
        <v>17884401.793261029</v>
      </c>
      <c r="L42" s="927">
        <v>38988</v>
      </c>
      <c r="M42" s="926">
        <v>458.7155482010113</v>
      </c>
      <c r="N42" s="927">
        <v>800.18999999999994</v>
      </c>
      <c r="O42" s="928">
        <v>1.1712802932774959E-2</v>
      </c>
      <c r="P42" s="929">
        <v>1668452.70234076</v>
      </c>
      <c r="Q42" s="927">
        <v>13336.5</v>
      </c>
      <c r="R42" s="926">
        <v>125.10424041845762</v>
      </c>
      <c r="S42" s="927">
        <v>10530</v>
      </c>
      <c r="T42" s="928">
        <v>0.15413316197668095</v>
      </c>
      <c r="U42" s="929">
        <v>21955794.193439312</v>
      </c>
      <c r="V42" s="927">
        <v>7020</v>
      </c>
      <c r="W42" s="926">
        <v>3127.6060104614403</v>
      </c>
      <c r="X42" s="927">
        <v>1635</v>
      </c>
      <c r="Y42" s="928">
        <v>2.3932357059057299E-2</v>
      </c>
      <c r="Z42" s="929">
        <v>3409090.5514029702</v>
      </c>
      <c r="AA42" s="927">
        <v>2725</v>
      </c>
      <c r="AB42" s="926">
        <v>1251.0424041845763</v>
      </c>
      <c r="AC42" s="927">
        <v>0</v>
      </c>
      <c r="AD42" s="928">
        <v>0</v>
      </c>
      <c r="AE42" s="929">
        <v>0</v>
      </c>
      <c r="AF42" s="927">
        <v>46775</v>
      </c>
      <c r="AG42" s="926">
        <v>0</v>
      </c>
      <c r="AH42" s="930"/>
      <c r="AI42" s="933">
        <v>142446920</v>
      </c>
      <c r="AJ42" s="932">
        <v>0</v>
      </c>
      <c r="AK42" s="933">
        <v>142446919.99999997</v>
      </c>
      <c r="AL42" s="932">
        <v>0</v>
      </c>
    </row>
    <row r="43" spans="1:38" s="406" customFormat="1" ht="16.149999999999999" customHeight="1" x14ac:dyDescent="0.2">
      <c r="A43" s="925">
        <v>37</v>
      </c>
      <c r="B43" s="925" t="s">
        <v>40</v>
      </c>
      <c r="C43" s="926">
        <v>82773849</v>
      </c>
      <c r="D43" s="927">
        <v>26225.83</v>
      </c>
      <c r="E43" s="927">
        <v>18614</v>
      </c>
      <c r="F43" s="928">
        <v>0.70975828029084298</v>
      </c>
      <c r="G43" s="929">
        <v>58749424.719293915</v>
      </c>
      <c r="H43" s="926">
        <v>3156.195590377883</v>
      </c>
      <c r="I43" s="927">
        <v>2724.26</v>
      </c>
      <c r="J43" s="928">
        <v>0.10387697929865328</v>
      </c>
      <c r="K43" s="929">
        <v>8598297.3990428522</v>
      </c>
      <c r="L43" s="927">
        <v>12383</v>
      </c>
      <c r="M43" s="926">
        <v>694.36302988313435</v>
      </c>
      <c r="N43" s="927">
        <v>443.07</v>
      </c>
      <c r="O43" s="928">
        <v>1.6894412874635424E-2</v>
      </c>
      <c r="P43" s="929">
        <v>1398415.5802287285</v>
      </c>
      <c r="Q43" s="927">
        <v>7384.5</v>
      </c>
      <c r="R43" s="926">
        <v>189.37173542267297</v>
      </c>
      <c r="S43" s="927">
        <v>3934.5</v>
      </c>
      <c r="T43" s="928">
        <v>0.15002385053208991</v>
      </c>
      <c r="U43" s="929">
        <v>12418051.550341779</v>
      </c>
      <c r="V43" s="927">
        <v>2623</v>
      </c>
      <c r="W43" s="926">
        <v>4734.2933855668243</v>
      </c>
      <c r="X43" s="927">
        <v>510</v>
      </c>
      <c r="Y43" s="928">
        <v>1.9446477003778335E-2</v>
      </c>
      <c r="Z43" s="929">
        <v>1609659.7510927203</v>
      </c>
      <c r="AA43" s="927">
        <v>850</v>
      </c>
      <c r="AB43" s="926">
        <v>1893.7173542267299</v>
      </c>
      <c r="AC43" s="927">
        <v>0</v>
      </c>
      <c r="AD43" s="928">
        <v>0</v>
      </c>
      <c r="AE43" s="929">
        <v>0</v>
      </c>
      <c r="AF43" s="927">
        <v>18614</v>
      </c>
      <c r="AG43" s="926">
        <v>0</v>
      </c>
      <c r="AH43" s="930"/>
      <c r="AI43" s="933">
        <v>82773849</v>
      </c>
      <c r="AJ43" s="932">
        <v>0</v>
      </c>
      <c r="AK43" s="933">
        <v>82773849</v>
      </c>
      <c r="AL43" s="932">
        <v>0</v>
      </c>
    </row>
    <row r="44" spans="1:38" s="406" customFormat="1" ht="16.149999999999999" customHeight="1" x14ac:dyDescent="0.2">
      <c r="A44" s="925">
        <v>38</v>
      </c>
      <c r="B44" s="925" t="s">
        <v>41</v>
      </c>
      <c r="C44" s="926">
        <v>6067815</v>
      </c>
      <c r="D44" s="927">
        <v>6045.14624</v>
      </c>
      <c r="E44" s="927">
        <v>3879</v>
      </c>
      <c r="F44" s="928">
        <v>0.64167182165637737</v>
      </c>
      <c r="G44" s="929">
        <v>3893545.9045238914</v>
      </c>
      <c r="H44" s="926">
        <v>1003.7499109368114</v>
      </c>
      <c r="I44" s="927">
        <v>605</v>
      </c>
      <c r="J44" s="928">
        <v>0.10008029185411402</v>
      </c>
      <c r="K44" s="929">
        <v>607268.69611677085</v>
      </c>
      <c r="L44" s="927">
        <v>2750</v>
      </c>
      <c r="M44" s="926">
        <v>220.82498040609849</v>
      </c>
      <c r="N44" s="927">
        <v>126.08999999999999</v>
      </c>
      <c r="O44" s="928">
        <v>2.0858056198157414E-2</v>
      </c>
      <c r="P44" s="929">
        <v>126562.82627002253</v>
      </c>
      <c r="Q44" s="927">
        <v>2101.5</v>
      </c>
      <c r="R44" s="926">
        <v>60.224994656208672</v>
      </c>
      <c r="S44" s="927">
        <v>904.5</v>
      </c>
      <c r="T44" s="928">
        <v>0.14962417187115062</v>
      </c>
      <c r="U44" s="929">
        <v>907891.79444234585</v>
      </c>
      <c r="V44" s="927">
        <v>603</v>
      </c>
      <c r="W44" s="926">
        <v>1505.6248664052171</v>
      </c>
      <c r="X44" s="927">
        <v>156</v>
      </c>
      <c r="Y44" s="928">
        <v>2.5805827321060806E-2</v>
      </c>
      <c r="Z44" s="929">
        <v>156584.98610614258</v>
      </c>
      <c r="AA44" s="927">
        <v>260</v>
      </c>
      <c r="AB44" s="926">
        <v>602.24994656208685</v>
      </c>
      <c r="AC44" s="927">
        <v>374.55624</v>
      </c>
      <c r="AD44" s="928">
        <v>6.1959831099139794E-2</v>
      </c>
      <c r="AE44" s="929">
        <v>375960.79254082695</v>
      </c>
      <c r="AF44" s="927">
        <v>3879</v>
      </c>
      <c r="AG44" s="926">
        <v>96.922091400058505</v>
      </c>
      <c r="AH44" s="930"/>
      <c r="AI44" s="933">
        <v>6067815</v>
      </c>
      <c r="AJ44" s="932">
        <v>0</v>
      </c>
      <c r="AK44" s="933">
        <v>6067814.9999999991</v>
      </c>
      <c r="AL44" s="932">
        <v>0</v>
      </c>
    </row>
    <row r="45" spans="1:38" s="406" customFormat="1" ht="16.149999999999999" customHeight="1" x14ac:dyDescent="0.2">
      <c r="A45" s="925">
        <v>39</v>
      </c>
      <c r="B45" s="925" t="s">
        <v>42</v>
      </c>
      <c r="C45" s="926">
        <v>7012691</v>
      </c>
      <c r="D45" s="927">
        <v>4232.35437</v>
      </c>
      <c r="E45" s="927">
        <v>2641</v>
      </c>
      <c r="F45" s="928">
        <v>0.62400256904763862</v>
      </c>
      <c r="G45" s="929">
        <v>4375937.1999372542</v>
      </c>
      <c r="H45" s="926">
        <v>1656.9243468145605</v>
      </c>
      <c r="I45" s="927">
        <v>440</v>
      </c>
      <c r="J45" s="928">
        <v>0.10396104898938319</v>
      </c>
      <c r="K45" s="929">
        <v>729046.71259840659</v>
      </c>
      <c r="L45" s="927">
        <v>2000</v>
      </c>
      <c r="M45" s="926">
        <v>364.52335629920327</v>
      </c>
      <c r="N45" s="927">
        <v>65.759999999999991</v>
      </c>
      <c r="O45" s="928">
        <v>1.5537451321685993E-2</v>
      </c>
      <c r="P45" s="929">
        <v>108959.34504652547</v>
      </c>
      <c r="Q45" s="927">
        <v>1096</v>
      </c>
      <c r="R45" s="926">
        <v>99.415460808873604</v>
      </c>
      <c r="S45" s="927">
        <v>714</v>
      </c>
      <c r="T45" s="928">
        <v>0.16870042949640818</v>
      </c>
      <c r="U45" s="929">
        <v>1183043.9836255962</v>
      </c>
      <c r="V45" s="927">
        <v>476</v>
      </c>
      <c r="W45" s="926">
        <v>2485.3865202218408</v>
      </c>
      <c r="X45" s="927">
        <v>29.4</v>
      </c>
      <c r="Y45" s="928">
        <v>6.9464882733815125E-3</v>
      </c>
      <c r="Z45" s="929">
        <v>48713.575796348072</v>
      </c>
      <c r="AA45" s="927">
        <v>49</v>
      </c>
      <c r="AB45" s="926">
        <v>994.15460808873615</v>
      </c>
      <c r="AC45" s="927">
        <v>342.19436999999999</v>
      </c>
      <c r="AD45" s="928">
        <v>8.0852012871502538E-2</v>
      </c>
      <c r="AE45" s="929">
        <v>566990.18299587001</v>
      </c>
      <c r="AF45" s="927">
        <v>2641</v>
      </c>
      <c r="AG45" s="926">
        <v>214.68768761676259</v>
      </c>
      <c r="AH45" s="930"/>
      <c r="AI45" s="933">
        <v>7012691</v>
      </c>
      <c r="AJ45" s="932">
        <v>0</v>
      </c>
      <c r="AK45" s="933">
        <v>7012691.0000000009</v>
      </c>
      <c r="AL45" s="932">
        <v>0</v>
      </c>
    </row>
    <row r="46" spans="1:38" s="407" customFormat="1" ht="16.149999999999999" customHeight="1" x14ac:dyDescent="0.2">
      <c r="A46" s="934">
        <v>40</v>
      </c>
      <c r="B46" s="934" t="s">
        <v>43</v>
      </c>
      <c r="C46" s="935">
        <v>91192747</v>
      </c>
      <c r="D46" s="936">
        <v>30781.260000000002</v>
      </c>
      <c r="E46" s="937">
        <v>21834</v>
      </c>
      <c r="F46" s="938">
        <v>0.70932768834024329</v>
      </c>
      <c r="G46" s="939">
        <v>64685540.42290666</v>
      </c>
      <c r="H46" s="935">
        <v>2962.6060466660556</v>
      </c>
      <c r="I46" s="936">
        <v>3401.64</v>
      </c>
      <c r="J46" s="938">
        <v>0.11051009607793832</v>
      </c>
      <c r="K46" s="939">
        <v>10077719.232581122</v>
      </c>
      <c r="L46" s="936">
        <v>15462</v>
      </c>
      <c r="M46" s="935">
        <v>651.7733302665323</v>
      </c>
      <c r="N46" s="936">
        <v>670.92</v>
      </c>
      <c r="O46" s="938">
        <v>2.1796378705744985E-2</v>
      </c>
      <c r="P46" s="939">
        <v>1987671.6488291898</v>
      </c>
      <c r="Q46" s="936">
        <v>11182</v>
      </c>
      <c r="R46" s="935">
        <v>177.75636279996331</v>
      </c>
      <c r="S46" s="936">
        <v>4597.5</v>
      </c>
      <c r="T46" s="938">
        <v>0.1493603575682087</v>
      </c>
      <c r="U46" s="939">
        <v>13620581.299547192</v>
      </c>
      <c r="V46" s="936">
        <v>3065</v>
      </c>
      <c r="W46" s="935">
        <v>4443.9090699990838</v>
      </c>
      <c r="X46" s="936">
        <v>277.2</v>
      </c>
      <c r="Y46" s="938">
        <v>9.00547930786459E-3</v>
      </c>
      <c r="Z46" s="939">
        <v>821234.39613583067</v>
      </c>
      <c r="AA46" s="936">
        <v>462</v>
      </c>
      <c r="AB46" s="935">
        <v>1777.5636279996336</v>
      </c>
      <c r="AC46" s="936">
        <v>0</v>
      </c>
      <c r="AD46" s="938">
        <v>0</v>
      </c>
      <c r="AE46" s="939">
        <v>0</v>
      </c>
      <c r="AF46" s="937">
        <v>21834</v>
      </c>
      <c r="AG46" s="935">
        <v>0</v>
      </c>
      <c r="AH46" s="930"/>
      <c r="AI46" s="940">
        <v>91192747</v>
      </c>
      <c r="AJ46" s="940">
        <v>0</v>
      </c>
      <c r="AK46" s="940">
        <v>91192747</v>
      </c>
      <c r="AL46" s="940">
        <v>0</v>
      </c>
    </row>
    <row r="47" spans="1:38" s="406" customFormat="1" ht="16.149999999999999" customHeight="1" x14ac:dyDescent="0.2">
      <c r="A47" s="925">
        <v>41</v>
      </c>
      <c r="B47" s="925" t="s">
        <v>44</v>
      </c>
      <c r="C47" s="926">
        <v>3198524</v>
      </c>
      <c r="D47" s="927">
        <v>2103.2036499999999</v>
      </c>
      <c r="E47" s="927">
        <v>1295</v>
      </c>
      <c r="F47" s="928">
        <v>0.61572734528109063</v>
      </c>
      <c r="G47" s="929">
        <v>1969418.6913378551</v>
      </c>
      <c r="H47" s="926">
        <v>1520.7866342377258</v>
      </c>
      <c r="I47" s="927">
        <v>243.76</v>
      </c>
      <c r="J47" s="928">
        <v>0.11589938045229238</v>
      </c>
      <c r="K47" s="929">
        <v>370706.94996178802</v>
      </c>
      <c r="L47" s="927">
        <v>1108</v>
      </c>
      <c r="M47" s="926">
        <v>334.57305953229968</v>
      </c>
      <c r="N47" s="927">
        <v>65.16</v>
      </c>
      <c r="O47" s="928">
        <v>3.0981307967965915E-2</v>
      </c>
      <c r="P47" s="929">
        <v>99094.457086930212</v>
      </c>
      <c r="Q47" s="927">
        <v>1086</v>
      </c>
      <c r="R47" s="926">
        <v>91.247198054263549</v>
      </c>
      <c r="S47" s="927">
        <v>273</v>
      </c>
      <c r="T47" s="928">
        <v>0.12980198089709477</v>
      </c>
      <c r="U47" s="929">
        <v>415174.75114689913</v>
      </c>
      <c r="V47" s="927">
        <v>182</v>
      </c>
      <c r="W47" s="926">
        <v>2281.1799513565888</v>
      </c>
      <c r="X47" s="927">
        <v>12</v>
      </c>
      <c r="Y47" s="928">
        <v>5.7055815778942762E-3</v>
      </c>
      <c r="Z47" s="929">
        <v>18249.439610852711</v>
      </c>
      <c r="AA47" s="927">
        <v>20</v>
      </c>
      <c r="AB47" s="926">
        <v>912.47198054263549</v>
      </c>
      <c r="AC47" s="927">
        <v>214.28364999999999</v>
      </c>
      <c r="AD47" s="928">
        <v>0.10188440382366205</v>
      </c>
      <c r="AE47" s="929">
        <v>325879.71085567487</v>
      </c>
      <c r="AF47" s="927">
        <v>1295</v>
      </c>
      <c r="AG47" s="926">
        <v>251.64456436731649</v>
      </c>
      <c r="AH47" s="930"/>
      <c r="AI47" s="933">
        <v>3198524</v>
      </c>
      <c r="AJ47" s="932">
        <v>0</v>
      </c>
      <c r="AK47" s="933">
        <v>3198523.9999999995</v>
      </c>
      <c r="AL47" s="932">
        <v>0</v>
      </c>
    </row>
    <row r="48" spans="1:38" s="406" customFormat="1" ht="16.149999999999999" customHeight="1" x14ac:dyDescent="0.2">
      <c r="A48" s="925">
        <v>42</v>
      </c>
      <c r="B48" s="925" t="s">
        <v>45</v>
      </c>
      <c r="C48" s="926">
        <v>11296674</v>
      </c>
      <c r="D48" s="927">
        <v>4201.9925600000006</v>
      </c>
      <c r="E48" s="927">
        <v>2727</v>
      </c>
      <c r="F48" s="928">
        <v>0.6489778268431774</v>
      </c>
      <c r="G48" s="929">
        <v>7331290.9430758245</v>
      </c>
      <c r="H48" s="926">
        <v>2688.4088533464701</v>
      </c>
      <c r="I48" s="927">
        <v>488.18</v>
      </c>
      <c r="J48" s="928">
        <v>0.11617821617466166</v>
      </c>
      <c r="K48" s="929">
        <v>1312427.43402668</v>
      </c>
      <c r="L48" s="927">
        <v>2219</v>
      </c>
      <c r="M48" s="926">
        <v>591.44994773622352</v>
      </c>
      <c r="N48" s="927">
        <v>68.819999999999993</v>
      </c>
      <c r="O48" s="928">
        <v>1.6377944276988434E-2</v>
      </c>
      <c r="P48" s="929">
        <v>185016.29728730404</v>
      </c>
      <c r="Q48" s="927">
        <v>1147</v>
      </c>
      <c r="R48" s="926">
        <v>161.30453120078818</v>
      </c>
      <c r="S48" s="927">
        <v>532.5</v>
      </c>
      <c r="T48" s="928">
        <v>0.12672559325045543</v>
      </c>
      <c r="U48" s="929">
        <v>1431577.7144069953</v>
      </c>
      <c r="V48" s="927">
        <v>355</v>
      </c>
      <c r="W48" s="926">
        <v>4032.6132800197051</v>
      </c>
      <c r="X48" s="927">
        <v>38.4</v>
      </c>
      <c r="Y48" s="928">
        <v>9.138521654117349E-3</v>
      </c>
      <c r="Z48" s="929">
        <v>103234.89996850445</v>
      </c>
      <c r="AA48" s="927">
        <v>64</v>
      </c>
      <c r="AB48" s="926">
        <v>1613.0453120078821</v>
      </c>
      <c r="AC48" s="927">
        <v>347.09255999999999</v>
      </c>
      <c r="AD48" s="928">
        <v>8.2601897800599608E-2</v>
      </c>
      <c r="AE48" s="929">
        <v>933126.71123469074</v>
      </c>
      <c r="AF48" s="927">
        <v>2727</v>
      </c>
      <c r="AG48" s="926">
        <v>342.18067885393867</v>
      </c>
      <c r="AH48" s="930"/>
      <c r="AI48" s="933">
        <v>11296674</v>
      </c>
      <c r="AJ48" s="932">
        <v>0</v>
      </c>
      <c r="AK48" s="933">
        <v>11296673.999999998</v>
      </c>
      <c r="AL48" s="932">
        <v>0</v>
      </c>
    </row>
    <row r="49" spans="1:38" s="406" customFormat="1" ht="16.149999999999999" customHeight="1" x14ac:dyDescent="0.2">
      <c r="A49" s="925">
        <v>43</v>
      </c>
      <c r="B49" s="925" t="s">
        <v>46</v>
      </c>
      <c r="C49" s="926">
        <v>18332389</v>
      </c>
      <c r="D49" s="927">
        <v>6075.2589600000001</v>
      </c>
      <c r="E49" s="927">
        <v>4017</v>
      </c>
      <c r="F49" s="928">
        <v>0.66120638255064601</v>
      </c>
      <c r="G49" s="929">
        <v>12121492.614201255</v>
      </c>
      <c r="H49" s="926">
        <v>3017.5485721188088</v>
      </c>
      <c r="I49" s="927">
        <v>672.54</v>
      </c>
      <c r="J49" s="928">
        <v>0.1107014539508617</v>
      </c>
      <c r="K49" s="929">
        <v>2029422.1166927835</v>
      </c>
      <c r="L49" s="927">
        <v>3057</v>
      </c>
      <c r="M49" s="926">
        <v>663.86068586613794</v>
      </c>
      <c r="N49" s="927">
        <v>152.22</v>
      </c>
      <c r="O49" s="928">
        <v>2.5055722069170859E-2</v>
      </c>
      <c r="P49" s="929">
        <v>459331.24364792509</v>
      </c>
      <c r="Q49" s="927">
        <v>2537</v>
      </c>
      <c r="R49" s="926">
        <v>181.05291432712855</v>
      </c>
      <c r="S49" s="927">
        <v>807</v>
      </c>
      <c r="T49" s="928">
        <v>0.132833843843259</v>
      </c>
      <c r="U49" s="929">
        <v>2435161.6976998788</v>
      </c>
      <c r="V49" s="927">
        <v>538</v>
      </c>
      <c r="W49" s="926">
        <v>4526.3228581782132</v>
      </c>
      <c r="X49" s="927">
        <v>53.4</v>
      </c>
      <c r="Y49" s="928">
        <v>8.7897487747584015E-3</v>
      </c>
      <c r="Z49" s="929">
        <v>161137.09375114439</v>
      </c>
      <c r="AA49" s="927">
        <v>89</v>
      </c>
      <c r="AB49" s="926">
        <v>1810.5291432712852</v>
      </c>
      <c r="AC49" s="927">
        <v>373.09896000000003</v>
      </c>
      <c r="AD49" s="928">
        <v>6.1412848811304009E-2</v>
      </c>
      <c r="AE49" s="929">
        <v>1125844.2340070128</v>
      </c>
      <c r="AF49" s="927">
        <v>4017</v>
      </c>
      <c r="AG49" s="926">
        <v>280.26991137839502</v>
      </c>
      <c r="AH49" s="930"/>
      <c r="AI49" s="933">
        <v>18332389</v>
      </c>
      <c r="AJ49" s="932">
        <v>0</v>
      </c>
      <c r="AK49" s="933">
        <v>18332389</v>
      </c>
      <c r="AL49" s="932">
        <v>0</v>
      </c>
    </row>
    <row r="50" spans="1:38" s="406" customFormat="1" ht="16.149999999999999" customHeight="1" x14ac:dyDescent="0.2">
      <c r="A50" s="925">
        <v>44</v>
      </c>
      <c r="B50" s="925" t="s">
        <v>47</v>
      </c>
      <c r="C50" s="926">
        <v>30677273</v>
      </c>
      <c r="D50" s="927">
        <v>10324.142960000001</v>
      </c>
      <c r="E50" s="927">
        <v>7458</v>
      </c>
      <c r="F50" s="928">
        <v>0.72238441766017536</v>
      </c>
      <c r="G50" s="929">
        <v>22160783.991507221</v>
      </c>
      <c r="H50" s="926">
        <v>2971.4111010334168</v>
      </c>
      <c r="I50" s="927">
        <v>1311.86</v>
      </c>
      <c r="J50" s="928">
        <v>0.12706720597367627</v>
      </c>
      <c r="K50" s="929">
        <v>3898075.3670016979</v>
      </c>
      <c r="L50" s="927">
        <v>5963</v>
      </c>
      <c r="M50" s="926">
        <v>653.71044222735168</v>
      </c>
      <c r="N50" s="927">
        <v>187.53</v>
      </c>
      <c r="O50" s="928">
        <v>1.8164219608985344E-2</v>
      </c>
      <c r="P50" s="929">
        <v>557228.7237767966</v>
      </c>
      <c r="Q50" s="927">
        <v>3125.5</v>
      </c>
      <c r="R50" s="926">
        <v>178.28466606200499</v>
      </c>
      <c r="S50" s="927">
        <v>1278</v>
      </c>
      <c r="T50" s="928">
        <v>0.12378751485246771</v>
      </c>
      <c r="U50" s="929">
        <v>3797463.3871207065</v>
      </c>
      <c r="V50" s="927">
        <v>852</v>
      </c>
      <c r="W50" s="926">
        <v>4457.1166515501254</v>
      </c>
      <c r="X50" s="927">
        <v>80.399999999999991</v>
      </c>
      <c r="Y50" s="928">
        <v>7.7875713569158077E-3</v>
      </c>
      <c r="Z50" s="929">
        <v>238901.45252308669</v>
      </c>
      <c r="AA50" s="927">
        <v>134</v>
      </c>
      <c r="AB50" s="926">
        <v>1782.84666062005</v>
      </c>
      <c r="AC50" s="927">
        <v>8.3529599999999995</v>
      </c>
      <c r="AD50" s="928">
        <v>8.0907054777939634E-4</v>
      </c>
      <c r="AE50" s="929">
        <v>24820.078070488085</v>
      </c>
      <c r="AF50" s="927">
        <v>7458</v>
      </c>
      <c r="AG50" s="926">
        <v>3.3279804331574261</v>
      </c>
      <c r="AH50" s="930"/>
      <c r="AI50" s="933">
        <v>30677272.999999996</v>
      </c>
      <c r="AJ50" s="932">
        <v>0</v>
      </c>
      <c r="AK50" s="933">
        <v>30677272.999999993</v>
      </c>
      <c r="AL50" s="932">
        <v>0</v>
      </c>
    </row>
    <row r="51" spans="1:38" s="407" customFormat="1" ht="16.149999999999999" customHeight="1" x14ac:dyDescent="0.2">
      <c r="A51" s="934">
        <v>45</v>
      </c>
      <c r="B51" s="934" t="s">
        <v>48</v>
      </c>
      <c r="C51" s="935">
        <v>18008226</v>
      </c>
      <c r="D51" s="936">
        <v>13115.15</v>
      </c>
      <c r="E51" s="937">
        <v>9473</v>
      </c>
      <c r="F51" s="938">
        <v>0.72229444573641932</v>
      </c>
      <c r="G51" s="939">
        <v>13007241.617366176</v>
      </c>
      <c r="H51" s="935">
        <v>1373.0857824729417</v>
      </c>
      <c r="I51" s="936">
        <v>1220.3399999999999</v>
      </c>
      <c r="J51" s="938">
        <v>9.304811610999493E-2</v>
      </c>
      <c r="K51" s="939">
        <v>1675631.5037830295</v>
      </c>
      <c r="L51" s="936">
        <v>5547</v>
      </c>
      <c r="M51" s="935">
        <v>302.07887214404712</v>
      </c>
      <c r="N51" s="936">
        <v>298.40999999999997</v>
      </c>
      <c r="O51" s="938">
        <v>2.2753075641529071E-2</v>
      </c>
      <c r="P51" s="939">
        <v>409742.52834775049</v>
      </c>
      <c r="Q51" s="936">
        <v>4973.5</v>
      </c>
      <c r="R51" s="935">
        <v>82.385146948376487</v>
      </c>
      <c r="S51" s="936">
        <v>1671</v>
      </c>
      <c r="T51" s="938">
        <v>0.12740990381352862</v>
      </c>
      <c r="U51" s="939">
        <v>2294426.3425122853</v>
      </c>
      <c r="V51" s="936">
        <v>1114</v>
      </c>
      <c r="W51" s="935">
        <v>2059.6286737094124</v>
      </c>
      <c r="X51" s="936">
        <v>452.4</v>
      </c>
      <c r="Y51" s="938">
        <v>3.449445869852804E-2</v>
      </c>
      <c r="Z51" s="939">
        <v>621184.00799075875</v>
      </c>
      <c r="AA51" s="936">
        <v>754</v>
      </c>
      <c r="AB51" s="935">
        <v>823.85146948376496</v>
      </c>
      <c r="AC51" s="936">
        <v>0</v>
      </c>
      <c r="AD51" s="938">
        <v>0</v>
      </c>
      <c r="AE51" s="939">
        <v>0</v>
      </c>
      <c r="AF51" s="937">
        <v>9473</v>
      </c>
      <c r="AG51" s="935">
        <v>0</v>
      </c>
      <c r="AH51" s="930"/>
      <c r="AI51" s="940">
        <v>18008226</v>
      </c>
      <c r="AJ51" s="940">
        <v>0</v>
      </c>
      <c r="AK51" s="940">
        <v>18008226</v>
      </c>
      <c r="AL51" s="940">
        <v>0</v>
      </c>
    </row>
    <row r="52" spans="1:38" s="406" customFormat="1" ht="16.149999999999999" customHeight="1" x14ac:dyDescent="0.2">
      <c r="A52" s="925">
        <v>46</v>
      </c>
      <c r="B52" s="925" t="s">
        <v>49</v>
      </c>
      <c r="C52" s="926">
        <v>6726747</v>
      </c>
      <c r="D52" s="927">
        <v>1996.674</v>
      </c>
      <c r="E52" s="927">
        <v>1185</v>
      </c>
      <c r="F52" s="928">
        <v>0.59348696882916285</v>
      </c>
      <c r="G52" s="929">
        <v>3992236.6871106648</v>
      </c>
      <c r="H52" s="926">
        <v>3368.9761072663837</v>
      </c>
      <c r="I52" s="927">
        <v>248.82</v>
      </c>
      <c r="J52" s="928">
        <v>0.12461723846757157</v>
      </c>
      <c r="K52" s="929">
        <v>838268.63501002162</v>
      </c>
      <c r="L52" s="927">
        <v>1131</v>
      </c>
      <c r="M52" s="926">
        <v>741.17474359860444</v>
      </c>
      <c r="N52" s="927">
        <v>17.099999999999998</v>
      </c>
      <c r="O52" s="928">
        <v>8.56424233500311E-3</v>
      </c>
      <c r="P52" s="929">
        <v>57609.491434255164</v>
      </c>
      <c r="Q52" s="927">
        <v>285</v>
      </c>
      <c r="R52" s="926">
        <v>202.13856643598302</v>
      </c>
      <c r="S52" s="927">
        <v>306</v>
      </c>
      <c r="T52" s="928">
        <v>0.15325486283689777</v>
      </c>
      <c r="U52" s="929">
        <v>1030906.6888235136</v>
      </c>
      <c r="V52" s="927">
        <v>204</v>
      </c>
      <c r="W52" s="926">
        <v>5053.4641608995762</v>
      </c>
      <c r="X52" s="927">
        <v>40.199999999999996</v>
      </c>
      <c r="Y52" s="928">
        <v>2.0133481980533625E-2</v>
      </c>
      <c r="Z52" s="929">
        <v>135432.83951210862</v>
      </c>
      <c r="AA52" s="927">
        <v>67</v>
      </c>
      <c r="AB52" s="926">
        <v>2021.3856643598301</v>
      </c>
      <c r="AC52" s="927">
        <v>199.554</v>
      </c>
      <c r="AD52" s="928">
        <v>9.9943205550831041E-2</v>
      </c>
      <c r="AE52" s="929">
        <v>672292.65810943604</v>
      </c>
      <c r="AF52" s="927">
        <v>1185</v>
      </c>
      <c r="AG52" s="926">
        <v>567.33557646365909</v>
      </c>
      <c r="AH52" s="930"/>
      <c r="AI52" s="933">
        <v>6726747</v>
      </c>
      <c r="AJ52" s="932">
        <v>0</v>
      </c>
      <c r="AK52" s="933">
        <v>6726747</v>
      </c>
      <c r="AL52" s="932">
        <v>0</v>
      </c>
    </row>
    <row r="53" spans="1:38" s="406" customFormat="1" ht="16.149999999999999" customHeight="1" x14ac:dyDescent="0.2">
      <c r="A53" s="925">
        <v>47</v>
      </c>
      <c r="B53" s="925" t="s">
        <v>50</v>
      </c>
      <c r="C53" s="926">
        <v>5990990</v>
      </c>
      <c r="D53" s="927">
        <v>5356.7076500000003</v>
      </c>
      <c r="E53" s="927">
        <v>3505</v>
      </c>
      <c r="F53" s="928">
        <v>0.65431982273663936</v>
      </c>
      <c r="G53" s="929">
        <v>3920023.5148169789</v>
      </c>
      <c r="H53" s="926">
        <v>1118.4089913885816</v>
      </c>
      <c r="I53" s="927">
        <v>474.1</v>
      </c>
      <c r="J53" s="928">
        <v>8.8505856764462404E-2</v>
      </c>
      <c r="K53" s="929">
        <v>530237.70281732664</v>
      </c>
      <c r="L53" s="927">
        <v>2155</v>
      </c>
      <c r="M53" s="926">
        <v>246.04997810548801</v>
      </c>
      <c r="N53" s="927">
        <v>129.12</v>
      </c>
      <c r="O53" s="928">
        <v>2.4104358205921505E-2</v>
      </c>
      <c r="P53" s="929">
        <v>144408.96896809369</v>
      </c>
      <c r="Q53" s="927">
        <v>2152</v>
      </c>
      <c r="R53" s="926">
        <v>67.104539483314909</v>
      </c>
      <c r="S53" s="927">
        <v>802.5</v>
      </c>
      <c r="T53" s="928">
        <v>0.14981217054098517</v>
      </c>
      <c r="U53" s="929">
        <v>897523.2155893367</v>
      </c>
      <c r="V53" s="927">
        <v>535</v>
      </c>
      <c r="W53" s="926">
        <v>1677.6134870828723</v>
      </c>
      <c r="X53" s="927">
        <v>72.599999999999994</v>
      </c>
      <c r="Y53" s="928">
        <v>1.355310103585735E-2</v>
      </c>
      <c r="Z53" s="929">
        <v>81196.49277481102</v>
      </c>
      <c r="AA53" s="927">
        <v>121</v>
      </c>
      <c r="AB53" s="926">
        <v>671.04539483314898</v>
      </c>
      <c r="AC53" s="927">
        <v>373.38765000000001</v>
      </c>
      <c r="AD53" s="928">
        <v>6.9704690716134193E-2</v>
      </c>
      <c r="AE53" s="929">
        <v>417600.1050334528</v>
      </c>
      <c r="AF53" s="927">
        <v>3505</v>
      </c>
      <c r="AG53" s="926">
        <v>119.14410985262562</v>
      </c>
      <c r="AH53" s="930"/>
      <c r="AI53" s="933">
        <v>5990990</v>
      </c>
      <c r="AJ53" s="932">
        <v>0</v>
      </c>
      <c r="AK53" s="933">
        <v>5990989.9999999991</v>
      </c>
      <c r="AL53" s="932">
        <v>0</v>
      </c>
    </row>
    <row r="54" spans="1:38" s="406" customFormat="1" ht="16.149999999999999" customHeight="1" x14ac:dyDescent="0.2">
      <c r="A54" s="925">
        <v>48</v>
      </c>
      <c r="B54" s="925" t="s">
        <v>73</v>
      </c>
      <c r="C54" s="926">
        <v>20327526</v>
      </c>
      <c r="D54" s="927">
        <v>8668.1360000000004</v>
      </c>
      <c r="E54" s="927">
        <v>5805</v>
      </c>
      <c r="F54" s="928">
        <v>0.66969415339122507</v>
      </c>
      <c r="G54" s="929">
        <v>13613225.315108115</v>
      </c>
      <c r="H54" s="926">
        <v>2345.0861869264627</v>
      </c>
      <c r="I54" s="927">
        <v>1028.72</v>
      </c>
      <c r="J54" s="928">
        <v>0.11867834099511129</v>
      </c>
      <c r="K54" s="929">
        <v>2412437.0622149906</v>
      </c>
      <c r="L54" s="927">
        <v>4676</v>
      </c>
      <c r="M54" s="926">
        <v>515.91896112382176</v>
      </c>
      <c r="N54" s="927">
        <v>195.32999999999998</v>
      </c>
      <c r="O54" s="928">
        <v>2.2534256499898014E-2</v>
      </c>
      <c r="P54" s="929">
        <v>458065.68489234586</v>
      </c>
      <c r="Q54" s="927">
        <v>3255.5</v>
      </c>
      <c r="R54" s="926">
        <v>140.70517121558774</v>
      </c>
      <c r="S54" s="927">
        <v>1294.5</v>
      </c>
      <c r="T54" s="928">
        <v>0.14934006573039463</v>
      </c>
      <c r="U54" s="929">
        <v>3035714.0689763059</v>
      </c>
      <c r="V54" s="927">
        <v>863</v>
      </c>
      <c r="W54" s="926">
        <v>3517.629280389694</v>
      </c>
      <c r="X54" s="927">
        <v>82.2</v>
      </c>
      <c r="Y54" s="928">
        <v>9.4830076500876312E-3</v>
      </c>
      <c r="Z54" s="929">
        <v>192766.08456535524</v>
      </c>
      <c r="AA54" s="927">
        <v>137</v>
      </c>
      <c r="AB54" s="926">
        <v>1407.0517121558776</v>
      </c>
      <c r="AC54" s="927">
        <v>262.38599999999997</v>
      </c>
      <c r="AD54" s="928">
        <v>3.0270175733283368E-2</v>
      </c>
      <c r="AE54" s="929">
        <v>615317.7842428867</v>
      </c>
      <c r="AF54" s="927">
        <v>5805</v>
      </c>
      <c r="AG54" s="926">
        <v>105.99789564907609</v>
      </c>
      <c r="AH54" s="930"/>
      <c r="AI54" s="933">
        <v>20327526</v>
      </c>
      <c r="AJ54" s="932">
        <v>0</v>
      </c>
      <c r="AK54" s="933">
        <v>20327526.000000004</v>
      </c>
      <c r="AL54" s="932">
        <v>0</v>
      </c>
    </row>
    <row r="55" spans="1:38" s="406" customFormat="1" ht="16.149999999999999" customHeight="1" x14ac:dyDescent="0.2">
      <c r="A55" s="925">
        <v>49</v>
      </c>
      <c r="B55" s="925" t="s">
        <v>51</v>
      </c>
      <c r="C55" s="926">
        <v>56909854</v>
      </c>
      <c r="D55" s="927">
        <v>18836.849999999999</v>
      </c>
      <c r="E55" s="927">
        <v>12955</v>
      </c>
      <c r="F55" s="928">
        <v>0.68774768605154268</v>
      </c>
      <c r="G55" s="929">
        <v>39139620.402031131</v>
      </c>
      <c r="H55" s="926">
        <v>3021.1980240857683</v>
      </c>
      <c r="I55" s="927">
        <v>2243.12</v>
      </c>
      <c r="J55" s="928">
        <v>0.11908148124553734</v>
      </c>
      <c r="K55" s="929">
        <v>6776909.7117872685</v>
      </c>
      <c r="L55" s="927">
        <v>10196</v>
      </c>
      <c r="M55" s="926">
        <v>664.663565298869</v>
      </c>
      <c r="N55" s="927">
        <v>496.22999999999996</v>
      </c>
      <c r="O55" s="928">
        <v>2.6343576553404628E-2</v>
      </c>
      <c r="P55" s="929">
        <v>1499209.0954920806</v>
      </c>
      <c r="Q55" s="927">
        <v>8270.5</v>
      </c>
      <c r="R55" s="926">
        <v>181.27188144514608</v>
      </c>
      <c r="S55" s="927">
        <v>2989.5</v>
      </c>
      <c r="T55" s="928">
        <v>0.15870487900046984</v>
      </c>
      <c r="U55" s="929">
        <v>9031871.493004404</v>
      </c>
      <c r="V55" s="927">
        <v>1993</v>
      </c>
      <c r="W55" s="926">
        <v>4531.7970361286525</v>
      </c>
      <c r="X55" s="927">
        <v>153</v>
      </c>
      <c r="Y55" s="928">
        <v>8.1223771490456214E-3</v>
      </c>
      <c r="Z55" s="929">
        <v>462243.29768512252</v>
      </c>
      <c r="AA55" s="927">
        <v>255</v>
      </c>
      <c r="AB55" s="926">
        <v>1812.718814451461</v>
      </c>
      <c r="AC55" s="927">
        <v>0</v>
      </c>
      <c r="AD55" s="928">
        <v>0</v>
      </c>
      <c r="AE55" s="929">
        <v>0</v>
      </c>
      <c r="AF55" s="927">
        <v>12955</v>
      </c>
      <c r="AG55" s="926">
        <v>0</v>
      </c>
      <c r="AH55" s="930"/>
      <c r="AI55" s="933">
        <v>56909854.000000007</v>
      </c>
      <c r="AJ55" s="932">
        <v>0</v>
      </c>
      <c r="AK55" s="933">
        <v>56909854.000000007</v>
      </c>
      <c r="AL55" s="932">
        <v>0</v>
      </c>
    </row>
    <row r="56" spans="1:38" s="407" customFormat="1" ht="16.149999999999999" customHeight="1" x14ac:dyDescent="0.2">
      <c r="A56" s="934">
        <v>50</v>
      </c>
      <c r="B56" s="934" t="s">
        <v>52</v>
      </c>
      <c r="C56" s="935">
        <v>29822125</v>
      </c>
      <c r="D56" s="936">
        <v>10384.91012</v>
      </c>
      <c r="E56" s="937">
        <v>7388</v>
      </c>
      <c r="F56" s="938">
        <v>0.71141684565682117</v>
      </c>
      <c r="G56" s="939">
        <v>21215962.098283429</v>
      </c>
      <c r="H56" s="935">
        <v>2871.6786814135662</v>
      </c>
      <c r="I56" s="936">
        <v>1205.5999999999999</v>
      </c>
      <c r="J56" s="938">
        <v>0.11609151991389598</v>
      </c>
      <c r="K56" s="939">
        <v>3462095.8183121951</v>
      </c>
      <c r="L56" s="936">
        <v>5480</v>
      </c>
      <c r="M56" s="935">
        <v>631.76930991098448</v>
      </c>
      <c r="N56" s="936">
        <v>260.82</v>
      </c>
      <c r="O56" s="938">
        <v>2.5115287179779653E-2</v>
      </c>
      <c r="P56" s="939">
        <v>748991.23368628626</v>
      </c>
      <c r="Q56" s="936">
        <v>4347</v>
      </c>
      <c r="R56" s="935">
        <v>172.30072088481396</v>
      </c>
      <c r="S56" s="936">
        <v>1290</v>
      </c>
      <c r="T56" s="938">
        <v>0.1242186966563751</v>
      </c>
      <c r="U56" s="939">
        <v>3704465.4990235004</v>
      </c>
      <c r="V56" s="936">
        <v>860</v>
      </c>
      <c r="W56" s="935">
        <v>4307.5180221203491</v>
      </c>
      <c r="X56" s="936">
        <v>218.4</v>
      </c>
      <c r="Y56" s="938">
        <v>2.1030514224614202E-2</v>
      </c>
      <c r="Z56" s="939">
        <v>627174.62402072281</v>
      </c>
      <c r="AA56" s="936">
        <v>364</v>
      </c>
      <c r="AB56" s="935">
        <v>1723.0072088481395</v>
      </c>
      <c r="AC56" s="936">
        <v>22.090119999999999</v>
      </c>
      <c r="AD56" s="938">
        <v>2.1271363685138951E-3</v>
      </c>
      <c r="AE56" s="939">
        <v>63435.726673867444</v>
      </c>
      <c r="AF56" s="937">
        <v>7388</v>
      </c>
      <c r="AG56" s="935">
        <v>8.5863192574265632</v>
      </c>
      <c r="AH56" s="930"/>
      <c r="AI56" s="940">
        <v>29822125</v>
      </c>
      <c r="AJ56" s="940">
        <v>0</v>
      </c>
      <c r="AK56" s="940">
        <v>29822125</v>
      </c>
      <c r="AL56" s="940">
        <v>0</v>
      </c>
    </row>
    <row r="57" spans="1:38" s="406" customFormat="1" ht="16.149999999999999" customHeight="1" x14ac:dyDescent="0.2">
      <c r="A57" s="925">
        <v>51</v>
      </c>
      <c r="B57" s="925" t="s">
        <v>53</v>
      </c>
      <c r="C57" s="926">
        <v>33618926</v>
      </c>
      <c r="D57" s="927">
        <v>12246.470000000001</v>
      </c>
      <c r="E57" s="927">
        <v>8178</v>
      </c>
      <c r="F57" s="928">
        <v>0.66778426762977405</v>
      </c>
      <c r="G57" s="929">
        <v>22450189.87740957</v>
      </c>
      <c r="H57" s="926">
        <v>2745.1931862814345</v>
      </c>
      <c r="I57" s="927">
        <v>1422.74</v>
      </c>
      <c r="J57" s="928">
        <v>0.11617551833303801</v>
      </c>
      <c r="K57" s="929">
        <v>3905696.1538500478</v>
      </c>
      <c r="L57" s="927">
        <v>6467</v>
      </c>
      <c r="M57" s="926">
        <v>603.9425009819156</v>
      </c>
      <c r="N57" s="927">
        <v>246.92999999999998</v>
      </c>
      <c r="O57" s="928">
        <v>2.0163361360457335E-2</v>
      </c>
      <c r="P57" s="929">
        <v>677870.55348847446</v>
      </c>
      <c r="Q57" s="927">
        <v>4115.5</v>
      </c>
      <c r="R57" s="926">
        <v>164.71159117688603</v>
      </c>
      <c r="S57" s="927">
        <v>2070</v>
      </c>
      <c r="T57" s="928">
        <v>0.16902829958347179</v>
      </c>
      <c r="U57" s="929">
        <v>5682549.895602569</v>
      </c>
      <c r="V57" s="927">
        <v>1380</v>
      </c>
      <c r="W57" s="926">
        <v>4117.7897794221517</v>
      </c>
      <c r="X57" s="927">
        <v>328.8</v>
      </c>
      <c r="Y57" s="928">
        <v>2.684855309325871E-2</v>
      </c>
      <c r="Z57" s="929">
        <v>902619.51964933565</v>
      </c>
      <c r="AA57" s="927">
        <v>548</v>
      </c>
      <c r="AB57" s="926">
        <v>1647.1159117688608</v>
      </c>
      <c r="AC57" s="927">
        <v>0</v>
      </c>
      <c r="AD57" s="928">
        <v>0</v>
      </c>
      <c r="AE57" s="929">
        <v>0</v>
      </c>
      <c r="AF57" s="927">
        <v>8178</v>
      </c>
      <c r="AG57" s="926">
        <v>0</v>
      </c>
      <c r="AH57" s="930"/>
      <c r="AI57" s="933">
        <v>33618926</v>
      </c>
      <c r="AJ57" s="932">
        <v>0</v>
      </c>
      <c r="AK57" s="933">
        <v>33618926</v>
      </c>
      <c r="AL57" s="932">
        <v>0</v>
      </c>
    </row>
    <row r="58" spans="1:38" s="406" customFormat="1" ht="16.149999999999999" customHeight="1" x14ac:dyDescent="0.2">
      <c r="A58" s="925">
        <v>52</v>
      </c>
      <c r="B58" s="925" t="s">
        <v>54</v>
      </c>
      <c r="C58" s="926">
        <v>155410219</v>
      </c>
      <c r="D58" s="927">
        <v>56130.45</v>
      </c>
      <c r="E58" s="927">
        <v>38048</v>
      </c>
      <c r="F58" s="928">
        <v>0.67784954512212181</v>
      </c>
      <c r="G58" s="929">
        <v>105344746.25647934</v>
      </c>
      <c r="H58" s="926">
        <v>2768.732817926812</v>
      </c>
      <c r="I58" s="927">
        <v>4438.0600000000004</v>
      </c>
      <c r="J58" s="928">
        <v>7.9066887936939764E-2</v>
      </c>
      <c r="K58" s="929">
        <v>12287802.369928267</v>
      </c>
      <c r="L58" s="927">
        <v>20173</v>
      </c>
      <c r="M58" s="926">
        <v>609.12121994389861</v>
      </c>
      <c r="N58" s="927">
        <v>882.99</v>
      </c>
      <c r="O58" s="928">
        <v>1.5731033690269722E-2</v>
      </c>
      <c r="P58" s="929">
        <v>2444763.3909011958</v>
      </c>
      <c r="Q58" s="927">
        <v>14716.5</v>
      </c>
      <c r="R58" s="926">
        <v>166.12396907560873</v>
      </c>
      <c r="S58" s="927">
        <v>11094</v>
      </c>
      <c r="T58" s="928">
        <v>0.19764673185410059</v>
      </c>
      <c r="U58" s="929">
        <v>30716321.882080048</v>
      </c>
      <c r="V58" s="927">
        <v>7396</v>
      </c>
      <c r="W58" s="926">
        <v>4153.0992268902173</v>
      </c>
      <c r="X58" s="927">
        <v>1667.3999999999999</v>
      </c>
      <c r="Y58" s="928">
        <v>2.9705801396568171E-2</v>
      </c>
      <c r="Z58" s="929">
        <v>4616585.1006111652</v>
      </c>
      <c r="AA58" s="927">
        <v>2779</v>
      </c>
      <c r="AB58" s="926">
        <v>1661.2396907560867</v>
      </c>
      <c r="AC58" s="927">
        <v>0</v>
      </c>
      <c r="AD58" s="928">
        <v>0</v>
      </c>
      <c r="AE58" s="929">
        <v>0</v>
      </c>
      <c r="AF58" s="927">
        <v>38048</v>
      </c>
      <c r="AG58" s="926">
        <v>0</v>
      </c>
      <c r="AH58" s="930"/>
      <c r="AI58" s="933">
        <v>155410219</v>
      </c>
      <c r="AJ58" s="932">
        <v>0</v>
      </c>
      <c r="AK58" s="933">
        <v>155410219</v>
      </c>
      <c r="AL58" s="932">
        <v>0</v>
      </c>
    </row>
    <row r="59" spans="1:38" s="406" customFormat="1" ht="16.149999999999999" customHeight="1" x14ac:dyDescent="0.2">
      <c r="A59" s="925">
        <v>53</v>
      </c>
      <c r="B59" s="925" t="s">
        <v>55</v>
      </c>
      <c r="C59" s="926">
        <v>84508354</v>
      </c>
      <c r="D59" s="927">
        <v>27310.35</v>
      </c>
      <c r="E59" s="927">
        <v>19306</v>
      </c>
      <c r="F59" s="928">
        <v>0.70691148227686573</v>
      </c>
      <c r="G59" s="929">
        <v>59739925.790918097</v>
      </c>
      <c r="H59" s="926">
        <v>3094.3709619246915</v>
      </c>
      <c r="I59" s="927">
        <v>3129.5</v>
      </c>
      <c r="J59" s="928">
        <v>0.11459025607507776</v>
      </c>
      <c r="K59" s="929">
        <v>9683833.9253433216</v>
      </c>
      <c r="L59" s="927">
        <v>14225</v>
      </c>
      <c r="M59" s="926">
        <v>680.76161162343215</v>
      </c>
      <c r="N59" s="927">
        <v>642.15</v>
      </c>
      <c r="O59" s="928">
        <v>2.3513063728586414E-2</v>
      </c>
      <c r="P59" s="929">
        <v>1987050.3131999406</v>
      </c>
      <c r="Q59" s="927">
        <v>10702.5</v>
      </c>
      <c r="R59" s="926">
        <v>185.66225771548147</v>
      </c>
      <c r="S59" s="927">
        <v>3949.5</v>
      </c>
      <c r="T59" s="928">
        <v>0.14461550291373051</v>
      </c>
      <c r="U59" s="929">
        <v>12221218.114121569</v>
      </c>
      <c r="V59" s="927">
        <v>2633</v>
      </c>
      <c r="W59" s="926">
        <v>4641.5564428870375</v>
      </c>
      <c r="X59" s="927">
        <v>283.2</v>
      </c>
      <c r="Y59" s="928">
        <v>1.0369695005739582E-2</v>
      </c>
      <c r="Z59" s="929">
        <v>876325.8564170727</v>
      </c>
      <c r="AA59" s="927">
        <v>472</v>
      </c>
      <c r="AB59" s="926">
        <v>1856.622577154815</v>
      </c>
      <c r="AC59" s="927">
        <v>0</v>
      </c>
      <c r="AD59" s="928">
        <v>0</v>
      </c>
      <c r="AE59" s="929">
        <v>0</v>
      </c>
      <c r="AF59" s="927">
        <v>19306</v>
      </c>
      <c r="AG59" s="926">
        <v>0</v>
      </c>
      <c r="AH59" s="930"/>
      <c r="AI59" s="933">
        <v>84508354</v>
      </c>
      <c r="AJ59" s="932">
        <v>0</v>
      </c>
      <c r="AK59" s="933">
        <v>84508354</v>
      </c>
      <c r="AL59" s="932">
        <v>0</v>
      </c>
    </row>
    <row r="60" spans="1:38" s="406" customFormat="1" ht="16.149999999999999" customHeight="1" x14ac:dyDescent="0.2">
      <c r="A60" s="925">
        <v>54</v>
      </c>
      <c r="B60" s="925" t="s">
        <v>56</v>
      </c>
      <c r="C60" s="926">
        <v>1996506</v>
      </c>
      <c r="D60" s="927">
        <v>797.21781999999996</v>
      </c>
      <c r="E60" s="927">
        <v>458</v>
      </c>
      <c r="F60" s="928">
        <v>0.57449794586879654</v>
      </c>
      <c r="G60" s="929">
        <v>1146988.5959147275</v>
      </c>
      <c r="H60" s="926">
        <v>2504.341912477571</v>
      </c>
      <c r="I60" s="927">
        <v>94.6</v>
      </c>
      <c r="J60" s="928">
        <v>0.11866267615543265</v>
      </c>
      <c r="K60" s="929">
        <v>236910.7449203782</v>
      </c>
      <c r="L60" s="927">
        <v>430</v>
      </c>
      <c r="M60" s="926">
        <v>550.95522074506562</v>
      </c>
      <c r="N60" s="927">
        <v>17.009999999999998</v>
      </c>
      <c r="O60" s="928">
        <v>2.1336703186087835E-2</v>
      </c>
      <c r="P60" s="929">
        <v>42598.855931243481</v>
      </c>
      <c r="Q60" s="927">
        <v>283.5</v>
      </c>
      <c r="R60" s="926">
        <v>150.26051474865426</v>
      </c>
      <c r="S60" s="927">
        <v>132</v>
      </c>
      <c r="T60" s="928">
        <v>0.16557582719362696</v>
      </c>
      <c r="U60" s="929">
        <v>330573.13244703936</v>
      </c>
      <c r="V60" s="927">
        <v>88</v>
      </c>
      <c r="W60" s="926">
        <v>3756.5128687163565</v>
      </c>
      <c r="X60" s="927">
        <v>9.6</v>
      </c>
      <c r="Y60" s="928">
        <v>1.2041878341354688E-2</v>
      </c>
      <c r="Z60" s="929">
        <v>24041.682359784681</v>
      </c>
      <c r="AA60" s="927">
        <v>16</v>
      </c>
      <c r="AB60" s="926">
        <v>1502.6051474865426</v>
      </c>
      <c r="AC60" s="927">
        <v>86.007820000000009</v>
      </c>
      <c r="AD60" s="928">
        <v>0.10788496925470133</v>
      </c>
      <c r="AE60" s="929">
        <v>215392.98842682672</v>
      </c>
      <c r="AF60" s="927">
        <v>458</v>
      </c>
      <c r="AG60" s="926">
        <v>470.29036774416312</v>
      </c>
      <c r="AH60" s="930"/>
      <c r="AI60" s="933">
        <v>1996506</v>
      </c>
      <c r="AJ60" s="932">
        <v>0</v>
      </c>
      <c r="AK60" s="933">
        <v>1996505.9999999995</v>
      </c>
      <c r="AL60" s="932">
        <v>0</v>
      </c>
    </row>
    <row r="61" spans="1:38" s="407" customFormat="1" ht="16.149999999999999" customHeight="1" x14ac:dyDescent="0.2">
      <c r="A61" s="934">
        <v>55</v>
      </c>
      <c r="B61" s="934" t="s">
        <v>57</v>
      </c>
      <c r="C61" s="935">
        <v>62447990</v>
      </c>
      <c r="D61" s="936">
        <v>23111.22</v>
      </c>
      <c r="E61" s="937">
        <v>16575</v>
      </c>
      <c r="F61" s="938">
        <v>0.71718412095943007</v>
      </c>
      <c r="G61" s="939">
        <v>44786706.813833281</v>
      </c>
      <c r="H61" s="935">
        <v>2702.0637595072872</v>
      </c>
      <c r="I61" s="936">
        <v>2699.4</v>
      </c>
      <c r="J61" s="938">
        <v>0.11680041122883171</v>
      </c>
      <c r="K61" s="939">
        <v>7293950.9124139706</v>
      </c>
      <c r="L61" s="936">
        <v>12270</v>
      </c>
      <c r="M61" s="935">
        <v>594.45402709160317</v>
      </c>
      <c r="N61" s="936">
        <v>444.12</v>
      </c>
      <c r="O61" s="938">
        <v>1.9216640229291225E-2</v>
      </c>
      <c r="P61" s="939">
        <v>1200040.5568723762</v>
      </c>
      <c r="Q61" s="936">
        <v>7402</v>
      </c>
      <c r="R61" s="935">
        <v>162.12382557043722</v>
      </c>
      <c r="S61" s="936">
        <v>3019.5</v>
      </c>
      <c r="T61" s="938">
        <v>0.13065082674129708</v>
      </c>
      <c r="U61" s="939">
        <v>8158881.5218322529</v>
      </c>
      <c r="V61" s="936">
        <v>2013</v>
      </c>
      <c r="W61" s="935">
        <v>4053.0956392609305</v>
      </c>
      <c r="X61" s="936">
        <v>373.2</v>
      </c>
      <c r="Y61" s="938">
        <v>1.6148000841149882E-2</v>
      </c>
      <c r="Z61" s="939">
        <v>1008410.1950481194</v>
      </c>
      <c r="AA61" s="936">
        <v>622</v>
      </c>
      <c r="AB61" s="935">
        <v>1621.238255704372</v>
      </c>
      <c r="AC61" s="936">
        <v>0</v>
      </c>
      <c r="AD61" s="938">
        <v>0</v>
      </c>
      <c r="AE61" s="939">
        <v>0</v>
      </c>
      <c r="AF61" s="937">
        <v>16575</v>
      </c>
      <c r="AG61" s="935">
        <v>0</v>
      </c>
      <c r="AH61" s="930"/>
      <c r="AI61" s="940">
        <v>62447990</v>
      </c>
      <c r="AJ61" s="940">
        <v>0</v>
      </c>
      <c r="AK61" s="940">
        <v>62447989.999999993</v>
      </c>
      <c r="AL61" s="940">
        <v>0</v>
      </c>
    </row>
    <row r="62" spans="1:38" s="406" customFormat="1" ht="16.149999999999999" customHeight="1" x14ac:dyDescent="0.2">
      <c r="A62" s="925">
        <v>56</v>
      </c>
      <c r="B62" s="925" t="s">
        <v>58</v>
      </c>
      <c r="C62" s="926">
        <v>14165501</v>
      </c>
      <c r="D62" s="927">
        <v>4568.2993500000002</v>
      </c>
      <c r="E62" s="927">
        <v>2995</v>
      </c>
      <c r="F62" s="928">
        <v>0.65560502290639078</v>
      </c>
      <c r="G62" s="929">
        <v>9286973.6075855009</v>
      </c>
      <c r="H62" s="926">
        <v>3100.825912382471</v>
      </c>
      <c r="I62" s="927">
        <v>500.5</v>
      </c>
      <c r="J62" s="928">
        <v>0.10955937027200285</v>
      </c>
      <c r="K62" s="929">
        <v>1551963.3691474267</v>
      </c>
      <c r="L62" s="927">
        <v>2275</v>
      </c>
      <c r="M62" s="926">
        <v>682.18170072414364</v>
      </c>
      <c r="N62" s="927">
        <v>101.31</v>
      </c>
      <c r="O62" s="928">
        <v>2.2176742861651569E-2</v>
      </c>
      <c r="P62" s="929">
        <v>314144.67318346817</v>
      </c>
      <c r="Q62" s="927">
        <v>1688.5</v>
      </c>
      <c r="R62" s="926">
        <v>186.04955474294829</v>
      </c>
      <c r="S62" s="927">
        <v>589.5</v>
      </c>
      <c r="T62" s="928">
        <v>0.12904145609459677</v>
      </c>
      <c r="U62" s="929">
        <v>1827936.8753494667</v>
      </c>
      <c r="V62" s="927">
        <v>393</v>
      </c>
      <c r="W62" s="926">
        <v>4651.2388685737069</v>
      </c>
      <c r="X62" s="927">
        <v>22.2</v>
      </c>
      <c r="Y62" s="928">
        <v>4.8595764636133135E-3</v>
      </c>
      <c r="Z62" s="929">
        <v>68838.335254890859</v>
      </c>
      <c r="AA62" s="927">
        <v>37</v>
      </c>
      <c r="AB62" s="926">
        <v>1860.4955474294827</v>
      </c>
      <c r="AC62" s="927">
        <v>359.78935000000001</v>
      </c>
      <c r="AD62" s="928">
        <v>7.8757831401744721E-2</v>
      </c>
      <c r="AE62" s="929">
        <v>1115644.1394792462</v>
      </c>
      <c r="AF62" s="927">
        <v>2995</v>
      </c>
      <c r="AG62" s="926">
        <v>372.50221685450623</v>
      </c>
      <c r="AH62" s="930"/>
      <c r="AI62" s="933">
        <v>14165501</v>
      </c>
      <c r="AJ62" s="932">
        <v>0</v>
      </c>
      <c r="AK62" s="933">
        <v>14165501</v>
      </c>
      <c r="AL62" s="932">
        <v>0</v>
      </c>
    </row>
    <row r="63" spans="1:38" s="406" customFormat="1" ht="16.149999999999999" customHeight="1" x14ac:dyDescent="0.2">
      <c r="A63" s="925">
        <v>57</v>
      </c>
      <c r="B63" s="925" t="s">
        <v>59</v>
      </c>
      <c r="C63" s="926">
        <v>40669032</v>
      </c>
      <c r="D63" s="927">
        <v>12862.17</v>
      </c>
      <c r="E63" s="927">
        <v>9320</v>
      </c>
      <c r="F63" s="928">
        <v>0.72460556811175714</v>
      </c>
      <c r="G63" s="929">
        <v>29469007.036915231</v>
      </c>
      <c r="H63" s="926">
        <v>3161.9106262784585</v>
      </c>
      <c r="I63" s="927">
        <v>1261.48</v>
      </c>
      <c r="J63" s="928">
        <v>9.807676309674028E-2</v>
      </c>
      <c r="K63" s="929">
        <v>3988687.0168377496</v>
      </c>
      <c r="L63" s="927">
        <v>5734</v>
      </c>
      <c r="M63" s="926">
        <v>695.62033778126079</v>
      </c>
      <c r="N63" s="927">
        <v>258.08999999999997</v>
      </c>
      <c r="O63" s="928">
        <v>2.0065820930682769E-2</v>
      </c>
      <c r="P63" s="929">
        <v>816057.51353620726</v>
      </c>
      <c r="Q63" s="927">
        <v>4301.5</v>
      </c>
      <c r="R63" s="926">
        <v>189.71463757670747</v>
      </c>
      <c r="S63" s="927">
        <v>1872</v>
      </c>
      <c r="T63" s="928">
        <v>0.14554309265077356</v>
      </c>
      <c r="U63" s="929">
        <v>5919096.692393275</v>
      </c>
      <c r="V63" s="927">
        <v>1248</v>
      </c>
      <c r="W63" s="926">
        <v>4742.8659394176884</v>
      </c>
      <c r="X63" s="927">
        <v>150.6</v>
      </c>
      <c r="Y63" s="928">
        <v>1.1708755210046204E-2</v>
      </c>
      <c r="Z63" s="929">
        <v>476183.74031753576</v>
      </c>
      <c r="AA63" s="927">
        <v>251</v>
      </c>
      <c r="AB63" s="926">
        <v>1897.1463757670747</v>
      </c>
      <c r="AC63" s="927">
        <v>0</v>
      </c>
      <c r="AD63" s="928">
        <v>0</v>
      </c>
      <c r="AE63" s="929">
        <v>0</v>
      </c>
      <c r="AF63" s="927">
        <v>9320</v>
      </c>
      <c r="AG63" s="926">
        <v>0</v>
      </c>
      <c r="AH63" s="930"/>
      <c r="AI63" s="933">
        <v>40669032</v>
      </c>
      <c r="AJ63" s="932">
        <v>0</v>
      </c>
      <c r="AK63" s="933">
        <v>40669032</v>
      </c>
      <c r="AL63" s="932">
        <v>0</v>
      </c>
    </row>
    <row r="64" spans="1:38" s="406" customFormat="1" ht="16.149999999999999" customHeight="1" x14ac:dyDescent="0.2">
      <c r="A64" s="925">
        <v>58</v>
      </c>
      <c r="B64" s="925" t="s">
        <v>60</v>
      </c>
      <c r="C64" s="926">
        <v>37601100</v>
      </c>
      <c r="D64" s="927">
        <v>11060.4</v>
      </c>
      <c r="E64" s="927">
        <v>8017</v>
      </c>
      <c r="F64" s="928">
        <v>0.72483816136848578</v>
      </c>
      <c r="G64" s="929">
        <v>27254712.189432569</v>
      </c>
      <c r="H64" s="926">
        <v>3399.6148421395246</v>
      </c>
      <c r="I64" s="927">
        <v>1150.82</v>
      </c>
      <c r="J64" s="928">
        <v>0.10404867816715489</v>
      </c>
      <c r="K64" s="929">
        <v>3912344.7526310077</v>
      </c>
      <c r="L64" s="927">
        <v>5231</v>
      </c>
      <c r="M64" s="926">
        <v>747.91526527069539</v>
      </c>
      <c r="N64" s="927">
        <v>192.48</v>
      </c>
      <c r="O64" s="928">
        <v>1.7402625583161548E-2</v>
      </c>
      <c r="P64" s="929">
        <v>654357.8648150157</v>
      </c>
      <c r="Q64" s="927">
        <v>3208</v>
      </c>
      <c r="R64" s="926">
        <v>203.97689052837148</v>
      </c>
      <c r="S64" s="927">
        <v>1609.5</v>
      </c>
      <c r="T64" s="928">
        <v>0.14551914939785179</v>
      </c>
      <c r="U64" s="929">
        <v>5471680.088423565</v>
      </c>
      <c r="V64" s="927">
        <v>1073</v>
      </c>
      <c r="W64" s="926">
        <v>5099.4222632092869</v>
      </c>
      <c r="X64" s="927">
        <v>90.6</v>
      </c>
      <c r="Y64" s="928">
        <v>8.1913854833459906E-3</v>
      </c>
      <c r="Z64" s="929">
        <v>308005.10469784093</v>
      </c>
      <c r="AA64" s="927">
        <v>151</v>
      </c>
      <c r="AB64" s="926">
        <v>2039.7689052837147</v>
      </c>
      <c r="AC64" s="927">
        <v>0</v>
      </c>
      <c r="AD64" s="928">
        <v>0</v>
      </c>
      <c r="AE64" s="929">
        <v>0</v>
      </c>
      <c r="AF64" s="927">
        <v>8017</v>
      </c>
      <c r="AG64" s="926">
        <v>0</v>
      </c>
      <c r="AH64" s="930"/>
      <c r="AI64" s="933">
        <v>37601100</v>
      </c>
      <c r="AJ64" s="932">
        <v>0</v>
      </c>
      <c r="AK64" s="933">
        <v>37601100</v>
      </c>
      <c r="AL64" s="932">
        <v>0</v>
      </c>
    </row>
    <row r="65" spans="1:38" s="406" customFormat="1" ht="16.149999999999999" customHeight="1" x14ac:dyDescent="0.2">
      <c r="A65" s="925">
        <v>59</v>
      </c>
      <c r="B65" s="925" t="s">
        <v>61</v>
      </c>
      <c r="C65" s="926">
        <v>28829311</v>
      </c>
      <c r="D65" s="927">
        <v>8029.8760000000002</v>
      </c>
      <c r="E65" s="927">
        <v>4995</v>
      </c>
      <c r="F65" s="928">
        <v>0.62205194700391386</v>
      </c>
      <c r="G65" s="929">
        <v>17933329.038331352</v>
      </c>
      <c r="H65" s="926">
        <v>3590.2560637300003</v>
      </c>
      <c r="I65" s="927">
        <v>795.52</v>
      </c>
      <c r="J65" s="928">
        <v>9.9070022999109816E-2</v>
      </c>
      <c r="K65" s="929">
        <v>2856120.5038184896</v>
      </c>
      <c r="L65" s="927">
        <v>3616</v>
      </c>
      <c r="M65" s="926">
        <v>789.8563340206</v>
      </c>
      <c r="N65" s="927">
        <v>171.39</v>
      </c>
      <c r="O65" s="928">
        <v>2.1344040680080237E-2</v>
      </c>
      <c r="P65" s="929">
        <v>615333.98676268465</v>
      </c>
      <c r="Q65" s="927">
        <v>2856.5</v>
      </c>
      <c r="R65" s="926">
        <v>215.41536382379999</v>
      </c>
      <c r="S65" s="927">
        <v>1513.5</v>
      </c>
      <c r="T65" s="928">
        <v>0.18848360796605079</v>
      </c>
      <c r="U65" s="929">
        <v>5433852.5524553554</v>
      </c>
      <c r="V65" s="927">
        <v>1009</v>
      </c>
      <c r="W65" s="926">
        <v>5385.384095595</v>
      </c>
      <c r="X65" s="927">
        <v>220.79999999999998</v>
      </c>
      <c r="Y65" s="928">
        <v>2.7497311290983817E-2</v>
      </c>
      <c r="Z65" s="929">
        <v>792728.53887158399</v>
      </c>
      <c r="AA65" s="927">
        <v>368</v>
      </c>
      <c r="AB65" s="926">
        <v>2154.153638238</v>
      </c>
      <c r="AC65" s="927">
        <v>333.666</v>
      </c>
      <c r="AD65" s="928">
        <v>4.1553070059861447E-2</v>
      </c>
      <c r="AE65" s="929">
        <v>1197946.3797605343</v>
      </c>
      <c r="AF65" s="927">
        <v>4995</v>
      </c>
      <c r="AG65" s="926">
        <v>239.82910505716401</v>
      </c>
      <c r="AH65" s="930"/>
      <c r="AI65" s="933">
        <v>28829311</v>
      </c>
      <c r="AJ65" s="932">
        <v>0</v>
      </c>
      <c r="AK65" s="933">
        <v>28829310.999999996</v>
      </c>
      <c r="AL65" s="932">
        <v>0</v>
      </c>
    </row>
    <row r="66" spans="1:38" s="407" customFormat="1" ht="16.149999999999999" customHeight="1" x14ac:dyDescent="0.2">
      <c r="A66" s="934">
        <v>60</v>
      </c>
      <c r="B66" s="934" t="s">
        <v>62</v>
      </c>
      <c r="C66" s="935">
        <v>26299583</v>
      </c>
      <c r="D66" s="936">
        <v>8727.01584</v>
      </c>
      <c r="E66" s="937">
        <v>5841</v>
      </c>
      <c r="F66" s="938">
        <v>0.66930095087348895</v>
      </c>
      <c r="G66" s="939">
        <v>17602335.909476247</v>
      </c>
      <c r="H66" s="935">
        <v>3013.58259022021</v>
      </c>
      <c r="I66" s="936">
        <v>906.18</v>
      </c>
      <c r="J66" s="938">
        <v>0.10383618141800004</v>
      </c>
      <c r="K66" s="939">
        <v>2730848.2716057496</v>
      </c>
      <c r="L66" s="936">
        <v>4119</v>
      </c>
      <c r="M66" s="935">
        <v>662.98816984844609</v>
      </c>
      <c r="N66" s="936">
        <v>185.73</v>
      </c>
      <c r="O66" s="938">
        <v>2.1282188941231486E-2</v>
      </c>
      <c r="P66" s="939">
        <v>559712.69448159961</v>
      </c>
      <c r="Q66" s="936">
        <v>3095.5</v>
      </c>
      <c r="R66" s="935">
        <v>180.8149554132126</v>
      </c>
      <c r="S66" s="936">
        <v>1315.5</v>
      </c>
      <c r="T66" s="938">
        <v>0.15073881199693112</v>
      </c>
      <c r="U66" s="939">
        <v>3964367.8974346858</v>
      </c>
      <c r="V66" s="936">
        <v>877</v>
      </c>
      <c r="W66" s="935">
        <v>4520.3738853303148</v>
      </c>
      <c r="X66" s="936">
        <v>220.2</v>
      </c>
      <c r="Y66" s="938">
        <v>2.5231992703705231E-2</v>
      </c>
      <c r="Z66" s="939">
        <v>663590.88636649016</v>
      </c>
      <c r="AA66" s="936">
        <v>367</v>
      </c>
      <c r="AB66" s="935">
        <v>1808.1495541321258</v>
      </c>
      <c r="AC66" s="936">
        <v>258.40584000000001</v>
      </c>
      <c r="AD66" s="938">
        <v>2.9609874066643154E-2</v>
      </c>
      <c r="AE66" s="939">
        <v>778727.34063522913</v>
      </c>
      <c r="AF66" s="937">
        <v>5841</v>
      </c>
      <c r="AG66" s="935">
        <v>133.32089379134209</v>
      </c>
      <c r="AH66" s="930"/>
      <c r="AI66" s="940">
        <v>26299583</v>
      </c>
      <c r="AJ66" s="940">
        <v>0</v>
      </c>
      <c r="AK66" s="940">
        <v>26299583</v>
      </c>
      <c r="AL66" s="940">
        <v>0</v>
      </c>
    </row>
    <row r="67" spans="1:38" s="406" customFormat="1" ht="16.149999999999999" customHeight="1" x14ac:dyDescent="0.2">
      <c r="A67" s="925">
        <v>61</v>
      </c>
      <c r="B67" s="925" t="s">
        <v>63</v>
      </c>
      <c r="C67" s="926">
        <v>10605701</v>
      </c>
      <c r="D67" s="927">
        <v>5676.0778399999999</v>
      </c>
      <c r="E67" s="927">
        <v>3759</v>
      </c>
      <c r="F67" s="928">
        <v>0.66225307438701375</v>
      </c>
      <c r="G67" s="929">
        <v>7023658.093279426</v>
      </c>
      <c r="H67" s="926">
        <v>1868.4911128702915</v>
      </c>
      <c r="I67" s="927">
        <v>571.34</v>
      </c>
      <c r="J67" s="928">
        <v>0.10065753432303177</v>
      </c>
      <c r="K67" s="929">
        <v>1067543.7124273125</v>
      </c>
      <c r="L67" s="927">
        <v>2597</v>
      </c>
      <c r="M67" s="926">
        <v>411.06804483146419</v>
      </c>
      <c r="N67" s="927">
        <v>121.14</v>
      </c>
      <c r="O67" s="928">
        <v>2.1342202030125788E-2</v>
      </c>
      <c r="P67" s="929">
        <v>226349.01341310711</v>
      </c>
      <c r="Q67" s="927">
        <v>2019</v>
      </c>
      <c r="R67" s="926">
        <v>112.10946677221749</v>
      </c>
      <c r="S67" s="927">
        <v>717</v>
      </c>
      <c r="T67" s="928">
        <v>0.12631962073303774</v>
      </c>
      <c r="U67" s="929">
        <v>1339708.127927999</v>
      </c>
      <c r="V67" s="927">
        <v>478</v>
      </c>
      <c r="W67" s="926">
        <v>2802.7366693054373</v>
      </c>
      <c r="X67" s="927">
        <v>132.6</v>
      </c>
      <c r="Y67" s="928">
        <v>2.3361201825942542E-2</v>
      </c>
      <c r="Z67" s="929">
        <v>247761.92156660065</v>
      </c>
      <c r="AA67" s="927">
        <v>221</v>
      </c>
      <c r="AB67" s="926">
        <v>1121.0946677221748</v>
      </c>
      <c r="AC67" s="927">
        <v>374.99784</v>
      </c>
      <c r="AD67" s="928">
        <v>6.6066366700848492E-2</v>
      </c>
      <c r="AE67" s="929">
        <v>700680.13138555561</v>
      </c>
      <c r="AF67" s="927">
        <v>3759</v>
      </c>
      <c r="AG67" s="926">
        <v>186.40067341994032</v>
      </c>
      <c r="AH67" s="930"/>
      <c r="AI67" s="933">
        <v>10605701</v>
      </c>
      <c r="AJ67" s="932">
        <v>0</v>
      </c>
      <c r="AK67" s="933">
        <v>10605701</v>
      </c>
      <c r="AL67" s="932">
        <v>0</v>
      </c>
    </row>
    <row r="68" spans="1:38" s="406" customFormat="1" ht="16.149999999999999" customHeight="1" x14ac:dyDescent="0.2">
      <c r="A68" s="925">
        <v>62</v>
      </c>
      <c r="B68" s="925" t="s">
        <v>64</v>
      </c>
      <c r="C68" s="926">
        <v>9915774</v>
      </c>
      <c r="D68" s="927">
        <v>2966.6009599999998</v>
      </c>
      <c r="E68" s="927">
        <v>1908</v>
      </c>
      <c r="F68" s="928">
        <v>0.64316031233267046</v>
      </c>
      <c r="G68" s="929">
        <v>6377432.3028601734</v>
      </c>
      <c r="H68" s="926">
        <v>3342.469760408896</v>
      </c>
      <c r="I68" s="927">
        <v>300.74</v>
      </c>
      <c r="J68" s="928">
        <v>0.10137527899943781</v>
      </c>
      <c r="K68" s="929">
        <v>1005214.3557453714</v>
      </c>
      <c r="L68" s="927">
        <v>1367</v>
      </c>
      <c r="M68" s="926">
        <v>735.34334728995714</v>
      </c>
      <c r="N68" s="927">
        <v>53.64</v>
      </c>
      <c r="O68" s="928">
        <v>1.8081299346710926E-2</v>
      </c>
      <c r="P68" s="929">
        <v>179290.07794833317</v>
      </c>
      <c r="Q68" s="927">
        <v>894</v>
      </c>
      <c r="R68" s="926">
        <v>200.54818562453374</v>
      </c>
      <c r="S68" s="927">
        <v>418.5</v>
      </c>
      <c r="T68" s="928">
        <v>0.14107054020504328</v>
      </c>
      <c r="U68" s="929">
        <v>1398823.594731123</v>
      </c>
      <c r="V68" s="927">
        <v>279</v>
      </c>
      <c r="W68" s="926">
        <v>5013.7046406133441</v>
      </c>
      <c r="X68" s="927">
        <v>1.2</v>
      </c>
      <c r="Y68" s="928">
        <v>4.0450334108972988E-4</v>
      </c>
      <c r="Z68" s="929">
        <v>4010.9637124906753</v>
      </c>
      <c r="AA68" s="927">
        <v>2</v>
      </c>
      <c r="AB68" s="926">
        <v>2005.4818562453377</v>
      </c>
      <c r="AC68" s="927">
        <v>284.52096</v>
      </c>
      <c r="AD68" s="928">
        <v>9.5908065775047832E-2</v>
      </c>
      <c r="AE68" s="929">
        <v>951002.70500250917</v>
      </c>
      <c r="AF68" s="927">
        <v>1908</v>
      </c>
      <c r="AG68" s="926">
        <v>498.4290906721746</v>
      </c>
      <c r="AH68" s="930"/>
      <c r="AI68" s="933">
        <v>9915774</v>
      </c>
      <c r="AJ68" s="932">
        <v>0</v>
      </c>
      <c r="AK68" s="933">
        <v>9915774</v>
      </c>
      <c r="AL68" s="932">
        <v>0</v>
      </c>
    </row>
    <row r="69" spans="1:38" s="406" customFormat="1" ht="16.149999999999999" customHeight="1" x14ac:dyDescent="0.2">
      <c r="A69" s="925">
        <v>63</v>
      </c>
      <c r="B69" s="925" t="s">
        <v>65</v>
      </c>
      <c r="C69" s="926">
        <v>6325761</v>
      </c>
      <c r="D69" s="927">
        <v>3248.4218099999998</v>
      </c>
      <c r="E69" s="927">
        <v>2111</v>
      </c>
      <c r="F69" s="928">
        <v>0.64985402865522568</v>
      </c>
      <c r="G69" s="929">
        <v>4110821.2701601093</v>
      </c>
      <c r="H69" s="926">
        <v>1947.3336192136946</v>
      </c>
      <c r="I69" s="927">
        <v>216.92</v>
      </c>
      <c r="J69" s="928">
        <v>6.6777042110796561E-2</v>
      </c>
      <c r="K69" s="929">
        <v>422415.60867983458</v>
      </c>
      <c r="L69" s="927">
        <v>986</v>
      </c>
      <c r="M69" s="926">
        <v>428.41339622701275</v>
      </c>
      <c r="N69" s="927">
        <v>79.53</v>
      </c>
      <c r="O69" s="928">
        <v>2.4482657934130791E-2</v>
      </c>
      <c r="P69" s="929">
        <v>154871.44273606513</v>
      </c>
      <c r="Q69" s="927">
        <v>1325.5</v>
      </c>
      <c r="R69" s="926">
        <v>116.84001715282167</v>
      </c>
      <c r="S69" s="927">
        <v>456</v>
      </c>
      <c r="T69" s="928">
        <v>0.14037585839260205</v>
      </c>
      <c r="U69" s="929">
        <v>887984.13036144478</v>
      </c>
      <c r="V69" s="927">
        <v>304</v>
      </c>
      <c r="W69" s="926">
        <v>2921.0004288205419</v>
      </c>
      <c r="X69" s="927">
        <v>81.599999999999994</v>
      </c>
      <c r="Y69" s="928">
        <v>2.5119890449202469E-2</v>
      </c>
      <c r="Z69" s="929">
        <v>158902.42332783746</v>
      </c>
      <c r="AA69" s="927">
        <v>136</v>
      </c>
      <c r="AB69" s="926">
        <v>1168.4001715282166</v>
      </c>
      <c r="AC69" s="927">
        <v>303.37180999999998</v>
      </c>
      <c r="AD69" s="928">
        <v>9.3390522458042483E-2</v>
      </c>
      <c r="AE69" s="929">
        <v>590766.12473470927</v>
      </c>
      <c r="AF69" s="927">
        <v>2111</v>
      </c>
      <c r="AG69" s="926">
        <v>279.85131441720006</v>
      </c>
      <c r="AH69" s="930"/>
      <c r="AI69" s="933">
        <v>6325761</v>
      </c>
      <c r="AJ69" s="932">
        <v>0</v>
      </c>
      <c r="AK69" s="933">
        <v>6325761</v>
      </c>
      <c r="AL69" s="932">
        <v>0</v>
      </c>
    </row>
    <row r="70" spans="1:38" s="406" customFormat="1" ht="16.149999999999999" customHeight="1" x14ac:dyDescent="0.2">
      <c r="A70" s="925">
        <v>64</v>
      </c>
      <c r="B70" s="925" t="s">
        <v>66</v>
      </c>
      <c r="C70" s="926">
        <v>10325514</v>
      </c>
      <c r="D70" s="927">
        <v>3289.7161000000001</v>
      </c>
      <c r="E70" s="927">
        <v>2030</v>
      </c>
      <c r="F70" s="928">
        <v>0.61707452506312022</v>
      </c>
      <c r="G70" s="929">
        <v>6371611.647582599</v>
      </c>
      <c r="H70" s="926">
        <v>3138.7249495480783</v>
      </c>
      <c r="I70" s="927">
        <v>331.98</v>
      </c>
      <c r="J70" s="928">
        <v>0.10091448316771165</v>
      </c>
      <c r="K70" s="929">
        <v>1041993.908750971</v>
      </c>
      <c r="L70" s="927">
        <v>1509</v>
      </c>
      <c r="M70" s="926">
        <v>690.51948890057713</v>
      </c>
      <c r="N70" s="927">
        <v>105.72</v>
      </c>
      <c r="O70" s="928">
        <v>3.213651171905077E-2</v>
      </c>
      <c r="P70" s="929">
        <v>331826.00166622282</v>
      </c>
      <c r="Q70" s="927">
        <v>1762</v>
      </c>
      <c r="R70" s="926">
        <v>188.3234969728847</v>
      </c>
      <c r="S70" s="927">
        <v>493.5</v>
      </c>
      <c r="T70" s="928">
        <v>0.15001294488603439</v>
      </c>
      <c r="U70" s="929">
        <v>1548960.7626019765</v>
      </c>
      <c r="V70" s="927">
        <v>329</v>
      </c>
      <c r="W70" s="926">
        <v>4708.0874243221169</v>
      </c>
      <c r="X70" s="927">
        <v>32.4</v>
      </c>
      <c r="Y70" s="928">
        <v>9.8488741931256618E-3</v>
      </c>
      <c r="Z70" s="929">
        <v>101694.68836535772</v>
      </c>
      <c r="AA70" s="927">
        <v>54</v>
      </c>
      <c r="AB70" s="926">
        <v>1883.2349697288466</v>
      </c>
      <c r="AC70" s="927">
        <v>296.11610000000002</v>
      </c>
      <c r="AD70" s="928">
        <v>9.0012660970957351E-2</v>
      </c>
      <c r="AE70" s="929">
        <v>929426.99103287375</v>
      </c>
      <c r="AF70" s="927">
        <v>2030</v>
      </c>
      <c r="AG70" s="926">
        <v>457.84580839057821</v>
      </c>
      <c r="AH70" s="930"/>
      <c r="AI70" s="933">
        <v>10325514</v>
      </c>
      <c r="AJ70" s="932">
        <v>0</v>
      </c>
      <c r="AK70" s="933">
        <v>10325514</v>
      </c>
      <c r="AL70" s="932">
        <v>0</v>
      </c>
    </row>
    <row r="71" spans="1:38" s="406" customFormat="1" ht="16.149999999999999" customHeight="1" x14ac:dyDescent="0.2">
      <c r="A71" s="934">
        <v>65</v>
      </c>
      <c r="B71" s="934" t="s">
        <v>67</v>
      </c>
      <c r="C71" s="935">
        <v>31741798</v>
      </c>
      <c r="D71" s="936">
        <v>12020.67</v>
      </c>
      <c r="E71" s="937">
        <v>7950</v>
      </c>
      <c r="F71" s="938">
        <v>0.66136080601164493</v>
      </c>
      <c r="G71" s="939">
        <v>20992781.10953882</v>
      </c>
      <c r="H71" s="935">
        <v>2640.6013974262664</v>
      </c>
      <c r="I71" s="936">
        <v>1452</v>
      </c>
      <c r="J71" s="938">
        <v>0.12079193589042873</v>
      </c>
      <c r="K71" s="939">
        <v>3834153.2290629391</v>
      </c>
      <c r="L71" s="936">
        <v>6600</v>
      </c>
      <c r="M71" s="935">
        <v>580.93230743377865</v>
      </c>
      <c r="N71" s="936">
        <v>182.37</v>
      </c>
      <c r="O71" s="938">
        <v>1.517136731979166E-2</v>
      </c>
      <c r="P71" s="939">
        <v>481566.47684862826</v>
      </c>
      <c r="Q71" s="936">
        <v>3039.5</v>
      </c>
      <c r="R71" s="935">
        <v>158.43608384557601</v>
      </c>
      <c r="S71" s="936">
        <v>2002.5</v>
      </c>
      <c r="T71" s="938">
        <v>0.1665880520802917</v>
      </c>
      <c r="U71" s="939">
        <v>5287804.2983460994</v>
      </c>
      <c r="V71" s="936">
        <v>1335</v>
      </c>
      <c r="W71" s="935">
        <v>3960.9020961394003</v>
      </c>
      <c r="X71" s="936">
        <v>433.8</v>
      </c>
      <c r="Y71" s="938">
        <v>3.6087838697842968E-2</v>
      </c>
      <c r="Z71" s="939">
        <v>1145492.8862035144</v>
      </c>
      <c r="AA71" s="936">
        <v>723</v>
      </c>
      <c r="AB71" s="935">
        <v>1584.3608384557599</v>
      </c>
      <c r="AC71" s="936">
        <v>0</v>
      </c>
      <c r="AD71" s="938">
        <v>0</v>
      </c>
      <c r="AE71" s="939">
        <v>0</v>
      </c>
      <c r="AF71" s="937">
        <v>7950</v>
      </c>
      <c r="AG71" s="935">
        <v>0</v>
      </c>
      <c r="AH71" s="930"/>
      <c r="AI71" s="940">
        <v>31741798</v>
      </c>
      <c r="AJ71" s="940">
        <v>0</v>
      </c>
      <c r="AK71" s="940">
        <v>31741798</v>
      </c>
      <c r="AL71" s="940">
        <v>0</v>
      </c>
    </row>
    <row r="72" spans="1:38" s="406" customFormat="1" ht="16.149999999999999" customHeight="1" x14ac:dyDescent="0.2">
      <c r="A72" s="925">
        <v>66</v>
      </c>
      <c r="B72" s="925" t="s">
        <v>68</v>
      </c>
      <c r="C72" s="926">
        <v>9420153</v>
      </c>
      <c r="D72" s="927">
        <v>3238.2085699999998</v>
      </c>
      <c r="E72" s="927">
        <v>1861</v>
      </c>
      <c r="F72" s="928">
        <v>0.57470047397224944</v>
      </c>
      <c r="G72" s="929">
        <v>5413766.3939911071</v>
      </c>
      <c r="H72" s="926">
        <v>2909.063081134394</v>
      </c>
      <c r="I72" s="927">
        <v>380.16</v>
      </c>
      <c r="J72" s="928">
        <v>0.11739824405442792</v>
      </c>
      <c r="K72" s="929">
        <v>1105909.4209240514</v>
      </c>
      <c r="L72" s="927">
        <v>1728</v>
      </c>
      <c r="M72" s="926">
        <v>639.99387784956684</v>
      </c>
      <c r="N72" s="927">
        <v>56.61</v>
      </c>
      <c r="O72" s="928">
        <v>1.7481888141627641E-2</v>
      </c>
      <c r="P72" s="929">
        <v>164682.06102301806</v>
      </c>
      <c r="Q72" s="927">
        <v>943.5</v>
      </c>
      <c r="R72" s="926">
        <v>174.54378486806365</v>
      </c>
      <c r="S72" s="927">
        <v>558</v>
      </c>
      <c r="T72" s="928">
        <v>0.17231749837534402</v>
      </c>
      <c r="U72" s="929">
        <v>1623257.1992729921</v>
      </c>
      <c r="V72" s="927">
        <v>372</v>
      </c>
      <c r="W72" s="926">
        <v>4363.5946217015917</v>
      </c>
      <c r="X72" s="927">
        <v>102.6</v>
      </c>
      <c r="Y72" s="928">
        <v>3.1684185185143897E-2</v>
      </c>
      <c r="Z72" s="929">
        <v>298469.87212438881</v>
      </c>
      <c r="AA72" s="927">
        <v>171</v>
      </c>
      <c r="AB72" s="926">
        <v>1745.4378486806363</v>
      </c>
      <c r="AC72" s="927">
        <v>279.83857</v>
      </c>
      <c r="AD72" s="928">
        <v>8.6417710271207149E-2</v>
      </c>
      <c r="AE72" s="929">
        <v>814068.0526644428</v>
      </c>
      <c r="AF72" s="927">
        <v>1861</v>
      </c>
      <c r="AG72" s="926">
        <v>437.43581551017883</v>
      </c>
      <c r="AH72" s="930"/>
      <c r="AI72" s="933">
        <v>9420153</v>
      </c>
      <c r="AJ72" s="932">
        <v>0</v>
      </c>
      <c r="AK72" s="933">
        <v>9420153</v>
      </c>
      <c r="AL72" s="932">
        <v>0</v>
      </c>
    </row>
    <row r="73" spans="1:38" s="406" customFormat="1" ht="16.149999999999999" customHeight="1" x14ac:dyDescent="0.2">
      <c r="A73" s="925">
        <v>67</v>
      </c>
      <c r="B73" s="925" t="s">
        <v>2</v>
      </c>
      <c r="C73" s="926">
        <v>22832296</v>
      </c>
      <c r="D73" s="927">
        <v>7642.7660699999997</v>
      </c>
      <c r="E73" s="927">
        <v>5467</v>
      </c>
      <c r="F73" s="928">
        <v>0.71531693498503224</v>
      </c>
      <c r="G73" s="929">
        <v>16332327.993391011</v>
      </c>
      <c r="H73" s="926">
        <v>2987.4388134975325</v>
      </c>
      <c r="I73" s="927">
        <v>632.72</v>
      </c>
      <c r="J73" s="928">
        <v>8.2786780885994074E-2</v>
      </c>
      <c r="K73" s="929">
        <v>1890212.286076159</v>
      </c>
      <c r="L73" s="927">
        <v>2876</v>
      </c>
      <c r="M73" s="926">
        <v>657.23653896945723</v>
      </c>
      <c r="N73" s="927">
        <v>100.67999999999999</v>
      </c>
      <c r="O73" s="928">
        <v>1.3173241085475223E-2</v>
      </c>
      <c r="P73" s="929">
        <v>300775.3397429316</v>
      </c>
      <c r="Q73" s="927">
        <v>1678</v>
      </c>
      <c r="R73" s="926">
        <v>179.24632880985197</v>
      </c>
      <c r="S73" s="927">
        <v>858</v>
      </c>
      <c r="T73" s="928">
        <v>0.1122630199775302</v>
      </c>
      <c r="U73" s="929">
        <v>2563222.5019808831</v>
      </c>
      <c r="V73" s="927">
        <v>572</v>
      </c>
      <c r="W73" s="926">
        <v>4481.1582202462987</v>
      </c>
      <c r="X73" s="927">
        <v>288</v>
      </c>
      <c r="Y73" s="928">
        <v>3.7682692020429717E-2</v>
      </c>
      <c r="Z73" s="929">
        <v>860382.37828728941</v>
      </c>
      <c r="AA73" s="927">
        <v>480</v>
      </c>
      <c r="AB73" s="926">
        <v>1792.4632880985196</v>
      </c>
      <c r="AC73" s="927">
        <v>296.36606999999998</v>
      </c>
      <c r="AD73" s="928">
        <v>3.8777331045538592E-2</v>
      </c>
      <c r="AE73" s="929">
        <v>885375.50052172656</v>
      </c>
      <c r="AF73" s="927">
        <v>5467</v>
      </c>
      <c r="AG73" s="926">
        <v>161.94905807970122</v>
      </c>
      <c r="AH73" s="930"/>
      <c r="AI73" s="933">
        <v>22832296</v>
      </c>
      <c r="AJ73" s="932">
        <v>0</v>
      </c>
      <c r="AK73" s="933">
        <v>22832296</v>
      </c>
      <c r="AL73" s="932">
        <v>0</v>
      </c>
    </row>
    <row r="74" spans="1:38" ht="16.149999999999999" customHeight="1" x14ac:dyDescent="0.2">
      <c r="A74" s="925">
        <v>68</v>
      </c>
      <c r="B74" s="925" t="s">
        <v>1</v>
      </c>
      <c r="C74" s="926">
        <v>8959822</v>
      </c>
      <c r="D74" s="927">
        <v>2738.09656</v>
      </c>
      <c r="E74" s="927">
        <v>1744</v>
      </c>
      <c r="F74" s="928">
        <v>0.63693882293179616</v>
      </c>
      <c r="G74" s="929">
        <v>5706858.4783584122</v>
      </c>
      <c r="H74" s="926">
        <v>3272.2812375908325</v>
      </c>
      <c r="I74" s="927">
        <v>366.08</v>
      </c>
      <c r="J74" s="928">
        <v>0.13369871806127975</v>
      </c>
      <c r="K74" s="929">
        <v>1197916.7154572518</v>
      </c>
      <c r="L74" s="927">
        <v>1664</v>
      </c>
      <c r="M74" s="926">
        <v>719.90187226998307</v>
      </c>
      <c r="N74" s="927">
        <v>56.129999999999995</v>
      </c>
      <c r="O74" s="928">
        <v>2.0499642277042266E-2</v>
      </c>
      <c r="P74" s="929">
        <v>183673.14586597338</v>
      </c>
      <c r="Q74" s="927">
        <v>935.5</v>
      </c>
      <c r="R74" s="926">
        <v>196.33687425544989</v>
      </c>
      <c r="S74" s="927">
        <v>300</v>
      </c>
      <c r="T74" s="928">
        <v>0.10956516449514841</v>
      </c>
      <c r="U74" s="929">
        <v>981684.37127724965</v>
      </c>
      <c r="V74" s="927">
        <v>200</v>
      </c>
      <c r="W74" s="926">
        <v>4908.4218563862487</v>
      </c>
      <c r="X74" s="927">
        <v>4.2</v>
      </c>
      <c r="Y74" s="928">
        <v>1.5339123029320778E-3</v>
      </c>
      <c r="Z74" s="929">
        <v>13743.581197881495</v>
      </c>
      <c r="AA74" s="927">
        <v>7</v>
      </c>
      <c r="AB74" s="926">
        <v>1963.3687425544992</v>
      </c>
      <c r="AC74" s="927">
        <v>267.68655999999999</v>
      </c>
      <c r="AD74" s="928">
        <v>9.7763739931801374E-2</v>
      </c>
      <c r="AE74" s="929">
        <v>875945.70784323243</v>
      </c>
      <c r="AF74" s="927">
        <v>1744</v>
      </c>
      <c r="AG74" s="926">
        <v>502.26244715781678</v>
      </c>
      <c r="AH74" s="416"/>
      <c r="AI74" s="933">
        <v>8959822</v>
      </c>
      <c r="AJ74" s="932">
        <v>0</v>
      </c>
      <c r="AK74" s="933">
        <v>8959822</v>
      </c>
      <c r="AL74" s="932">
        <v>0</v>
      </c>
    </row>
    <row r="75" spans="1:38" ht="16.149999999999999" customHeight="1" x14ac:dyDescent="0.2">
      <c r="A75" s="934">
        <v>69</v>
      </c>
      <c r="B75" s="934" t="s">
        <v>74</v>
      </c>
      <c r="C75" s="935">
        <v>22246257</v>
      </c>
      <c r="D75" s="936">
        <v>6808.7696699999997</v>
      </c>
      <c r="E75" s="937">
        <v>4829</v>
      </c>
      <c r="F75" s="938">
        <v>0.70923239205417277</v>
      </c>
      <c r="G75" s="939">
        <v>15777766.066361886</v>
      </c>
      <c r="H75" s="935">
        <v>3267.2946917295271</v>
      </c>
      <c r="I75" s="936">
        <v>530.41999999999996</v>
      </c>
      <c r="J75" s="938">
        <v>7.7902473678478829E-2</v>
      </c>
      <c r="K75" s="939">
        <v>1733038.4503871754</v>
      </c>
      <c r="L75" s="936">
        <v>2411</v>
      </c>
      <c r="M75" s="935">
        <v>718.80483218049585</v>
      </c>
      <c r="N75" s="936">
        <v>142.97999999999999</v>
      </c>
      <c r="O75" s="938">
        <v>2.0999388572355684E-2</v>
      </c>
      <c r="P75" s="939">
        <v>467157.79502348765</v>
      </c>
      <c r="Q75" s="936">
        <v>2383</v>
      </c>
      <c r="R75" s="935">
        <v>196.03768150377158</v>
      </c>
      <c r="S75" s="936">
        <v>705</v>
      </c>
      <c r="T75" s="938">
        <v>0.10354293567989062</v>
      </c>
      <c r="U75" s="939">
        <v>2303442.7576693166</v>
      </c>
      <c r="V75" s="936">
        <v>470</v>
      </c>
      <c r="W75" s="935">
        <v>4900.9420375942909</v>
      </c>
      <c r="X75" s="936">
        <v>257.39999999999998</v>
      </c>
      <c r="Y75" s="938">
        <v>3.7804186729083464E-2</v>
      </c>
      <c r="Z75" s="939">
        <v>841001.6536511801</v>
      </c>
      <c r="AA75" s="936">
        <v>429</v>
      </c>
      <c r="AB75" s="935">
        <v>1960.3768150377159</v>
      </c>
      <c r="AC75" s="936">
        <v>343.96967000000001</v>
      </c>
      <c r="AD75" s="938">
        <v>5.0518623286018721E-2</v>
      </c>
      <c r="AE75" s="939">
        <v>1123850.2769069569</v>
      </c>
      <c r="AF75" s="937">
        <v>4829</v>
      </c>
      <c r="AG75" s="935">
        <v>232.72940089189416</v>
      </c>
      <c r="AH75" s="416"/>
      <c r="AI75" s="940">
        <v>22246257.000000004</v>
      </c>
      <c r="AJ75" s="932">
        <v>0</v>
      </c>
      <c r="AK75" s="940">
        <v>22246257</v>
      </c>
      <c r="AL75" s="932">
        <v>0</v>
      </c>
    </row>
    <row r="76" spans="1:38" ht="16.149999999999999" customHeight="1" thickBot="1" x14ac:dyDescent="0.25">
      <c r="A76" s="941"/>
      <c r="B76" s="941" t="s">
        <v>3</v>
      </c>
      <c r="C76" s="942">
        <v>2546008314</v>
      </c>
      <c r="D76" s="943">
        <v>975611.4118</v>
      </c>
      <c r="E76" s="943">
        <v>680999</v>
      </c>
      <c r="F76" s="944">
        <v>0.69802279038901249</v>
      </c>
      <c r="G76" s="945">
        <v>1776515423.4762232</v>
      </c>
      <c r="H76" s="942">
        <v>2608.6902087612802</v>
      </c>
      <c r="I76" s="943">
        <v>105515.07999999999</v>
      </c>
      <c r="J76" s="944">
        <v>0.10815277345446891</v>
      </c>
      <c r="K76" s="945">
        <v>273548921.50601697</v>
      </c>
      <c r="L76" s="943">
        <v>479614</v>
      </c>
      <c r="M76" s="942">
        <v>570.35224473434255</v>
      </c>
      <c r="N76" s="943">
        <v>18076.889999999996</v>
      </c>
      <c r="O76" s="944">
        <v>1.8528780804898736E-2</v>
      </c>
      <c r="P76" s="945">
        <v>47715844.441538744</v>
      </c>
      <c r="Q76" s="943">
        <v>301281.5</v>
      </c>
      <c r="R76" s="942">
        <v>158.37628411149953</v>
      </c>
      <c r="S76" s="943">
        <v>140512.5</v>
      </c>
      <c r="T76" s="944">
        <v>0.14402506807577709</v>
      </c>
      <c r="U76" s="945">
        <v>368758948.4430061</v>
      </c>
      <c r="V76" s="943">
        <v>93675</v>
      </c>
      <c r="W76" s="942">
        <v>3936.5780458287281</v>
      </c>
      <c r="X76" s="943">
        <v>17407.800000000003</v>
      </c>
      <c r="Y76" s="944">
        <v>1.7842964718793795E-2</v>
      </c>
      <c r="Z76" s="945">
        <v>44330177.816055879</v>
      </c>
      <c r="AA76" s="943">
        <v>29013</v>
      </c>
      <c r="AB76" s="942">
        <v>1527.9418817790604</v>
      </c>
      <c r="AC76" s="943">
        <v>13100.141800000001</v>
      </c>
      <c r="AD76" s="944">
        <v>1.3427622557048898E-2</v>
      </c>
      <c r="AE76" s="945">
        <v>35138998.317159146</v>
      </c>
      <c r="AF76" s="943">
        <v>680999</v>
      </c>
      <c r="AG76" s="942">
        <v>51.599192241338308</v>
      </c>
      <c r="AH76" s="416"/>
      <c r="AI76" s="946">
        <v>2546008314</v>
      </c>
      <c r="AJ76" s="947">
        <v>0</v>
      </c>
      <c r="AK76" s="946">
        <v>2546008314</v>
      </c>
      <c r="AL76" s="947">
        <v>0</v>
      </c>
    </row>
    <row r="77" spans="1:38" ht="13.5" thickTop="1" x14ac:dyDescent="0.2">
      <c r="A77" s="405"/>
      <c r="B77" s="405"/>
      <c r="C77" s="403"/>
      <c r="D77" s="403"/>
      <c r="E77" s="403"/>
      <c r="F77" s="403"/>
      <c r="G77" s="403"/>
      <c r="H77" s="403"/>
      <c r="I77" s="403"/>
      <c r="J77" s="403"/>
      <c r="K77" s="404"/>
      <c r="L77" s="403"/>
      <c r="M77" s="403"/>
      <c r="N77" s="1596"/>
      <c r="O77" s="1596"/>
      <c r="P77" s="403"/>
      <c r="Q77" s="403"/>
      <c r="R77" s="403"/>
      <c r="S77" s="1596"/>
      <c r="T77" s="1596"/>
      <c r="U77" s="403"/>
      <c r="V77" s="403"/>
      <c r="W77" s="403"/>
      <c r="X77" s="1596"/>
      <c r="Y77" s="1596"/>
      <c r="Z77" s="403"/>
      <c r="AA77" s="403"/>
      <c r="AB77" s="403"/>
      <c r="AC77" s="403"/>
      <c r="AD77" s="403"/>
      <c r="AE77" s="403"/>
      <c r="AI77" s="403"/>
      <c r="AK77" s="403"/>
    </row>
    <row r="78" spans="1:38" ht="13.5" customHeight="1" thickBot="1" x14ac:dyDescent="0.25">
      <c r="A78" s="399"/>
      <c r="B78" s="399"/>
      <c r="C78" s="398"/>
      <c r="D78" s="398"/>
      <c r="E78" s="398"/>
      <c r="F78" s="398"/>
      <c r="G78" s="400">
        <v>0.69776497339286503</v>
      </c>
      <c r="H78" s="398"/>
      <c r="I78" s="398"/>
      <c r="J78" s="402"/>
      <c r="K78" s="400">
        <v>0.10744227346070519</v>
      </c>
      <c r="L78" s="398"/>
      <c r="M78" s="398"/>
      <c r="N78" s="401"/>
      <c r="O78" s="401"/>
      <c r="P78" s="400">
        <v>1.874143308140774E-2</v>
      </c>
      <c r="Q78" s="398"/>
      <c r="R78" s="398"/>
      <c r="S78" s="1595"/>
      <c r="T78" s="1595"/>
      <c r="U78" s="400">
        <v>0.14483807708532334</v>
      </c>
      <c r="V78" s="398"/>
      <c r="W78" s="398"/>
      <c r="X78" s="1595"/>
      <c r="Y78" s="1595"/>
      <c r="Z78" s="400">
        <v>1.7411639063506953E-2</v>
      </c>
      <c r="AA78" s="398"/>
      <c r="AB78" s="398"/>
      <c r="AC78" s="398"/>
      <c r="AD78" s="398"/>
      <c r="AE78" s="400">
        <v>1.3801603916191747E-2</v>
      </c>
      <c r="AI78" s="398"/>
      <c r="AK78" s="398"/>
    </row>
    <row r="79" spans="1:38" ht="14.25" customHeight="1" thickTop="1" x14ac:dyDescent="0.2">
      <c r="A79" s="399"/>
      <c r="B79" s="399"/>
      <c r="C79" s="398"/>
      <c r="D79" s="398"/>
      <c r="E79" s="398"/>
      <c r="F79" s="398"/>
      <c r="G79" s="398"/>
      <c r="H79" s="398"/>
      <c r="I79" s="398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398"/>
      <c r="AD79" s="398"/>
      <c r="AE79" s="398"/>
      <c r="AI79" s="398"/>
      <c r="AK79" s="398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S78:T78"/>
    <mergeCell ref="X78:Y78"/>
    <mergeCell ref="AK1:AL2"/>
    <mergeCell ref="AK4:AL6"/>
    <mergeCell ref="N77:O77"/>
    <mergeCell ref="S77:T77"/>
    <mergeCell ref="X77:Y77"/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&amp;C&amp;20FY2020-21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BI7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0.28515625" style="101" hidden="1" customWidth="1"/>
    <col min="19" max="25" width="13.28515625" style="101" customWidth="1"/>
    <col min="26" max="26" width="13.28515625" style="101" hidden="1" customWidth="1"/>
    <col min="27" max="27" width="13.28515625" style="101" customWidth="1"/>
    <col min="28" max="28" width="10.28515625" style="101" bestFit="1" customWidth="1"/>
    <col min="29" max="31" width="10.28515625" style="101" hidden="1" customWidth="1"/>
    <col min="32" max="32" width="13.85546875" style="101" hidden="1" customWidth="1"/>
    <col min="33" max="35" width="13.28515625" style="101" customWidth="1"/>
    <col min="36" max="40" width="12.42578125" style="101" customWidth="1"/>
    <col min="41" max="45" width="13.28515625" style="101" hidden="1" customWidth="1"/>
    <col min="46" max="47" width="12.42578125" style="101" customWidth="1"/>
    <col min="48" max="61" width="13.28515625" style="101" customWidth="1"/>
    <col min="62" max="16384" width="8.85546875" style="101"/>
  </cols>
  <sheetData>
    <row r="1" spans="1:61" s="243" customFormat="1" ht="18.75" customHeight="1" x14ac:dyDescent="0.2">
      <c r="A1" s="1597" t="s">
        <v>487</v>
      </c>
      <c r="B1" s="1598"/>
      <c r="C1" s="1601" t="s">
        <v>1032</v>
      </c>
      <c r="D1" s="1602" t="s">
        <v>848</v>
      </c>
      <c r="E1" s="1603" t="s">
        <v>1033</v>
      </c>
      <c r="F1" s="1603"/>
      <c r="G1" s="1603"/>
      <c r="H1" s="1603"/>
      <c r="I1" s="1603"/>
      <c r="J1" s="1603" t="s">
        <v>1033</v>
      </c>
      <c r="K1" s="1603"/>
      <c r="L1" s="1603"/>
      <c r="M1" s="1603"/>
      <c r="N1" s="1603"/>
      <c r="O1" s="1603"/>
      <c r="P1" s="1603"/>
      <c r="Q1" s="1603" t="s">
        <v>1033</v>
      </c>
      <c r="R1" s="1603"/>
      <c r="S1" s="1603"/>
      <c r="T1" s="1603"/>
      <c r="U1" s="1603"/>
      <c r="V1" s="1603"/>
      <c r="W1" s="1603"/>
      <c r="X1" s="1603"/>
      <c r="Y1" s="1603" t="s">
        <v>1033</v>
      </c>
      <c r="Z1" s="1603"/>
      <c r="AA1" s="1603"/>
      <c r="AB1" s="1603"/>
      <c r="AC1" s="1603"/>
      <c r="AD1" s="1603"/>
      <c r="AE1" s="1603"/>
      <c r="AF1" s="1603"/>
      <c r="AG1" s="1603"/>
      <c r="AH1" s="1603"/>
      <c r="AI1" s="1603"/>
      <c r="AJ1" s="1603" t="s">
        <v>1033</v>
      </c>
      <c r="AK1" s="1603"/>
      <c r="AL1" s="1603"/>
      <c r="AM1" s="1603"/>
      <c r="AN1" s="1603"/>
      <c r="AO1" s="1603"/>
      <c r="AP1" s="1603"/>
      <c r="AQ1" s="1603"/>
      <c r="AR1" s="1603"/>
      <c r="AS1" s="1603"/>
      <c r="AT1" s="1603"/>
      <c r="AU1" s="1603"/>
      <c r="AV1" s="1559" t="s">
        <v>428</v>
      </c>
      <c r="AW1" s="1560" t="s">
        <v>226</v>
      </c>
      <c r="AX1" s="1560"/>
      <c r="AY1" s="1560"/>
      <c r="AZ1" s="1560"/>
      <c r="BA1" s="1560"/>
      <c r="BB1" s="1560"/>
      <c r="BC1" s="1560"/>
      <c r="BD1" s="1561" t="s">
        <v>1034</v>
      </c>
      <c r="BE1" s="1561"/>
      <c r="BF1" s="1561"/>
      <c r="BG1" s="1561"/>
      <c r="BH1" s="1561"/>
      <c r="BI1" s="1559" t="s">
        <v>427</v>
      </c>
    </row>
    <row r="2" spans="1:61" s="244" customFormat="1" ht="69.75" customHeight="1" x14ac:dyDescent="0.2">
      <c r="A2" s="1599"/>
      <c r="B2" s="1600"/>
      <c r="C2" s="1601"/>
      <c r="D2" s="1602"/>
      <c r="E2" s="1008" t="s">
        <v>580</v>
      </c>
      <c r="F2" s="1008" t="s">
        <v>579</v>
      </c>
      <c r="G2" s="1008" t="s">
        <v>1035</v>
      </c>
      <c r="H2" s="1008" t="s">
        <v>584</v>
      </c>
      <c r="I2" s="1008" t="s">
        <v>583</v>
      </c>
      <c r="J2" s="1008" t="s">
        <v>582</v>
      </c>
      <c r="K2" s="1008" t="s">
        <v>599</v>
      </c>
      <c r="L2" s="1008" t="s">
        <v>598</v>
      </c>
      <c r="M2" s="1008" t="s">
        <v>594</v>
      </c>
      <c r="N2" s="1008" t="s">
        <v>851</v>
      </c>
      <c r="O2" s="1008" t="s">
        <v>846</v>
      </c>
      <c r="P2" s="1008" t="s">
        <v>590</v>
      </c>
      <c r="Q2" s="1008" t="s">
        <v>596</v>
      </c>
      <c r="R2" s="1017"/>
      <c r="S2" s="1008" t="s">
        <v>585</v>
      </c>
      <c r="T2" s="1008" t="s">
        <v>589</v>
      </c>
      <c r="U2" s="1008" t="s">
        <v>591</v>
      </c>
      <c r="V2" s="1008" t="s">
        <v>592</v>
      </c>
      <c r="W2" s="1008" t="s">
        <v>593</v>
      </c>
      <c r="X2" s="1008" t="s">
        <v>595</v>
      </c>
      <c r="Y2" s="1008" t="s">
        <v>586</v>
      </c>
      <c r="Z2" s="1017"/>
      <c r="AA2" s="1008" t="s">
        <v>600</v>
      </c>
      <c r="AB2" s="1008" t="s">
        <v>587</v>
      </c>
      <c r="AC2" s="1017"/>
      <c r="AD2" s="1017"/>
      <c r="AE2" s="1017"/>
      <c r="AF2" s="738"/>
      <c r="AG2" s="1008" t="s">
        <v>644</v>
      </c>
      <c r="AH2" s="1008" t="s">
        <v>524</v>
      </c>
      <c r="AI2" s="1008" t="s">
        <v>649</v>
      </c>
      <c r="AJ2" s="1008" t="s">
        <v>648</v>
      </c>
      <c r="AK2" s="1008" t="s">
        <v>1052</v>
      </c>
      <c r="AL2" s="1008" t="s">
        <v>1053</v>
      </c>
      <c r="AM2" s="1008" t="s">
        <v>1235</v>
      </c>
      <c r="AN2" s="1008" t="s">
        <v>1236</v>
      </c>
      <c r="AO2" s="1008"/>
      <c r="AP2" s="1008"/>
      <c r="AQ2" s="1008"/>
      <c r="AR2" s="1008"/>
      <c r="AS2" s="1008"/>
      <c r="AT2" s="1008" t="s">
        <v>597</v>
      </c>
      <c r="AU2" s="1008" t="s">
        <v>581</v>
      </c>
      <c r="AV2" s="1559"/>
      <c r="AW2" s="739" t="s">
        <v>1036</v>
      </c>
      <c r="AX2" s="739" t="s">
        <v>1037</v>
      </c>
      <c r="AY2" s="739" t="s">
        <v>1038</v>
      </c>
      <c r="AZ2" s="739" t="s">
        <v>1039</v>
      </c>
      <c r="BA2" s="739" t="s">
        <v>1040</v>
      </c>
      <c r="BB2" s="739" t="s">
        <v>1041</v>
      </c>
      <c r="BC2" s="739" t="s">
        <v>1042</v>
      </c>
      <c r="BD2" s="740" t="s">
        <v>601</v>
      </c>
      <c r="BE2" s="740" t="s">
        <v>602</v>
      </c>
      <c r="BF2" s="741" t="s">
        <v>603</v>
      </c>
      <c r="BG2" s="741" t="s">
        <v>604</v>
      </c>
      <c r="BH2" s="741" t="s">
        <v>847</v>
      </c>
      <c r="BI2" s="1559"/>
    </row>
    <row r="3" spans="1:61" s="244" customFormat="1" ht="15" customHeight="1" x14ac:dyDescent="0.2">
      <c r="A3" s="1599"/>
      <c r="B3" s="1600"/>
      <c r="C3" s="1601"/>
      <c r="D3" s="1602"/>
      <c r="E3" s="1009">
        <v>343001</v>
      </c>
      <c r="F3" s="1009">
        <v>341001</v>
      </c>
      <c r="G3" s="1009">
        <v>344001</v>
      </c>
      <c r="H3" s="1009">
        <v>348001</v>
      </c>
      <c r="I3" s="1009">
        <v>347001</v>
      </c>
      <c r="J3" s="1009">
        <v>346001</v>
      </c>
      <c r="K3" s="1009" t="s">
        <v>426</v>
      </c>
      <c r="L3" s="1009" t="s">
        <v>425</v>
      </c>
      <c r="M3" s="1009" t="s">
        <v>421</v>
      </c>
      <c r="N3" s="1009" t="s">
        <v>412</v>
      </c>
      <c r="O3" s="1009" t="s">
        <v>647</v>
      </c>
      <c r="P3" s="1009" t="s">
        <v>417</v>
      </c>
      <c r="Q3" s="1009" t="s">
        <v>423</v>
      </c>
      <c r="R3" s="1018"/>
      <c r="S3" s="1009" t="s">
        <v>413</v>
      </c>
      <c r="T3" s="1009" t="s">
        <v>416</v>
      </c>
      <c r="U3" s="1009" t="s">
        <v>418</v>
      </c>
      <c r="V3" s="1009" t="s">
        <v>419</v>
      </c>
      <c r="W3" s="1009" t="s">
        <v>420</v>
      </c>
      <c r="X3" s="1009" t="s">
        <v>422</v>
      </c>
      <c r="Y3" s="1009" t="s">
        <v>414</v>
      </c>
      <c r="Z3" s="1018"/>
      <c r="AA3" s="1009" t="s">
        <v>343</v>
      </c>
      <c r="AB3" s="1009" t="s">
        <v>460</v>
      </c>
      <c r="AC3" s="1018"/>
      <c r="AD3" s="1018"/>
      <c r="AE3" s="1018"/>
      <c r="AF3" s="742"/>
      <c r="AG3" s="1009" t="s">
        <v>643</v>
      </c>
      <c r="AH3" s="1009" t="s">
        <v>645</v>
      </c>
      <c r="AI3" s="1009" t="s">
        <v>646</v>
      </c>
      <c r="AJ3" s="1009" t="s">
        <v>434</v>
      </c>
      <c r="AK3" s="1009" t="s">
        <v>856</v>
      </c>
      <c r="AL3" s="1009" t="s">
        <v>858</v>
      </c>
      <c r="AM3" s="1009" t="s">
        <v>1198</v>
      </c>
      <c r="AN3" s="1009" t="s">
        <v>1200</v>
      </c>
      <c r="AO3" s="1009"/>
      <c r="AP3" s="1009"/>
      <c r="AQ3" s="1009"/>
      <c r="AR3" s="1009"/>
      <c r="AS3" s="1009"/>
      <c r="AT3" s="1009" t="s">
        <v>424</v>
      </c>
      <c r="AU3" s="1009">
        <v>345001</v>
      </c>
      <c r="AV3" s="1559"/>
      <c r="AW3" s="743">
        <v>321001</v>
      </c>
      <c r="AX3" s="743">
        <v>329001</v>
      </c>
      <c r="AY3" s="743">
        <v>331001</v>
      </c>
      <c r="AZ3" s="743">
        <v>333001</v>
      </c>
      <c r="BA3" s="743">
        <v>336001</v>
      </c>
      <c r="BB3" s="743">
        <v>337001</v>
      </c>
      <c r="BC3" s="743">
        <v>340001</v>
      </c>
      <c r="BD3" s="744">
        <v>318</v>
      </c>
      <c r="BE3" s="744">
        <v>319</v>
      </c>
      <c r="BF3" s="745">
        <v>302006</v>
      </c>
      <c r="BG3" s="745">
        <v>334001</v>
      </c>
      <c r="BH3" s="745" t="s">
        <v>833</v>
      </c>
      <c r="BI3" s="1559"/>
    </row>
    <row r="4" spans="1:61" s="244" customFormat="1" ht="15" customHeight="1" x14ac:dyDescent="0.2">
      <c r="A4" s="1014"/>
      <c r="B4" s="1015"/>
      <c r="C4" s="1012">
        <v>96117409</v>
      </c>
      <c r="D4" s="1010">
        <v>354721</v>
      </c>
      <c r="E4" s="1011">
        <v>57798</v>
      </c>
      <c r="F4" s="1011">
        <v>106488</v>
      </c>
      <c r="G4" s="1011">
        <v>68081</v>
      </c>
      <c r="H4" s="1011">
        <v>133766</v>
      </c>
      <c r="I4" s="1011">
        <v>160019</v>
      </c>
      <c r="J4" s="1011">
        <v>98181</v>
      </c>
      <c r="K4" s="1011">
        <v>40824</v>
      </c>
      <c r="L4" s="1011">
        <v>74159</v>
      </c>
      <c r="M4" s="1011">
        <v>73931</v>
      </c>
      <c r="N4" s="1011">
        <v>24981</v>
      </c>
      <c r="O4" s="1011">
        <v>86101</v>
      </c>
      <c r="P4" s="1011">
        <v>56333</v>
      </c>
      <c r="Q4" s="1011">
        <v>57443</v>
      </c>
      <c r="R4" s="1011"/>
      <c r="S4" s="1011">
        <v>62084</v>
      </c>
      <c r="T4" s="1011">
        <v>24295</v>
      </c>
      <c r="U4" s="1011">
        <v>51200</v>
      </c>
      <c r="V4" s="1011">
        <v>11442</v>
      </c>
      <c r="W4" s="1011">
        <v>126898</v>
      </c>
      <c r="X4" s="1011">
        <v>95779</v>
      </c>
      <c r="Y4" s="1011">
        <v>74539</v>
      </c>
      <c r="Z4" s="1011"/>
      <c r="AA4" s="1011">
        <v>102621</v>
      </c>
      <c r="AB4" s="1011">
        <v>82521</v>
      </c>
      <c r="AC4" s="1011"/>
      <c r="AD4" s="1011"/>
      <c r="AE4" s="1011"/>
      <c r="AF4" s="1011"/>
      <c r="AG4" s="1011">
        <v>15869</v>
      </c>
      <c r="AH4" s="1011">
        <v>13311</v>
      </c>
      <c r="AI4" s="1011">
        <v>70832</v>
      </c>
      <c r="AJ4" s="1011">
        <v>32181</v>
      </c>
      <c r="AK4" s="1011">
        <v>32883</v>
      </c>
      <c r="AL4" s="1011">
        <v>121635</v>
      </c>
      <c r="AM4" s="1011">
        <v>24636</v>
      </c>
      <c r="AN4" s="1011">
        <v>27201</v>
      </c>
      <c r="AO4" s="1011"/>
      <c r="AP4" s="1011"/>
      <c r="AQ4" s="1011"/>
      <c r="AR4" s="1011"/>
      <c r="AS4" s="1011"/>
      <c r="AT4" s="1011">
        <v>104389</v>
      </c>
      <c r="AU4" s="1011">
        <v>308562</v>
      </c>
      <c r="AV4" s="979">
        <v>98893113</v>
      </c>
      <c r="AW4" s="980">
        <v>25924</v>
      </c>
      <c r="AX4" s="980">
        <v>52462</v>
      </c>
      <c r="AY4" s="980">
        <v>216045</v>
      </c>
      <c r="AZ4" s="980">
        <v>66577</v>
      </c>
      <c r="BA4" s="980">
        <v>103012</v>
      </c>
      <c r="BB4" s="980">
        <v>167220</v>
      </c>
      <c r="BC4" s="980">
        <v>23254</v>
      </c>
      <c r="BD4" s="981">
        <v>137004</v>
      </c>
      <c r="BE4" s="981">
        <v>39800</v>
      </c>
      <c r="BF4" s="982">
        <v>59990</v>
      </c>
      <c r="BG4" s="982">
        <v>88951</v>
      </c>
      <c r="BH4" s="982">
        <v>79272</v>
      </c>
      <c r="BI4" s="979">
        <v>99952624</v>
      </c>
    </row>
    <row r="5" spans="1:61" s="244" customFormat="1" ht="13.9" customHeight="1" x14ac:dyDescent="0.2">
      <c r="A5" s="1013"/>
      <c r="B5" s="1013"/>
      <c r="C5" s="434">
        <v>1</v>
      </c>
      <c r="D5" s="434">
        <v>2</v>
      </c>
      <c r="E5" s="434">
        <v>3</v>
      </c>
      <c r="F5" s="434">
        <v>4</v>
      </c>
      <c r="G5" s="434">
        <v>5</v>
      </c>
      <c r="H5" s="434">
        <v>6</v>
      </c>
      <c r="I5" s="434">
        <v>7</v>
      </c>
      <c r="J5" s="434">
        <v>8</v>
      </c>
      <c r="K5" s="434">
        <v>9</v>
      </c>
      <c r="L5" s="434">
        <v>10</v>
      </c>
      <c r="M5" s="434">
        <v>11</v>
      </c>
      <c r="N5" s="434">
        <v>12</v>
      </c>
      <c r="O5" s="434">
        <v>13</v>
      </c>
      <c r="P5" s="434">
        <v>14</v>
      </c>
      <c r="Q5" s="434">
        <v>15</v>
      </c>
      <c r="R5" s="434">
        <v>15</v>
      </c>
      <c r="S5" s="434">
        <v>16</v>
      </c>
      <c r="T5" s="434">
        <v>17</v>
      </c>
      <c r="U5" s="434">
        <v>18</v>
      </c>
      <c r="V5" s="434">
        <v>19</v>
      </c>
      <c r="W5" s="434">
        <v>20</v>
      </c>
      <c r="X5" s="434">
        <v>21</v>
      </c>
      <c r="Y5" s="434">
        <v>22</v>
      </c>
      <c r="Z5" s="434">
        <v>22</v>
      </c>
      <c r="AA5" s="434">
        <v>23</v>
      </c>
      <c r="AB5" s="434">
        <v>24</v>
      </c>
      <c r="AC5" s="434"/>
      <c r="AD5" s="434"/>
      <c r="AE5" s="434"/>
      <c r="AF5" s="434">
        <v>24</v>
      </c>
      <c r="AG5" s="434">
        <v>25</v>
      </c>
      <c r="AH5" s="434">
        <v>26</v>
      </c>
      <c r="AI5" s="434">
        <v>27</v>
      </c>
      <c r="AJ5" s="434">
        <v>28</v>
      </c>
      <c r="AK5" s="434">
        <v>29</v>
      </c>
      <c r="AL5" s="434">
        <v>30</v>
      </c>
      <c r="AM5" s="434">
        <v>31</v>
      </c>
      <c r="AN5" s="434">
        <v>32</v>
      </c>
      <c r="AO5" s="434"/>
      <c r="AP5" s="434"/>
      <c r="AQ5" s="434"/>
      <c r="AR5" s="434"/>
      <c r="AS5" s="434">
        <v>32</v>
      </c>
      <c r="AT5" s="434">
        <v>33</v>
      </c>
      <c r="AU5" s="434">
        <v>34</v>
      </c>
      <c r="AV5" s="434">
        <v>35</v>
      </c>
      <c r="AW5" s="434">
        <v>36</v>
      </c>
      <c r="AX5" s="434">
        <v>37</v>
      </c>
      <c r="AY5" s="434">
        <v>38</v>
      </c>
      <c r="AZ5" s="434">
        <v>39</v>
      </c>
      <c r="BA5" s="434">
        <v>40</v>
      </c>
      <c r="BB5" s="434">
        <v>41</v>
      </c>
      <c r="BC5" s="434">
        <v>42</v>
      </c>
      <c r="BD5" s="434">
        <v>43</v>
      </c>
      <c r="BE5" s="434">
        <v>44</v>
      </c>
      <c r="BF5" s="434">
        <v>45</v>
      </c>
      <c r="BG5" s="434">
        <v>46</v>
      </c>
      <c r="BH5" s="434">
        <v>47</v>
      </c>
      <c r="BI5" s="434">
        <v>48</v>
      </c>
    </row>
    <row r="6" spans="1:61" s="244" customFormat="1" ht="51" hidden="1" x14ac:dyDescent="0.2">
      <c r="A6" s="491"/>
      <c r="B6" s="491"/>
      <c r="C6" s="490" t="s">
        <v>642</v>
      </c>
      <c r="D6" s="490" t="s">
        <v>642</v>
      </c>
      <c r="E6" s="490" t="s">
        <v>642</v>
      </c>
      <c r="F6" s="490" t="s">
        <v>642</v>
      </c>
      <c r="G6" s="490" t="s">
        <v>642</v>
      </c>
      <c r="H6" s="490" t="s">
        <v>642</v>
      </c>
      <c r="I6" s="490" t="s">
        <v>642</v>
      </c>
      <c r="J6" s="490" t="s">
        <v>642</v>
      </c>
      <c r="K6" s="490" t="s">
        <v>642</v>
      </c>
      <c r="L6" s="490" t="s">
        <v>642</v>
      </c>
      <c r="M6" s="490" t="s">
        <v>642</v>
      </c>
      <c r="N6" s="490" t="s">
        <v>642</v>
      </c>
      <c r="O6" s="490" t="s">
        <v>642</v>
      </c>
      <c r="P6" s="490" t="s">
        <v>642</v>
      </c>
      <c r="Q6" s="490" t="s">
        <v>642</v>
      </c>
      <c r="R6" s="490" t="s">
        <v>642</v>
      </c>
      <c r="S6" s="490" t="s">
        <v>642</v>
      </c>
      <c r="T6" s="490" t="s">
        <v>642</v>
      </c>
      <c r="U6" s="490" t="s">
        <v>642</v>
      </c>
      <c r="V6" s="490" t="s">
        <v>642</v>
      </c>
      <c r="W6" s="490" t="s">
        <v>642</v>
      </c>
      <c r="X6" s="490" t="s">
        <v>642</v>
      </c>
      <c r="Y6" s="490" t="s">
        <v>642</v>
      </c>
      <c r="Z6" s="490" t="s">
        <v>642</v>
      </c>
      <c r="AA6" s="490" t="s">
        <v>642</v>
      </c>
      <c r="AB6" s="490" t="s">
        <v>642</v>
      </c>
      <c r="AC6" s="490" t="s">
        <v>642</v>
      </c>
      <c r="AD6" s="490" t="s">
        <v>642</v>
      </c>
      <c r="AE6" s="490" t="s">
        <v>642</v>
      </c>
      <c r="AF6" s="490"/>
      <c r="AG6" s="490"/>
      <c r="AH6" s="490"/>
      <c r="AI6" s="490"/>
      <c r="AJ6" s="490"/>
      <c r="AK6" s="490"/>
      <c r="AL6" s="490"/>
      <c r="AM6" s="490"/>
      <c r="AN6" s="490"/>
      <c r="AO6" s="490"/>
      <c r="AP6" s="490"/>
      <c r="AQ6" s="490"/>
      <c r="AR6" s="490"/>
      <c r="AS6" s="490"/>
      <c r="AT6" s="490" t="s">
        <v>642</v>
      </c>
      <c r="AU6" s="490" t="s">
        <v>642</v>
      </c>
      <c r="AV6" s="490" t="s">
        <v>555</v>
      </c>
      <c r="AW6" s="490" t="s">
        <v>642</v>
      </c>
      <c r="AX6" s="490" t="s">
        <v>642</v>
      </c>
      <c r="AY6" s="490" t="s">
        <v>642</v>
      </c>
      <c r="AZ6" s="490" t="s">
        <v>642</v>
      </c>
      <c r="BA6" s="490" t="s">
        <v>642</v>
      </c>
      <c r="BB6" s="490" t="s">
        <v>642</v>
      </c>
      <c r="BC6" s="490" t="s">
        <v>642</v>
      </c>
      <c r="BD6" s="490" t="s">
        <v>642</v>
      </c>
      <c r="BE6" s="490" t="s">
        <v>642</v>
      </c>
      <c r="BF6" s="490" t="s">
        <v>642</v>
      </c>
      <c r="BG6" s="490" t="s">
        <v>642</v>
      </c>
      <c r="BH6" s="543"/>
      <c r="BI6" s="434" t="s">
        <v>555</v>
      </c>
    </row>
    <row r="7" spans="1:61" s="242" customFormat="1" ht="16.149999999999999" customHeight="1" x14ac:dyDescent="0.2">
      <c r="A7" s="245" t="s">
        <v>81</v>
      </c>
      <c r="B7" s="236" t="s">
        <v>132</v>
      </c>
      <c r="C7" s="968">
        <v>1227974</v>
      </c>
      <c r="D7" s="968"/>
      <c r="E7" s="968">
        <v>0</v>
      </c>
      <c r="F7" s="968">
        <v>0</v>
      </c>
      <c r="G7" s="968">
        <v>0</v>
      </c>
      <c r="H7" s="968">
        <v>0</v>
      </c>
      <c r="I7" s="968">
        <v>0</v>
      </c>
      <c r="J7" s="968">
        <v>0</v>
      </c>
      <c r="K7" s="968">
        <v>314.03076923076924</v>
      </c>
      <c r="L7" s="968">
        <v>0</v>
      </c>
      <c r="M7" s="968">
        <v>0</v>
      </c>
      <c r="N7" s="968">
        <v>0</v>
      </c>
      <c r="O7" s="968">
        <v>0</v>
      </c>
      <c r="P7" s="968">
        <v>0</v>
      </c>
      <c r="Q7" s="968">
        <v>0</v>
      </c>
      <c r="R7" s="968"/>
      <c r="S7" s="968">
        <v>0</v>
      </c>
      <c r="T7" s="968">
        <v>0</v>
      </c>
      <c r="U7" s="968">
        <v>0</v>
      </c>
      <c r="V7" s="968">
        <v>0</v>
      </c>
      <c r="W7" s="968">
        <v>179.23446327683615</v>
      </c>
      <c r="X7" s="968">
        <v>1664.8701431492843</v>
      </c>
      <c r="Y7" s="968">
        <v>805.20524691358025</v>
      </c>
      <c r="Z7" s="968"/>
      <c r="AA7" s="968">
        <v>0</v>
      </c>
      <c r="AB7" s="969">
        <v>0</v>
      </c>
      <c r="AC7" s="969"/>
      <c r="AD7" s="969"/>
      <c r="AE7" s="969"/>
      <c r="AF7" s="969"/>
      <c r="AG7" s="969">
        <v>0</v>
      </c>
      <c r="AH7" s="969">
        <v>397.34328358208955</v>
      </c>
      <c r="AI7" s="969">
        <v>0</v>
      </c>
      <c r="AJ7" s="969">
        <v>0</v>
      </c>
      <c r="AK7" s="969">
        <v>0</v>
      </c>
      <c r="AL7" s="969">
        <v>0</v>
      </c>
      <c r="AM7" s="969">
        <v>0</v>
      </c>
      <c r="AN7" s="969">
        <v>0</v>
      </c>
      <c r="AO7" s="969"/>
      <c r="AP7" s="969"/>
      <c r="AQ7" s="969"/>
      <c r="AR7" s="969"/>
      <c r="AS7" s="969"/>
      <c r="AT7" s="968">
        <v>1467.9703125000001</v>
      </c>
      <c r="AU7" s="968">
        <v>3266.6077253218887</v>
      </c>
      <c r="AV7" s="970">
        <v>1236069.2619439741</v>
      </c>
      <c r="AW7" s="968">
        <v>0</v>
      </c>
      <c r="AX7" s="968">
        <v>0</v>
      </c>
      <c r="AY7" s="968">
        <v>0</v>
      </c>
      <c r="AZ7" s="968">
        <v>0</v>
      </c>
      <c r="BA7" s="968">
        <v>0</v>
      </c>
      <c r="BB7" s="968">
        <v>0</v>
      </c>
      <c r="BC7" s="968">
        <v>0</v>
      </c>
      <c r="BD7" s="968">
        <v>0</v>
      </c>
      <c r="BE7" s="968">
        <v>0</v>
      </c>
      <c r="BF7" s="968">
        <v>733.82262996941893</v>
      </c>
      <c r="BG7" s="968">
        <v>0</v>
      </c>
      <c r="BH7" s="971">
        <v>0</v>
      </c>
      <c r="BI7" s="968">
        <v>1236803.0845739434</v>
      </c>
    </row>
    <row r="8" spans="1:61" s="242" customFormat="1" ht="16.149999999999999" customHeight="1" x14ac:dyDescent="0.2">
      <c r="A8" s="247" t="s">
        <v>133</v>
      </c>
      <c r="B8" s="232" t="s">
        <v>134</v>
      </c>
      <c r="C8" s="972">
        <v>632105</v>
      </c>
      <c r="D8" s="972"/>
      <c r="E8" s="972">
        <v>0</v>
      </c>
      <c r="F8" s="972">
        <v>0</v>
      </c>
      <c r="G8" s="972">
        <v>0</v>
      </c>
      <c r="H8" s="972">
        <v>0</v>
      </c>
      <c r="I8" s="972">
        <v>0</v>
      </c>
      <c r="J8" s="972">
        <v>106.37161430119176</v>
      </c>
      <c r="K8" s="972">
        <v>0</v>
      </c>
      <c r="L8" s="972">
        <v>0</v>
      </c>
      <c r="M8" s="972">
        <v>0</v>
      </c>
      <c r="N8" s="972">
        <v>0</v>
      </c>
      <c r="O8" s="972">
        <v>0</v>
      </c>
      <c r="P8" s="972">
        <v>0</v>
      </c>
      <c r="Q8" s="972">
        <v>0</v>
      </c>
      <c r="R8" s="972"/>
      <c r="S8" s="972">
        <v>0</v>
      </c>
      <c r="T8" s="972">
        <v>0</v>
      </c>
      <c r="U8" s="972">
        <v>93.260473588342435</v>
      </c>
      <c r="V8" s="972">
        <v>0</v>
      </c>
      <c r="W8" s="972">
        <v>0</v>
      </c>
      <c r="X8" s="972">
        <v>0</v>
      </c>
      <c r="Y8" s="972">
        <v>0</v>
      </c>
      <c r="Z8" s="972"/>
      <c r="AA8" s="972">
        <v>0</v>
      </c>
      <c r="AB8" s="972">
        <v>0</v>
      </c>
      <c r="AC8" s="972"/>
      <c r="AD8" s="972"/>
      <c r="AE8" s="972"/>
      <c r="AF8" s="972"/>
      <c r="AG8" s="972">
        <v>0</v>
      </c>
      <c r="AH8" s="972">
        <v>0</v>
      </c>
      <c r="AI8" s="972">
        <v>0</v>
      </c>
      <c r="AJ8" s="972">
        <v>0</v>
      </c>
      <c r="AK8" s="972">
        <v>0</v>
      </c>
      <c r="AL8" s="972">
        <v>0</v>
      </c>
      <c r="AM8" s="972">
        <v>0</v>
      </c>
      <c r="AN8" s="972">
        <v>0</v>
      </c>
      <c r="AO8" s="972"/>
      <c r="AP8" s="972"/>
      <c r="AQ8" s="972"/>
      <c r="AR8" s="972"/>
      <c r="AS8" s="972"/>
      <c r="AT8" s="972">
        <v>652.43125000000009</v>
      </c>
      <c r="AU8" s="972">
        <v>2825.1742489270387</v>
      </c>
      <c r="AV8" s="973">
        <v>635782.23758681666</v>
      </c>
      <c r="AW8" s="972">
        <v>0</v>
      </c>
      <c r="AX8" s="972">
        <v>0</v>
      </c>
      <c r="AY8" s="972">
        <v>0</v>
      </c>
      <c r="AZ8" s="972">
        <v>0</v>
      </c>
      <c r="BA8" s="972">
        <v>0</v>
      </c>
      <c r="BB8" s="972">
        <v>0</v>
      </c>
      <c r="BC8" s="972">
        <v>0</v>
      </c>
      <c r="BD8" s="972">
        <v>0</v>
      </c>
      <c r="BE8" s="972">
        <v>0</v>
      </c>
      <c r="BF8" s="972">
        <v>366.91131498470946</v>
      </c>
      <c r="BG8" s="972">
        <v>0</v>
      </c>
      <c r="BH8" s="972">
        <v>0</v>
      </c>
      <c r="BI8" s="972">
        <v>636149.14890180132</v>
      </c>
    </row>
    <row r="9" spans="1:61" s="242" customFormat="1" ht="16.149999999999999" customHeight="1" x14ac:dyDescent="0.2">
      <c r="A9" s="247" t="s">
        <v>82</v>
      </c>
      <c r="B9" s="232" t="s">
        <v>135</v>
      </c>
      <c r="C9" s="972">
        <v>3106955</v>
      </c>
      <c r="D9" s="972"/>
      <c r="E9" s="972">
        <v>285.65733113673804</v>
      </c>
      <c r="F9" s="972">
        <v>0</v>
      </c>
      <c r="G9" s="972">
        <v>0</v>
      </c>
      <c r="H9" s="972">
        <v>0</v>
      </c>
      <c r="I9" s="972">
        <v>0</v>
      </c>
      <c r="J9" s="972">
        <v>0</v>
      </c>
      <c r="K9" s="972">
        <v>0</v>
      </c>
      <c r="L9" s="972">
        <v>0</v>
      </c>
      <c r="M9" s="972">
        <v>3476.9529702970299</v>
      </c>
      <c r="N9" s="972">
        <v>0</v>
      </c>
      <c r="O9" s="972">
        <v>0</v>
      </c>
      <c r="P9" s="972">
        <v>0</v>
      </c>
      <c r="Q9" s="972">
        <v>0</v>
      </c>
      <c r="R9" s="972"/>
      <c r="S9" s="972">
        <v>0</v>
      </c>
      <c r="T9" s="972">
        <v>906.88605108055015</v>
      </c>
      <c r="U9" s="972">
        <v>0</v>
      </c>
      <c r="V9" s="972">
        <v>0</v>
      </c>
      <c r="W9" s="972">
        <v>89.617231638418076</v>
      </c>
      <c r="X9" s="972">
        <v>0</v>
      </c>
      <c r="Y9" s="972">
        <v>0</v>
      </c>
      <c r="Z9" s="972"/>
      <c r="AA9" s="972">
        <v>285.05833333333334</v>
      </c>
      <c r="AB9" s="972">
        <v>0</v>
      </c>
      <c r="AC9" s="972"/>
      <c r="AD9" s="972"/>
      <c r="AE9" s="972"/>
      <c r="AF9" s="972"/>
      <c r="AG9" s="972">
        <v>0</v>
      </c>
      <c r="AH9" s="972">
        <v>0</v>
      </c>
      <c r="AI9" s="972">
        <v>0</v>
      </c>
      <c r="AJ9" s="972">
        <v>0</v>
      </c>
      <c r="AK9" s="972">
        <v>0</v>
      </c>
      <c r="AL9" s="972">
        <v>0</v>
      </c>
      <c r="AM9" s="972">
        <v>0</v>
      </c>
      <c r="AN9" s="972">
        <v>0</v>
      </c>
      <c r="AO9" s="972"/>
      <c r="AP9" s="972"/>
      <c r="AQ9" s="972"/>
      <c r="AR9" s="972"/>
      <c r="AS9" s="972"/>
      <c r="AT9" s="972">
        <v>1359.2317708333335</v>
      </c>
      <c r="AU9" s="972">
        <v>9711.5364806866946</v>
      </c>
      <c r="AV9" s="973">
        <v>3123069.9401690061</v>
      </c>
      <c r="AW9" s="972">
        <v>0</v>
      </c>
      <c r="AX9" s="972">
        <v>0</v>
      </c>
      <c r="AY9" s="972">
        <v>0</v>
      </c>
      <c r="AZ9" s="972">
        <v>0</v>
      </c>
      <c r="BA9" s="972">
        <v>0</v>
      </c>
      <c r="BB9" s="972">
        <v>0</v>
      </c>
      <c r="BC9" s="972">
        <v>0</v>
      </c>
      <c r="BD9" s="972">
        <v>0</v>
      </c>
      <c r="BE9" s="972">
        <v>0</v>
      </c>
      <c r="BF9" s="972">
        <v>1467.6452599388379</v>
      </c>
      <c r="BG9" s="972">
        <v>0</v>
      </c>
      <c r="BH9" s="972">
        <v>2202</v>
      </c>
      <c r="BI9" s="972">
        <v>3126739.5854289448</v>
      </c>
    </row>
    <row r="10" spans="1:61" s="242" customFormat="1" ht="16.149999999999999" customHeight="1" x14ac:dyDescent="0.2">
      <c r="A10" s="247" t="s">
        <v>83</v>
      </c>
      <c r="B10" s="232" t="s">
        <v>136</v>
      </c>
      <c r="C10" s="972">
        <v>444314</v>
      </c>
      <c r="D10" s="972"/>
      <c r="E10" s="972">
        <v>0</v>
      </c>
      <c r="F10" s="972">
        <v>0</v>
      </c>
      <c r="G10" s="972">
        <v>0</v>
      </c>
      <c r="H10" s="972">
        <v>0</v>
      </c>
      <c r="I10" s="972">
        <v>0</v>
      </c>
      <c r="J10" s="972">
        <v>0</v>
      </c>
      <c r="K10" s="972">
        <v>0</v>
      </c>
      <c r="L10" s="972">
        <v>0</v>
      </c>
      <c r="M10" s="972">
        <v>0</v>
      </c>
      <c r="N10" s="972">
        <v>0</v>
      </c>
      <c r="O10" s="972">
        <v>0</v>
      </c>
      <c r="P10" s="972">
        <v>0</v>
      </c>
      <c r="Q10" s="972">
        <v>0</v>
      </c>
      <c r="R10" s="972"/>
      <c r="S10" s="972">
        <v>0</v>
      </c>
      <c r="T10" s="972">
        <v>429.57760314341846</v>
      </c>
      <c r="U10" s="972">
        <v>0</v>
      </c>
      <c r="V10" s="972">
        <v>0</v>
      </c>
      <c r="W10" s="972">
        <v>358.4689265536723</v>
      </c>
      <c r="X10" s="972">
        <v>0</v>
      </c>
      <c r="Y10" s="972">
        <v>0</v>
      </c>
      <c r="Z10" s="972"/>
      <c r="AA10" s="972">
        <v>0</v>
      </c>
      <c r="AB10" s="972">
        <v>0</v>
      </c>
      <c r="AC10" s="972"/>
      <c r="AD10" s="972"/>
      <c r="AE10" s="972"/>
      <c r="AF10" s="972"/>
      <c r="AG10" s="972">
        <v>0</v>
      </c>
      <c r="AH10" s="972">
        <v>0</v>
      </c>
      <c r="AI10" s="972">
        <v>0</v>
      </c>
      <c r="AJ10" s="972">
        <v>0</v>
      </c>
      <c r="AK10" s="972">
        <v>0</v>
      </c>
      <c r="AL10" s="972">
        <v>0</v>
      </c>
      <c r="AM10" s="972">
        <v>0</v>
      </c>
      <c r="AN10" s="972">
        <v>0</v>
      </c>
      <c r="AO10" s="972"/>
      <c r="AP10" s="972"/>
      <c r="AQ10" s="972"/>
      <c r="AR10" s="972"/>
      <c r="AS10" s="972"/>
      <c r="AT10" s="972">
        <v>489.32343749999995</v>
      </c>
      <c r="AU10" s="972">
        <v>1236.0137339055793</v>
      </c>
      <c r="AV10" s="973">
        <v>446827.38370110263</v>
      </c>
      <c r="AW10" s="972">
        <v>0</v>
      </c>
      <c r="AX10" s="972">
        <v>0</v>
      </c>
      <c r="AY10" s="972">
        <v>0</v>
      </c>
      <c r="AZ10" s="972">
        <v>0</v>
      </c>
      <c r="BA10" s="972">
        <v>0</v>
      </c>
      <c r="BB10" s="972">
        <v>0</v>
      </c>
      <c r="BC10" s="972">
        <v>1537.4545454545455</v>
      </c>
      <c r="BD10" s="972">
        <v>0</v>
      </c>
      <c r="BE10" s="972">
        <v>0</v>
      </c>
      <c r="BF10" s="972">
        <v>183.45565749235473</v>
      </c>
      <c r="BG10" s="972">
        <v>0</v>
      </c>
      <c r="BH10" s="972">
        <v>0</v>
      </c>
      <c r="BI10" s="972">
        <v>448548.2939040495</v>
      </c>
    </row>
    <row r="11" spans="1:61" s="242" customFormat="1" ht="16.149999999999999" customHeight="1" x14ac:dyDescent="0.2">
      <c r="A11" s="249" t="s">
        <v>137</v>
      </c>
      <c r="B11" s="234" t="s">
        <v>138</v>
      </c>
      <c r="C11" s="974">
        <v>601538</v>
      </c>
      <c r="D11" s="974"/>
      <c r="E11" s="974">
        <v>0</v>
      </c>
      <c r="F11" s="974">
        <v>0</v>
      </c>
      <c r="G11" s="974">
        <v>0</v>
      </c>
      <c r="H11" s="974">
        <v>0</v>
      </c>
      <c r="I11" s="974">
        <v>0</v>
      </c>
      <c r="J11" s="974">
        <v>0</v>
      </c>
      <c r="K11" s="974">
        <v>0</v>
      </c>
      <c r="L11" s="974">
        <v>0</v>
      </c>
      <c r="M11" s="974">
        <v>0</v>
      </c>
      <c r="N11" s="974">
        <v>0</v>
      </c>
      <c r="O11" s="974">
        <v>0</v>
      </c>
      <c r="P11" s="974">
        <v>0</v>
      </c>
      <c r="Q11" s="974">
        <v>0</v>
      </c>
      <c r="R11" s="974"/>
      <c r="S11" s="974">
        <v>0</v>
      </c>
      <c r="T11" s="974">
        <v>0</v>
      </c>
      <c r="U11" s="974">
        <v>0</v>
      </c>
      <c r="V11" s="974">
        <v>0</v>
      </c>
      <c r="W11" s="974">
        <v>0</v>
      </c>
      <c r="X11" s="974">
        <v>0</v>
      </c>
      <c r="Y11" s="974">
        <v>0</v>
      </c>
      <c r="Z11" s="974"/>
      <c r="AA11" s="974">
        <v>0</v>
      </c>
      <c r="AB11" s="974">
        <v>0</v>
      </c>
      <c r="AC11" s="974"/>
      <c r="AD11" s="974"/>
      <c r="AE11" s="974"/>
      <c r="AF11" s="974"/>
      <c r="AG11" s="974">
        <v>0</v>
      </c>
      <c r="AH11" s="974">
        <v>0</v>
      </c>
      <c r="AI11" s="974">
        <v>0</v>
      </c>
      <c r="AJ11" s="974">
        <v>0</v>
      </c>
      <c r="AK11" s="974">
        <v>0</v>
      </c>
      <c r="AL11" s="974">
        <v>0</v>
      </c>
      <c r="AM11" s="974">
        <v>0</v>
      </c>
      <c r="AN11" s="974">
        <v>27000.992647058825</v>
      </c>
      <c r="AO11" s="974"/>
      <c r="AP11" s="974"/>
      <c r="AQ11" s="974"/>
      <c r="AR11" s="974"/>
      <c r="AS11" s="974"/>
      <c r="AT11" s="974">
        <v>1304.8625000000002</v>
      </c>
      <c r="AU11" s="974">
        <v>3531.4678111587982</v>
      </c>
      <c r="AV11" s="975">
        <v>633375.32295821758</v>
      </c>
      <c r="AW11" s="974">
        <v>0</v>
      </c>
      <c r="AX11" s="974">
        <v>0</v>
      </c>
      <c r="AY11" s="974">
        <v>0</v>
      </c>
      <c r="AZ11" s="974">
        <v>66079.414050822132</v>
      </c>
      <c r="BA11" s="974">
        <v>0</v>
      </c>
      <c r="BB11" s="974">
        <v>0</v>
      </c>
      <c r="BC11" s="974">
        <v>0</v>
      </c>
      <c r="BD11" s="974">
        <v>0</v>
      </c>
      <c r="BE11" s="974">
        <v>0</v>
      </c>
      <c r="BF11" s="974">
        <v>183.45565749235473</v>
      </c>
      <c r="BG11" s="974">
        <v>0</v>
      </c>
      <c r="BH11" s="976">
        <v>0</v>
      </c>
      <c r="BI11" s="974">
        <v>699638.19266653212</v>
      </c>
    </row>
    <row r="12" spans="1:61" s="242" customFormat="1" ht="16.149999999999999" customHeight="1" x14ac:dyDescent="0.2">
      <c r="A12" s="245" t="s">
        <v>84</v>
      </c>
      <c r="B12" s="236" t="s">
        <v>139</v>
      </c>
      <c r="C12" s="968">
        <v>799435</v>
      </c>
      <c r="D12" s="968"/>
      <c r="E12" s="968">
        <v>0</v>
      </c>
      <c r="F12" s="968">
        <v>0</v>
      </c>
      <c r="G12" s="968">
        <v>0</v>
      </c>
      <c r="H12" s="968">
        <v>0</v>
      </c>
      <c r="I12" s="968">
        <v>0</v>
      </c>
      <c r="J12" s="968">
        <v>212.74322860238351</v>
      </c>
      <c r="K12" s="968">
        <v>0</v>
      </c>
      <c r="L12" s="968">
        <v>0</v>
      </c>
      <c r="M12" s="968">
        <v>0</v>
      </c>
      <c r="N12" s="968">
        <v>0</v>
      </c>
      <c r="O12" s="968">
        <v>0</v>
      </c>
      <c r="P12" s="968">
        <v>0</v>
      </c>
      <c r="Q12" s="968">
        <v>0</v>
      </c>
      <c r="R12" s="968"/>
      <c r="S12" s="968">
        <v>0</v>
      </c>
      <c r="T12" s="968">
        <v>0</v>
      </c>
      <c r="U12" s="968">
        <v>0</v>
      </c>
      <c r="V12" s="968">
        <v>0</v>
      </c>
      <c r="W12" s="968">
        <v>0</v>
      </c>
      <c r="X12" s="968">
        <v>0</v>
      </c>
      <c r="Y12" s="968">
        <v>0</v>
      </c>
      <c r="Z12" s="968"/>
      <c r="AA12" s="968">
        <v>0</v>
      </c>
      <c r="AB12" s="969">
        <v>0</v>
      </c>
      <c r="AC12" s="969"/>
      <c r="AD12" s="969"/>
      <c r="AE12" s="969"/>
      <c r="AF12" s="969"/>
      <c r="AG12" s="969">
        <v>0</v>
      </c>
      <c r="AH12" s="969">
        <v>0</v>
      </c>
      <c r="AI12" s="969">
        <v>0</v>
      </c>
      <c r="AJ12" s="969">
        <v>0</v>
      </c>
      <c r="AK12" s="969">
        <v>0</v>
      </c>
      <c r="AL12" s="969">
        <v>0</v>
      </c>
      <c r="AM12" s="969">
        <v>0</v>
      </c>
      <c r="AN12" s="969">
        <v>0</v>
      </c>
      <c r="AO12" s="969"/>
      <c r="AP12" s="969"/>
      <c r="AQ12" s="969"/>
      <c r="AR12" s="969"/>
      <c r="AS12" s="969"/>
      <c r="AT12" s="968">
        <v>869.9083333333333</v>
      </c>
      <c r="AU12" s="968">
        <v>1236.0137339055793</v>
      </c>
      <c r="AV12" s="970">
        <v>801753.66529584129</v>
      </c>
      <c r="AW12" s="968">
        <v>0</v>
      </c>
      <c r="AX12" s="968">
        <v>0</v>
      </c>
      <c r="AY12" s="968">
        <v>0</v>
      </c>
      <c r="AZ12" s="968">
        <v>0</v>
      </c>
      <c r="BA12" s="968">
        <v>0</v>
      </c>
      <c r="BB12" s="968">
        <v>0</v>
      </c>
      <c r="BC12" s="968">
        <v>0</v>
      </c>
      <c r="BD12" s="968">
        <v>0</v>
      </c>
      <c r="BE12" s="968">
        <v>0</v>
      </c>
      <c r="BF12" s="968">
        <v>550.36697247706422</v>
      </c>
      <c r="BG12" s="968">
        <v>0</v>
      </c>
      <c r="BH12" s="971">
        <v>0</v>
      </c>
      <c r="BI12" s="968">
        <v>802304.03226831835</v>
      </c>
    </row>
    <row r="13" spans="1:61" s="242" customFormat="1" ht="16.149999999999999" customHeight="1" x14ac:dyDescent="0.2">
      <c r="A13" s="247" t="s">
        <v>85</v>
      </c>
      <c r="B13" s="232" t="s">
        <v>140</v>
      </c>
      <c r="C13" s="972">
        <v>397151</v>
      </c>
      <c r="D13" s="972"/>
      <c r="E13" s="972">
        <v>0</v>
      </c>
      <c r="F13" s="972">
        <v>111.73976915005247</v>
      </c>
      <c r="G13" s="972">
        <v>0</v>
      </c>
      <c r="H13" s="972">
        <v>0</v>
      </c>
      <c r="I13" s="972">
        <v>0</v>
      </c>
      <c r="J13" s="972">
        <v>0</v>
      </c>
      <c r="K13" s="972">
        <v>0</v>
      </c>
      <c r="L13" s="972">
        <v>0</v>
      </c>
      <c r="M13" s="972">
        <v>0</v>
      </c>
      <c r="N13" s="972">
        <v>0</v>
      </c>
      <c r="O13" s="972">
        <v>0</v>
      </c>
      <c r="P13" s="972">
        <v>0</v>
      </c>
      <c r="Q13" s="972">
        <v>0</v>
      </c>
      <c r="R13" s="972"/>
      <c r="S13" s="972">
        <v>0</v>
      </c>
      <c r="T13" s="972">
        <v>0</v>
      </c>
      <c r="U13" s="972">
        <v>0</v>
      </c>
      <c r="V13" s="972">
        <v>0</v>
      </c>
      <c r="W13" s="972">
        <v>0</v>
      </c>
      <c r="X13" s="972">
        <v>0</v>
      </c>
      <c r="Y13" s="972">
        <v>0</v>
      </c>
      <c r="Z13" s="972"/>
      <c r="AA13" s="972">
        <v>0</v>
      </c>
      <c r="AB13" s="972">
        <v>4039.4895104895104</v>
      </c>
      <c r="AC13" s="972"/>
      <c r="AD13" s="972"/>
      <c r="AE13" s="972"/>
      <c r="AF13" s="972"/>
      <c r="AG13" s="972">
        <v>0</v>
      </c>
      <c r="AH13" s="972">
        <v>0</v>
      </c>
      <c r="AI13" s="972">
        <v>0</v>
      </c>
      <c r="AJ13" s="972">
        <v>0</v>
      </c>
      <c r="AK13" s="972">
        <v>0</v>
      </c>
      <c r="AL13" s="972">
        <v>0</v>
      </c>
      <c r="AM13" s="972">
        <v>0</v>
      </c>
      <c r="AN13" s="972">
        <v>0</v>
      </c>
      <c r="AO13" s="972"/>
      <c r="AP13" s="972"/>
      <c r="AQ13" s="972"/>
      <c r="AR13" s="972"/>
      <c r="AS13" s="972"/>
      <c r="AT13" s="972">
        <v>217.47708333333333</v>
      </c>
      <c r="AU13" s="972">
        <v>353.14678111587983</v>
      </c>
      <c r="AV13" s="973">
        <v>401872.85314408876</v>
      </c>
      <c r="AW13" s="972">
        <v>0</v>
      </c>
      <c r="AX13" s="972">
        <v>0</v>
      </c>
      <c r="AY13" s="972">
        <v>0</v>
      </c>
      <c r="AZ13" s="972">
        <v>0</v>
      </c>
      <c r="BA13" s="972">
        <v>0</v>
      </c>
      <c r="BB13" s="972">
        <v>0</v>
      </c>
      <c r="BC13" s="972">
        <v>0</v>
      </c>
      <c r="BD13" s="972">
        <v>0</v>
      </c>
      <c r="BE13" s="972">
        <v>0</v>
      </c>
      <c r="BF13" s="972">
        <v>183.45565749235473</v>
      </c>
      <c r="BG13" s="972">
        <v>0</v>
      </c>
      <c r="BH13" s="972">
        <v>0</v>
      </c>
      <c r="BI13" s="972">
        <v>402056.30880158109</v>
      </c>
    </row>
    <row r="14" spans="1:61" s="242" customFormat="1" ht="16.149999999999999" customHeight="1" x14ac:dyDescent="0.2">
      <c r="A14" s="247" t="s">
        <v>86</v>
      </c>
      <c r="B14" s="232" t="s">
        <v>141</v>
      </c>
      <c r="C14" s="972">
        <v>3231322</v>
      </c>
      <c r="D14" s="972"/>
      <c r="E14" s="972">
        <v>0</v>
      </c>
      <c r="F14" s="972">
        <v>0</v>
      </c>
      <c r="G14" s="972">
        <v>0</v>
      </c>
      <c r="H14" s="972">
        <v>0</v>
      </c>
      <c r="I14" s="972">
        <v>0</v>
      </c>
      <c r="J14" s="972">
        <v>0</v>
      </c>
      <c r="K14" s="972">
        <v>0</v>
      </c>
      <c r="L14" s="972">
        <v>0</v>
      </c>
      <c r="M14" s="972">
        <v>0</v>
      </c>
      <c r="N14" s="972">
        <v>0</v>
      </c>
      <c r="O14" s="972">
        <v>0</v>
      </c>
      <c r="P14" s="972">
        <v>0</v>
      </c>
      <c r="Q14" s="972">
        <v>0</v>
      </c>
      <c r="R14" s="972"/>
      <c r="S14" s="972">
        <v>0</v>
      </c>
      <c r="T14" s="972">
        <v>0</v>
      </c>
      <c r="U14" s="972">
        <v>0</v>
      </c>
      <c r="V14" s="972">
        <v>0</v>
      </c>
      <c r="W14" s="972">
        <v>0</v>
      </c>
      <c r="X14" s="972">
        <v>0</v>
      </c>
      <c r="Y14" s="972">
        <v>0</v>
      </c>
      <c r="Z14" s="972"/>
      <c r="AA14" s="972">
        <v>0</v>
      </c>
      <c r="AB14" s="972">
        <v>0</v>
      </c>
      <c r="AC14" s="972"/>
      <c r="AD14" s="972"/>
      <c r="AE14" s="972"/>
      <c r="AF14" s="972"/>
      <c r="AG14" s="972">
        <v>0</v>
      </c>
      <c r="AH14" s="972">
        <v>0</v>
      </c>
      <c r="AI14" s="972">
        <v>0</v>
      </c>
      <c r="AJ14" s="972">
        <v>0</v>
      </c>
      <c r="AK14" s="972">
        <v>0</v>
      </c>
      <c r="AL14" s="972">
        <v>0</v>
      </c>
      <c r="AM14" s="972">
        <v>0</v>
      </c>
      <c r="AN14" s="972">
        <v>0</v>
      </c>
      <c r="AO14" s="972"/>
      <c r="AP14" s="972"/>
      <c r="AQ14" s="972"/>
      <c r="AR14" s="972"/>
      <c r="AS14" s="972"/>
      <c r="AT14" s="972">
        <v>4240.8031250000004</v>
      </c>
      <c r="AU14" s="972">
        <v>4237.7613733905573</v>
      </c>
      <c r="AV14" s="973">
        <v>3239800.5644983905</v>
      </c>
      <c r="AW14" s="972">
        <v>0</v>
      </c>
      <c r="AX14" s="972">
        <v>0</v>
      </c>
      <c r="AY14" s="972">
        <v>0</v>
      </c>
      <c r="AZ14" s="972">
        <v>0</v>
      </c>
      <c r="BA14" s="972">
        <v>0</v>
      </c>
      <c r="BB14" s="972">
        <v>0</v>
      </c>
      <c r="BC14" s="972">
        <v>0</v>
      </c>
      <c r="BD14" s="972">
        <v>0</v>
      </c>
      <c r="BE14" s="972">
        <v>0</v>
      </c>
      <c r="BF14" s="972">
        <v>2201.4678899082569</v>
      </c>
      <c r="BG14" s="972">
        <v>0</v>
      </c>
      <c r="BH14" s="972">
        <v>0</v>
      </c>
      <c r="BI14" s="972">
        <v>3242002.0323882988</v>
      </c>
    </row>
    <row r="15" spans="1:61" s="242" customFormat="1" ht="16.149999999999999" customHeight="1" x14ac:dyDescent="0.2">
      <c r="A15" s="247" t="s">
        <v>87</v>
      </c>
      <c r="B15" s="232" t="s">
        <v>142</v>
      </c>
      <c r="C15" s="972">
        <v>4853826</v>
      </c>
      <c r="D15" s="972">
        <v>134545</v>
      </c>
      <c r="E15" s="972">
        <v>0</v>
      </c>
      <c r="F15" s="972">
        <v>0</v>
      </c>
      <c r="G15" s="972">
        <v>0</v>
      </c>
      <c r="H15" s="972">
        <v>0</v>
      </c>
      <c r="I15" s="972">
        <v>0</v>
      </c>
      <c r="J15" s="972">
        <v>0</v>
      </c>
      <c r="K15" s="972">
        <v>0</v>
      </c>
      <c r="L15" s="972">
        <v>0</v>
      </c>
      <c r="M15" s="972">
        <v>0</v>
      </c>
      <c r="N15" s="972">
        <v>0</v>
      </c>
      <c r="O15" s="972">
        <v>0</v>
      </c>
      <c r="P15" s="972">
        <v>0</v>
      </c>
      <c r="Q15" s="972">
        <v>0</v>
      </c>
      <c r="R15" s="972"/>
      <c r="S15" s="972">
        <v>0</v>
      </c>
      <c r="T15" s="972">
        <v>0</v>
      </c>
      <c r="U15" s="972">
        <v>0</v>
      </c>
      <c r="V15" s="972">
        <v>0</v>
      </c>
      <c r="W15" s="972">
        <v>0</v>
      </c>
      <c r="X15" s="972">
        <v>0</v>
      </c>
      <c r="Y15" s="972">
        <v>0</v>
      </c>
      <c r="Z15" s="972"/>
      <c r="AA15" s="972">
        <v>0</v>
      </c>
      <c r="AB15" s="972">
        <v>0</v>
      </c>
      <c r="AC15" s="972"/>
      <c r="AD15" s="972"/>
      <c r="AE15" s="972"/>
      <c r="AF15" s="972"/>
      <c r="AG15" s="972">
        <v>0</v>
      </c>
      <c r="AH15" s="972">
        <v>0</v>
      </c>
      <c r="AI15" s="972">
        <v>0</v>
      </c>
      <c r="AJ15" s="972">
        <v>0</v>
      </c>
      <c r="AK15" s="972">
        <v>0</v>
      </c>
      <c r="AL15" s="972">
        <v>0</v>
      </c>
      <c r="AM15" s="972">
        <v>0</v>
      </c>
      <c r="AN15" s="972">
        <v>0</v>
      </c>
      <c r="AO15" s="972"/>
      <c r="AP15" s="972"/>
      <c r="AQ15" s="972"/>
      <c r="AR15" s="972"/>
      <c r="AS15" s="972"/>
      <c r="AT15" s="972">
        <v>6959.2666666666664</v>
      </c>
      <c r="AU15" s="972">
        <v>7239.5090128755364</v>
      </c>
      <c r="AV15" s="973">
        <v>5002569.7756795418</v>
      </c>
      <c r="AW15" s="972">
        <v>0</v>
      </c>
      <c r="AX15" s="972">
        <v>0</v>
      </c>
      <c r="AY15" s="972">
        <v>0</v>
      </c>
      <c r="AZ15" s="972">
        <v>0</v>
      </c>
      <c r="BA15" s="972">
        <v>0</v>
      </c>
      <c r="BB15" s="972">
        <v>0</v>
      </c>
      <c r="BC15" s="972">
        <v>0</v>
      </c>
      <c r="BD15" s="972">
        <v>0</v>
      </c>
      <c r="BE15" s="972">
        <v>0</v>
      </c>
      <c r="BF15" s="972">
        <v>917.27828746177363</v>
      </c>
      <c r="BG15" s="972">
        <v>0</v>
      </c>
      <c r="BH15" s="972">
        <v>0</v>
      </c>
      <c r="BI15" s="972">
        <v>5003487.0539670037</v>
      </c>
    </row>
    <row r="16" spans="1:61" s="242" customFormat="1" ht="16.149999999999999" customHeight="1" x14ac:dyDescent="0.2">
      <c r="A16" s="249" t="s">
        <v>88</v>
      </c>
      <c r="B16" s="234" t="s">
        <v>143</v>
      </c>
      <c r="C16" s="974">
        <v>4905283</v>
      </c>
      <c r="D16" s="974"/>
      <c r="E16" s="974">
        <v>0</v>
      </c>
      <c r="F16" s="974">
        <v>0</v>
      </c>
      <c r="G16" s="974">
        <v>0</v>
      </c>
      <c r="H16" s="974">
        <v>0</v>
      </c>
      <c r="I16" s="974">
        <v>0</v>
      </c>
      <c r="J16" s="974">
        <v>97542.77031419285</v>
      </c>
      <c r="K16" s="974">
        <v>0</v>
      </c>
      <c r="L16" s="974">
        <v>73680.554838709679</v>
      </c>
      <c r="M16" s="974">
        <v>0</v>
      </c>
      <c r="N16" s="974">
        <v>0</v>
      </c>
      <c r="O16" s="974">
        <v>0</v>
      </c>
      <c r="P16" s="974">
        <v>0</v>
      </c>
      <c r="Q16" s="974">
        <v>0</v>
      </c>
      <c r="R16" s="974"/>
      <c r="S16" s="974">
        <v>0</v>
      </c>
      <c r="T16" s="974">
        <v>95.461689587426321</v>
      </c>
      <c r="U16" s="974">
        <v>51106.739526411657</v>
      </c>
      <c r="V16" s="974">
        <v>0</v>
      </c>
      <c r="W16" s="974">
        <v>0</v>
      </c>
      <c r="X16" s="974">
        <v>0</v>
      </c>
      <c r="Y16" s="974">
        <v>0</v>
      </c>
      <c r="Z16" s="974"/>
      <c r="AA16" s="974">
        <v>0</v>
      </c>
      <c r="AB16" s="974">
        <v>0</v>
      </c>
      <c r="AC16" s="974"/>
      <c r="AD16" s="974"/>
      <c r="AE16" s="974"/>
      <c r="AF16" s="974"/>
      <c r="AG16" s="974">
        <v>0</v>
      </c>
      <c r="AH16" s="974">
        <v>0</v>
      </c>
      <c r="AI16" s="974">
        <v>0</v>
      </c>
      <c r="AJ16" s="974">
        <v>0</v>
      </c>
      <c r="AK16" s="974">
        <v>0</v>
      </c>
      <c r="AL16" s="974">
        <v>0</v>
      </c>
      <c r="AM16" s="974">
        <v>0</v>
      </c>
      <c r="AN16" s="974">
        <v>0</v>
      </c>
      <c r="AO16" s="974"/>
      <c r="AP16" s="974"/>
      <c r="AQ16" s="974"/>
      <c r="AR16" s="974"/>
      <c r="AS16" s="974"/>
      <c r="AT16" s="974">
        <v>2990.309895833333</v>
      </c>
      <c r="AU16" s="974">
        <v>8740.3828326180264</v>
      </c>
      <c r="AV16" s="975">
        <v>5139439.2190973526</v>
      </c>
      <c r="AW16" s="974">
        <v>0</v>
      </c>
      <c r="AX16" s="974">
        <v>0</v>
      </c>
      <c r="AY16" s="974">
        <v>0</v>
      </c>
      <c r="AZ16" s="974">
        <v>99.517189835575493</v>
      </c>
      <c r="BA16" s="974">
        <v>0</v>
      </c>
      <c r="BB16" s="974">
        <v>0</v>
      </c>
      <c r="BC16" s="974">
        <v>0</v>
      </c>
      <c r="BD16" s="974">
        <v>0</v>
      </c>
      <c r="BE16" s="974">
        <v>0</v>
      </c>
      <c r="BF16" s="974">
        <v>6787.8593272171256</v>
      </c>
      <c r="BG16" s="974">
        <v>0</v>
      </c>
      <c r="BH16" s="976">
        <v>0</v>
      </c>
      <c r="BI16" s="974">
        <v>5146326.5956144053</v>
      </c>
    </row>
    <row r="17" spans="1:61" s="242" customFormat="1" ht="16.149999999999999" customHeight="1" x14ac:dyDescent="0.2">
      <c r="A17" s="245" t="s">
        <v>89</v>
      </c>
      <c r="B17" s="236" t="s">
        <v>144</v>
      </c>
      <c r="C17" s="968">
        <v>269347</v>
      </c>
      <c r="D17" s="968"/>
      <c r="E17" s="968">
        <v>0</v>
      </c>
      <c r="F17" s="968">
        <v>0</v>
      </c>
      <c r="G17" s="968">
        <v>0</v>
      </c>
      <c r="H17" s="968">
        <v>0</v>
      </c>
      <c r="I17" s="968">
        <v>0</v>
      </c>
      <c r="J17" s="968">
        <v>0</v>
      </c>
      <c r="K17" s="968">
        <v>0</v>
      </c>
      <c r="L17" s="968">
        <v>0</v>
      </c>
      <c r="M17" s="968">
        <v>0</v>
      </c>
      <c r="N17" s="968">
        <v>0</v>
      </c>
      <c r="O17" s="968">
        <v>0</v>
      </c>
      <c r="P17" s="968">
        <v>0</v>
      </c>
      <c r="Q17" s="968">
        <v>0</v>
      </c>
      <c r="R17" s="968"/>
      <c r="S17" s="968">
        <v>0</v>
      </c>
      <c r="T17" s="968">
        <v>0</v>
      </c>
      <c r="U17" s="968">
        <v>0</v>
      </c>
      <c r="V17" s="968">
        <v>0</v>
      </c>
      <c r="W17" s="968">
        <v>0</v>
      </c>
      <c r="X17" s="968">
        <v>0</v>
      </c>
      <c r="Y17" s="968">
        <v>0</v>
      </c>
      <c r="Z17" s="968"/>
      <c r="AA17" s="968">
        <v>0</v>
      </c>
      <c r="AB17" s="969">
        <v>0</v>
      </c>
      <c r="AC17" s="969"/>
      <c r="AD17" s="969"/>
      <c r="AE17" s="969"/>
      <c r="AF17" s="969"/>
      <c r="AG17" s="969">
        <v>0</v>
      </c>
      <c r="AH17" s="969">
        <v>0</v>
      </c>
      <c r="AI17" s="969">
        <v>0</v>
      </c>
      <c r="AJ17" s="969">
        <v>0</v>
      </c>
      <c r="AK17" s="969">
        <v>0</v>
      </c>
      <c r="AL17" s="969">
        <v>0</v>
      </c>
      <c r="AM17" s="969">
        <v>0</v>
      </c>
      <c r="AN17" s="969">
        <v>0</v>
      </c>
      <c r="AO17" s="969"/>
      <c r="AP17" s="969"/>
      <c r="AQ17" s="969"/>
      <c r="AR17" s="969"/>
      <c r="AS17" s="969"/>
      <c r="AT17" s="968">
        <v>0</v>
      </c>
      <c r="AU17" s="968">
        <v>1059.4403433476393</v>
      </c>
      <c r="AV17" s="970">
        <v>270406.44034334761</v>
      </c>
      <c r="AW17" s="968">
        <v>0</v>
      </c>
      <c r="AX17" s="968">
        <v>0</v>
      </c>
      <c r="AY17" s="968">
        <v>0</v>
      </c>
      <c r="AZ17" s="968">
        <v>0</v>
      </c>
      <c r="BA17" s="968">
        <v>0</v>
      </c>
      <c r="BB17" s="968">
        <v>0</v>
      </c>
      <c r="BC17" s="968">
        <v>0</v>
      </c>
      <c r="BD17" s="968">
        <v>0</v>
      </c>
      <c r="BE17" s="968">
        <v>0</v>
      </c>
      <c r="BF17" s="968">
        <v>366.91131498470946</v>
      </c>
      <c r="BG17" s="968">
        <v>0</v>
      </c>
      <c r="BH17" s="971">
        <v>0</v>
      </c>
      <c r="BI17" s="968">
        <v>270773.35165833234</v>
      </c>
    </row>
    <row r="18" spans="1:61" s="242" customFormat="1" ht="16.149999999999999" customHeight="1" x14ac:dyDescent="0.2">
      <c r="A18" s="247" t="s">
        <v>145</v>
      </c>
      <c r="B18" s="232" t="s">
        <v>146</v>
      </c>
      <c r="C18" s="972">
        <v>270754</v>
      </c>
      <c r="D18" s="972"/>
      <c r="E18" s="972">
        <v>0</v>
      </c>
      <c r="F18" s="972">
        <v>0</v>
      </c>
      <c r="G18" s="972">
        <v>0</v>
      </c>
      <c r="H18" s="972">
        <v>0</v>
      </c>
      <c r="I18" s="972">
        <v>0</v>
      </c>
      <c r="J18" s="972">
        <v>0</v>
      </c>
      <c r="K18" s="972">
        <v>0</v>
      </c>
      <c r="L18" s="972">
        <v>358.83387096774197</v>
      </c>
      <c r="M18" s="972">
        <v>0</v>
      </c>
      <c r="N18" s="972">
        <v>0</v>
      </c>
      <c r="O18" s="972">
        <v>0</v>
      </c>
      <c r="P18" s="972">
        <v>0</v>
      </c>
      <c r="Q18" s="972">
        <v>0</v>
      </c>
      <c r="R18" s="972"/>
      <c r="S18" s="972">
        <v>0</v>
      </c>
      <c r="T18" s="972">
        <v>0</v>
      </c>
      <c r="U18" s="972">
        <v>0</v>
      </c>
      <c r="V18" s="972">
        <v>0</v>
      </c>
      <c r="W18" s="972">
        <v>0</v>
      </c>
      <c r="X18" s="972">
        <v>0</v>
      </c>
      <c r="Y18" s="972">
        <v>0</v>
      </c>
      <c r="Z18" s="972"/>
      <c r="AA18" s="972">
        <v>0</v>
      </c>
      <c r="AB18" s="972">
        <v>0</v>
      </c>
      <c r="AC18" s="972"/>
      <c r="AD18" s="972"/>
      <c r="AE18" s="972"/>
      <c r="AF18" s="972"/>
      <c r="AG18" s="972">
        <v>0</v>
      </c>
      <c r="AH18" s="972">
        <v>0</v>
      </c>
      <c r="AI18" s="972">
        <v>0</v>
      </c>
      <c r="AJ18" s="972">
        <v>0</v>
      </c>
      <c r="AK18" s="972">
        <v>0</v>
      </c>
      <c r="AL18" s="972">
        <v>0</v>
      </c>
      <c r="AM18" s="972">
        <v>0</v>
      </c>
      <c r="AN18" s="972">
        <v>0</v>
      </c>
      <c r="AO18" s="972"/>
      <c r="AP18" s="972"/>
      <c r="AQ18" s="972"/>
      <c r="AR18" s="972"/>
      <c r="AS18" s="972"/>
      <c r="AT18" s="972">
        <v>0</v>
      </c>
      <c r="AU18" s="972">
        <v>88.286695278969958</v>
      </c>
      <c r="AV18" s="973">
        <v>271201.12056624668</v>
      </c>
      <c r="AW18" s="972">
        <v>0</v>
      </c>
      <c r="AX18" s="972">
        <v>0</v>
      </c>
      <c r="AY18" s="972">
        <v>0</v>
      </c>
      <c r="AZ18" s="972">
        <v>0</v>
      </c>
      <c r="BA18" s="972">
        <v>0</v>
      </c>
      <c r="BB18" s="972">
        <v>0</v>
      </c>
      <c r="BC18" s="972">
        <v>0</v>
      </c>
      <c r="BD18" s="972">
        <v>0</v>
      </c>
      <c r="BE18" s="972">
        <v>0</v>
      </c>
      <c r="BF18" s="972">
        <v>0</v>
      </c>
      <c r="BG18" s="972">
        <v>0</v>
      </c>
      <c r="BH18" s="972">
        <v>0</v>
      </c>
      <c r="BI18" s="972">
        <v>271201.12056624668</v>
      </c>
    </row>
    <row r="19" spans="1:61" s="242" customFormat="1" ht="16.149999999999999" customHeight="1" x14ac:dyDescent="0.2">
      <c r="A19" s="247" t="s">
        <v>147</v>
      </c>
      <c r="B19" s="232" t="s">
        <v>148</v>
      </c>
      <c r="C19" s="972">
        <v>176653</v>
      </c>
      <c r="D19" s="972"/>
      <c r="E19" s="972">
        <v>0</v>
      </c>
      <c r="F19" s="972">
        <v>0</v>
      </c>
      <c r="G19" s="972">
        <v>0</v>
      </c>
      <c r="H19" s="972">
        <v>0</v>
      </c>
      <c r="I19" s="972">
        <v>0</v>
      </c>
      <c r="J19" s="972">
        <v>0</v>
      </c>
      <c r="K19" s="972">
        <v>0</v>
      </c>
      <c r="L19" s="972">
        <v>0</v>
      </c>
      <c r="M19" s="972">
        <v>0</v>
      </c>
      <c r="N19" s="972">
        <v>0</v>
      </c>
      <c r="O19" s="972">
        <v>0</v>
      </c>
      <c r="P19" s="972">
        <v>11290.881465517241</v>
      </c>
      <c r="Q19" s="972">
        <v>0</v>
      </c>
      <c r="R19" s="972"/>
      <c r="S19" s="972">
        <v>0</v>
      </c>
      <c r="T19" s="972">
        <v>0</v>
      </c>
      <c r="U19" s="972">
        <v>0</v>
      </c>
      <c r="V19" s="972">
        <v>0</v>
      </c>
      <c r="W19" s="972">
        <v>0</v>
      </c>
      <c r="X19" s="972">
        <v>0</v>
      </c>
      <c r="Y19" s="972">
        <v>0</v>
      </c>
      <c r="Z19" s="972"/>
      <c r="AA19" s="972">
        <v>0</v>
      </c>
      <c r="AB19" s="972">
        <v>0</v>
      </c>
      <c r="AC19" s="972"/>
      <c r="AD19" s="972"/>
      <c r="AE19" s="972"/>
      <c r="AF19" s="972"/>
      <c r="AG19" s="972">
        <v>0</v>
      </c>
      <c r="AH19" s="972">
        <v>0</v>
      </c>
      <c r="AI19" s="972">
        <v>0</v>
      </c>
      <c r="AJ19" s="972">
        <v>0</v>
      </c>
      <c r="AK19" s="972">
        <v>0</v>
      </c>
      <c r="AL19" s="972">
        <v>0</v>
      </c>
      <c r="AM19" s="972">
        <v>0</v>
      </c>
      <c r="AN19" s="972">
        <v>0</v>
      </c>
      <c r="AO19" s="972"/>
      <c r="AP19" s="972"/>
      <c r="AQ19" s="972"/>
      <c r="AR19" s="972"/>
      <c r="AS19" s="972"/>
      <c r="AT19" s="972">
        <v>326.21562500000005</v>
      </c>
      <c r="AU19" s="972">
        <v>618.00686695278966</v>
      </c>
      <c r="AV19" s="973">
        <v>188888.10395747004</v>
      </c>
      <c r="AW19" s="972">
        <v>0</v>
      </c>
      <c r="AX19" s="972">
        <v>0</v>
      </c>
      <c r="AY19" s="972">
        <v>0</v>
      </c>
      <c r="AZ19" s="972">
        <v>0</v>
      </c>
      <c r="BA19" s="972">
        <v>0</v>
      </c>
      <c r="BB19" s="972">
        <v>0</v>
      </c>
      <c r="BC19" s="972">
        <v>0</v>
      </c>
      <c r="BD19" s="972">
        <v>0</v>
      </c>
      <c r="BE19" s="972">
        <v>0</v>
      </c>
      <c r="BF19" s="972">
        <v>0</v>
      </c>
      <c r="BG19" s="972">
        <v>0</v>
      </c>
      <c r="BH19" s="972">
        <v>0</v>
      </c>
      <c r="BI19" s="972">
        <v>188888.10395747004</v>
      </c>
    </row>
    <row r="20" spans="1:61" s="242" customFormat="1" ht="16.149999999999999" customHeight="1" x14ac:dyDescent="0.2">
      <c r="A20" s="247" t="s">
        <v>149</v>
      </c>
      <c r="B20" s="232" t="s">
        <v>150</v>
      </c>
      <c r="C20" s="972">
        <v>261262</v>
      </c>
      <c r="D20" s="972"/>
      <c r="E20" s="972">
        <v>0</v>
      </c>
      <c r="F20" s="972">
        <v>223.47953830010493</v>
      </c>
      <c r="G20" s="972">
        <v>0</v>
      </c>
      <c r="H20" s="972">
        <v>0</v>
      </c>
      <c r="I20" s="972">
        <v>0</v>
      </c>
      <c r="J20" s="972">
        <v>0</v>
      </c>
      <c r="K20" s="972">
        <v>0</v>
      </c>
      <c r="L20" s="972">
        <v>0</v>
      </c>
      <c r="M20" s="972">
        <v>0</v>
      </c>
      <c r="N20" s="972">
        <v>0</v>
      </c>
      <c r="O20" s="972">
        <v>0</v>
      </c>
      <c r="P20" s="972">
        <v>0</v>
      </c>
      <c r="Q20" s="972">
        <v>0</v>
      </c>
      <c r="R20" s="972"/>
      <c r="S20" s="972">
        <v>0</v>
      </c>
      <c r="T20" s="972">
        <v>0</v>
      </c>
      <c r="U20" s="972">
        <v>0</v>
      </c>
      <c r="V20" s="972">
        <v>2591.8342541436464</v>
      </c>
      <c r="W20" s="972">
        <v>0</v>
      </c>
      <c r="X20" s="972">
        <v>0</v>
      </c>
      <c r="Y20" s="972">
        <v>0</v>
      </c>
      <c r="Z20" s="972"/>
      <c r="AA20" s="972">
        <v>0</v>
      </c>
      <c r="AB20" s="972">
        <v>7790.4440559440554</v>
      </c>
      <c r="AC20" s="972"/>
      <c r="AD20" s="972"/>
      <c r="AE20" s="972"/>
      <c r="AF20" s="972"/>
      <c r="AG20" s="972">
        <v>0</v>
      </c>
      <c r="AH20" s="972">
        <v>0</v>
      </c>
      <c r="AI20" s="972">
        <v>0</v>
      </c>
      <c r="AJ20" s="972">
        <v>0</v>
      </c>
      <c r="AK20" s="972">
        <v>0</v>
      </c>
      <c r="AL20" s="972">
        <v>0</v>
      </c>
      <c r="AM20" s="972">
        <v>0</v>
      </c>
      <c r="AN20" s="972">
        <v>0</v>
      </c>
      <c r="AO20" s="972"/>
      <c r="AP20" s="972"/>
      <c r="AQ20" s="972"/>
      <c r="AR20" s="972"/>
      <c r="AS20" s="972"/>
      <c r="AT20" s="972">
        <v>108.73854166666666</v>
      </c>
      <c r="AU20" s="972">
        <v>264.86008583690983</v>
      </c>
      <c r="AV20" s="973">
        <v>272241.35647589137</v>
      </c>
      <c r="AW20" s="972">
        <v>0</v>
      </c>
      <c r="AX20" s="972">
        <v>0</v>
      </c>
      <c r="AY20" s="972">
        <v>0</v>
      </c>
      <c r="AZ20" s="972">
        <v>0</v>
      </c>
      <c r="BA20" s="972">
        <v>0</v>
      </c>
      <c r="BB20" s="972">
        <v>0</v>
      </c>
      <c r="BC20" s="972">
        <v>0</v>
      </c>
      <c r="BD20" s="972">
        <v>0</v>
      </c>
      <c r="BE20" s="972">
        <v>0</v>
      </c>
      <c r="BF20" s="972">
        <v>0</v>
      </c>
      <c r="BG20" s="972">
        <v>0</v>
      </c>
      <c r="BH20" s="972">
        <v>0</v>
      </c>
      <c r="BI20" s="972">
        <v>272241.35647589137</v>
      </c>
    </row>
    <row r="21" spans="1:61" s="242" customFormat="1" ht="16.149999999999999" customHeight="1" x14ac:dyDescent="0.2">
      <c r="A21" s="249" t="s">
        <v>151</v>
      </c>
      <c r="B21" s="234" t="s">
        <v>152</v>
      </c>
      <c r="C21" s="974">
        <v>509418</v>
      </c>
      <c r="D21" s="974"/>
      <c r="E21" s="974">
        <v>0</v>
      </c>
      <c r="F21" s="974">
        <v>0</v>
      </c>
      <c r="G21" s="974">
        <v>0</v>
      </c>
      <c r="H21" s="974">
        <v>0</v>
      </c>
      <c r="I21" s="974">
        <v>0</v>
      </c>
      <c r="J21" s="974">
        <v>0</v>
      </c>
      <c r="K21" s="974">
        <v>0</v>
      </c>
      <c r="L21" s="974">
        <v>0</v>
      </c>
      <c r="M21" s="974">
        <v>0</v>
      </c>
      <c r="N21" s="974">
        <v>0</v>
      </c>
      <c r="O21" s="974">
        <v>0</v>
      </c>
      <c r="P21" s="974">
        <v>38000.493534482754</v>
      </c>
      <c r="Q21" s="974">
        <v>0</v>
      </c>
      <c r="R21" s="974"/>
      <c r="S21" s="974">
        <v>0</v>
      </c>
      <c r="T21" s="974">
        <v>0</v>
      </c>
      <c r="U21" s="974">
        <v>0</v>
      </c>
      <c r="V21" s="974">
        <v>0</v>
      </c>
      <c r="W21" s="974">
        <v>0</v>
      </c>
      <c r="X21" s="974">
        <v>0</v>
      </c>
      <c r="Y21" s="974">
        <v>0</v>
      </c>
      <c r="Z21" s="974"/>
      <c r="AA21" s="974">
        <v>0</v>
      </c>
      <c r="AB21" s="974">
        <v>0</v>
      </c>
      <c r="AC21" s="974"/>
      <c r="AD21" s="974"/>
      <c r="AE21" s="974"/>
      <c r="AF21" s="974"/>
      <c r="AG21" s="974">
        <v>0</v>
      </c>
      <c r="AH21" s="974">
        <v>0</v>
      </c>
      <c r="AI21" s="974">
        <v>0</v>
      </c>
      <c r="AJ21" s="974">
        <v>0</v>
      </c>
      <c r="AK21" s="974">
        <v>0</v>
      </c>
      <c r="AL21" s="974">
        <v>0</v>
      </c>
      <c r="AM21" s="974">
        <v>0</v>
      </c>
      <c r="AN21" s="974">
        <v>0</v>
      </c>
      <c r="AO21" s="974"/>
      <c r="AP21" s="974"/>
      <c r="AQ21" s="974"/>
      <c r="AR21" s="974"/>
      <c r="AS21" s="974"/>
      <c r="AT21" s="974">
        <v>652.43125000000009</v>
      </c>
      <c r="AU21" s="974">
        <v>88.286695278969958</v>
      </c>
      <c r="AV21" s="975">
        <v>548159.21147976175</v>
      </c>
      <c r="AW21" s="974">
        <v>0</v>
      </c>
      <c r="AX21" s="974">
        <v>0</v>
      </c>
      <c r="AY21" s="974">
        <v>0</v>
      </c>
      <c r="AZ21" s="974">
        <v>0</v>
      </c>
      <c r="BA21" s="974">
        <v>0</v>
      </c>
      <c r="BB21" s="974">
        <v>0</v>
      </c>
      <c r="BC21" s="974">
        <v>0</v>
      </c>
      <c r="BD21" s="974">
        <v>0</v>
      </c>
      <c r="BE21" s="974">
        <v>0</v>
      </c>
      <c r="BF21" s="974">
        <v>366.91131498470946</v>
      </c>
      <c r="BG21" s="974">
        <v>0</v>
      </c>
      <c r="BH21" s="976">
        <v>0</v>
      </c>
      <c r="BI21" s="974">
        <v>548526.12279474642</v>
      </c>
    </row>
    <row r="22" spans="1:61" s="242" customFormat="1" ht="16.149999999999999" customHeight="1" x14ac:dyDescent="0.2">
      <c r="A22" s="245" t="s">
        <v>153</v>
      </c>
      <c r="B22" s="236" t="s">
        <v>154</v>
      </c>
      <c r="C22" s="968">
        <v>720950</v>
      </c>
      <c r="D22" s="968"/>
      <c r="E22" s="968">
        <v>0</v>
      </c>
      <c r="F22" s="968">
        <v>0</v>
      </c>
      <c r="G22" s="968">
        <v>0</v>
      </c>
      <c r="H22" s="968">
        <v>0</v>
      </c>
      <c r="I22" s="968">
        <v>0</v>
      </c>
      <c r="J22" s="968">
        <v>0</v>
      </c>
      <c r="K22" s="968">
        <v>0</v>
      </c>
      <c r="L22" s="968">
        <v>0</v>
      </c>
      <c r="M22" s="968">
        <v>0</v>
      </c>
      <c r="N22" s="968">
        <v>0</v>
      </c>
      <c r="O22" s="968">
        <v>0</v>
      </c>
      <c r="P22" s="968">
        <v>0</v>
      </c>
      <c r="Q22" s="968">
        <v>0</v>
      </c>
      <c r="R22" s="968"/>
      <c r="S22" s="968">
        <v>0</v>
      </c>
      <c r="T22" s="968">
        <v>0</v>
      </c>
      <c r="U22" s="968">
        <v>0</v>
      </c>
      <c r="V22" s="968">
        <v>0</v>
      </c>
      <c r="W22" s="968">
        <v>0</v>
      </c>
      <c r="X22" s="968">
        <v>0</v>
      </c>
      <c r="Y22" s="968">
        <v>0</v>
      </c>
      <c r="Z22" s="968"/>
      <c r="AA22" s="968">
        <v>0</v>
      </c>
      <c r="AB22" s="969">
        <v>0</v>
      </c>
      <c r="AC22" s="969"/>
      <c r="AD22" s="969"/>
      <c r="AE22" s="969"/>
      <c r="AF22" s="969"/>
      <c r="AG22" s="969">
        <v>0</v>
      </c>
      <c r="AH22" s="969">
        <v>0</v>
      </c>
      <c r="AI22" s="969">
        <v>0</v>
      </c>
      <c r="AJ22" s="969">
        <v>0</v>
      </c>
      <c r="AK22" s="969">
        <v>0</v>
      </c>
      <c r="AL22" s="969">
        <v>0</v>
      </c>
      <c r="AM22" s="969">
        <v>0</v>
      </c>
      <c r="AN22" s="969">
        <v>0</v>
      </c>
      <c r="AO22" s="969"/>
      <c r="AP22" s="969"/>
      <c r="AQ22" s="969"/>
      <c r="AR22" s="969"/>
      <c r="AS22" s="969"/>
      <c r="AT22" s="968">
        <v>489.32343749999995</v>
      </c>
      <c r="AU22" s="968">
        <v>441.43347639484978</v>
      </c>
      <c r="AV22" s="970">
        <v>721880.7569138949</v>
      </c>
      <c r="AW22" s="968">
        <v>0</v>
      </c>
      <c r="AX22" s="968">
        <v>0</v>
      </c>
      <c r="AY22" s="968">
        <v>0</v>
      </c>
      <c r="AZ22" s="968">
        <v>0</v>
      </c>
      <c r="BA22" s="968">
        <v>0</v>
      </c>
      <c r="BB22" s="968">
        <v>0</v>
      </c>
      <c r="BC22" s="968">
        <v>0</v>
      </c>
      <c r="BD22" s="968">
        <v>0</v>
      </c>
      <c r="BE22" s="968">
        <v>0</v>
      </c>
      <c r="BF22" s="968">
        <v>183.45565749235473</v>
      </c>
      <c r="BG22" s="968">
        <v>0</v>
      </c>
      <c r="BH22" s="971">
        <v>0</v>
      </c>
      <c r="BI22" s="968">
        <v>722064.2125713873</v>
      </c>
    </row>
    <row r="23" spans="1:61" s="242" customFormat="1" ht="16.149999999999999" customHeight="1" x14ac:dyDescent="0.2">
      <c r="A23" s="247" t="s">
        <v>90</v>
      </c>
      <c r="B23" s="232" t="s">
        <v>155</v>
      </c>
      <c r="C23" s="972">
        <v>6176946</v>
      </c>
      <c r="D23" s="972">
        <v>220176</v>
      </c>
      <c r="E23" s="972">
        <v>54750.988467874791</v>
      </c>
      <c r="F23" s="972">
        <v>0</v>
      </c>
      <c r="G23" s="972">
        <v>0</v>
      </c>
      <c r="H23" s="972">
        <v>0</v>
      </c>
      <c r="I23" s="972">
        <v>0</v>
      </c>
      <c r="J23" s="972">
        <v>212.74322860238351</v>
      </c>
      <c r="K23" s="972">
        <v>0</v>
      </c>
      <c r="L23" s="972">
        <v>119.61129032258064</v>
      </c>
      <c r="M23" s="972">
        <v>50324.319306930694</v>
      </c>
      <c r="N23" s="972">
        <v>0</v>
      </c>
      <c r="O23" s="972">
        <v>82667.134416543573</v>
      </c>
      <c r="P23" s="972">
        <v>0</v>
      </c>
      <c r="Q23" s="972">
        <v>26696.746736292429</v>
      </c>
      <c r="R23" s="972"/>
      <c r="S23" s="972">
        <v>26370.918095238096</v>
      </c>
      <c r="T23" s="972">
        <v>1097.8094302554027</v>
      </c>
      <c r="U23" s="972">
        <v>0</v>
      </c>
      <c r="V23" s="972">
        <v>0</v>
      </c>
      <c r="W23" s="972">
        <v>89.617231638418076</v>
      </c>
      <c r="X23" s="972">
        <v>0</v>
      </c>
      <c r="Y23" s="972">
        <v>0</v>
      </c>
      <c r="Z23" s="972"/>
      <c r="AA23" s="972">
        <v>95066.954166666677</v>
      </c>
      <c r="AB23" s="972">
        <v>0</v>
      </c>
      <c r="AC23" s="972"/>
      <c r="AD23" s="972"/>
      <c r="AE23" s="972"/>
      <c r="AF23" s="972"/>
      <c r="AG23" s="972">
        <v>0</v>
      </c>
      <c r="AH23" s="972">
        <v>0</v>
      </c>
      <c r="AI23" s="972">
        <v>68770.361746361741</v>
      </c>
      <c r="AJ23" s="972">
        <v>30543.04491017964</v>
      </c>
      <c r="AK23" s="972">
        <v>0</v>
      </c>
      <c r="AL23" s="972">
        <v>0</v>
      </c>
      <c r="AM23" s="972">
        <v>22788.300000000003</v>
      </c>
      <c r="AN23" s="972">
        <v>0</v>
      </c>
      <c r="AO23" s="972"/>
      <c r="AP23" s="972"/>
      <c r="AQ23" s="972"/>
      <c r="AR23" s="972"/>
      <c r="AS23" s="972"/>
      <c r="AT23" s="972">
        <v>6034.9890625000007</v>
      </c>
      <c r="AU23" s="972">
        <v>26132.861802575109</v>
      </c>
      <c r="AV23" s="973">
        <v>6888788.3998919819</v>
      </c>
      <c r="AW23" s="972">
        <v>0</v>
      </c>
      <c r="AX23" s="972">
        <v>0</v>
      </c>
      <c r="AY23" s="972">
        <v>0</v>
      </c>
      <c r="AZ23" s="972">
        <v>0</v>
      </c>
      <c r="BA23" s="972">
        <v>0</v>
      </c>
      <c r="BB23" s="972">
        <v>0</v>
      </c>
      <c r="BC23" s="972">
        <v>0</v>
      </c>
      <c r="BD23" s="972">
        <v>137004</v>
      </c>
      <c r="BE23" s="972">
        <v>39800</v>
      </c>
      <c r="BF23" s="972">
        <v>1834.5565749235473</v>
      </c>
      <c r="BG23" s="972">
        <v>0</v>
      </c>
      <c r="BH23" s="972">
        <v>66500.399999999994</v>
      </c>
      <c r="BI23" s="972">
        <v>7133927.3564669061</v>
      </c>
    </row>
    <row r="24" spans="1:61" s="242" customFormat="1" ht="16.149999999999999" customHeight="1" x14ac:dyDescent="0.2">
      <c r="A24" s="247" t="s">
        <v>156</v>
      </c>
      <c r="B24" s="232" t="s">
        <v>157</v>
      </c>
      <c r="C24" s="972">
        <v>138074</v>
      </c>
      <c r="D24" s="972"/>
      <c r="E24" s="972">
        <v>0</v>
      </c>
      <c r="F24" s="972">
        <v>0</v>
      </c>
      <c r="G24" s="972">
        <v>0</v>
      </c>
      <c r="H24" s="972">
        <v>0</v>
      </c>
      <c r="I24" s="972">
        <v>0</v>
      </c>
      <c r="J24" s="972">
        <v>0</v>
      </c>
      <c r="K24" s="972">
        <v>0</v>
      </c>
      <c r="L24" s="972">
        <v>0</v>
      </c>
      <c r="M24" s="972">
        <v>0</v>
      </c>
      <c r="N24" s="972">
        <v>0</v>
      </c>
      <c r="O24" s="972">
        <v>0</v>
      </c>
      <c r="P24" s="972">
        <v>0</v>
      </c>
      <c r="Q24" s="972">
        <v>0</v>
      </c>
      <c r="R24" s="972"/>
      <c r="S24" s="972">
        <v>0</v>
      </c>
      <c r="T24" s="972">
        <v>0</v>
      </c>
      <c r="U24" s="972">
        <v>0</v>
      </c>
      <c r="V24" s="972">
        <v>0</v>
      </c>
      <c r="W24" s="972">
        <v>0</v>
      </c>
      <c r="X24" s="972">
        <v>0</v>
      </c>
      <c r="Y24" s="972">
        <v>0</v>
      </c>
      <c r="Z24" s="972"/>
      <c r="AA24" s="972">
        <v>0</v>
      </c>
      <c r="AB24" s="972">
        <v>0</v>
      </c>
      <c r="AC24" s="972"/>
      <c r="AD24" s="972"/>
      <c r="AE24" s="972"/>
      <c r="AF24" s="972"/>
      <c r="AG24" s="972">
        <v>0</v>
      </c>
      <c r="AH24" s="972">
        <v>0</v>
      </c>
      <c r="AI24" s="972">
        <v>0</v>
      </c>
      <c r="AJ24" s="972">
        <v>0</v>
      </c>
      <c r="AK24" s="972">
        <v>0</v>
      </c>
      <c r="AL24" s="972">
        <v>0</v>
      </c>
      <c r="AM24" s="972">
        <v>0</v>
      </c>
      <c r="AN24" s="972">
        <v>0</v>
      </c>
      <c r="AO24" s="972"/>
      <c r="AP24" s="972"/>
      <c r="AQ24" s="972"/>
      <c r="AR24" s="972"/>
      <c r="AS24" s="972"/>
      <c r="AT24" s="972">
        <v>108.73854166666666</v>
      </c>
      <c r="AU24" s="972">
        <v>264.86008583690983</v>
      </c>
      <c r="AV24" s="973">
        <v>138447.59862750358</v>
      </c>
      <c r="AW24" s="972">
        <v>0</v>
      </c>
      <c r="AX24" s="972">
        <v>0</v>
      </c>
      <c r="AY24" s="972">
        <v>0</v>
      </c>
      <c r="AZ24" s="972">
        <v>0</v>
      </c>
      <c r="BA24" s="972">
        <v>1176.5329949238578</v>
      </c>
      <c r="BB24" s="972">
        <v>0</v>
      </c>
      <c r="BC24" s="972">
        <v>0</v>
      </c>
      <c r="BD24" s="972">
        <v>0</v>
      </c>
      <c r="BE24" s="972">
        <v>0</v>
      </c>
      <c r="BF24" s="972">
        <v>0</v>
      </c>
      <c r="BG24" s="972">
        <v>0</v>
      </c>
      <c r="BH24" s="972">
        <v>0</v>
      </c>
      <c r="BI24" s="972">
        <v>139624.13162242743</v>
      </c>
    </row>
    <row r="25" spans="1:61" s="242" customFormat="1" ht="16.149999999999999" customHeight="1" x14ac:dyDescent="0.2">
      <c r="A25" s="247" t="s">
        <v>91</v>
      </c>
      <c r="B25" s="232" t="s">
        <v>158</v>
      </c>
      <c r="C25" s="972">
        <v>277844</v>
      </c>
      <c r="D25" s="972"/>
      <c r="E25" s="972">
        <v>95.219110378912688</v>
      </c>
      <c r="F25" s="972">
        <v>0</v>
      </c>
      <c r="G25" s="972">
        <v>0</v>
      </c>
      <c r="H25" s="972">
        <v>0</v>
      </c>
      <c r="I25" s="972">
        <v>0</v>
      </c>
      <c r="J25" s="972">
        <v>0</v>
      </c>
      <c r="K25" s="972">
        <v>0</v>
      </c>
      <c r="L25" s="972">
        <v>0</v>
      </c>
      <c r="M25" s="972">
        <v>1280.9826732673268</v>
      </c>
      <c r="N25" s="972">
        <v>0</v>
      </c>
      <c r="O25" s="972">
        <v>0</v>
      </c>
      <c r="P25" s="972">
        <v>0</v>
      </c>
      <c r="Q25" s="972">
        <v>0</v>
      </c>
      <c r="R25" s="972"/>
      <c r="S25" s="972">
        <v>1537.3180952380953</v>
      </c>
      <c r="T25" s="972">
        <v>0</v>
      </c>
      <c r="U25" s="972">
        <v>0</v>
      </c>
      <c r="V25" s="972">
        <v>0</v>
      </c>
      <c r="W25" s="972">
        <v>0</v>
      </c>
      <c r="X25" s="972">
        <v>0</v>
      </c>
      <c r="Y25" s="972">
        <v>0</v>
      </c>
      <c r="Z25" s="972"/>
      <c r="AA25" s="972">
        <v>0</v>
      </c>
      <c r="AB25" s="972">
        <v>0</v>
      </c>
      <c r="AC25" s="972"/>
      <c r="AD25" s="972"/>
      <c r="AE25" s="972"/>
      <c r="AF25" s="972"/>
      <c r="AG25" s="972">
        <v>0</v>
      </c>
      <c r="AH25" s="972">
        <v>0</v>
      </c>
      <c r="AI25" s="972">
        <v>0</v>
      </c>
      <c r="AJ25" s="972">
        <v>0</v>
      </c>
      <c r="AK25" s="972">
        <v>0</v>
      </c>
      <c r="AL25" s="972">
        <v>0</v>
      </c>
      <c r="AM25" s="972">
        <v>123.18</v>
      </c>
      <c r="AN25" s="972">
        <v>0</v>
      </c>
      <c r="AO25" s="972"/>
      <c r="AP25" s="972"/>
      <c r="AQ25" s="972"/>
      <c r="AR25" s="972"/>
      <c r="AS25" s="972"/>
      <c r="AT25" s="972">
        <v>380.58489583333335</v>
      </c>
      <c r="AU25" s="972">
        <v>3178.3210300429187</v>
      </c>
      <c r="AV25" s="973">
        <v>284439.60580476059</v>
      </c>
      <c r="AW25" s="972">
        <v>0</v>
      </c>
      <c r="AX25" s="972">
        <v>0</v>
      </c>
      <c r="AY25" s="972">
        <v>0</v>
      </c>
      <c r="AZ25" s="972">
        <v>0</v>
      </c>
      <c r="BA25" s="972">
        <v>0</v>
      </c>
      <c r="BB25" s="972">
        <v>0</v>
      </c>
      <c r="BC25" s="972">
        <v>0</v>
      </c>
      <c r="BD25" s="972">
        <v>0</v>
      </c>
      <c r="BE25" s="972">
        <v>0</v>
      </c>
      <c r="BF25" s="972">
        <v>183.45565749235473</v>
      </c>
      <c r="BG25" s="972">
        <v>0</v>
      </c>
      <c r="BH25" s="972">
        <v>440.40000000000003</v>
      </c>
      <c r="BI25" s="972">
        <v>285063.46146225295</v>
      </c>
    </row>
    <row r="26" spans="1:61" s="242" customFormat="1" ht="16.149999999999999" customHeight="1" x14ac:dyDescent="0.2">
      <c r="A26" s="249" t="s">
        <v>159</v>
      </c>
      <c r="B26" s="234" t="s">
        <v>160</v>
      </c>
      <c r="C26" s="974">
        <v>775346</v>
      </c>
      <c r="D26" s="974"/>
      <c r="E26" s="974">
        <v>0</v>
      </c>
      <c r="F26" s="974">
        <v>0</v>
      </c>
      <c r="G26" s="974">
        <v>0</v>
      </c>
      <c r="H26" s="974">
        <v>0</v>
      </c>
      <c r="I26" s="974">
        <v>0</v>
      </c>
      <c r="J26" s="974">
        <v>0</v>
      </c>
      <c r="K26" s="974">
        <v>0</v>
      </c>
      <c r="L26" s="974">
        <v>0</v>
      </c>
      <c r="M26" s="974">
        <v>0</v>
      </c>
      <c r="N26" s="974">
        <v>0</v>
      </c>
      <c r="O26" s="974">
        <v>0</v>
      </c>
      <c r="P26" s="974">
        <v>0</v>
      </c>
      <c r="Q26" s="974">
        <v>0</v>
      </c>
      <c r="R26" s="974"/>
      <c r="S26" s="974">
        <v>0</v>
      </c>
      <c r="T26" s="974">
        <v>0</v>
      </c>
      <c r="U26" s="974">
        <v>0</v>
      </c>
      <c r="V26" s="974">
        <v>0</v>
      </c>
      <c r="W26" s="974">
        <v>0</v>
      </c>
      <c r="X26" s="974">
        <v>97.933537832310847</v>
      </c>
      <c r="Y26" s="974">
        <v>0</v>
      </c>
      <c r="Z26" s="974"/>
      <c r="AA26" s="974">
        <v>0</v>
      </c>
      <c r="AB26" s="974">
        <v>0</v>
      </c>
      <c r="AC26" s="974"/>
      <c r="AD26" s="974"/>
      <c r="AE26" s="974"/>
      <c r="AF26" s="974"/>
      <c r="AG26" s="974">
        <v>0</v>
      </c>
      <c r="AH26" s="974">
        <v>0</v>
      </c>
      <c r="AI26" s="974">
        <v>0</v>
      </c>
      <c r="AJ26" s="974">
        <v>0</v>
      </c>
      <c r="AK26" s="974">
        <v>0</v>
      </c>
      <c r="AL26" s="974">
        <v>0</v>
      </c>
      <c r="AM26" s="974">
        <v>0</v>
      </c>
      <c r="AN26" s="974">
        <v>0</v>
      </c>
      <c r="AO26" s="974"/>
      <c r="AP26" s="974"/>
      <c r="AQ26" s="974"/>
      <c r="AR26" s="974"/>
      <c r="AS26" s="974"/>
      <c r="AT26" s="974">
        <v>1033.0161458333332</v>
      </c>
      <c r="AU26" s="974">
        <v>1412.5871244635193</v>
      </c>
      <c r="AV26" s="975">
        <v>777889.53680812917</v>
      </c>
      <c r="AW26" s="974">
        <v>0</v>
      </c>
      <c r="AX26" s="974">
        <v>0</v>
      </c>
      <c r="AY26" s="974">
        <v>0</v>
      </c>
      <c r="AZ26" s="974">
        <v>0</v>
      </c>
      <c r="BA26" s="974">
        <v>0</v>
      </c>
      <c r="BB26" s="974">
        <v>0</v>
      </c>
      <c r="BC26" s="974">
        <v>0</v>
      </c>
      <c r="BD26" s="974">
        <v>0</v>
      </c>
      <c r="BE26" s="974">
        <v>0</v>
      </c>
      <c r="BF26" s="974">
        <v>550.36697247706422</v>
      </c>
      <c r="BG26" s="974">
        <v>0</v>
      </c>
      <c r="BH26" s="976">
        <v>0</v>
      </c>
      <c r="BI26" s="974">
        <v>778439.90378060623</v>
      </c>
    </row>
    <row r="27" spans="1:61" s="242" customFormat="1" ht="16.149999999999999" customHeight="1" x14ac:dyDescent="0.2">
      <c r="A27" s="245" t="s">
        <v>92</v>
      </c>
      <c r="B27" s="236" t="s">
        <v>161</v>
      </c>
      <c r="C27" s="968">
        <v>447515</v>
      </c>
      <c r="D27" s="968"/>
      <c r="E27" s="968">
        <v>0</v>
      </c>
      <c r="F27" s="968">
        <v>0</v>
      </c>
      <c r="G27" s="968">
        <v>0</v>
      </c>
      <c r="H27" s="968">
        <v>0</v>
      </c>
      <c r="I27" s="968">
        <v>0</v>
      </c>
      <c r="J27" s="968">
        <v>0</v>
      </c>
      <c r="K27" s="968">
        <v>0</v>
      </c>
      <c r="L27" s="968">
        <v>0</v>
      </c>
      <c r="M27" s="968">
        <v>0</v>
      </c>
      <c r="N27" s="968">
        <v>0</v>
      </c>
      <c r="O27" s="968">
        <v>0</v>
      </c>
      <c r="P27" s="968">
        <v>121.40732758620689</v>
      </c>
      <c r="Q27" s="968">
        <v>0</v>
      </c>
      <c r="R27" s="968"/>
      <c r="S27" s="968">
        <v>0</v>
      </c>
      <c r="T27" s="968">
        <v>0</v>
      </c>
      <c r="U27" s="968">
        <v>0</v>
      </c>
      <c r="V27" s="968">
        <v>0</v>
      </c>
      <c r="W27" s="968">
        <v>0</v>
      </c>
      <c r="X27" s="968">
        <v>0</v>
      </c>
      <c r="Y27" s="968">
        <v>0</v>
      </c>
      <c r="Z27" s="968"/>
      <c r="AA27" s="968">
        <v>0</v>
      </c>
      <c r="AB27" s="969">
        <v>0</v>
      </c>
      <c r="AC27" s="969"/>
      <c r="AD27" s="969"/>
      <c r="AE27" s="969"/>
      <c r="AF27" s="969"/>
      <c r="AG27" s="969">
        <v>0</v>
      </c>
      <c r="AH27" s="969">
        <v>0</v>
      </c>
      <c r="AI27" s="969">
        <v>0</v>
      </c>
      <c r="AJ27" s="969">
        <v>0</v>
      </c>
      <c r="AK27" s="969">
        <v>0</v>
      </c>
      <c r="AL27" s="969">
        <v>0</v>
      </c>
      <c r="AM27" s="969">
        <v>0</v>
      </c>
      <c r="AN27" s="969">
        <v>0</v>
      </c>
      <c r="AO27" s="969"/>
      <c r="AP27" s="969"/>
      <c r="AQ27" s="969"/>
      <c r="AR27" s="969"/>
      <c r="AS27" s="969"/>
      <c r="AT27" s="968">
        <v>217.47708333333333</v>
      </c>
      <c r="AU27" s="968">
        <v>1236.0137339055793</v>
      </c>
      <c r="AV27" s="970">
        <v>449089.89814482513</v>
      </c>
      <c r="AW27" s="968">
        <v>196.39393939393941</v>
      </c>
      <c r="AX27" s="968">
        <v>0</v>
      </c>
      <c r="AY27" s="968">
        <v>0</v>
      </c>
      <c r="AZ27" s="968">
        <v>0</v>
      </c>
      <c r="BA27" s="968">
        <v>8235.7309644670058</v>
      </c>
      <c r="BB27" s="968">
        <v>0</v>
      </c>
      <c r="BC27" s="968">
        <v>0</v>
      </c>
      <c r="BD27" s="968">
        <v>0</v>
      </c>
      <c r="BE27" s="968">
        <v>0</v>
      </c>
      <c r="BF27" s="968">
        <v>366.91131498470946</v>
      </c>
      <c r="BG27" s="968">
        <v>0</v>
      </c>
      <c r="BH27" s="971">
        <v>0</v>
      </c>
      <c r="BI27" s="968">
        <v>457888.93436367076</v>
      </c>
    </row>
    <row r="28" spans="1:61" s="242" customFormat="1" ht="16.149999999999999" customHeight="1" x14ac:dyDescent="0.2">
      <c r="A28" s="247" t="s">
        <v>93</v>
      </c>
      <c r="B28" s="232" t="s">
        <v>162</v>
      </c>
      <c r="C28" s="972">
        <v>425163</v>
      </c>
      <c r="D28" s="972"/>
      <c r="E28" s="972">
        <v>0</v>
      </c>
      <c r="F28" s="972">
        <v>0</v>
      </c>
      <c r="G28" s="972">
        <v>0</v>
      </c>
      <c r="H28" s="972">
        <v>0</v>
      </c>
      <c r="I28" s="972">
        <v>0</v>
      </c>
      <c r="J28" s="972">
        <v>0</v>
      </c>
      <c r="K28" s="972">
        <v>0</v>
      </c>
      <c r="L28" s="972">
        <v>0</v>
      </c>
      <c r="M28" s="972">
        <v>0</v>
      </c>
      <c r="N28" s="972">
        <v>0</v>
      </c>
      <c r="O28" s="972">
        <v>0</v>
      </c>
      <c r="P28" s="972">
        <v>0</v>
      </c>
      <c r="Q28" s="972">
        <v>0</v>
      </c>
      <c r="R28" s="972"/>
      <c r="S28" s="972">
        <v>0</v>
      </c>
      <c r="T28" s="972">
        <v>0</v>
      </c>
      <c r="U28" s="972">
        <v>0</v>
      </c>
      <c r="V28" s="972">
        <v>0</v>
      </c>
      <c r="W28" s="972">
        <v>0</v>
      </c>
      <c r="X28" s="972">
        <v>0</v>
      </c>
      <c r="Y28" s="972">
        <v>0</v>
      </c>
      <c r="Z28" s="972"/>
      <c r="AA28" s="972">
        <v>0</v>
      </c>
      <c r="AB28" s="972">
        <v>0</v>
      </c>
      <c r="AC28" s="972"/>
      <c r="AD28" s="972"/>
      <c r="AE28" s="972"/>
      <c r="AF28" s="972"/>
      <c r="AG28" s="972">
        <v>0</v>
      </c>
      <c r="AH28" s="972">
        <v>0</v>
      </c>
      <c r="AI28" s="972">
        <v>0</v>
      </c>
      <c r="AJ28" s="972">
        <v>0</v>
      </c>
      <c r="AK28" s="972">
        <v>0</v>
      </c>
      <c r="AL28" s="972">
        <v>0</v>
      </c>
      <c r="AM28" s="972">
        <v>0</v>
      </c>
      <c r="AN28" s="972">
        <v>0</v>
      </c>
      <c r="AO28" s="972"/>
      <c r="AP28" s="972"/>
      <c r="AQ28" s="972"/>
      <c r="AR28" s="972"/>
      <c r="AS28" s="972"/>
      <c r="AT28" s="972">
        <v>434.95416666666665</v>
      </c>
      <c r="AU28" s="972">
        <v>1500.8738197424891</v>
      </c>
      <c r="AV28" s="973">
        <v>427098.82798640913</v>
      </c>
      <c r="AW28" s="972">
        <v>0</v>
      </c>
      <c r="AX28" s="972">
        <v>0</v>
      </c>
      <c r="AY28" s="972">
        <v>0</v>
      </c>
      <c r="AZ28" s="972">
        <v>0</v>
      </c>
      <c r="BA28" s="972">
        <v>0</v>
      </c>
      <c r="BB28" s="972">
        <v>0</v>
      </c>
      <c r="BC28" s="972">
        <v>0</v>
      </c>
      <c r="BD28" s="972">
        <v>0</v>
      </c>
      <c r="BE28" s="972">
        <v>0</v>
      </c>
      <c r="BF28" s="972">
        <v>0</v>
      </c>
      <c r="BG28" s="972">
        <v>0</v>
      </c>
      <c r="BH28" s="972">
        <v>0</v>
      </c>
      <c r="BI28" s="972">
        <v>427098.82798640913</v>
      </c>
    </row>
    <row r="29" spans="1:61" s="242" customFormat="1" ht="16.149999999999999" customHeight="1" x14ac:dyDescent="0.2">
      <c r="A29" s="247" t="s">
        <v>94</v>
      </c>
      <c r="B29" s="232" t="s">
        <v>163</v>
      </c>
      <c r="C29" s="972">
        <v>1669291</v>
      </c>
      <c r="D29" s="972"/>
      <c r="E29" s="972">
        <v>0</v>
      </c>
      <c r="F29" s="972">
        <v>0</v>
      </c>
      <c r="G29" s="972">
        <v>0</v>
      </c>
      <c r="H29" s="972">
        <v>0</v>
      </c>
      <c r="I29" s="972">
        <v>0</v>
      </c>
      <c r="J29" s="972">
        <v>0</v>
      </c>
      <c r="K29" s="972">
        <v>0</v>
      </c>
      <c r="L29" s="972">
        <v>0</v>
      </c>
      <c r="M29" s="972">
        <v>0</v>
      </c>
      <c r="N29" s="972">
        <v>0</v>
      </c>
      <c r="O29" s="972">
        <v>0</v>
      </c>
      <c r="P29" s="972">
        <v>0</v>
      </c>
      <c r="Q29" s="972">
        <v>0</v>
      </c>
      <c r="R29" s="972"/>
      <c r="S29" s="972">
        <v>0</v>
      </c>
      <c r="T29" s="972">
        <v>0</v>
      </c>
      <c r="U29" s="972">
        <v>0</v>
      </c>
      <c r="V29" s="972">
        <v>0</v>
      </c>
      <c r="W29" s="972">
        <v>9320.1920903954815</v>
      </c>
      <c r="X29" s="972">
        <v>587.601226993865</v>
      </c>
      <c r="Y29" s="972">
        <v>345.08796296296293</v>
      </c>
      <c r="Z29" s="972"/>
      <c r="AA29" s="972">
        <v>0</v>
      </c>
      <c r="AB29" s="972">
        <v>0</v>
      </c>
      <c r="AC29" s="972"/>
      <c r="AD29" s="972"/>
      <c r="AE29" s="972"/>
      <c r="AF29" s="972"/>
      <c r="AG29" s="972">
        <v>0</v>
      </c>
      <c r="AH29" s="972">
        <v>596.01492537313425</v>
      </c>
      <c r="AI29" s="972">
        <v>0</v>
      </c>
      <c r="AJ29" s="972">
        <v>0</v>
      </c>
      <c r="AK29" s="972">
        <v>0</v>
      </c>
      <c r="AL29" s="972">
        <v>0</v>
      </c>
      <c r="AM29" s="972">
        <v>0</v>
      </c>
      <c r="AN29" s="972">
        <v>0</v>
      </c>
      <c r="AO29" s="972"/>
      <c r="AP29" s="972"/>
      <c r="AQ29" s="972"/>
      <c r="AR29" s="972"/>
      <c r="AS29" s="972"/>
      <c r="AT29" s="972">
        <v>2229.1401041666668</v>
      </c>
      <c r="AU29" s="972">
        <v>4061.1879828326182</v>
      </c>
      <c r="AV29" s="973">
        <v>1686430.2242927244</v>
      </c>
      <c r="AW29" s="972">
        <v>0</v>
      </c>
      <c r="AX29" s="972">
        <v>14356.608695652174</v>
      </c>
      <c r="AY29" s="972">
        <v>0</v>
      </c>
      <c r="AZ29" s="972">
        <v>0</v>
      </c>
      <c r="BA29" s="972">
        <v>0</v>
      </c>
      <c r="BB29" s="972">
        <v>0</v>
      </c>
      <c r="BC29" s="972">
        <v>0</v>
      </c>
      <c r="BD29" s="972">
        <v>0</v>
      </c>
      <c r="BE29" s="972">
        <v>0</v>
      </c>
      <c r="BF29" s="972">
        <v>550.36697247706422</v>
      </c>
      <c r="BG29" s="972">
        <v>0</v>
      </c>
      <c r="BH29" s="972">
        <v>0</v>
      </c>
      <c r="BI29" s="972">
        <v>1701337.1999608537</v>
      </c>
    </row>
    <row r="30" spans="1:61" s="242" customFormat="1" ht="16.149999999999999" customHeight="1" x14ac:dyDescent="0.2">
      <c r="A30" s="247" t="s">
        <v>95</v>
      </c>
      <c r="B30" s="232" t="s">
        <v>164</v>
      </c>
      <c r="C30" s="972">
        <v>789096</v>
      </c>
      <c r="D30" s="972"/>
      <c r="E30" s="972">
        <v>190.43822075782538</v>
      </c>
      <c r="F30" s="972">
        <v>0</v>
      </c>
      <c r="G30" s="972">
        <v>0</v>
      </c>
      <c r="H30" s="972">
        <v>0</v>
      </c>
      <c r="I30" s="972">
        <v>0</v>
      </c>
      <c r="J30" s="972">
        <v>0</v>
      </c>
      <c r="K30" s="972">
        <v>0</v>
      </c>
      <c r="L30" s="972">
        <v>0</v>
      </c>
      <c r="M30" s="972">
        <v>2744.9628712871286</v>
      </c>
      <c r="N30" s="972">
        <v>0</v>
      </c>
      <c r="O30" s="972">
        <v>0</v>
      </c>
      <c r="P30" s="972">
        <v>0</v>
      </c>
      <c r="Q30" s="972">
        <v>149.98172323759792</v>
      </c>
      <c r="R30" s="972"/>
      <c r="S30" s="972">
        <v>0</v>
      </c>
      <c r="T30" s="972">
        <v>7971.051080550098</v>
      </c>
      <c r="U30" s="972">
        <v>0</v>
      </c>
      <c r="V30" s="972">
        <v>0</v>
      </c>
      <c r="W30" s="972">
        <v>0</v>
      </c>
      <c r="X30" s="972">
        <v>0</v>
      </c>
      <c r="Y30" s="972">
        <v>0</v>
      </c>
      <c r="Z30" s="972"/>
      <c r="AA30" s="972">
        <v>0</v>
      </c>
      <c r="AB30" s="972">
        <v>0</v>
      </c>
      <c r="AC30" s="972"/>
      <c r="AD30" s="972"/>
      <c r="AE30" s="972"/>
      <c r="AF30" s="972"/>
      <c r="AG30" s="972">
        <v>0</v>
      </c>
      <c r="AH30" s="972">
        <v>0</v>
      </c>
      <c r="AI30" s="972">
        <v>147.25987525987526</v>
      </c>
      <c r="AJ30" s="972">
        <v>0</v>
      </c>
      <c r="AK30" s="972">
        <v>0</v>
      </c>
      <c r="AL30" s="972">
        <v>0</v>
      </c>
      <c r="AM30" s="972">
        <v>0</v>
      </c>
      <c r="AN30" s="972">
        <v>0</v>
      </c>
      <c r="AO30" s="972"/>
      <c r="AP30" s="972"/>
      <c r="AQ30" s="972"/>
      <c r="AR30" s="972"/>
      <c r="AS30" s="972"/>
      <c r="AT30" s="972">
        <v>271.84635416666663</v>
      </c>
      <c r="AU30" s="972">
        <v>1059.4403433476393</v>
      </c>
      <c r="AV30" s="973">
        <v>801630.98046860669</v>
      </c>
      <c r="AW30" s="972">
        <v>0</v>
      </c>
      <c r="AX30" s="972">
        <v>0</v>
      </c>
      <c r="AY30" s="972">
        <v>0</v>
      </c>
      <c r="AZ30" s="972">
        <v>0</v>
      </c>
      <c r="BA30" s="972">
        <v>0</v>
      </c>
      <c r="BB30" s="972">
        <v>190.89041095890411</v>
      </c>
      <c r="BC30" s="972">
        <v>0</v>
      </c>
      <c r="BD30" s="972">
        <v>0</v>
      </c>
      <c r="BE30" s="972">
        <v>0</v>
      </c>
      <c r="BF30" s="972">
        <v>183.45565749235473</v>
      </c>
      <c r="BG30" s="972">
        <v>0</v>
      </c>
      <c r="BH30" s="972">
        <v>440.40000000000003</v>
      </c>
      <c r="BI30" s="972">
        <v>802445.72653705801</v>
      </c>
    </row>
    <row r="31" spans="1:61" s="242" customFormat="1" ht="16.149999999999999" customHeight="1" x14ac:dyDescent="0.2">
      <c r="A31" s="249" t="s">
        <v>96</v>
      </c>
      <c r="B31" s="234" t="s">
        <v>165</v>
      </c>
      <c r="C31" s="974">
        <v>337532</v>
      </c>
      <c r="D31" s="974"/>
      <c r="E31" s="974">
        <v>0</v>
      </c>
      <c r="F31" s="974">
        <v>0</v>
      </c>
      <c r="G31" s="974">
        <v>0</v>
      </c>
      <c r="H31" s="974">
        <v>0</v>
      </c>
      <c r="I31" s="974">
        <v>0</v>
      </c>
      <c r="J31" s="974">
        <v>0</v>
      </c>
      <c r="K31" s="974">
        <v>0</v>
      </c>
      <c r="L31" s="974">
        <v>0</v>
      </c>
      <c r="M31" s="974">
        <v>0</v>
      </c>
      <c r="N31" s="974">
        <v>0</v>
      </c>
      <c r="O31" s="974">
        <v>0</v>
      </c>
      <c r="P31" s="974">
        <v>0</v>
      </c>
      <c r="Q31" s="974">
        <v>0</v>
      </c>
      <c r="R31" s="974"/>
      <c r="S31" s="974">
        <v>0</v>
      </c>
      <c r="T31" s="974">
        <v>0</v>
      </c>
      <c r="U31" s="974">
        <v>0</v>
      </c>
      <c r="V31" s="974">
        <v>0</v>
      </c>
      <c r="W31" s="974">
        <v>0</v>
      </c>
      <c r="X31" s="974">
        <v>0</v>
      </c>
      <c r="Y31" s="974">
        <v>0</v>
      </c>
      <c r="Z31" s="974"/>
      <c r="AA31" s="974">
        <v>0</v>
      </c>
      <c r="AB31" s="974">
        <v>3029.6171328671326</v>
      </c>
      <c r="AC31" s="974"/>
      <c r="AD31" s="974"/>
      <c r="AE31" s="974"/>
      <c r="AF31" s="974"/>
      <c r="AG31" s="974">
        <v>0</v>
      </c>
      <c r="AH31" s="974">
        <v>0</v>
      </c>
      <c r="AI31" s="974">
        <v>0</v>
      </c>
      <c r="AJ31" s="974">
        <v>0</v>
      </c>
      <c r="AK31" s="974">
        <v>0</v>
      </c>
      <c r="AL31" s="974">
        <v>0</v>
      </c>
      <c r="AM31" s="974">
        <v>0</v>
      </c>
      <c r="AN31" s="974">
        <v>0</v>
      </c>
      <c r="AO31" s="974"/>
      <c r="AP31" s="974"/>
      <c r="AQ31" s="974"/>
      <c r="AR31" s="974"/>
      <c r="AS31" s="974"/>
      <c r="AT31" s="974">
        <v>761.1697916666667</v>
      </c>
      <c r="AU31" s="974">
        <v>353.14678111587983</v>
      </c>
      <c r="AV31" s="975">
        <v>341675.93370564963</v>
      </c>
      <c r="AW31" s="974">
        <v>0</v>
      </c>
      <c r="AX31" s="974">
        <v>0</v>
      </c>
      <c r="AY31" s="974">
        <v>0</v>
      </c>
      <c r="AZ31" s="974">
        <v>0</v>
      </c>
      <c r="BA31" s="974">
        <v>0</v>
      </c>
      <c r="BB31" s="974">
        <v>0</v>
      </c>
      <c r="BC31" s="974">
        <v>0</v>
      </c>
      <c r="BD31" s="974">
        <v>0</v>
      </c>
      <c r="BE31" s="974">
        <v>0</v>
      </c>
      <c r="BF31" s="974">
        <v>183.45565749235473</v>
      </c>
      <c r="BG31" s="974">
        <v>0</v>
      </c>
      <c r="BH31" s="976">
        <v>0</v>
      </c>
      <c r="BI31" s="974">
        <v>341859.38936314196</v>
      </c>
    </row>
    <row r="32" spans="1:61" s="242" customFormat="1" ht="16.149999999999999" customHeight="1" x14ac:dyDescent="0.2">
      <c r="A32" s="245" t="s">
        <v>97</v>
      </c>
      <c r="B32" s="236" t="s">
        <v>166</v>
      </c>
      <c r="C32" s="968">
        <v>6684043</v>
      </c>
      <c r="D32" s="968"/>
      <c r="E32" s="968">
        <v>0</v>
      </c>
      <c r="F32" s="968">
        <v>0</v>
      </c>
      <c r="G32" s="968">
        <v>7622.3002544529263</v>
      </c>
      <c r="H32" s="968">
        <v>98042.916179337233</v>
      </c>
      <c r="I32" s="968">
        <v>39322.622868605817</v>
      </c>
      <c r="J32" s="968">
        <v>0</v>
      </c>
      <c r="K32" s="968">
        <v>0</v>
      </c>
      <c r="L32" s="968">
        <v>0</v>
      </c>
      <c r="M32" s="968">
        <v>182.99752475247524</v>
      </c>
      <c r="N32" s="968">
        <v>20763.428571428572</v>
      </c>
      <c r="O32" s="968">
        <v>0</v>
      </c>
      <c r="P32" s="968">
        <v>0</v>
      </c>
      <c r="Q32" s="968">
        <v>0</v>
      </c>
      <c r="R32" s="968"/>
      <c r="S32" s="968">
        <v>0</v>
      </c>
      <c r="T32" s="968">
        <v>286.38506876227899</v>
      </c>
      <c r="U32" s="968">
        <v>0</v>
      </c>
      <c r="V32" s="968">
        <v>0</v>
      </c>
      <c r="W32" s="968">
        <v>0</v>
      </c>
      <c r="X32" s="968">
        <v>0</v>
      </c>
      <c r="Y32" s="968">
        <v>0</v>
      </c>
      <c r="Z32" s="968"/>
      <c r="AA32" s="968">
        <v>0</v>
      </c>
      <c r="AB32" s="969">
        <v>0</v>
      </c>
      <c r="AC32" s="969"/>
      <c r="AD32" s="969"/>
      <c r="AE32" s="969"/>
      <c r="AF32" s="969"/>
      <c r="AG32" s="969">
        <v>1252.8157894736842</v>
      </c>
      <c r="AH32" s="969">
        <v>0</v>
      </c>
      <c r="AI32" s="969">
        <v>0</v>
      </c>
      <c r="AJ32" s="969">
        <v>0</v>
      </c>
      <c r="AK32" s="969">
        <v>2859.391304347826</v>
      </c>
      <c r="AL32" s="969">
        <v>108452.88177339901</v>
      </c>
      <c r="AM32" s="969">
        <v>0</v>
      </c>
      <c r="AN32" s="969">
        <v>0</v>
      </c>
      <c r="AO32" s="969"/>
      <c r="AP32" s="969"/>
      <c r="AQ32" s="969"/>
      <c r="AR32" s="969"/>
      <c r="AS32" s="969"/>
      <c r="AT32" s="968">
        <v>8699.0833333333321</v>
      </c>
      <c r="AU32" s="968">
        <v>20835.660085836913</v>
      </c>
      <c r="AV32" s="970">
        <v>6992363.4827537294</v>
      </c>
      <c r="AW32" s="968">
        <v>0</v>
      </c>
      <c r="AX32" s="968">
        <v>0</v>
      </c>
      <c r="AY32" s="968">
        <v>88583.371298405458</v>
      </c>
      <c r="AZ32" s="968">
        <v>0</v>
      </c>
      <c r="BA32" s="968">
        <v>0</v>
      </c>
      <c r="BB32" s="968">
        <v>41232.328767123283</v>
      </c>
      <c r="BC32" s="968">
        <v>0</v>
      </c>
      <c r="BD32" s="968">
        <v>0</v>
      </c>
      <c r="BE32" s="968">
        <v>0</v>
      </c>
      <c r="BF32" s="968">
        <v>917.27828746177363</v>
      </c>
      <c r="BG32" s="968">
        <v>12549.103734439834</v>
      </c>
      <c r="BH32" s="971">
        <v>0</v>
      </c>
      <c r="BI32" s="968">
        <v>7135645.5648411606</v>
      </c>
    </row>
    <row r="33" spans="1:61" s="242" customFormat="1" ht="16.149999999999999" customHeight="1" x14ac:dyDescent="0.2">
      <c r="A33" s="247" t="s">
        <v>167</v>
      </c>
      <c r="B33" s="232" t="s">
        <v>168</v>
      </c>
      <c r="C33" s="972">
        <v>764238</v>
      </c>
      <c r="D33" s="972"/>
      <c r="E33" s="972">
        <v>0</v>
      </c>
      <c r="F33" s="972">
        <v>0</v>
      </c>
      <c r="G33" s="972">
        <v>0</v>
      </c>
      <c r="H33" s="972">
        <v>0</v>
      </c>
      <c r="I33" s="972">
        <v>0</v>
      </c>
      <c r="J33" s="972">
        <v>106.37161430119176</v>
      </c>
      <c r="K33" s="972">
        <v>0</v>
      </c>
      <c r="L33" s="972">
        <v>0</v>
      </c>
      <c r="M33" s="972">
        <v>0</v>
      </c>
      <c r="N33" s="972">
        <v>0</v>
      </c>
      <c r="O33" s="972">
        <v>0</v>
      </c>
      <c r="P33" s="972">
        <v>0</v>
      </c>
      <c r="Q33" s="972">
        <v>0</v>
      </c>
      <c r="R33" s="972"/>
      <c r="S33" s="972">
        <v>0</v>
      </c>
      <c r="T33" s="972">
        <v>0</v>
      </c>
      <c r="U33" s="972">
        <v>0</v>
      </c>
      <c r="V33" s="972">
        <v>0</v>
      </c>
      <c r="W33" s="972">
        <v>0</v>
      </c>
      <c r="X33" s="972">
        <v>0</v>
      </c>
      <c r="Y33" s="972">
        <v>0</v>
      </c>
      <c r="Z33" s="972"/>
      <c r="AA33" s="972">
        <v>0</v>
      </c>
      <c r="AB33" s="972">
        <v>0</v>
      </c>
      <c r="AC33" s="972"/>
      <c r="AD33" s="972"/>
      <c r="AE33" s="972"/>
      <c r="AF33" s="972"/>
      <c r="AG33" s="972">
        <v>0</v>
      </c>
      <c r="AH33" s="972">
        <v>0</v>
      </c>
      <c r="AI33" s="972">
        <v>0</v>
      </c>
      <c r="AJ33" s="972">
        <v>0</v>
      </c>
      <c r="AK33" s="972">
        <v>0</v>
      </c>
      <c r="AL33" s="972">
        <v>0</v>
      </c>
      <c r="AM33" s="972">
        <v>0</v>
      </c>
      <c r="AN33" s="972">
        <v>0</v>
      </c>
      <c r="AO33" s="972"/>
      <c r="AP33" s="972"/>
      <c r="AQ33" s="972"/>
      <c r="AR33" s="972"/>
      <c r="AS33" s="972"/>
      <c r="AT33" s="972">
        <v>869.9083333333333</v>
      </c>
      <c r="AU33" s="972">
        <v>1059.4403433476393</v>
      </c>
      <c r="AV33" s="973">
        <v>766273.72029098216</v>
      </c>
      <c r="AW33" s="972">
        <v>0</v>
      </c>
      <c r="AX33" s="972">
        <v>0</v>
      </c>
      <c r="AY33" s="972">
        <v>0</v>
      </c>
      <c r="AZ33" s="972">
        <v>0</v>
      </c>
      <c r="BA33" s="972">
        <v>0</v>
      </c>
      <c r="BB33" s="972">
        <v>0</v>
      </c>
      <c r="BC33" s="972">
        <v>0</v>
      </c>
      <c r="BD33" s="972">
        <v>0</v>
      </c>
      <c r="BE33" s="972">
        <v>0</v>
      </c>
      <c r="BF33" s="972">
        <v>0</v>
      </c>
      <c r="BG33" s="972">
        <v>0</v>
      </c>
      <c r="BH33" s="972">
        <v>0</v>
      </c>
      <c r="BI33" s="972">
        <v>766273.72029098216</v>
      </c>
    </row>
    <row r="34" spans="1:61" s="242" customFormat="1" ht="16.149999999999999" customHeight="1" x14ac:dyDescent="0.2">
      <c r="A34" s="247" t="s">
        <v>98</v>
      </c>
      <c r="B34" s="232" t="s">
        <v>169</v>
      </c>
      <c r="C34" s="972">
        <v>4265741</v>
      </c>
      <c r="D34" s="972"/>
      <c r="E34" s="972">
        <v>0</v>
      </c>
      <c r="F34" s="972">
        <v>0</v>
      </c>
      <c r="G34" s="972">
        <v>0</v>
      </c>
      <c r="H34" s="972">
        <v>0</v>
      </c>
      <c r="I34" s="972">
        <v>0</v>
      </c>
      <c r="J34" s="972">
        <v>0</v>
      </c>
      <c r="K34" s="972">
        <v>157.01538461538462</v>
      </c>
      <c r="L34" s="972">
        <v>0</v>
      </c>
      <c r="M34" s="972">
        <v>182.99752475247524</v>
      </c>
      <c r="N34" s="972">
        <v>0</v>
      </c>
      <c r="O34" s="972">
        <v>0</v>
      </c>
      <c r="P34" s="972">
        <v>0</v>
      </c>
      <c r="Q34" s="972">
        <v>0</v>
      </c>
      <c r="R34" s="972"/>
      <c r="S34" s="972">
        <v>0</v>
      </c>
      <c r="T34" s="972">
        <v>429.57760314341846</v>
      </c>
      <c r="U34" s="972">
        <v>0</v>
      </c>
      <c r="V34" s="972">
        <v>0</v>
      </c>
      <c r="W34" s="972">
        <v>102611.73022598871</v>
      </c>
      <c r="X34" s="972">
        <v>79815.833333333343</v>
      </c>
      <c r="Y34" s="972">
        <v>67752.270061728399</v>
      </c>
      <c r="Z34" s="972"/>
      <c r="AA34" s="972">
        <v>0</v>
      </c>
      <c r="AB34" s="972">
        <v>0</v>
      </c>
      <c r="AC34" s="972"/>
      <c r="AD34" s="972"/>
      <c r="AE34" s="972"/>
      <c r="AF34" s="972"/>
      <c r="AG34" s="972">
        <v>0</v>
      </c>
      <c r="AH34" s="972">
        <v>11522.955223880595</v>
      </c>
      <c r="AI34" s="972">
        <v>0</v>
      </c>
      <c r="AJ34" s="972">
        <v>0</v>
      </c>
      <c r="AK34" s="972">
        <v>0</v>
      </c>
      <c r="AL34" s="972">
        <v>0</v>
      </c>
      <c r="AM34" s="972">
        <v>0</v>
      </c>
      <c r="AN34" s="972">
        <v>0</v>
      </c>
      <c r="AO34" s="972"/>
      <c r="AP34" s="972"/>
      <c r="AQ34" s="972"/>
      <c r="AR34" s="972"/>
      <c r="AS34" s="972"/>
      <c r="AT34" s="972">
        <v>3914.5874999999996</v>
      </c>
      <c r="AU34" s="972">
        <v>10152.969957081546</v>
      </c>
      <c r="AV34" s="973">
        <v>4542280.9368145242</v>
      </c>
      <c r="AW34" s="972">
        <v>0</v>
      </c>
      <c r="AX34" s="972">
        <v>402.52173913043481</v>
      </c>
      <c r="AY34" s="972">
        <v>0</v>
      </c>
      <c r="AZ34" s="972">
        <v>0</v>
      </c>
      <c r="BA34" s="972">
        <v>0</v>
      </c>
      <c r="BB34" s="972">
        <v>0</v>
      </c>
      <c r="BC34" s="972">
        <v>0</v>
      </c>
      <c r="BD34" s="972">
        <v>0</v>
      </c>
      <c r="BE34" s="972">
        <v>0</v>
      </c>
      <c r="BF34" s="972">
        <v>2018.012232415902</v>
      </c>
      <c r="BG34" s="972">
        <v>0</v>
      </c>
      <c r="BH34" s="972">
        <v>1321.2</v>
      </c>
      <c r="BI34" s="972">
        <v>4546022.6707860716</v>
      </c>
    </row>
    <row r="35" spans="1:61" s="242" customFormat="1" ht="16.149999999999999" customHeight="1" x14ac:dyDescent="0.2">
      <c r="A35" s="247" t="s">
        <v>99</v>
      </c>
      <c r="B35" s="232" t="s">
        <v>170</v>
      </c>
      <c r="C35" s="972">
        <v>1865288</v>
      </c>
      <c r="D35" s="972"/>
      <c r="E35" s="972">
        <v>0</v>
      </c>
      <c r="F35" s="972">
        <v>0</v>
      </c>
      <c r="G35" s="972">
        <v>0</v>
      </c>
      <c r="H35" s="972">
        <v>0</v>
      </c>
      <c r="I35" s="972">
        <v>0</v>
      </c>
      <c r="J35" s="972">
        <v>0</v>
      </c>
      <c r="K35" s="972">
        <v>0</v>
      </c>
      <c r="L35" s="972">
        <v>0</v>
      </c>
      <c r="M35" s="972">
        <v>0</v>
      </c>
      <c r="N35" s="972">
        <v>0</v>
      </c>
      <c r="O35" s="972">
        <v>0</v>
      </c>
      <c r="P35" s="972">
        <v>0</v>
      </c>
      <c r="Q35" s="972">
        <v>0</v>
      </c>
      <c r="R35" s="972"/>
      <c r="S35" s="972">
        <v>0</v>
      </c>
      <c r="T35" s="972">
        <v>3484.3516699410607</v>
      </c>
      <c r="U35" s="972">
        <v>0</v>
      </c>
      <c r="V35" s="972">
        <v>0</v>
      </c>
      <c r="W35" s="972">
        <v>1165.0240112994352</v>
      </c>
      <c r="X35" s="972">
        <v>195.86707566462169</v>
      </c>
      <c r="Y35" s="972">
        <v>0</v>
      </c>
      <c r="Z35" s="972"/>
      <c r="AA35" s="972">
        <v>0</v>
      </c>
      <c r="AB35" s="972">
        <v>0</v>
      </c>
      <c r="AC35" s="972"/>
      <c r="AD35" s="972"/>
      <c r="AE35" s="972"/>
      <c r="AF35" s="972"/>
      <c r="AG35" s="972">
        <v>0</v>
      </c>
      <c r="AH35" s="972">
        <v>0</v>
      </c>
      <c r="AI35" s="972">
        <v>0</v>
      </c>
      <c r="AJ35" s="972">
        <v>0</v>
      </c>
      <c r="AK35" s="972">
        <v>0</v>
      </c>
      <c r="AL35" s="972">
        <v>0</v>
      </c>
      <c r="AM35" s="972">
        <v>0</v>
      </c>
      <c r="AN35" s="972">
        <v>0</v>
      </c>
      <c r="AO35" s="972"/>
      <c r="AP35" s="972"/>
      <c r="AQ35" s="972"/>
      <c r="AR35" s="972"/>
      <c r="AS35" s="972"/>
      <c r="AT35" s="972">
        <v>1631.078125</v>
      </c>
      <c r="AU35" s="972">
        <v>5032.3416309012873</v>
      </c>
      <c r="AV35" s="973">
        <v>1876796.6625128065</v>
      </c>
      <c r="AW35" s="972">
        <v>0</v>
      </c>
      <c r="AX35" s="972">
        <v>0</v>
      </c>
      <c r="AY35" s="972">
        <v>164.04328018223237</v>
      </c>
      <c r="AZ35" s="972">
        <v>0</v>
      </c>
      <c r="BA35" s="972">
        <v>0</v>
      </c>
      <c r="BB35" s="972">
        <v>0</v>
      </c>
      <c r="BC35" s="972">
        <v>13452.727272727272</v>
      </c>
      <c r="BD35" s="972">
        <v>0</v>
      </c>
      <c r="BE35" s="972">
        <v>0</v>
      </c>
      <c r="BF35" s="972">
        <v>1467.6452599388379</v>
      </c>
      <c r="BG35" s="972">
        <v>0</v>
      </c>
      <c r="BH35" s="972">
        <v>0</v>
      </c>
      <c r="BI35" s="972">
        <v>1891881.0783256548</v>
      </c>
    </row>
    <row r="36" spans="1:61" s="242" customFormat="1" ht="16.149999999999999" customHeight="1" x14ac:dyDescent="0.2">
      <c r="A36" s="249" t="s">
        <v>171</v>
      </c>
      <c r="B36" s="234" t="s">
        <v>172</v>
      </c>
      <c r="C36" s="974">
        <v>381099</v>
      </c>
      <c r="D36" s="974"/>
      <c r="E36" s="974">
        <v>0</v>
      </c>
      <c r="F36" s="974">
        <v>0</v>
      </c>
      <c r="G36" s="974">
        <v>0</v>
      </c>
      <c r="H36" s="974">
        <v>0</v>
      </c>
      <c r="I36" s="974">
        <v>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  <c r="P36" s="974">
        <v>0</v>
      </c>
      <c r="Q36" s="974">
        <v>0</v>
      </c>
      <c r="R36" s="974"/>
      <c r="S36" s="974">
        <v>0</v>
      </c>
      <c r="T36" s="974">
        <v>0</v>
      </c>
      <c r="U36" s="974">
        <v>0</v>
      </c>
      <c r="V36" s="974">
        <v>0</v>
      </c>
      <c r="W36" s="974">
        <v>0</v>
      </c>
      <c r="X36" s="974">
        <v>0</v>
      </c>
      <c r="Y36" s="974">
        <v>0</v>
      </c>
      <c r="Z36" s="974"/>
      <c r="AA36" s="974">
        <v>0</v>
      </c>
      <c r="AB36" s="974">
        <v>0</v>
      </c>
      <c r="AC36" s="974"/>
      <c r="AD36" s="974"/>
      <c r="AE36" s="974"/>
      <c r="AF36" s="974"/>
      <c r="AG36" s="974">
        <v>0</v>
      </c>
      <c r="AH36" s="974">
        <v>0</v>
      </c>
      <c r="AI36" s="974">
        <v>0</v>
      </c>
      <c r="AJ36" s="974">
        <v>0</v>
      </c>
      <c r="AK36" s="974">
        <v>0</v>
      </c>
      <c r="AL36" s="974">
        <v>0</v>
      </c>
      <c r="AM36" s="974">
        <v>0</v>
      </c>
      <c r="AN36" s="974">
        <v>0</v>
      </c>
      <c r="AO36" s="974"/>
      <c r="AP36" s="974"/>
      <c r="AQ36" s="974"/>
      <c r="AR36" s="974"/>
      <c r="AS36" s="974"/>
      <c r="AT36" s="974">
        <v>54.369270833333331</v>
      </c>
      <c r="AU36" s="974">
        <v>1147.7270386266096</v>
      </c>
      <c r="AV36" s="975">
        <v>382301.09630945994</v>
      </c>
      <c r="AW36" s="974">
        <v>0</v>
      </c>
      <c r="AX36" s="974">
        <v>0</v>
      </c>
      <c r="AY36" s="974">
        <v>0</v>
      </c>
      <c r="AZ36" s="974">
        <v>0</v>
      </c>
      <c r="BA36" s="974">
        <v>0</v>
      </c>
      <c r="BB36" s="974">
        <v>0</v>
      </c>
      <c r="BC36" s="974">
        <v>0</v>
      </c>
      <c r="BD36" s="974">
        <v>0</v>
      </c>
      <c r="BE36" s="974">
        <v>0</v>
      </c>
      <c r="BF36" s="974">
        <v>0</v>
      </c>
      <c r="BG36" s="974">
        <v>0</v>
      </c>
      <c r="BH36" s="976">
        <v>0</v>
      </c>
      <c r="BI36" s="974">
        <v>382301.09630945994</v>
      </c>
    </row>
    <row r="37" spans="1:61" s="242" customFormat="1" ht="16.149999999999999" customHeight="1" x14ac:dyDescent="0.2">
      <c r="A37" s="245" t="s">
        <v>100</v>
      </c>
      <c r="B37" s="236" t="s">
        <v>173</v>
      </c>
      <c r="C37" s="968">
        <v>918087</v>
      </c>
      <c r="D37" s="968"/>
      <c r="E37" s="968">
        <v>0</v>
      </c>
      <c r="F37" s="968">
        <v>5251.7691500524661</v>
      </c>
      <c r="G37" s="968">
        <v>0</v>
      </c>
      <c r="H37" s="968">
        <v>0</v>
      </c>
      <c r="I37" s="968">
        <v>0</v>
      </c>
      <c r="J37" s="968">
        <v>0</v>
      </c>
      <c r="K37" s="968">
        <v>0</v>
      </c>
      <c r="L37" s="968">
        <v>0</v>
      </c>
      <c r="M37" s="968">
        <v>0</v>
      </c>
      <c r="N37" s="968">
        <v>0</v>
      </c>
      <c r="O37" s="968">
        <v>0</v>
      </c>
      <c r="P37" s="968">
        <v>0</v>
      </c>
      <c r="Q37" s="968">
        <v>0</v>
      </c>
      <c r="R37" s="968"/>
      <c r="S37" s="968">
        <v>0</v>
      </c>
      <c r="T37" s="968">
        <v>0</v>
      </c>
      <c r="U37" s="968">
        <v>0</v>
      </c>
      <c r="V37" s="968">
        <v>379.29281767955797</v>
      </c>
      <c r="W37" s="968">
        <v>0</v>
      </c>
      <c r="X37" s="968">
        <v>0</v>
      </c>
      <c r="Y37" s="968">
        <v>0</v>
      </c>
      <c r="Z37" s="968"/>
      <c r="AA37" s="968">
        <v>0</v>
      </c>
      <c r="AB37" s="969">
        <v>59149.667832167834</v>
      </c>
      <c r="AC37" s="969"/>
      <c r="AD37" s="969"/>
      <c r="AE37" s="969"/>
      <c r="AF37" s="969"/>
      <c r="AG37" s="969">
        <v>0</v>
      </c>
      <c r="AH37" s="969">
        <v>0</v>
      </c>
      <c r="AI37" s="969">
        <v>0</v>
      </c>
      <c r="AJ37" s="969">
        <v>0</v>
      </c>
      <c r="AK37" s="969">
        <v>0</v>
      </c>
      <c r="AL37" s="969">
        <v>0</v>
      </c>
      <c r="AM37" s="969">
        <v>0</v>
      </c>
      <c r="AN37" s="969">
        <v>0</v>
      </c>
      <c r="AO37" s="969"/>
      <c r="AP37" s="969"/>
      <c r="AQ37" s="969"/>
      <c r="AR37" s="969"/>
      <c r="AS37" s="969"/>
      <c r="AT37" s="968">
        <v>1033.0161458333332</v>
      </c>
      <c r="AU37" s="968">
        <v>1059.4403433476393</v>
      </c>
      <c r="AV37" s="970">
        <v>984960.18628908077</v>
      </c>
      <c r="AW37" s="968">
        <v>98.196969696969703</v>
      </c>
      <c r="AX37" s="968">
        <v>0</v>
      </c>
      <c r="AY37" s="968">
        <v>0</v>
      </c>
      <c r="AZ37" s="968">
        <v>0</v>
      </c>
      <c r="BA37" s="968">
        <v>0</v>
      </c>
      <c r="BB37" s="968">
        <v>0</v>
      </c>
      <c r="BC37" s="968">
        <v>0</v>
      </c>
      <c r="BD37" s="968">
        <v>0</v>
      </c>
      <c r="BE37" s="968">
        <v>0</v>
      </c>
      <c r="BF37" s="968">
        <v>1284.1896024464831</v>
      </c>
      <c r="BG37" s="968">
        <v>0</v>
      </c>
      <c r="BH37" s="971">
        <v>0</v>
      </c>
      <c r="BI37" s="968">
        <v>986342.5728612243</v>
      </c>
    </row>
    <row r="38" spans="1:61" s="242" customFormat="1" ht="16.149999999999999" customHeight="1" x14ac:dyDescent="0.2">
      <c r="A38" s="247" t="s">
        <v>101</v>
      </c>
      <c r="B38" s="232" t="s">
        <v>174</v>
      </c>
      <c r="C38" s="972">
        <v>3617579</v>
      </c>
      <c r="D38" s="972"/>
      <c r="E38" s="972">
        <v>380.87644151565075</v>
      </c>
      <c r="F38" s="972">
        <v>0</v>
      </c>
      <c r="G38" s="972">
        <v>0</v>
      </c>
      <c r="H38" s="972">
        <v>0</v>
      </c>
      <c r="I38" s="972">
        <v>0</v>
      </c>
      <c r="J38" s="972">
        <v>0</v>
      </c>
      <c r="K38" s="972">
        <v>0</v>
      </c>
      <c r="L38" s="972">
        <v>0</v>
      </c>
      <c r="M38" s="972">
        <v>3476.9529702970299</v>
      </c>
      <c r="N38" s="972">
        <v>0</v>
      </c>
      <c r="O38" s="972">
        <v>635.90103397341204</v>
      </c>
      <c r="P38" s="972">
        <v>0</v>
      </c>
      <c r="Q38" s="972">
        <v>0</v>
      </c>
      <c r="R38" s="972"/>
      <c r="S38" s="972">
        <v>709.53142857142859</v>
      </c>
      <c r="T38" s="972">
        <v>190.92337917485264</v>
      </c>
      <c r="U38" s="972">
        <v>0</v>
      </c>
      <c r="V38" s="972">
        <v>0</v>
      </c>
      <c r="W38" s="972">
        <v>0</v>
      </c>
      <c r="X38" s="972">
        <v>0</v>
      </c>
      <c r="Y38" s="972">
        <v>0</v>
      </c>
      <c r="Z38" s="972"/>
      <c r="AA38" s="972">
        <v>1140.2333333333333</v>
      </c>
      <c r="AB38" s="972">
        <v>0</v>
      </c>
      <c r="AC38" s="972"/>
      <c r="AD38" s="972"/>
      <c r="AE38" s="972"/>
      <c r="AF38" s="972"/>
      <c r="AG38" s="972">
        <v>0</v>
      </c>
      <c r="AH38" s="972">
        <v>0</v>
      </c>
      <c r="AI38" s="972">
        <v>0</v>
      </c>
      <c r="AJ38" s="972">
        <v>0</v>
      </c>
      <c r="AK38" s="972">
        <v>0</v>
      </c>
      <c r="AL38" s="972">
        <v>0</v>
      </c>
      <c r="AM38" s="972">
        <v>246.36</v>
      </c>
      <c r="AN38" s="972">
        <v>0</v>
      </c>
      <c r="AO38" s="972"/>
      <c r="AP38" s="972"/>
      <c r="AQ38" s="972"/>
      <c r="AR38" s="972"/>
      <c r="AS38" s="972"/>
      <c r="AT38" s="972">
        <v>4240.8031250000004</v>
      </c>
      <c r="AU38" s="972">
        <v>24896.848068669529</v>
      </c>
      <c r="AV38" s="973">
        <v>3653497.4297805349</v>
      </c>
      <c r="AW38" s="972">
        <v>0</v>
      </c>
      <c r="AX38" s="972">
        <v>0</v>
      </c>
      <c r="AY38" s="972">
        <v>0</v>
      </c>
      <c r="AZ38" s="972">
        <v>0</v>
      </c>
      <c r="BA38" s="972">
        <v>0</v>
      </c>
      <c r="BB38" s="972">
        <v>0</v>
      </c>
      <c r="BC38" s="972">
        <v>0</v>
      </c>
      <c r="BD38" s="972">
        <v>0</v>
      </c>
      <c r="BE38" s="972">
        <v>0</v>
      </c>
      <c r="BF38" s="972">
        <v>2568.3792048929663</v>
      </c>
      <c r="BG38" s="972">
        <v>0</v>
      </c>
      <c r="BH38" s="972">
        <v>0</v>
      </c>
      <c r="BI38" s="972">
        <v>3656065.808985428</v>
      </c>
    </row>
    <row r="39" spans="1:61" s="242" customFormat="1" ht="16.149999999999999" customHeight="1" x14ac:dyDescent="0.2">
      <c r="A39" s="247" t="s">
        <v>175</v>
      </c>
      <c r="B39" s="232" t="s">
        <v>176</v>
      </c>
      <c r="C39" s="972">
        <v>192692</v>
      </c>
      <c r="D39" s="972"/>
      <c r="E39" s="972">
        <v>0</v>
      </c>
      <c r="F39" s="972">
        <v>0</v>
      </c>
      <c r="G39" s="972">
        <v>0</v>
      </c>
      <c r="H39" s="972">
        <v>0</v>
      </c>
      <c r="I39" s="972">
        <v>0</v>
      </c>
      <c r="J39" s="972">
        <v>0</v>
      </c>
      <c r="K39" s="972">
        <v>0</v>
      </c>
      <c r="L39" s="972">
        <v>0</v>
      </c>
      <c r="M39" s="972">
        <v>0</v>
      </c>
      <c r="N39" s="972">
        <v>0</v>
      </c>
      <c r="O39" s="972">
        <v>0</v>
      </c>
      <c r="P39" s="972">
        <v>0</v>
      </c>
      <c r="Q39" s="972">
        <v>0</v>
      </c>
      <c r="R39" s="972"/>
      <c r="S39" s="972">
        <v>0</v>
      </c>
      <c r="T39" s="972">
        <v>0</v>
      </c>
      <c r="U39" s="972">
        <v>0</v>
      </c>
      <c r="V39" s="972">
        <v>0</v>
      </c>
      <c r="W39" s="972">
        <v>0</v>
      </c>
      <c r="X39" s="972">
        <v>0</v>
      </c>
      <c r="Y39" s="972">
        <v>0</v>
      </c>
      <c r="Z39" s="972"/>
      <c r="AA39" s="972">
        <v>0</v>
      </c>
      <c r="AB39" s="972">
        <v>0</v>
      </c>
      <c r="AC39" s="972"/>
      <c r="AD39" s="972"/>
      <c r="AE39" s="972"/>
      <c r="AF39" s="972"/>
      <c r="AG39" s="972">
        <v>0</v>
      </c>
      <c r="AH39" s="972">
        <v>0</v>
      </c>
      <c r="AI39" s="972">
        <v>0</v>
      </c>
      <c r="AJ39" s="972">
        <v>0</v>
      </c>
      <c r="AK39" s="972">
        <v>0</v>
      </c>
      <c r="AL39" s="972">
        <v>0</v>
      </c>
      <c r="AM39" s="972">
        <v>0</v>
      </c>
      <c r="AN39" s="972">
        <v>0</v>
      </c>
      <c r="AO39" s="972"/>
      <c r="AP39" s="972"/>
      <c r="AQ39" s="972"/>
      <c r="AR39" s="972"/>
      <c r="AS39" s="972"/>
      <c r="AT39" s="972">
        <v>54.369270833333331</v>
      </c>
      <c r="AU39" s="972">
        <v>25956.288412017169</v>
      </c>
      <c r="AV39" s="973">
        <v>218702.65768285049</v>
      </c>
      <c r="AW39" s="972">
        <v>0</v>
      </c>
      <c r="AX39" s="972">
        <v>0</v>
      </c>
      <c r="AY39" s="972">
        <v>0</v>
      </c>
      <c r="AZ39" s="972">
        <v>0</v>
      </c>
      <c r="BA39" s="972">
        <v>38171.959390862947</v>
      </c>
      <c r="BB39" s="972">
        <v>0</v>
      </c>
      <c r="BC39" s="972">
        <v>0</v>
      </c>
      <c r="BD39" s="972">
        <v>0</v>
      </c>
      <c r="BE39" s="972">
        <v>0</v>
      </c>
      <c r="BF39" s="972">
        <v>183.45565749235473</v>
      </c>
      <c r="BG39" s="972">
        <v>0</v>
      </c>
      <c r="BH39" s="972">
        <v>0</v>
      </c>
      <c r="BI39" s="972">
        <v>257058.07273120582</v>
      </c>
    </row>
    <row r="40" spans="1:61" s="242" customFormat="1" ht="16.149999999999999" customHeight="1" x14ac:dyDescent="0.2">
      <c r="A40" s="247" t="s">
        <v>102</v>
      </c>
      <c r="B40" s="232" t="s">
        <v>177</v>
      </c>
      <c r="C40" s="972">
        <v>470719</v>
      </c>
      <c r="D40" s="972"/>
      <c r="E40" s="972">
        <v>0</v>
      </c>
      <c r="F40" s="972">
        <v>335.21930745015743</v>
      </c>
      <c r="G40" s="972">
        <v>0</v>
      </c>
      <c r="H40" s="972">
        <v>0</v>
      </c>
      <c r="I40" s="972">
        <v>0</v>
      </c>
      <c r="J40" s="972">
        <v>0</v>
      </c>
      <c r="K40" s="972">
        <v>0</v>
      </c>
      <c r="L40" s="972">
        <v>0</v>
      </c>
      <c r="M40" s="972">
        <v>0</v>
      </c>
      <c r="N40" s="972">
        <v>0</v>
      </c>
      <c r="O40" s="972">
        <v>0</v>
      </c>
      <c r="P40" s="972">
        <v>0</v>
      </c>
      <c r="Q40" s="972">
        <v>0</v>
      </c>
      <c r="R40" s="972"/>
      <c r="S40" s="972">
        <v>0</v>
      </c>
      <c r="T40" s="972">
        <v>0</v>
      </c>
      <c r="U40" s="972">
        <v>0</v>
      </c>
      <c r="V40" s="972">
        <v>0</v>
      </c>
      <c r="W40" s="972">
        <v>0</v>
      </c>
      <c r="X40" s="972">
        <v>0</v>
      </c>
      <c r="Y40" s="972">
        <v>0</v>
      </c>
      <c r="Z40" s="972"/>
      <c r="AA40" s="972">
        <v>0</v>
      </c>
      <c r="AB40" s="972">
        <v>0</v>
      </c>
      <c r="AC40" s="972"/>
      <c r="AD40" s="972"/>
      <c r="AE40" s="972"/>
      <c r="AF40" s="972"/>
      <c r="AG40" s="972">
        <v>0</v>
      </c>
      <c r="AH40" s="972">
        <v>0</v>
      </c>
      <c r="AI40" s="972">
        <v>0</v>
      </c>
      <c r="AJ40" s="972">
        <v>0</v>
      </c>
      <c r="AK40" s="972">
        <v>0</v>
      </c>
      <c r="AL40" s="972">
        <v>0</v>
      </c>
      <c r="AM40" s="972">
        <v>0</v>
      </c>
      <c r="AN40" s="972">
        <v>0</v>
      </c>
      <c r="AO40" s="972"/>
      <c r="AP40" s="972"/>
      <c r="AQ40" s="972"/>
      <c r="AR40" s="972"/>
      <c r="AS40" s="972"/>
      <c r="AT40" s="972">
        <v>2120.4015625000002</v>
      </c>
      <c r="AU40" s="972">
        <v>2295.4540772532191</v>
      </c>
      <c r="AV40" s="973">
        <v>475470.07494720339</v>
      </c>
      <c r="AW40" s="972">
        <v>883.77272727272725</v>
      </c>
      <c r="AX40" s="972">
        <v>0</v>
      </c>
      <c r="AY40" s="972">
        <v>0</v>
      </c>
      <c r="AZ40" s="972">
        <v>0</v>
      </c>
      <c r="BA40" s="972">
        <v>784.35532994923858</v>
      </c>
      <c r="BB40" s="972">
        <v>0</v>
      </c>
      <c r="BC40" s="972">
        <v>0</v>
      </c>
      <c r="BD40" s="972">
        <v>0</v>
      </c>
      <c r="BE40" s="972">
        <v>0</v>
      </c>
      <c r="BF40" s="972">
        <v>0</v>
      </c>
      <c r="BG40" s="972">
        <v>0</v>
      </c>
      <c r="BH40" s="972">
        <v>0</v>
      </c>
      <c r="BI40" s="972">
        <v>477138.20300442533</v>
      </c>
    </row>
    <row r="41" spans="1:61" s="242" customFormat="1" ht="16.149999999999999" customHeight="1" x14ac:dyDescent="0.2">
      <c r="A41" s="249" t="s">
        <v>103</v>
      </c>
      <c r="B41" s="234" t="s">
        <v>178</v>
      </c>
      <c r="C41" s="974">
        <v>833891</v>
      </c>
      <c r="D41" s="974"/>
      <c r="E41" s="974">
        <v>0</v>
      </c>
      <c r="F41" s="974">
        <v>0</v>
      </c>
      <c r="G41" s="974">
        <v>0</v>
      </c>
      <c r="H41" s="974">
        <v>0</v>
      </c>
      <c r="I41" s="974">
        <v>0</v>
      </c>
      <c r="J41" s="974">
        <v>0</v>
      </c>
      <c r="K41" s="974">
        <v>0</v>
      </c>
      <c r="L41" s="974">
        <v>0</v>
      </c>
      <c r="M41" s="974">
        <v>0</v>
      </c>
      <c r="N41" s="974">
        <v>0</v>
      </c>
      <c r="O41" s="974">
        <v>0</v>
      </c>
      <c r="P41" s="974">
        <v>0</v>
      </c>
      <c r="Q41" s="974">
        <v>0</v>
      </c>
      <c r="R41" s="974"/>
      <c r="S41" s="974">
        <v>0</v>
      </c>
      <c r="T41" s="974">
        <v>0</v>
      </c>
      <c r="U41" s="974">
        <v>0</v>
      </c>
      <c r="V41" s="974">
        <v>0</v>
      </c>
      <c r="W41" s="974">
        <v>0</v>
      </c>
      <c r="X41" s="974">
        <v>0</v>
      </c>
      <c r="Y41" s="974">
        <v>0</v>
      </c>
      <c r="Z41" s="974"/>
      <c r="AA41" s="974">
        <v>0</v>
      </c>
      <c r="AB41" s="974">
        <v>0</v>
      </c>
      <c r="AC41" s="974"/>
      <c r="AD41" s="974"/>
      <c r="AE41" s="974"/>
      <c r="AF41" s="974"/>
      <c r="AG41" s="974">
        <v>0</v>
      </c>
      <c r="AH41" s="974">
        <v>0</v>
      </c>
      <c r="AI41" s="974">
        <v>0</v>
      </c>
      <c r="AJ41" s="974">
        <v>0</v>
      </c>
      <c r="AK41" s="974">
        <v>0</v>
      </c>
      <c r="AL41" s="974">
        <v>0</v>
      </c>
      <c r="AM41" s="974">
        <v>0</v>
      </c>
      <c r="AN41" s="974">
        <v>0</v>
      </c>
      <c r="AO41" s="974"/>
      <c r="AP41" s="974"/>
      <c r="AQ41" s="974"/>
      <c r="AR41" s="974"/>
      <c r="AS41" s="974"/>
      <c r="AT41" s="974">
        <v>1087.3854166666665</v>
      </c>
      <c r="AU41" s="974">
        <v>794.58025751072967</v>
      </c>
      <c r="AV41" s="975">
        <v>835772.96567417739</v>
      </c>
      <c r="AW41" s="974">
        <v>0</v>
      </c>
      <c r="AX41" s="974">
        <v>0</v>
      </c>
      <c r="AY41" s="974">
        <v>0</v>
      </c>
      <c r="AZ41" s="974">
        <v>0</v>
      </c>
      <c r="BA41" s="974">
        <v>0</v>
      </c>
      <c r="BB41" s="974">
        <v>0</v>
      </c>
      <c r="BC41" s="974">
        <v>0</v>
      </c>
      <c r="BD41" s="974">
        <v>0</v>
      </c>
      <c r="BE41" s="974">
        <v>0</v>
      </c>
      <c r="BF41" s="974">
        <v>3852.5688073394499</v>
      </c>
      <c r="BG41" s="974">
        <v>0</v>
      </c>
      <c r="BH41" s="976">
        <v>0</v>
      </c>
      <c r="BI41" s="974">
        <v>839625.53448151681</v>
      </c>
    </row>
    <row r="42" spans="1:61" s="242" customFormat="1" ht="16.149999999999999" customHeight="1" x14ac:dyDescent="0.2">
      <c r="A42" s="245" t="s">
        <v>104</v>
      </c>
      <c r="B42" s="236" t="s">
        <v>179</v>
      </c>
      <c r="C42" s="968">
        <v>6415353</v>
      </c>
      <c r="D42" s="968"/>
      <c r="E42" s="968">
        <v>0</v>
      </c>
      <c r="F42" s="968">
        <v>0</v>
      </c>
      <c r="G42" s="968">
        <v>59246.061068702293</v>
      </c>
      <c r="H42" s="968">
        <v>32594.054580896685</v>
      </c>
      <c r="I42" s="968">
        <v>116041.8625877633</v>
      </c>
      <c r="J42" s="968">
        <v>0</v>
      </c>
      <c r="K42" s="968">
        <v>0</v>
      </c>
      <c r="L42" s="968">
        <v>0</v>
      </c>
      <c r="M42" s="968">
        <v>0</v>
      </c>
      <c r="N42" s="968">
        <v>3082.0714285714284</v>
      </c>
      <c r="O42" s="968">
        <v>0</v>
      </c>
      <c r="P42" s="968">
        <v>0</v>
      </c>
      <c r="Q42" s="968">
        <v>0</v>
      </c>
      <c r="R42" s="968"/>
      <c r="S42" s="968">
        <v>0</v>
      </c>
      <c r="T42" s="968">
        <v>190.92337917485264</v>
      </c>
      <c r="U42" s="968">
        <v>0</v>
      </c>
      <c r="V42" s="968">
        <v>0</v>
      </c>
      <c r="W42" s="968">
        <v>0</v>
      </c>
      <c r="X42" s="968">
        <v>0</v>
      </c>
      <c r="Y42" s="968">
        <v>0</v>
      </c>
      <c r="Z42" s="968"/>
      <c r="AA42" s="968">
        <v>0</v>
      </c>
      <c r="AB42" s="969">
        <v>0</v>
      </c>
      <c r="AC42" s="969"/>
      <c r="AD42" s="969"/>
      <c r="AE42" s="969"/>
      <c r="AF42" s="969"/>
      <c r="AG42" s="969">
        <v>14198.578947368422</v>
      </c>
      <c r="AH42" s="969">
        <v>0</v>
      </c>
      <c r="AI42" s="969">
        <v>0</v>
      </c>
      <c r="AJ42" s="969">
        <v>0</v>
      </c>
      <c r="AK42" s="969">
        <v>29487.472826086956</v>
      </c>
      <c r="AL42" s="969">
        <v>11684.150246305418</v>
      </c>
      <c r="AM42" s="969">
        <v>0</v>
      </c>
      <c r="AN42" s="969">
        <v>0</v>
      </c>
      <c r="AO42" s="969"/>
      <c r="AP42" s="969"/>
      <c r="AQ42" s="969"/>
      <c r="AR42" s="969"/>
      <c r="AS42" s="969"/>
      <c r="AT42" s="968">
        <v>4077.6953125</v>
      </c>
      <c r="AU42" s="968">
        <v>6003.4952789699564</v>
      </c>
      <c r="AV42" s="970">
        <v>6691959.3656563396</v>
      </c>
      <c r="AW42" s="968">
        <v>0</v>
      </c>
      <c r="AX42" s="968">
        <v>0</v>
      </c>
      <c r="AY42" s="968">
        <v>120571.81093394077</v>
      </c>
      <c r="AZ42" s="968">
        <v>0</v>
      </c>
      <c r="BA42" s="968">
        <v>0</v>
      </c>
      <c r="BB42" s="968">
        <v>35887.397260273974</v>
      </c>
      <c r="BC42" s="968">
        <v>0</v>
      </c>
      <c r="BD42" s="968">
        <v>0</v>
      </c>
      <c r="BE42" s="968">
        <v>0</v>
      </c>
      <c r="BF42" s="968">
        <v>183.45565749235473</v>
      </c>
      <c r="BG42" s="968">
        <v>50565.50622406639</v>
      </c>
      <c r="BH42" s="971">
        <v>0</v>
      </c>
      <c r="BI42" s="968">
        <v>6899167.5357321128</v>
      </c>
    </row>
    <row r="43" spans="1:61" s="242" customFormat="1" ht="16.149999999999999" customHeight="1" x14ac:dyDescent="0.2">
      <c r="A43" s="247" t="s">
        <v>105</v>
      </c>
      <c r="B43" s="232" t="s">
        <v>180</v>
      </c>
      <c r="C43" s="972">
        <v>2816473</v>
      </c>
      <c r="D43" s="972"/>
      <c r="E43" s="972">
        <v>0</v>
      </c>
      <c r="F43" s="972">
        <v>670.43861490031486</v>
      </c>
      <c r="G43" s="972">
        <v>0</v>
      </c>
      <c r="H43" s="972">
        <v>0</v>
      </c>
      <c r="I43" s="972">
        <v>0</v>
      </c>
      <c r="J43" s="972">
        <v>0</v>
      </c>
      <c r="K43" s="972">
        <v>0</v>
      </c>
      <c r="L43" s="972">
        <v>0</v>
      </c>
      <c r="M43" s="972">
        <v>0</v>
      </c>
      <c r="N43" s="972">
        <v>162.21428571428572</v>
      </c>
      <c r="O43" s="972">
        <v>0</v>
      </c>
      <c r="P43" s="972">
        <v>242.81465517241378</v>
      </c>
      <c r="Q43" s="972">
        <v>149.98172323759792</v>
      </c>
      <c r="R43" s="972"/>
      <c r="S43" s="972">
        <v>0</v>
      </c>
      <c r="T43" s="972">
        <v>0</v>
      </c>
      <c r="U43" s="972">
        <v>0</v>
      </c>
      <c r="V43" s="972">
        <v>0</v>
      </c>
      <c r="W43" s="972">
        <v>0</v>
      </c>
      <c r="X43" s="972">
        <v>0</v>
      </c>
      <c r="Y43" s="972">
        <v>0</v>
      </c>
      <c r="Z43" s="972"/>
      <c r="AA43" s="972">
        <v>0</v>
      </c>
      <c r="AB43" s="972">
        <v>1731.2097902097903</v>
      </c>
      <c r="AC43" s="972"/>
      <c r="AD43" s="972"/>
      <c r="AE43" s="972"/>
      <c r="AF43" s="972"/>
      <c r="AG43" s="972">
        <v>0</v>
      </c>
      <c r="AH43" s="972">
        <v>0</v>
      </c>
      <c r="AI43" s="972">
        <v>0</v>
      </c>
      <c r="AJ43" s="972">
        <v>0</v>
      </c>
      <c r="AK43" s="972">
        <v>0</v>
      </c>
      <c r="AL43" s="972">
        <v>0</v>
      </c>
      <c r="AM43" s="972">
        <v>0</v>
      </c>
      <c r="AN43" s="972">
        <v>0</v>
      </c>
      <c r="AO43" s="972"/>
      <c r="AP43" s="972"/>
      <c r="AQ43" s="972"/>
      <c r="AR43" s="972"/>
      <c r="AS43" s="972"/>
      <c r="AT43" s="972">
        <v>2990.309895833333</v>
      </c>
      <c r="AU43" s="972">
        <v>6974.6489270386273</v>
      </c>
      <c r="AV43" s="973">
        <v>2829394.6178921065</v>
      </c>
      <c r="AW43" s="972">
        <v>7462.9696969696979</v>
      </c>
      <c r="AX43" s="972">
        <v>0</v>
      </c>
      <c r="AY43" s="972">
        <v>0</v>
      </c>
      <c r="AZ43" s="972">
        <v>0</v>
      </c>
      <c r="BA43" s="972">
        <v>261.45177664974619</v>
      </c>
      <c r="BB43" s="972">
        <v>0</v>
      </c>
      <c r="BC43" s="972">
        <v>0</v>
      </c>
      <c r="BD43" s="972">
        <v>0</v>
      </c>
      <c r="BE43" s="972">
        <v>0</v>
      </c>
      <c r="BF43" s="972">
        <v>1467.6452599388379</v>
      </c>
      <c r="BG43" s="972">
        <v>0</v>
      </c>
      <c r="BH43" s="972">
        <v>0</v>
      </c>
      <c r="BI43" s="972">
        <v>2838586.6846256647</v>
      </c>
    </row>
    <row r="44" spans="1:61" s="242" customFormat="1" ht="16.149999999999999" customHeight="1" x14ac:dyDescent="0.2">
      <c r="A44" s="247" t="s">
        <v>106</v>
      </c>
      <c r="B44" s="232" t="s">
        <v>181</v>
      </c>
      <c r="C44" s="972">
        <v>636629</v>
      </c>
      <c r="D44" s="972"/>
      <c r="E44" s="972">
        <v>0</v>
      </c>
      <c r="F44" s="972">
        <v>0</v>
      </c>
      <c r="G44" s="972">
        <v>0</v>
      </c>
      <c r="H44" s="972">
        <v>1694.8908382066277</v>
      </c>
      <c r="I44" s="972">
        <v>481.50150451354057</v>
      </c>
      <c r="J44" s="972">
        <v>0</v>
      </c>
      <c r="K44" s="972">
        <v>0</v>
      </c>
      <c r="L44" s="972">
        <v>0</v>
      </c>
      <c r="M44" s="972">
        <v>0</v>
      </c>
      <c r="N44" s="972">
        <v>162.21428571428572</v>
      </c>
      <c r="O44" s="972">
        <v>0</v>
      </c>
      <c r="P44" s="972">
        <v>0</v>
      </c>
      <c r="Q44" s="972">
        <v>0</v>
      </c>
      <c r="R44" s="972"/>
      <c r="S44" s="972">
        <v>0</v>
      </c>
      <c r="T44" s="972">
        <v>0</v>
      </c>
      <c r="U44" s="972">
        <v>0</v>
      </c>
      <c r="V44" s="972">
        <v>0</v>
      </c>
      <c r="W44" s="972">
        <v>0</v>
      </c>
      <c r="X44" s="972">
        <v>0</v>
      </c>
      <c r="Y44" s="972">
        <v>0</v>
      </c>
      <c r="Z44" s="972"/>
      <c r="AA44" s="972">
        <v>0</v>
      </c>
      <c r="AB44" s="972">
        <v>0</v>
      </c>
      <c r="AC44" s="972"/>
      <c r="AD44" s="972"/>
      <c r="AE44" s="972"/>
      <c r="AF44" s="972"/>
      <c r="AG44" s="972">
        <v>0</v>
      </c>
      <c r="AH44" s="972">
        <v>0</v>
      </c>
      <c r="AI44" s="972">
        <v>0</v>
      </c>
      <c r="AJ44" s="972">
        <v>0</v>
      </c>
      <c r="AK44" s="972">
        <v>357.42391304347825</v>
      </c>
      <c r="AL44" s="972">
        <v>798.91625615763542</v>
      </c>
      <c r="AM44" s="972">
        <v>0</v>
      </c>
      <c r="AN44" s="972">
        <v>0</v>
      </c>
      <c r="AO44" s="972"/>
      <c r="AP44" s="972"/>
      <c r="AQ44" s="972"/>
      <c r="AR44" s="972"/>
      <c r="AS44" s="972"/>
      <c r="AT44" s="972">
        <v>598.06197916666667</v>
      </c>
      <c r="AU44" s="972">
        <v>1324.3004291845493</v>
      </c>
      <c r="AV44" s="973">
        <v>642046.30920598691</v>
      </c>
      <c r="AW44" s="972">
        <v>0</v>
      </c>
      <c r="AX44" s="972">
        <v>0</v>
      </c>
      <c r="AY44" s="972">
        <v>1640.4328018223234</v>
      </c>
      <c r="AZ44" s="972">
        <v>0</v>
      </c>
      <c r="BA44" s="972">
        <v>0</v>
      </c>
      <c r="BB44" s="972">
        <v>86664.246575342462</v>
      </c>
      <c r="BC44" s="972">
        <v>0</v>
      </c>
      <c r="BD44" s="972">
        <v>0</v>
      </c>
      <c r="BE44" s="972">
        <v>0</v>
      </c>
      <c r="BF44" s="972">
        <v>183.45565749235473</v>
      </c>
      <c r="BG44" s="972">
        <v>1845.4564315352695</v>
      </c>
      <c r="BH44" s="972">
        <v>0</v>
      </c>
      <c r="BI44" s="972">
        <v>732379.90067217941</v>
      </c>
    </row>
    <row r="45" spans="1:61" s="242" customFormat="1" ht="16.149999999999999" customHeight="1" x14ac:dyDescent="0.2">
      <c r="A45" s="247" t="s">
        <v>107</v>
      </c>
      <c r="B45" s="232" t="s">
        <v>182</v>
      </c>
      <c r="C45" s="972">
        <v>277713</v>
      </c>
      <c r="D45" s="972"/>
      <c r="E45" s="972">
        <v>0</v>
      </c>
      <c r="F45" s="972">
        <v>0</v>
      </c>
      <c r="G45" s="972">
        <v>0</v>
      </c>
      <c r="H45" s="972">
        <v>0</v>
      </c>
      <c r="I45" s="972">
        <v>0</v>
      </c>
      <c r="J45" s="972">
        <v>0</v>
      </c>
      <c r="K45" s="972">
        <v>0</v>
      </c>
      <c r="L45" s="972">
        <v>0</v>
      </c>
      <c r="M45" s="972">
        <v>1280.9826732673268</v>
      </c>
      <c r="N45" s="972">
        <v>0</v>
      </c>
      <c r="O45" s="972">
        <v>0</v>
      </c>
      <c r="P45" s="972">
        <v>0</v>
      </c>
      <c r="Q45" s="972">
        <v>0</v>
      </c>
      <c r="R45" s="972"/>
      <c r="S45" s="972">
        <v>473.02095238095239</v>
      </c>
      <c r="T45" s="972">
        <v>0</v>
      </c>
      <c r="U45" s="972">
        <v>0</v>
      </c>
      <c r="V45" s="972">
        <v>0</v>
      </c>
      <c r="W45" s="972">
        <v>0</v>
      </c>
      <c r="X45" s="972">
        <v>0</v>
      </c>
      <c r="Y45" s="972">
        <v>0</v>
      </c>
      <c r="Z45" s="972"/>
      <c r="AA45" s="972">
        <v>0</v>
      </c>
      <c r="AB45" s="972">
        <v>0</v>
      </c>
      <c r="AC45" s="972"/>
      <c r="AD45" s="972"/>
      <c r="AE45" s="972"/>
      <c r="AF45" s="972"/>
      <c r="AG45" s="972">
        <v>0</v>
      </c>
      <c r="AH45" s="972">
        <v>0</v>
      </c>
      <c r="AI45" s="972">
        <v>0</v>
      </c>
      <c r="AJ45" s="972">
        <v>0</v>
      </c>
      <c r="AK45" s="972">
        <v>0</v>
      </c>
      <c r="AL45" s="972">
        <v>0</v>
      </c>
      <c r="AM45" s="972">
        <v>0</v>
      </c>
      <c r="AN45" s="972">
        <v>0</v>
      </c>
      <c r="AO45" s="972"/>
      <c r="AP45" s="972"/>
      <c r="AQ45" s="972"/>
      <c r="AR45" s="972"/>
      <c r="AS45" s="972"/>
      <c r="AT45" s="972">
        <v>543.69270833333326</v>
      </c>
      <c r="AU45" s="972">
        <v>1942.3072961373391</v>
      </c>
      <c r="AV45" s="973">
        <v>281953.00363011891</v>
      </c>
      <c r="AW45" s="972">
        <v>0</v>
      </c>
      <c r="AX45" s="972">
        <v>0</v>
      </c>
      <c r="AY45" s="972">
        <v>0</v>
      </c>
      <c r="AZ45" s="972">
        <v>0</v>
      </c>
      <c r="BA45" s="972">
        <v>0</v>
      </c>
      <c r="BB45" s="972">
        <v>0</v>
      </c>
      <c r="BC45" s="972">
        <v>0</v>
      </c>
      <c r="BD45" s="972">
        <v>0</v>
      </c>
      <c r="BE45" s="972">
        <v>0</v>
      </c>
      <c r="BF45" s="972">
        <v>1284.1896024464831</v>
      </c>
      <c r="BG45" s="972">
        <v>0</v>
      </c>
      <c r="BH45" s="972">
        <v>1761.6000000000001</v>
      </c>
      <c r="BI45" s="972">
        <v>284998.7932325654</v>
      </c>
    </row>
    <row r="46" spans="1:61" s="242" customFormat="1" ht="16.149999999999999" customHeight="1" x14ac:dyDescent="0.2">
      <c r="A46" s="249" t="s">
        <v>108</v>
      </c>
      <c r="B46" s="234" t="s">
        <v>183</v>
      </c>
      <c r="C46" s="974">
        <v>3241212</v>
      </c>
      <c r="D46" s="974"/>
      <c r="E46" s="974">
        <v>0</v>
      </c>
      <c r="F46" s="974">
        <v>0</v>
      </c>
      <c r="G46" s="974">
        <v>0</v>
      </c>
      <c r="H46" s="974">
        <v>0</v>
      </c>
      <c r="I46" s="974">
        <v>0</v>
      </c>
      <c r="J46" s="974">
        <v>0</v>
      </c>
      <c r="K46" s="974">
        <v>0</v>
      </c>
      <c r="L46" s="974">
        <v>0</v>
      </c>
      <c r="M46" s="974">
        <v>0</v>
      </c>
      <c r="N46" s="974">
        <v>0</v>
      </c>
      <c r="O46" s="974">
        <v>0</v>
      </c>
      <c r="P46" s="974">
        <v>0</v>
      </c>
      <c r="Q46" s="974">
        <v>0</v>
      </c>
      <c r="R46" s="974"/>
      <c r="S46" s="974">
        <v>0</v>
      </c>
      <c r="T46" s="974">
        <v>0</v>
      </c>
      <c r="U46" s="974">
        <v>0</v>
      </c>
      <c r="V46" s="974">
        <v>0</v>
      </c>
      <c r="W46" s="974">
        <v>0</v>
      </c>
      <c r="X46" s="974">
        <v>0</v>
      </c>
      <c r="Y46" s="974">
        <v>0</v>
      </c>
      <c r="Z46" s="974"/>
      <c r="AA46" s="974">
        <v>0</v>
      </c>
      <c r="AB46" s="974">
        <v>0</v>
      </c>
      <c r="AC46" s="974"/>
      <c r="AD46" s="974"/>
      <c r="AE46" s="974"/>
      <c r="AF46" s="974"/>
      <c r="AG46" s="974">
        <v>0</v>
      </c>
      <c r="AH46" s="974">
        <v>0</v>
      </c>
      <c r="AI46" s="974">
        <v>0</v>
      </c>
      <c r="AJ46" s="974">
        <v>0</v>
      </c>
      <c r="AK46" s="974">
        <v>0</v>
      </c>
      <c r="AL46" s="974">
        <v>0</v>
      </c>
      <c r="AM46" s="974">
        <v>0</v>
      </c>
      <c r="AN46" s="974">
        <v>200.00735294117646</v>
      </c>
      <c r="AO46" s="974"/>
      <c r="AP46" s="974"/>
      <c r="AQ46" s="974"/>
      <c r="AR46" s="974"/>
      <c r="AS46" s="974"/>
      <c r="AT46" s="974">
        <v>2664.0942708333332</v>
      </c>
      <c r="AU46" s="974">
        <v>6709.7888412017164</v>
      </c>
      <c r="AV46" s="975">
        <v>3250785.8904649764</v>
      </c>
      <c r="AW46" s="974">
        <v>0</v>
      </c>
      <c r="AX46" s="974">
        <v>0</v>
      </c>
      <c r="AY46" s="974">
        <v>0</v>
      </c>
      <c r="AZ46" s="974">
        <v>0</v>
      </c>
      <c r="BA46" s="974">
        <v>0</v>
      </c>
      <c r="BB46" s="974">
        <v>0</v>
      </c>
      <c r="BC46" s="974">
        <v>0</v>
      </c>
      <c r="BD46" s="974">
        <v>0</v>
      </c>
      <c r="BE46" s="974">
        <v>0</v>
      </c>
      <c r="BF46" s="974">
        <v>3669.1131498470945</v>
      </c>
      <c r="BG46" s="974">
        <v>0</v>
      </c>
      <c r="BH46" s="976">
        <v>0</v>
      </c>
      <c r="BI46" s="974">
        <v>3254455.0036148233</v>
      </c>
    </row>
    <row r="47" spans="1:61" s="242" customFormat="1" ht="16.149999999999999" customHeight="1" x14ac:dyDescent="0.2">
      <c r="A47" s="245" t="s">
        <v>184</v>
      </c>
      <c r="B47" s="236" t="s">
        <v>185</v>
      </c>
      <c r="C47" s="968">
        <v>231797</v>
      </c>
      <c r="D47" s="968"/>
      <c r="E47" s="968">
        <v>0</v>
      </c>
      <c r="F47" s="968">
        <v>0</v>
      </c>
      <c r="G47" s="968">
        <v>0</v>
      </c>
      <c r="H47" s="968">
        <v>0</v>
      </c>
      <c r="I47" s="968">
        <v>0</v>
      </c>
      <c r="J47" s="968">
        <v>0</v>
      </c>
      <c r="K47" s="968">
        <v>0</v>
      </c>
      <c r="L47" s="968">
        <v>0</v>
      </c>
      <c r="M47" s="968">
        <v>0</v>
      </c>
      <c r="N47" s="968">
        <v>0</v>
      </c>
      <c r="O47" s="968">
        <v>0</v>
      </c>
      <c r="P47" s="968">
        <v>0</v>
      </c>
      <c r="Q47" s="968">
        <v>0</v>
      </c>
      <c r="R47" s="968"/>
      <c r="S47" s="968">
        <v>0</v>
      </c>
      <c r="T47" s="968">
        <v>0</v>
      </c>
      <c r="U47" s="968">
        <v>0</v>
      </c>
      <c r="V47" s="968">
        <v>0</v>
      </c>
      <c r="W47" s="968">
        <v>0</v>
      </c>
      <c r="X47" s="968">
        <v>0</v>
      </c>
      <c r="Y47" s="968">
        <v>0</v>
      </c>
      <c r="Z47" s="968"/>
      <c r="AA47" s="968">
        <v>0</v>
      </c>
      <c r="AB47" s="969">
        <v>0</v>
      </c>
      <c r="AC47" s="969"/>
      <c r="AD47" s="969"/>
      <c r="AE47" s="969"/>
      <c r="AF47" s="969"/>
      <c r="AG47" s="969">
        <v>0</v>
      </c>
      <c r="AH47" s="969">
        <v>0</v>
      </c>
      <c r="AI47" s="969">
        <v>0</v>
      </c>
      <c r="AJ47" s="969">
        <v>0</v>
      </c>
      <c r="AK47" s="969">
        <v>0</v>
      </c>
      <c r="AL47" s="969">
        <v>0</v>
      </c>
      <c r="AM47" s="969">
        <v>0</v>
      </c>
      <c r="AN47" s="969">
        <v>0</v>
      </c>
      <c r="AO47" s="969"/>
      <c r="AP47" s="969"/>
      <c r="AQ47" s="969"/>
      <c r="AR47" s="969"/>
      <c r="AS47" s="969"/>
      <c r="AT47" s="968">
        <v>163.10781250000002</v>
      </c>
      <c r="AU47" s="968">
        <v>264.86008583690983</v>
      </c>
      <c r="AV47" s="970">
        <v>232224.96789833691</v>
      </c>
      <c r="AW47" s="968">
        <v>0</v>
      </c>
      <c r="AX47" s="968">
        <v>0</v>
      </c>
      <c r="AY47" s="968">
        <v>0</v>
      </c>
      <c r="AZ47" s="968">
        <v>0</v>
      </c>
      <c r="BA47" s="968">
        <v>0</v>
      </c>
      <c r="BB47" s="968">
        <v>0</v>
      </c>
      <c r="BC47" s="968">
        <v>0</v>
      </c>
      <c r="BD47" s="968">
        <v>0</v>
      </c>
      <c r="BE47" s="968">
        <v>0</v>
      </c>
      <c r="BF47" s="968">
        <v>0</v>
      </c>
      <c r="BG47" s="968">
        <v>0</v>
      </c>
      <c r="BH47" s="971">
        <v>0</v>
      </c>
      <c r="BI47" s="968">
        <v>232224.96789833691</v>
      </c>
    </row>
    <row r="48" spans="1:61" s="242" customFormat="1" ht="16.149999999999999" customHeight="1" x14ac:dyDescent="0.2">
      <c r="A48" s="247" t="s">
        <v>109</v>
      </c>
      <c r="B48" s="232" t="s">
        <v>186</v>
      </c>
      <c r="C48" s="972">
        <v>382496</v>
      </c>
      <c r="D48" s="972"/>
      <c r="E48" s="972">
        <v>0</v>
      </c>
      <c r="F48" s="972">
        <v>0</v>
      </c>
      <c r="G48" s="972">
        <v>0</v>
      </c>
      <c r="H48" s="972">
        <v>0</v>
      </c>
      <c r="I48" s="972">
        <v>0</v>
      </c>
      <c r="J48" s="972">
        <v>0</v>
      </c>
      <c r="K48" s="972">
        <v>0</v>
      </c>
      <c r="L48" s="972">
        <v>0</v>
      </c>
      <c r="M48" s="972">
        <v>0</v>
      </c>
      <c r="N48" s="972">
        <v>0</v>
      </c>
      <c r="O48" s="972">
        <v>0</v>
      </c>
      <c r="P48" s="972">
        <v>0</v>
      </c>
      <c r="Q48" s="972">
        <v>0</v>
      </c>
      <c r="R48" s="972"/>
      <c r="S48" s="972">
        <v>0</v>
      </c>
      <c r="T48" s="972">
        <v>0</v>
      </c>
      <c r="U48" s="972">
        <v>0</v>
      </c>
      <c r="V48" s="972">
        <v>0</v>
      </c>
      <c r="W48" s="972">
        <v>0</v>
      </c>
      <c r="X48" s="972">
        <v>0</v>
      </c>
      <c r="Y48" s="972">
        <v>0</v>
      </c>
      <c r="Z48" s="972"/>
      <c r="AA48" s="972">
        <v>0</v>
      </c>
      <c r="AB48" s="972">
        <v>0</v>
      </c>
      <c r="AC48" s="972"/>
      <c r="AD48" s="972"/>
      <c r="AE48" s="972"/>
      <c r="AF48" s="972"/>
      <c r="AG48" s="972">
        <v>0</v>
      </c>
      <c r="AH48" s="972">
        <v>0</v>
      </c>
      <c r="AI48" s="972">
        <v>0</v>
      </c>
      <c r="AJ48" s="972">
        <v>0</v>
      </c>
      <c r="AK48" s="972">
        <v>0</v>
      </c>
      <c r="AL48" s="972">
        <v>0</v>
      </c>
      <c r="AM48" s="972">
        <v>0</v>
      </c>
      <c r="AN48" s="972">
        <v>0</v>
      </c>
      <c r="AO48" s="972"/>
      <c r="AP48" s="972"/>
      <c r="AQ48" s="972"/>
      <c r="AR48" s="972"/>
      <c r="AS48" s="972"/>
      <c r="AT48" s="972">
        <v>380.58489583333335</v>
      </c>
      <c r="AU48" s="972">
        <v>1412.5871244635193</v>
      </c>
      <c r="AV48" s="973">
        <v>384289.17202029686</v>
      </c>
      <c r="AW48" s="972">
        <v>98.196969696969703</v>
      </c>
      <c r="AX48" s="972">
        <v>0</v>
      </c>
      <c r="AY48" s="972">
        <v>0</v>
      </c>
      <c r="AZ48" s="972">
        <v>0</v>
      </c>
      <c r="BA48" s="972">
        <v>47322.771573604063</v>
      </c>
      <c r="BB48" s="972">
        <v>0</v>
      </c>
      <c r="BC48" s="972">
        <v>0</v>
      </c>
      <c r="BD48" s="972">
        <v>0</v>
      </c>
      <c r="BE48" s="972">
        <v>0</v>
      </c>
      <c r="BF48" s="972">
        <v>733.82262996941893</v>
      </c>
      <c r="BG48" s="972">
        <v>0</v>
      </c>
      <c r="BH48" s="972">
        <v>0</v>
      </c>
      <c r="BI48" s="972">
        <v>432443.9631935673</v>
      </c>
    </row>
    <row r="49" spans="1:61" s="242" customFormat="1" ht="16.149999999999999" customHeight="1" x14ac:dyDescent="0.2">
      <c r="A49" s="247" t="s">
        <v>187</v>
      </c>
      <c r="B49" s="232" t="s">
        <v>188</v>
      </c>
      <c r="C49" s="972">
        <v>603729</v>
      </c>
      <c r="D49" s="972"/>
      <c r="E49" s="972">
        <v>0</v>
      </c>
      <c r="F49" s="972">
        <v>0</v>
      </c>
      <c r="G49" s="972">
        <v>0</v>
      </c>
      <c r="H49" s="972">
        <v>0</v>
      </c>
      <c r="I49" s="972">
        <v>0</v>
      </c>
      <c r="J49" s="972">
        <v>0</v>
      </c>
      <c r="K49" s="972">
        <v>0</v>
      </c>
      <c r="L49" s="972">
        <v>0</v>
      </c>
      <c r="M49" s="972">
        <v>0</v>
      </c>
      <c r="N49" s="972">
        <v>0</v>
      </c>
      <c r="O49" s="972">
        <v>0</v>
      </c>
      <c r="P49" s="972">
        <v>121.40732758620689</v>
      </c>
      <c r="Q49" s="972">
        <v>0</v>
      </c>
      <c r="R49" s="972"/>
      <c r="S49" s="972">
        <v>0</v>
      </c>
      <c r="T49" s="972">
        <v>0</v>
      </c>
      <c r="U49" s="972">
        <v>0</v>
      </c>
      <c r="V49" s="972">
        <v>0</v>
      </c>
      <c r="W49" s="972">
        <v>0</v>
      </c>
      <c r="X49" s="972">
        <v>0</v>
      </c>
      <c r="Y49" s="972">
        <v>0</v>
      </c>
      <c r="Z49" s="972"/>
      <c r="AA49" s="972">
        <v>0</v>
      </c>
      <c r="AB49" s="972">
        <v>0</v>
      </c>
      <c r="AC49" s="972"/>
      <c r="AD49" s="972"/>
      <c r="AE49" s="972"/>
      <c r="AF49" s="972"/>
      <c r="AG49" s="972">
        <v>0</v>
      </c>
      <c r="AH49" s="972">
        <v>0</v>
      </c>
      <c r="AI49" s="972">
        <v>0</v>
      </c>
      <c r="AJ49" s="972">
        <v>0</v>
      </c>
      <c r="AK49" s="972">
        <v>0</v>
      </c>
      <c r="AL49" s="972">
        <v>0</v>
      </c>
      <c r="AM49" s="972">
        <v>0</v>
      </c>
      <c r="AN49" s="972">
        <v>0</v>
      </c>
      <c r="AO49" s="972"/>
      <c r="AP49" s="972"/>
      <c r="AQ49" s="972"/>
      <c r="AR49" s="972"/>
      <c r="AS49" s="972"/>
      <c r="AT49" s="972">
        <v>108.73854166666666</v>
      </c>
      <c r="AU49" s="972">
        <v>882.86695278969955</v>
      </c>
      <c r="AV49" s="973">
        <v>604842.01282204257</v>
      </c>
      <c r="AW49" s="972">
        <v>0</v>
      </c>
      <c r="AX49" s="972">
        <v>0</v>
      </c>
      <c r="AY49" s="972">
        <v>0</v>
      </c>
      <c r="AZ49" s="972">
        <v>0</v>
      </c>
      <c r="BA49" s="972">
        <v>0</v>
      </c>
      <c r="BB49" s="972">
        <v>0</v>
      </c>
      <c r="BC49" s="972">
        <v>0</v>
      </c>
      <c r="BD49" s="972">
        <v>0</v>
      </c>
      <c r="BE49" s="972">
        <v>0</v>
      </c>
      <c r="BF49" s="972">
        <v>1834.5565749235473</v>
      </c>
      <c r="BG49" s="972">
        <v>0</v>
      </c>
      <c r="BH49" s="972">
        <v>0</v>
      </c>
      <c r="BI49" s="972">
        <v>606676.56939696614</v>
      </c>
    </row>
    <row r="50" spans="1:61" s="242" customFormat="1" ht="16.149999999999999" customHeight="1" x14ac:dyDescent="0.2">
      <c r="A50" s="247" t="s">
        <v>110</v>
      </c>
      <c r="B50" s="232" t="s">
        <v>189</v>
      </c>
      <c r="C50" s="972">
        <v>972448</v>
      </c>
      <c r="D50" s="972"/>
      <c r="E50" s="972">
        <v>0</v>
      </c>
      <c r="F50" s="972">
        <v>0</v>
      </c>
      <c r="G50" s="972">
        <v>866.17048346055969</v>
      </c>
      <c r="H50" s="972">
        <v>521.50487329434691</v>
      </c>
      <c r="I50" s="972">
        <v>963.00300902708113</v>
      </c>
      <c r="J50" s="972">
        <v>0</v>
      </c>
      <c r="K50" s="972">
        <v>0</v>
      </c>
      <c r="L50" s="972">
        <v>0</v>
      </c>
      <c r="M50" s="972">
        <v>0</v>
      </c>
      <c r="N50" s="972">
        <v>0</v>
      </c>
      <c r="O50" s="972">
        <v>0</v>
      </c>
      <c r="P50" s="972">
        <v>0</v>
      </c>
      <c r="Q50" s="972">
        <v>0</v>
      </c>
      <c r="R50" s="972"/>
      <c r="S50" s="972">
        <v>0</v>
      </c>
      <c r="T50" s="972">
        <v>0</v>
      </c>
      <c r="U50" s="972">
        <v>0</v>
      </c>
      <c r="V50" s="972">
        <v>0</v>
      </c>
      <c r="W50" s="972">
        <v>179.23446327683615</v>
      </c>
      <c r="X50" s="972">
        <v>0</v>
      </c>
      <c r="Y50" s="972">
        <v>0</v>
      </c>
      <c r="Z50" s="972"/>
      <c r="AA50" s="972">
        <v>0</v>
      </c>
      <c r="AB50" s="972">
        <v>0</v>
      </c>
      <c r="AC50" s="972"/>
      <c r="AD50" s="972"/>
      <c r="AE50" s="972"/>
      <c r="AF50" s="972"/>
      <c r="AG50" s="972">
        <v>139.2017543859649</v>
      </c>
      <c r="AH50" s="972">
        <v>0</v>
      </c>
      <c r="AI50" s="972">
        <v>0</v>
      </c>
      <c r="AJ50" s="972">
        <v>0</v>
      </c>
      <c r="AK50" s="972">
        <v>0</v>
      </c>
      <c r="AL50" s="972">
        <v>499.32266009852219</v>
      </c>
      <c r="AM50" s="972">
        <v>0</v>
      </c>
      <c r="AN50" s="972">
        <v>0</v>
      </c>
      <c r="AO50" s="972"/>
      <c r="AP50" s="972"/>
      <c r="AQ50" s="972"/>
      <c r="AR50" s="972"/>
      <c r="AS50" s="972"/>
      <c r="AT50" s="972">
        <v>1087.3854166666665</v>
      </c>
      <c r="AU50" s="972">
        <v>529.72017167381966</v>
      </c>
      <c r="AV50" s="973">
        <v>977233.54283188377</v>
      </c>
      <c r="AW50" s="972">
        <v>0</v>
      </c>
      <c r="AX50" s="972">
        <v>0</v>
      </c>
      <c r="AY50" s="972">
        <v>2460.6492027334853</v>
      </c>
      <c r="AZ50" s="972">
        <v>0</v>
      </c>
      <c r="BA50" s="972">
        <v>0</v>
      </c>
      <c r="BB50" s="972">
        <v>0</v>
      </c>
      <c r="BC50" s="972">
        <v>0</v>
      </c>
      <c r="BD50" s="972">
        <v>0</v>
      </c>
      <c r="BE50" s="972">
        <v>0</v>
      </c>
      <c r="BF50" s="972">
        <v>550.36697247706422</v>
      </c>
      <c r="BG50" s="972">
        <v>4060.004149377593</v>
      </c>
      <c r="BH50" s="972">
        <v>440.40000000000003</v>
      </c>
      <c r="BI50" s="972">
        <v>984744.96315647196</v>
      </c>
    </row>
    <row r="51" spans="1:61" s="242" customFormat="1" ht="16.149999999999999" customHeight="1" x14ac:dyDescent="0.2">
      <c r="A51" s="249" t="s">
        <v>111</v>
      </c>
      <c r="B51" s="234" t="s">
        <v>190</v>
      </c>
      <c r="C51" s="974">
        <v>1722895</v>
      </c>
      <c r="D51" s="974"/>
      <c r="E51" s="974">
        <v>0</v>
      </c>
      <c r="F51" s="974">
        <v>0</v>
      </c>
      <c r="G51" s="974">
        <v>0</v>
      </c>
      <c r="H51" s="974">
        <v>260.75243664717345</v>
      </c>
      <c r="I51" s="974">
        <v>963.00300902708113</v>
      </c>
      <c r="J51" s="974">
        <v>0</v>
      </c>
      <c r="K51" s="974">
        <v>0</v>
      </c>
      <c r="L51" s="974">
        <v>0</v>
      </c>
      <c r="M51" s="974">
        <v>0</v>
      </c>
      <c r="N51" s="974">
        <v>324.42857142857144</v>
      </c>
      <c r="O51" s="974">
        <v>0</v>
      </c>
      <c r="P51" s="974">
        <v>0</v>
      </c>
      <c r="Q51" s="974">
        <v>0</v>
      </c>
      <c r="R51" s="974"/>
      <c r="S51" s="974">
        <v>0</v>
      </c>
      <c r="T51" s="974">
        <v>190.92337917485264</v>
      </c>
      <c r="U51" s="974">
        <v>0</v>
      </c>
      <c r="V51" s="974">
        <v>0</v>
      </c>
      <c r="W51" s="974">
        <v>0</v>
      </c>
      <c r="X51" s="974">
        <v>0</v>
      </c>
      <c r="Y51" s="974">
        <v>0</v>
      </c>
      <c r="Z51" s="974"/>
      <c r="AA51" s="974">
        <v>0</v>
      </c>
      <c r="AB51" s="974">
        <v>0</v>
      </c>
      <c r="AC51" s="974"/>
      <c r="AD51" s="974"/>
      <c r="AE51" s="974"/>
      <c r="AF51" s="974"/>
      <c r="AG51" s="974">
        <v>139.2017543859649</v>
      </c>
      <c r="AH51" s="974">
        <v>0</v>
      </c>
      <c r="AI51" s="974">
        <v>0</v>
      </c>
      <c r="AJ51" s="974">
        <v>0</v>
      </c>
      <c r="AK51" s="974">
        <v>0</v>
      </c>
      <c r="AL51" s="974">
        <v>0</v>
      </c>
      <c r="AM51" s="974">
        <v>0</v>
      </c>
      <c r="AN51" s="974">
        <v>0</v>
      </c>
      <c r="AO51" s="974"/>
      <c r="AP51" s="974"/>
      <c r="AQ51" s="974"/>
      <c r="AR51" s="974"/>
      <c r="AS51" s="974"/>
      <c r="AT51" s="974">
        <v>1304.8625000000002</v>
      </c>
      <c r="AU51" s="974">
        <v>971.15364806866955</v>
      </c>
      <c r="AV51" s="975">
        <v>1727049.3252987326</v>
      </c>
      <c r="AW51" s="974">
        <v>0</v>
      </c>
      <c r="AX51" s="974">
        <v>0</v>
      </c>
      <c r="AY51" s="974">
        <v>984.25968109339408</v>
      </c>
      <c r="AZ51" s="974">
        <v>0</v>
      </c>
      <c r="BA51" s="974">
        <v>0</v>
      </c>
      <c r="BB51" s="974">
        <v>572.67123287671234</v>
      </c>
      <c r="BC51" s="974">
        <v>192.18181818181819</v>
      </c>
      <c r="BD51" s="974">
        <v>0</v>
      </c>
      <c r="BE51" s="974">
        <v>0</v>
      </c>
      <c r="BF51" s="974">
        <v>917.27828746177363</v>
      </c>
      <c r="BG51" s="974">
        <v>1845.4564315352695</v>
      </c>
      <c r="BH51" s="976">
        <v>0</v>
      </c>
      <c r="BI51" s="974">
        <v>1731561.1727498816</v>
      </c>
    </row>
    <row r="52" spans="1:61" s="242" customFormat="1" ht="16.149999999999999" customHeight="1" x14ac:dyDescent="0.2">
      <c r="A52" s="245" t="s">
        <v>112</v>
      </c>
      <c r="B52" s="236" t="s">
        <v>191</v>
      </c>
      <c r="C52" s="968">
        <v>162268</v>
      </c>
      <c r="D52" s="968"/>
      <c r="E52" s="968">
        <v>0</v>
      </c>
      <c r="F52" s="968">
        <v>0</v>
      </c>
      <c r="G52" s="968">
        <v>0</v>
      </c>
      <c r="H52" s="968">
        <v>0</v>
      </c>
      <c r="I52" s="968">
        <v>0</v>
      </c>
      <c r="J52" s="968">
        <v>0</v>
      </c>
      <c r="K52" s="968">
        <v>0</v>
      </c>
      <c r="L52" s="968">
        <v>0</v>
      </c>
      <c r="M52" s="968">
        <v>0</v>
      </c>
      <c r="N52" s="968">
        <v>0</v>
      </c>
      <c r="O52" s="968">
        <v>0</v>
      </c>
      <c r="P52" s="968">
        <v>0</v>
      </c>
      <c r="Q52" s="968">
        <v>0</v>
      </c>
      <c r="R52" s="968"/>
      <c r="S52" s="968">
        <v>118.2552380952381</v>
      </c>
      <c r="T52" s="968">
        <v>0</v>
      </c>
      <c r="U52" s="968">
        <v>0</v>
      </c>
      <c r="V52" s="968">
        <v>0</v>
      </c>
      <c r="W52" s="968">
        <v>0</v>
      </c>
      <c r="X52" s="968">
        <v>0</v>
      </c>
      <c r="Y52" s="968">
        <v>0</v>
      </c>
      <c r="Z52" s="968"/>
      <c r="AA52" s="968">
        <v>0</v>
      </c>
      <c r="AB52" s="969">
        <v>0</v>
      </c>
      <c r="AC52" s="969"/>
      <c r="AD52" s="969"/>
      <c r="AE52" s="969"/>
      <c r="AF52" s="969"/>
      <c r="AG52" s="969">
        <v>0</v>
      </c>
      <c r="AH52" s="969">
        <v>0</v>
      </c>
      <c r="AI52" s="969">
        <v>0</v>
      </c>
      <c r="AJ52" s="969">
        <v>0</v>
      </c>
      <c r="AK52" s="969">
        <v>0</v>
      </c>
      <c r="AL52" s="969">
        <v>0</v>
      </c>
      <c r="AM52" s="969">
        <v>0</v>
      </c>
      <c r="AN52" s="969">
        <v>0</v>
      </c>
      <c r="AO52" s="969"/>
      <c r="AP52" s="969"/>
      <c r="AQ52" s="969"/>
      <c r="AR52" s="969"/>
      <c r="AS52" s="969"/>
      <c r="AT52" s="968">
        <v>434.95416666666665</v>
      </c>
      <c r="AU52" s="968">
        <v>971.15364806866955</v>
      </c>
      <c r="AV52" s="970">
        <v>163792.36305283057</v>
      </c>
      <c r="AW52" s="968">
        <v>0</v>
      </c>
      <c r="AX52" s="968">
        <v>0</v>
      </c>
      <c r="AY52" s="968">
        <v>0</v>
      </c>
      <c r="AZ52" s="968">
        <v>0</v>
      </c>
      <c r="BA52" s="968">
        <v>0</v>
      </c>
      <c r="BB52" s="968">
        <v>0</v>
      </c>
      <c r="BC52" s="968">
        <v>0</v>
      </c>
      <c r="BD52" s="968">
        <v>0</v>
      </c>
      <c r="BE52" s="968">
        <v>0</v>
      </c>
      <c r="BF52" s="968">
        <v>183.45565749235473</v>
      </c>
      <c r="BG52" s="968">
        <v>0</v>
      </c>
      <c r="BH52" s="971">
        <v>0</v>
      </c>
      <c r="BI52" s="968">
        <v>163975.81871032293</v>
      </c>
    </row>
    <row r="53" spans="1:61" s="242" customFormat="1" ht="16.149999999999999" customHeight="1" x14ac:dyDescent="0.2">
      <c r="A53" s="247" t="s">
        <v>113</v>
      </c>
      <c r="B53" s="232" t="s">
        <v>192</v>
      </c>
      <c r="C53" s="972">
        <v>573398</v>
      </c>
      <c r="D53" s="972"/>
      <c r="E53" s="972">
        <v>0</v>
      </c>
      <c r="F53" s="972">
        <v>0</v>
      </c>
      <c r="G53" s="972">
        <v>0</v>
      </c>
      <c r="H53" s="972">
        <v>0</v>
      </c>
      <c r="I53" s="972">
        <v>0</v>
      </c>
      <c r="J53" s="972">
        <v>0</v>
      </c>
      <c r="K53" s="972">
        <v>0</v>
      </c>
      <c r="L53" s="972">
        <v>0</v>
      </c>
      <c r="M53" s="972">
        <v>0</v>
      </c>
      <c r="N53" s="972">
        <v>0</v>
      </c>
      <c r="O53" s="972">
        <v>0</v>
      </c>
      <c r="P53" s="972">
        <v>0</v>
      </c>
      <c r="Q53" s="972">
        <v>0</v>
      </c>
      <c r="R53" s="972"/>
      <c r="S53" s="972">
        <v>0</v>
      </c>
      <c r="T53" s="972">
        <v>0</v>
      </c>
      <c r="U53" s="972">
        <v>0</v>
      </c>
      <c r="V53" s="972">
        <v>0</v>
      </c>
      <c r="W53" s="972">
        <v>0</v>
      </c>
      <c r="X53" s="972">
        <v>0</v>
      </c>
      <c r="Y53" s="972">
        <v>0</v>
      </c>
      <c r="Z53" s="972"/>
      <c r="AA53" s="972">
        <v>0</v>
      </c>
      <c r="AB53" s="972">
        <v>0</v>
      </c>
      <c r="AC53" s="972"/>
      <c r="AD53" s="972"/>
      <c r="AE53" s="972"/>
      <c r="AF53" s="972"/>
      <c r="AG53" s="972">
        <v>0</v>
      </c>
      <c r="AH53" s="972">
        <v>0</v>
      </c>
      <c r="AI53" s="972">
        <v>0</v>
      </c>
      <c r="AJ53" s="972">
        <v>0</v>
      </c>
      <c r="AK53" s="972">
        <v>0</v>
      </c>
      <c r="AL53" s="972">
        <v>0</v>
      </c>
      <c r="AM53" s="972">
        <v>0</v>
      </c>
      <c r="AN53" s="972">
        <v>0</v>
      </c>
      <c r="AO53" s="972"/>
      <c r="AP53" s="972"/>
      <c r="AQ53" s="972"/>
      <c r="AR53" s="972"/>
      <c r="AS53" s="972"/>
      <c r="AT53" s="972">
        <v>108.73854166666666</v>
      </c>
      <c r="AU53" s="972">
        <v>618.00686695278966</v>
      </c>
      <c r="AV53" s="973">
        <v>574124.7454086194</v>
      </c>
      <c r="AW53" s="972">
        <v>0</v>
      </c>
      <c r="AX53" s="972">
        <v>0</v>
      </c>
      <c r="AY53" s="972">
        <v>0</v>
      </c>
      <c r="AZ53" s="972">
        <v>0</v>
      </c>
      <c r="BA53" s="972">
        <v>0</v>
      </c>
      <c r="BB53" s="972">
        <v>0</v>
      </c>
      <c r="BC53" s="972">
        <v>0</v>
      </c>
      <c r="BD53" s="972">
        <v>0</v>
      </c>
      <c r="BE53" s="972">
        <v>0</v>
      </c>
      <c r="BF53" s="972">
        <v>183.45565749235473</v>
      </c>
      <c r="BG53" s="972">
        <v>738.18257261410793</v>
      </c>
      <c r="BH53" s="972">
        <v>0</v>
      </c>
      <c r="BI53" s="972">
        <v>575046.38363872585</v>
      </c>
    </row>
    <row r="54" spans="1:61" s="242" customFormat="1" ht="16.149999999999999" customHeight="1" x14ac:dyDescent="0.2">
      <c r="A54" s="247" t="s">
        <v>114</v>
      </c>
      <c r="B54" s="232" t="s">
        <v>193</v>
      </c>
      <c r="C54" s="972">
        <v>962002</v>
      </c>
      <c r="D54" s="972"/>
      <c r="E54" s="972">
        <v>0</v>
      </c>
      <c r="F54" s="972">
        <v>0</v>
      </c>
      <c r="G54" s="972">
        <v>173.23409669211196</v>
      </c>
      <c r="H54" s="972">
        <v>0</v>
      </c>
      <c r="I54" s="972">
        <v>321.0010030090271</v>
      </c>
      <c r="J54" s="972">
        <v>0</v>
      </c>
      <c r="K54" s="972">
        <v>0</v>
      </c>
      <c r="L54" s="972">
        <v>0</v>
      </c>
      <c r="M54" s="972">
        <v>0</v>
      </c>
      <c r="N54" s="972">
        <v>324.42857142857144</v>
      </c>
      <c r="O54" s="972">
        <v>0</v>
      </c>
      <c r="P54" s="972">
        <v>0</v>
      </c>
      <c r="Q54" s="972">
        <v>0</v>
      </c>
      <c r="R54" s="972"/>
      <c r="S54" s="972">
        <v>0</v>
      </c>
      <c r="T54" s="972">
        <v>95.461689587426321</v>
      </c>
      <c r="U54" s="972">
        <v>0</v>
      </c>
      <c r="V54" s="972">
        <v>0</v>
      </c>
      <c r="W54" s="972">
        <v>0</v>
      </c>
      <c r="X54" s="972">
        <v>0</v>
      </c>
      <c r="Y54" s="972">
        <v>0</v>
      </c>
      <c r="Z54" s="972"/>
      <c r="AA54" s="972">
        <v>0</v>
      </c>
      <c r="AB54" s="972">
        <v>0</v>
      </c>
      <c r="AC54" s="972"/>
      <c r="AD54" s="972"/>
      <c r="AE54" s="972"/>
      <c r="AF54" s="972"/>
      <c r="AG54" s="972">
        <v>139.2017543859649</v>
      </c>
      <c r="AH54" s="972">
        <v>0</v>
      </c>
      <c r="AI54" s="972">
        <v>0</v>
      </c>
      <c r="AJ54" s="972">
        <v>0</v>
      </c>
      <c r="AK54" s="972">
        <v>0</v>
      </c>
      <c r="AL54" s="972">
        <v>0</v>
      </c>
      <c r="AM54" s="972">
        <v>0</v>
      </c>
      <c r="AN54" s="972">
        <v>0</v>
      </c>
      <c r="AO54" s="972"/>
      <c r="AP54" s="972"/>
      <c r="AQ54" s="972"/>
      <c r="AR54" s="972"/>
      <c r="AS54" s="972"/>
      <c r="AT54" s="972">
        <v>1631.078125</v>
      </c>
      <c r="AU54" s="972">
        <v>4679.1948497854073</v>
      </c>
      <c r="AV54" s="973">
        <v>969365.60008988844</v>
      </c>
      <c r="AW54" s="972">
        <v>0</v>
      </c>
      <c r="AX54" s="972">
        <v>0</v>
      </c>
      <c r="AY54" s="972">
        <v>820.21640091116171</v>
      </c>
      <c r="AZ54" s="972">
        <v>0</v>
      </c>
      <c r="BA54" s="972">
        <v>0</v>
      </c>
      <c r="BB54" s="972">
        <v>0</v>
      </c>
      <c r="BC54" s="972">
        <v>384.36363636363637</v>
      </c>
      <c r="BD54" s="972">
        <v>0</v>
      </c>
      <c r="BE54" s="972">
        <v>0</v>
      </c>
      <c r="BF54" s="972">
        <v>366.91131498470946</v>
      </c>
      <c r="BG54" s="972">
        <v>738.18257261410793</v>
      </c>
      <c r="BH54" s="972">
        <v>0</v>
      </c>
      <c r="BI54" s="972">
        <v>971675.27401476202</v>
      </c>
    </row>
    <row r="55" spans="1:61" s="242" customFormat="1" ht="16.149999999999999" customHeight="1" x14ac:dyDescent="0.2">
      <c r="A55" s="247" t="s">
        <v>115</v>
      </c>
      <c r="B55" s="232" t="s">
        <v>194</v>
      </c>
      <c r="C55" s="972">
        <v>1861849</v>
      </c>
      <c r="D55" s="972"/>
      <c r="E55" s="972">
        <v>0</v>
      </c>
      <c r="F55" s="972">
        <v>0</v>
      </c>
      <c r="G55" s="972">
        <v>0</v>
      </c>
      <c r="H55" s="972">
        <v>0</v>
      </c>
      <c r="I55" s="972">
        <v>0</v>
      </c>
      <c r="J55" s="972">
        <v>0</v>
      </c>
      <c r="K55" s="972">
        <v>40352.953846153847</v>
      </c>
      <c r="L55" s="972">
        <v>0</v>
      </c>
      <c r="M55" s="972">
        <v>182.99752475247524</v>
      </c>
      <c r="N55" s="972">
        <v>0</v>
      </c>
      <c r="O55" s="972">
        <v>0</v>
      </c>
      <c r="P55" s="972">
        <v>0</v>
      </c>
      <c r="Q55" s="972">
        <v>0</v>
      </c>
      <c r="R55" s="972"/>
      <c r="S55" s="972">
        <v>0</v>
      </c>
      <c r="T55" s="972">
        <v>95.461689587426321</v>
      </c>
      <c r="U55" s="972">
        <v>0</v>
      </c>
      <c r="V55" s="972">
        <v>0</v>
      </c>
      <c r="W55" s="972">
        <v>896.17231638418082</v>
      </c>
      <c r="X55" s="972">
        <v>9401.61963190184</v>
      </c>
      <c r="Y55" s="972">
        <v>2760.7037037037035</v>
      </c>
      <c r="Z55" s="972"/>
      <c r="AA55" s="972">
        <v>0</v>
      </c>
      <c r="AB55" s="972">
        <v>0</v>
      </c>
      <c r="AC55" s="972"/>
      <c r="AD55" s="972"/>
      <c r="AE55" s="972"/>
      <c r="AF55" s="972"/>
      <c r="AG55" s="972">
        <v>0</v>
      </c>
      <c r="AH55" s="972">
        <v>198.67164179104478</v>
      </c>
      <c r="AI55" s="972">
        <v>0</v>
      </c>
      <c r="AJ55" s="972">
        <v>0</v>
      </c>
      <c r="AK55" s="972">
        <v>0</v>
      </c>
      <c r="AL55" s="972">
        <v>0</v>
      </c>
      <c r="AM55" s="972">
        <v>0</v>
      </c>
      <c r="AN55" s="972">
        <v>0</v>
      </c>
      <c r="AO55" s="972"/>
      <c r="AP55" s="972"/>
      <c r="AQ55" s="972"/>
      <c r="AR55" s="972"/>
      <c r="AS55" s="972"/>
      <c r="AT55" s="972">
        <v>4458.2802083333336</v>
      </c>
      <c r="AU55" s="972">
        <v>6886.3622317596564</v>
      </c>
      <c r="AV55" s="973">
        <v>1927082.2227943675</v>
      </c>
      <c r="AW55" s="972">
        <v>0</v>
      </c>
      <c r="AX55" s="972">
        <v>0</v>
      </c>
      <c r="AY55" s="972">
        <v>0</v>
      </c>
      <c r="AZ55" s="972">
        <v>398.06875934230197</v>
      </c>
      <c r="BA55" s="972">
        <v>0</v>
      </c>
      <c r="BB55" s="972">
        <v>0</v>
      </c>
      <c r="BC55" s="972">
        <v>0</v>
      </c>
      <c r="BD55" s="972">
        <v>0</v>
      </c>
      <c r="BE55" s="972">
        <v>0</v>
      </c>
      <c r="BF55" s="972">
        <v>1467.6452599388379</v>
      </c>
      <c r="BG55" s="972">
        <v>0</v>
      </c>
      <c r="BH55" s="972">
        <v>0</v>
      </c>
      <c r="BI55" s="972">
        <v>1928947.9368136486</v>
      </c>
    </row>
    <row r="56" spans="1:61" s="242" customFormat="1" ht="16.149999999999999" customHeight="1" x14ac:dyDescent="0.2">
      <c r="A56" s="249" t="s">
        <v>116</v>
      </c>
      <c r="B56" s="234" t="s">
        <v>195</v>
      </c>
      <c r="C56" s="974">
        <v>960618</v>
      </c>
      <c r="D56" s="974"/>
      <c r="E56" s="974">
        <v>0</v>
      </c>
      <c r="F56" s="974">
        <v>0</v>
      </c>
      <c r="G56" s="974">
        <v>0</v>
      </c>
      <c r="H56" s="974">
        <v>0</v>
      </c>
      <c r="I56" s="974">
        <v>0</v>
      </c>
      <c r="J56" s="974">
        <v>0</v>
      </c>
      <c r="K56" s="974">
        <v>0</v>
      </c>
      <c r="L56" s="974">
        <v>0</v>
      </c>
      <c r="M56" s="974">
        <v>0</v>
      </c>
      <c r="N56" s="974">
        <v>0</v>
      </c>
      <c r="O56" s="974">
        <v>0</v>
      </c>
      <c r="P56" s="974">
        <v>0</v>
      </c>
      <c r="Q56" s="974">
        <v>0</v>
      </c>
      <c r="R56" s="974"/>
      <c r="S56" s="974">
        <v>0</v>
      </c>
      <c r="T56" s="974">
        <v>2100.157170923379</v>
      </c>
      <c r="U56" s="974">
        <v>0</v>
      </c>
      <c r="V56" s="974">
        <v>0</v>
      </c>
      <c r="W56" s="974">
        <v>7258.9957627118647</v>
      </c>
      <c r="X56" s="974">
        <v>3819.4079754601225</v>
      </c>
      <c r="Y56" s="974">
        <v>2760.7037037037035</v>
      </c>
      <c r="Z56" s="974"/>
      <c r="AA56" s="974">
        <v>0</v>
      </c>
      <c r="AB56" s="974">
        <v>0</v>
      </c>
      <c r="AC56" s="974"/>
      <c r="AD56" s="974"/>
      <c r="AE56" s="974"/>
      <c r="AF56" s="974"/>
      <c r="AG56" s="974">
        <v>0</v>
      </c>
      <c r="AH56" s="974">
        <v>397.34328358208955</v>
      </c>
      <c r="AI56" s="974">
        <v>0</v>
      </c>
      <c r="AJ56" s="974">
        <v>0</v>
      </c>
      <c r="AK56" s="974">
        <v>0</v>
      </c>
      <c r="AL56" s="974">
        <v>0</v>
      </c>
      <c r="AM56" s="974">
        <v>0</v>
      </c>
      <c r="AN56" s="974">
        <v>0</v>
      </c>
      <c r="AO56" s="974"/>
      <c r="AP56" s="974"/>
      <c r="AQ56" s="974"/>
      <c r="AR56" s="974"/>
      <c r="AS56" s="974"/>
      <c r="AT56" s="974">
        <v>1141.7546874999998</v>
      </c>
      <c r="AU56" s="974">
        <v>1765.7339055793991</v>
      </c>
      <c r="AV56" s="975">
        <v>979862.09648946067</v>
      </c>
      <c r="AW56" s="974">
        <v>0</v>
      </c>
      <c r="AX56" s="974">
        <v>0</v>
      </c>
      <c r="AY56" s="974">
        <v>0</v>
      </c>
      <c r="AZ56" s="974">
        <v>0</v>
      </c>
      <c r="BA56" s="974">
        <v>0</v>
      </c>
      <c r="BB56" s="974">
        <v>0</v>
      </c>
      <c r="BC56" s="974">
        <v>0</v>
      </c>
      <c r="BD56" s="974">
        <v>0</v>
      </c>
      <c r="BE56" s="974">
        <v>0</v>
      </c>
      <c r="BF56" s="974">
        <v>733.82262996941893</v>
      </c>
      <c r="BG56" s="974">
        <v>369.09128630705396</v>
      </c>
      <c r="BH56" s="976">
        <v>0</v>
      </c>
      <c r="BI56" s="974">
        <v>980965.01040573721</v>
      </c>
    </row>
    <row r="57" spans="1:61" s="242" customFormat="1" ht="16.149999999999999" customHeight="1" x14ac:dyDescent="0.2">
      <c r="A57" s="245" t="s">
        <v>117</v>
      </c>
      <c r="B57" s="236" t="s">
        <v>196</v>
      </c>
      <c r="C57" s="968">
        <v>1231315</v>
      </c>
      <c r="D57" s="968"/>
      <c r="E57" s="968">
        <v>0</v>
      </c>
      <c r="F57" s="968">
        <v>0</v>
      </c>
      <c r="G57" s="968">
        <v>0</v>
      </c>
      <c r="H57" s="968">
        <v>0</v>
      </c>
      <c r="I57" s="968">
        <v>0</v>
      </c>
      <c r="J57" s="968">
        <v>0</v>
      </c>
      <c r="K57" s="968">
        <v>0</v>
      </c>
      <c r="L57" s="968">
        <v>0</v>
      </c>
      <c r="M57" s="968">
        <v>0</v>
      </c>
      <c r="N57" s="968">
        <v>0</v>
      </c>
      <c r="O57" s="968">
        <v>0</v>
      </c>
      <c r="P57" s="968">
        <v>0</v>
      </c>
      <c r="Q57" s="968">
        <v>0</v>
      </c>
      <c r="R57" s="968"/>
      <c r="S57" s="968">
        <v>0</v>
      </c>
      <c r="T57" s="968">
        <v>381.84675834970528</v>
      </c>
      <c r="U57" s="968">
        <v>0</v>
      </c>
      <c r="V57" s="968">
        <v>0</v>
      </c>
      <c r="W57" s="968">
        <v>89.617231638418076</v>
      </c>
      <c r="X57" s="968">
        <v>0</v>
      </c>
      <c r="Y57" s="968">
        <v>115.02932098765432</v>
      </c>
      <c r="Z57" s="968"/>
      <c r="AA57" s="968">
        <v>0</v>
      </c>
      <c r="AB57" s="969">
        <v>0</v>
      </c>
      <c r="AC57" s="969"/>
      <c r="AD57" s="969"/>
      <c r="AE57" s="969"/>
      <c r="AF57" s="969"/>
      <c r="AG57" s="969">
        <v>0</v>
      </c>
      <c r="AH57" s="969">
        <v>0</v>
      </c>
      <c r="AI57" s="969">
        <v>0</v>
      </c>
      <c r="AJ57" s="969">
        <v>0</v>
      </c>
      <c r="AK57" s="969">
        <v>0</v>
      </c>
      <c r="AL57" s="969">
        <v>0</v>
      </c>
      <c r="AM57" s="969">
        <v>0</v>
      </c>
      <c r="AN57" s="969">
        <v>0</v>
      </c>
      <c r="AO57" s="969"/>
      <c r="AP57" s="969"/>
      <c r="AQ57" s="969"/>
      <c r="AR57" s="969"/>
      <c r="AS57" s="969"/>
      <c r="AT57" s="968">
        <v>598.06197916666667</v>
      </c>
      <c r="AU57" s="968">
        <v>1765.7339055793991</v>
      </c>
      <c r="AV57" s="970">
        <v>1234265.289195722</v>
      </c>
      <c r="AW57" s="968">
        <v>0</v>
      </c>
      <c r="AX57" s="968">
        <v>37702.869565217392</v>
      </c>
      <c r="AY57" s="968">
        <v>0</v>
      </c>
      <c r="AZ57" s="968">
        <v>0</v>
      </c>
      <c r="BA57" s="968">
        <v>0</v>
      </c>
      <c r="BB57" s="968">
        <v>0</v>
      </c>
      <c r="BC57" s="968">
        <v>192.18181818181819</v>
      </c>
      <c r="BD57" s="968">
        <v>0</v>
      </c>
      <c r="BE57" s="968">
        <v>0</v>
      </c>
      <c r="BF57" s="968">
        <v>733.82262996941893</v>
      </c>
      <c r="BG57" s="968">
        <v>0</v>
      </c>
      <c r="BH57" s="971">
        <v>0</v>
      </c>
      <c r="BI57" s="968">
        <v>1272894.1632090905</v>
      </c>
    </row>
    <row r="58" spans="1:61" s="242" customFormat="1" ht="16.149999999999999" customHeight="1" x14ac:dyDescent="0.2">
      <c r="A58" s="247" t="s">
        <v>118</v>
      </c>
      <c r="B58" s="232" t="s">
        <v>197</v>
      </c>
      <c r="C58" s="972">
        <v>5862672</v>
      </c>
      <c r="D58" s="972"/>
      <c r="E58" s="972">
        <v>0</v>
      </c>
      <c r="F58" s="972">
        <v>0</v>
      </c>
      <c r="G58" s="972">
        <v>0</v>
      </c>
      <c r="H58" s="972">
        <v>521.50487329434691</v>
      </c>
      <c r="I58" s="972">
        <v>1765.505516549649</v>
      </c>
      <c r="J58" s="972">
        <v>0</v>
      </c>
      <c r="K58" s="972">
        <v>0</v>
      </c>
      <c r="L58" s="972">
        <v>0</v>
      </c>
      <c r="M58" s="972">
        <v>365.99504950495049</v>
      </c>
      <c r="N58" s="972">
        <v>0</v>
      </c>
      <c r="O58" s="972">
        <v>0</v>
      </c>
      <c r="P58" s="972">
        <v>0</v>
      </c>
      <c r="Q58" s="972">
        <v>0</v>
      </c>
      <c r="R58" s="972"/>
      <c r="S58" s="972">
        <v>0</v>
      </c>
      <c r="T58" s="972">
        <v>47.73084479371316</v>
      </c>
      <c r="U58" s="972">
        <v>0</v>
      </c>
      <c r="V58" s="972">
        <v>0</v>
      </c>
      <c r="W58" s="972">
        <v>89.617231638418076</v>
      </c>
      <c r="X58" s="972">
        <v>0</v>
      </c>
      <c r="Y58" s="972">
        <v>0</v>
      </c>
      <c r="Z58" s="972"/>
      <c r="AA58" s="972">
        <v>0</v>
      </c>
      <c r="AB58" s="972">
        <v>0</v>
      </c>
      <c r="AC58" s="972"/>
      <c r="AD58" s="972"/>
      <c r="AE58" s="972"/>
      <c r="AF58" s="972"/>
      <c r="AG58" s="972">
        <v>0</v>
      </c>
      <c r="AH58" s="972">
        <v>0</v>
      </c>
      <c r="AI58" s="972">
        <v>0</v>
      </c>
      <c r="AJ58" s="972">
        <v>0</v>
      </c>
      <c r="AK58" s="972">
        <v>178.71195652173913</v>
      </c>
      <c r="AL58" s="972">
        <v>199.72906403940885</v>
      </c>
      <c r="AM58" s="972">
        <v>0</v>
      </c>
      <c r="AN58" s="972">
        <v>0</v>
      </c>
      <c r="AO58" s="972"/>
      <c r="AP58" s="972"/>
      <c r="AQ58" s="972"/>
      <c r="AR58" s="972"/>
      <c r="AS58" s="972"/>
      <c r="AT58" s="972">
        <v>7231.1130208333334</v>
      </c>
      <c r="AU58" s="972">
        <v>32842.650643776826</v>
      </c>
      <c r="AV58" s="973">
        <v>5905914.5582009517</v>
      </c>
      <c r="AW58" s="972">
        <v>0</v>
      </c>
      <c r="AX58" s="972">
        <v>0</v>
      </c>
      <c r="AY58" s="972">
        <v>820.21640091116171</v>
      </c>
      <c r="AZ58" s="972">
        <v>0</v>
      </c>
      <c r="BA58" s="972">
        <v>0</v>
      </c>
      <c r="BB58" s="972">
        <v>2481.5753424657532</v>
      </c>
      <c r="BC58" s="972">
        <v>0</v>
      </c>
      <c r="BD58" s="972">
        <v>0</v>
      </c>
      <c r="BE58" s="972">
        <v>0</v>
      </c>
      <c r="BF58" s="972">
        <v>5687.1253822629969</v>
      </c>
      <c r="BG58" s="972">
        <v>13287.286307053942</v>
      </c>
      <c r="BH58" s="972">
        <v>880.80000000000007</v>
      </c>
      <c r="BI58" s="972">
        <v>5929071.5616336456</v>
      </c>
    </row>
    <row r="59" spans="1:61" s="242" customFormat="1" ht="16.149999999999999" customHeight="1" x14ac:dyDescent="0.2">
      <c r="A59" s="247" t="s">
        <v>119</v>
      </c>
      <c r="B59" s="232" t="s">
        <v>198</v>
      </c>
      <c r="C59" s="972">
        <v>2812619</v>
      </c>
      <c r="D59" s="972"/>
      <c r="E59" s="972">
        <v>190.43822075782538</v>
      </c>
      <c r="F59" s="972">
        <v>0</v>
      </c>
      <c r="G59" s="972">
        <v>0</v>
      </c>
      <c r="H59" s="972">
        <v>130.37621832358673</v>
      </c>
      <c r="I59" s="972">
        <v>160.50050150451355</v>
      </c>
      <c r="J59" s="972">
        <v>0</v>
      </c>
      <c r="K59" s="972">
        <v>0</v>
      </c>
      <c r="L59" s="972">
        <v>0</v>
      </c>
      <c r="M59" s="972">
        <v>731.99009900990097</v>
      </c>
      <c r="N59" s="972">
        <v>162.21428571428572</v>
      </c>
      <c r="O59" s="972">
        <v>0</v>
      </c>
      <c r="P59" s="972">
        <v>0</v>
      </c>
      <c r="Q59" s="972">
        <v>299.96344647519584</v>
      </c>
      <c r="R59" s="972"/>
      <c r="S59" s="972">
        <v>0</v>
      </c>
      <c r="T59" s="972">
        <v>95.461689587426321</v>
      </c>
      <c r="U59" s="972">
        <v>0</v>
      </c>
      <c r="V59" s="972">
        <v>0</v>
      </c>
      <c r="W59" s="972">
        <v>0</v>
      </c>
      <c r="X59" s="972">
        <v>0</v>
      </c>
      <c r="Y59" s="972">
        <v>0</v>
      </c>
      <c r="Z59" s="972"/>
      <c r="AA59" s="972">
        <v>0</v>
      </c>
      <c r="AB59" s="972">
        <v>0</v>
      </c>
      <c r="AC59" s="972"/>
      <c r="AD59" s="972"/>
      <c r="AE59" s="972"/>
      <c r="AF59" s="972"/>
      <c r="AG59" s="972">
        <v>0</v>
      </c>
      <c r="AH59" s="972">
        <v>0</v>
      </c>
      <c r="AI59" s="972">
        <v>0</v>
      </c>
      <c r="AJ59" s="972">
        <v>0</v>
      </c>
      <c r="AK59" s="972">
        <v>0</v>
      </c>
      <c r="AL59" s="972">
        <v>0</v>
      </c>
      <c r="AM59" s="972">
        <v>0</v>
      </c>
      <c r="AN59" s="972">
        <v>0</v>
      </c>
      <c r="AO59" s="972"/>
      <c r="AP59" s="972"/>
      <c r="AQ59" s="972"/>
      <c r="AR59" s="972"/>
      <c r="AS59" s="972"/>
      <c r="AT59" s="972">
        <v>4077.6953125</v>
      </c>
      <c r="AU59" s="972">
        <v>20305.939914163093</v>
      </c>
      <c r="AV59" s="973">
        <v>2838773.5796880359</v>
      </c>
      <c r="AW59" s="972">
        <v>0</v>
      </c>
      <c r="AX59" s="972">
        <v>0</v>
      </c>
      <c r="AY59" s="972">
        <v>0</v>
      </c>
      <c r="AZ59" s="972">
        <v>0</v>
      </c>
      <c r="BA59" s="972">
        <v>0</v>
      </c>
      <c r="BB59" s="972">
        <v>190.89041095890411</v>
      </c>
      <c r="BC59" s="972">
        <v>0</v>
      </c>
      <c r="BD59" s="972">
        <v>0</v>
      </c>
      <c r="BE59" s="972">
        <v>0</v>
      </c>
      <c r="BF59" s="972">
        <v>2384.9235474006118</v>
      </c>
      <c r="BG59" s="972">
        <v>2952.7302904564317</v>
      </c>
      <c r="BH59" s="972">
        <v>1321.2</v>
      </c>
      <c r="BI59" s="972">
        <v>2845623.3239368517</v>
      </c>
    </row>
    <row r="60" spans="1:61" s="242" customFormat="1" ht="16.149999999999999" customHeight="1" x14ac:dyDescent="0.2">
      <c r="A60" s="247" t="s">
        <v>199</v>
      </c>
      <c r="B60" s="232" t="s">
        <v>200</v>
      </c>
      <c r="C60" s="972">
        <v>85850</v>
      </c>
      <c r="D60" s="972"/>
      <c r="E60" s="972">
        <v>0</v>
      </c>
      <c r="F60" s="972">
        <v>0</v>
      </c>
      <c r="G60" s="972">
        <v>0</v>
      </c>
      <c r="H60" s="972">
        <v>0</v>
      </c>
      <c r="I60" s="972">
        <v>0</v>
      </c>
      <c r="J60" s="972">
        <v>0</v>
      </c>
      <c r="K60" s="972">
        <v>0</v>
      </c>
      <c r="L60" s="972">
        <v>0</v>
      </c>
      <c r="M60" s="972">
        <v>0</v>
      </c>
      <c r="N60" s="972">
        <v>0</v>
      </c>
      <c r="O60" s="972">
        <v>0</v>
      </c>
      <c r="P60" s="972">
        <v>6555.9956896551721</v>
      </c>
      <c r="Q60" s="972">
        <v>0</v>
      </c>
      <c r="R60" s="972"/>
      <c r="S60" s="972">
        <v>0</v>
      </c>
      <c r="T60" s="972">
        <v>0</v>
      </c>
      <c r="U60" s="972">
        <v>0</v>
      </c>
      <c r="V60" s="972">
        <v>0</v>
      </c>
      <c r="W60" s="972">
        <v>0</v>
      </c>
      <c r="X60" s="972">
        <v>0</v>
      </c>
      <c r="Y60" s="972">
        <v>0</v>
      </c>
      <c r="Z60" s="972"/>
      <c r="AA60" s="972">
        <v>0</v>
      </c>
      <c r="AB60" s="972">
        <v>0</v>
      </c>
      <c r="AC60" s="972"/>
      <c r="AD60" s="972"/>
      <c r="AE60" s="972"/>
      <c r="AF60" s="972"/>
      <c r="AG60" s="972">
        <v>0</v>
      </c>
      <c r="AH60" s="972">
        <v>0</v>
      </c>
      <c r="AI60" s="972">
        <v>0</v>
      </c>
      <c r="AJ60" s="972">
        <v>0</v>
      </c>
      <c r="AK60" s="972">
        <v>0</v>
      </c>
      <c r="AL60" s="972">
        <v>0</v>
      </c>
      <c r="AM60" s="972">
        <v>0</v>
      </c>
      <c r="AN60" s="972">
        <v>0</v>
      </c>
      <c r="AO60" s="972"/>
      <c r="AP60" s="972"/>
      <c r="AQ60" s="972"/>
      <c r="AR60" s="972"/>
      <c r="AS60" s="972"/>
      <c r="AT60" s="972">
        <v>54.369270833333331</v>
      </c>
      <c r="AU60" s="972">
        <v>706.29356223175967</v>
      </c>
      <c r="AV60" s="973">
        <v>93166.658522720274</v>
      </c>
      <c r="AW60" s="972">
        <v>0</v>
      </c>
      <c r="AX60" s="972">
        <v>0</v>
      </c>
      <c r="AY60" s="972">
        <v>0</v>
      </c>
      <c r="AZ60" s="972">
        <v>0</v>
      </c>
      <c r="BA60" s="972">
        <v>2222.3401015228424</v>
      </c>
      <c r="BB60" s="972">
        <v>0</v>
      </c>
      <c r="BC60" s="972">
        <v>0</v>
      </c>
      <c r="BD60" s="972">
        <v>0</v>
      </c>
      <c r="BE60" s="972">
        <v>0</v>
      </c>
      <c r="BF60" s="972">
        <v>0</v>
      </c>
      <c r="BG60" s="972">
        <v>0</v>
      </c>
      <c r="BH60" s="972">
        <v>0</v>
      </c>
      <c r="BI60" s="972">
        <v>95388.998624243119</v>
      </c>
    </row>
    <row r="61" spans="1:61" s="242" customFormat="1" ht="16.149999999999999" customHeight="1" x14ac:dyDescent="0.2">
      <c r="A61" s="249" t="s">
        <v>120</v>
      </c>
      <c r="B61" s="234" t="s">
        <v>201</v>
      </c>
      <c r="C61" s="974">
        <v>2211637</v>
      </c>
      <c r="D61" s="974"/>
      <c r="E61" s="974">
        <v>0</v>
      </c>
      <c r="F61" s="974">
        <v>0</v>
      </c>
      <c r="G61" s="974">
        <v>173.23409669211196</v>
      </c>
      <c r="H61" s="974">
        <v>0</v>
      </c>
      <c r="I61" s="974">
        <v>0</v>
      </c>
      <c r="J61" s="974">
        <v>0</v>
      </c>
      <c r="K61" s="974">
        <v>0</v>
      </c>
      <c r="L61" s="974">
        <v>0</v>
      </c>
      <c r="M61" s="974">
        <v>0</v>
      </c>
      <c r="N61" s="974">
        <v>0</v>
      </c>
      <c r="O61" s="974">
        <v>0</v>
      </c>
      <c r="P61" s="974">
        <v>0</v>
      </c>
      <c r="Q61" s="974">
        <v>0</v>
      </c>
      <c r="R61" s="974"/>
      <c r="S61" s="974">
        <v>0</v>
      </c>
      <c r="T61" s="974">
        <v>3818.4675834970531</v>
      </c>
      <c r="U61" s="974">
        <v>0</v>
      </c>
      <c r="V61" s="974">
        <v>0</v>
      </c>
      <c r="W61" s="974">
        <v>1075.406779661017</v>
      </c>
      <c r="X61" s="974">
        <v>0</v>
      </c>
      <c r="Y61" s="974">
        <v>0</v>
      </c>
      <c r="Z61" s="974"/>
      <c r="AA61" s="974">
        <v>0</v>
      </c>
      <c r="AB61" s="974">
        <v>0</v>
      </c>
      <c r="AC61" s="974"/>
      <c r="AD61" s="974"/>
      <c r="AE61" s="974"/>
      <c r="AF61" s="974"/>
      <c r="AG61" s="974">
        <v>0</v>
      </c>
      <c r="AH61" s="974">
        <v>0</v>
      </c>
      <c r="AI61" s="974">
        <v>0</v>
      </c>
      <c r="AJ61" s="974">
        <v>0</v>
      </c>
      <c r="AK61" s="974">
        <v>0</v>
      </c>
      <c r="AL61" s="974">
        <v>0</v>
      </c>
      <c r="AM61" s="974">
        <v>0</v>
      </c>
      <c r="AN61" s="974">
        <v>0</v>
      </c>
      <c r="AO61" s="974"/>
      <c r="AP61" s="974"/>
      <c r="AQ61" s="974"/>
      <c r="AR61" s="974"/>
      <c r="AS61" s="974"/>
      <c r="AT61" s="974">
        <v>3860.2182291666668</v>
      </c>
      <c r="AU61" s="974">
        <v>10770.976824034335</v>
      </c>
      <c r="AV61" s="975">
        <v>2231335.303513051</v>
      </c>
      <c r="AW61" s="974">
        <v>0</v>
      </c>
      <c r="AX61" s="974">
        <v>0</v>
      </c>
      <c r="AY61" s="974">
        <v>0</v>
      </c>
      <c r="AZ61" s="974">
        <v>0</v>
      </c>
      <c r="BA61" s="974">
        <v>0</v>
      </c>
      <c r="BB61" s="974">
        <v>0</v>
      </c>
      <c r="BC61" s="974">
        <v>7495.090909090909</v>
      </c>
      <c r="BD61" s="974">
        <v>0</v>
      </c>
      <c r="BE61" s="974">
        <v>0</v>
      </c>
      <c r="BF61" s="974">
        <v>2568.3792048929663</v>
      </c>
      <c r="BG61" s="974">
        <v>0</v>
      </c>
      <c r="BH61" s="976">
        <v>0</v>
      </c>
      <c r="BI61" s="974">
        <v>2241398.7736270349</v>
      </c>
    </row>
    <row r="62" spans="1:61" s="242" customFormat="1" ht="16.149999999999999" customHeight="1" x14ac:dyDescent="0.2">
      <c r="A62" s="245" t="s">
        <v>121</v>
      </c>
      <c r="B62" s="236" t="s">
        <v>202</v>
      </c>
      <c r="C62" s="968">
        <v>270780</v>
      </c>
      <c r="D62" s="968"/>
      <c r="E62" s="968">
        <v>0</v>
      </c>
      <c r="F62" s="968">
        <v>99895.353620146911</v>
      </c>
      <c r="G62" s="968">
        <v>0</v>
      </c>
      <c r="H62" s="968">
        <v>0</v>
      </c>
      <c r="I62" s="968">
        <v>0</v>
      </c>
      <c r="J62" s="968">
        <v>0</v>
      </c>
      <c r="K62" s="968">
        <v>0</v>
      </c>
      <c r="L62" s="968">
        <v>0</v>
      </c>
      <c r="M62" s="968">
        <v>0</v>
      </c>
      <c r="N62" s="968">
        <v>0</v>
      </c>
      <c r="O62" s="968">
        <v>0</v>
      </c>
      <c r="P62" s="968">
        <v>0</v>
      </c>
      <c r="Q62" s="968">
        <v>0</v>
      </c>
      <c r="R62" s="968"/>
      <c r="S62" s="968">
        <v>0</v>
      </c>
      <c r="T62" s="968">
        <v>0</v>
      </c>
      <c r="U62" s="968">
        <v>0</v>
      </c>
      <c r="V62" s="968">
        <v>8470.8729281767955</v>
      </c>
      <c r="W62" s="968">
        <v>0</v>
      </c>
      <c r="X62" s="968">
        <v>0</v>
      </c>
      <c r="Y62" s="968">
        <v>0</v>
      </c>
      <c r="Z62" s="968"/>
      <c r="AA62" s="968">
        <v>0</v>
      </c>
      <c r="AB62" s="969">
        <v>6492.0367132867132</v>
      </c>
      <c r="AC62" s="969"/>
      <c r="AD62" s="969"/>
      <c r="AE62" s="969"/>
      <c r="AF62" s="969"/>
      <c r="AG62" s="969">
        <v>0</v>
      </c>
      <c r="AH62" s="969">
        <v>0</v>
      </c>
      <c r="AI62" s="969">
        <v>0</v>
      </c>
      <c r="AJ62" s="969">
        <v>0</v>
      </c>
      <c r="AK62" s="969">
        <v>0</v>
      </c>
      <c r="AL62" s="969">
        <v>0</v>
      </c>
      <c r="AM62" s="969">
        <v>0</v>
      </c>
      <c r="AN62" s="969">
        <v>0</v>
      </c>
      <c r="AO62" s="969"/>
      <c r="AP62" s="969"/>
      <c r="AQ62" s="969"/>
      <c r="AR62" s="969"/>
      <c r="AS62" s="969"/>
      <c r="AT62" s="968">
        <v>706.80052083333339</v>
      </c>
      <c r="AU62" s="968">
        <v>706.29356223175967</v>
      </c>
      <c r="AV62" s="970">
        <v>387051.35734467552</v>
      </c>
      <c r="AW62" s="968">
        <v>0</v>
      </c>
      <c r="AX62" s="968">
        <v>0</v>
      </c>
      <c r="AY62" s="968">
        <v>0</v>
      </c>
      <c r="AZ62" s="968">
        <v>0</v>
      </c>
      <c r="BA62" s="968">
        <v>0</v>
      </c>
      <c r="BB62" s="968">
        <v>0</v>
      </c>
      <c r="BC62" s="968">
        <v>0</v>
      </c>
      <c r="BD62" s="968">
        <v>0</v>
      </c>
      <c r="BE62" s="968">
        <v>0</v>
      </c>
      <c r="BF62" s="968">
        <v>0</v>
      </c>
      <c r="BG62" s="968">
        <v>0</v>
      </c>
      <c r="BH62" s="971">
        <v>0</v>
      </c>
      <c r="BI62" s="968">
        <v>387051.35734467552</v>
      </c>
    </row>
    <row r="63" spans="1:61" s="242" customFormat="1" ht="16.149999999999999" customHeight="1" x14ac:dyDescent="0.2">
      <c r="A63" s="247" t="s">
        <v>122</v>
      </c>
      <c r="B63" s="232" t="s">
        <v>203</v>
      </c>
      <c r="C63" s="972">
        <v>1287200</v>
      </c>
      <c r="D63" s="972"/>
      <c r="E63" s="972">
        <v>0</v>
      </c>
      <c r="F63" s="972">
        <v>0</v>
      </c>
      <c r="G63" s="972">
        <v>0</v>
      </c>
      <c r="H63" s="972">
        <v>0</v>
      </c>
      <c r="I63" s="972">
        <v>0</v>
      </c>
      <c r="J63" s="972">
        <v>0</v>
      </c>
      <c r="K63" s="972">
        <v>0</v>
      </c>
      <c r="L63" s="972">
        <v>0</v>
      </c>
      <c r="M63" s="972">
        <v>0</v>
      </c>
      <c r="N63" s="972">
        <v>0</v>
      </c>
      <c r="O63" s="972">
        <v>0</v>
      </c>
      <c r="P63" s="972">
        <v>0</v>
      </c>
      <c r="Q63" s="972">
        <v>0</v>
      </c>
      <c r="R63" s="972"/>
      <c r="S63" s="972">
        <v>0</v>
      </c>
      <c r="T63" s="972">
        <v>0</v>
      </c>
      <c r="U63" s="972">
        <v>0</v>
      </c>
      <c r="V63" s="972">
        <v>0</v>
      </c>
      <c r="W63" s="972">
        <v>3495.0720338983051</v>
      </c>
      <c r="X63" s="972">
        <v>195.86707566462169</v>
      </c>
      <c r="Y63" s="972">
        <v>0</v>
      </c>
      <c r="Z63" s="972"/>
      <c r="AA63" s="972">
        <v>0</v>
      </c>
      <c r="AB63" s="972">
        <v>0</v>
      </c>
      <c r="AC63" s="972"/>
      <c r="AD63" s="972"/>
      <c r="AE63" s="972"/>
      <c r="AF63" s="972"/>
      <c r="AG63" s="972">
        <v>0</v>
      </c>
      <c r="AH63" s="972">
        <v>198.67164179104478</v>
      </c>
      <c r="AI63" s="972">
        <v>0</v>
      </c>
      <c r="AJ63" s="972">
        <v>0</v>
      </c>
      <c r="AK63" s="972">
        <v>0</v>
      </c>
      <c r="AL63" s="972">
        <v>0</v>
      </c>
      <c r="AM63" s="972">
        <v>0</v>
      </c>
      <c r="AN63" s="972">
        <v>0</v>
      </c>
      <c r="AO63" s="972"/>
      <c r="AP63" s="972"/>
      <c r="AQ63" s="972"/>
      <c r="AR63" s="972"/>
      <c r="AS63" s="972"/>
      <c r="AT63" s="972">
        <v>1304.8625000000002</v>
      </c>
      <c r="AU63" s="972">
        <v>1412.5871244635193</v>
      </c>
      <c r="AV63" s="973">
        <v>1293807.0603758174</v>
      </c>
      <c r="AW63" s="972">
        <v>0</v>
      </c>
      <c r="AX63" s="972">
        <v>0</v>
      </c>
      <c r="AY63" s="972">
        <v>0</v>
      </c>
      <c r="AZ63" s="972">
        <v>0</v>
      </c>
      <c r="BA63" s="972">
        <v>0</v>
      </c>
      <c r="BB63" s="972">
        <v>0</v>
      </c>
      <c r="BC63" s="972">
        <v>0</v>
      </c>
      <c r="BD63" s="972">
        <v>0</v>
      </c>
      <c r="BE63" s="972">
        <v>0</v>
      </c>
      <c r="BF63" s="972">
        <v>550.36697247706422</v>
      </c>
      <c r="BG63" s="972">
        <v>0</v>
      </c>
      <c r="BH63" s="972">
        <v>0</v>
      </c>
      <c r="BI63" s="972">
        <v>1294357.4273482945</v>
      </c>
    </row>
    <row r="64" spans="1:61" s="242" customFormat="1" ht="16.149999999999999" customHeight="1" x14ac:dyDescent="0.2">
      <c r="A64" s="247" t="s">
        <v>204</v>
      </c>
      <c r="B64" s="232" t="s">
        <v>205</v>
      </c>
      <c r="C64" s="972">
        <v>1091522</v>
      </c>
      <c r="D64" s="972"/>
      <c r="E64" s="972">
        <v>0</v>
      </c>
      <c r="F64" s="972">
        <v>0</v>
      </c>
      <c r="G64" s="972">
        <v>0</v>
      </c>
      <c r="H64" s="972">
        <v>0</v>
      </c>
      <c r="I64" s="972">
        <v>0</v>
      </c>
      <c r="J64" s="972">
        <v>0</v>
      </c>
      <c r="K64" s="972">
        <v>0</v>
      </c>
      <c r="L64" s="972">
        <v>0</v>
      </c>
      <c r="M64" s="972">
        <v>0</v>
      </c>
      <c r="N64" s="972">
        <v>0</v>
      </c>
      <c r="O64" s="972">
        <v>0</v>
      </c>
      <c r="P64" s="972">
        <v>0</v>
      </c>
      <c r="Q64" s="972">
        <v>0</v>
      </c>
      <c r="R64" s="972"/>
      <c r="S64" s="972">
        <v>0</v>
      </c>
      <c r="T64" s="972">
        <v>0</v>
      </c>
      <c r="U64" s="972">
        <v>0</v>
      </c>
      <c r="V64" s="972">
        <v>0</v>
      </c>
      <c r="W64" s="972">
        <v>0</v>
      </c>
      <c r="X64" s="972">
        <v>0</v>
      </c>
      <c r="Y64" s="972">
        <v>0</v>
      </c>
      <c r="Z64" s="972"/>
      <c r="AA64" s="972">
        <v>0</v>
      </c>
      <c r="AB64" s="972">
        <v>0</v>
      </c>
      <c r="AC64" s="972"/>
      <c r="AD64" s="972"/>
      <c r="AE64" s="972"/>
      <c r="AF64" s="972"/>
      <c r="AG64" s="972">
        <v>0</v>
      </c>
      <c r="AH64" s="972">
        <v>0</v>
      </c>
      <c r="AI64" s="972">
        <v>0</v>
      </c>
      <c r="AJ64" s="972">
        <v>0</v>
      </c>
      <c r="AK64" s="972">
        <v>0</v>
      </c>
      <c r="AL64" s="972">
        <v>0</v>
      </c>
      <c r="AM64" s="972">
        <v>0</v>
      </c>
      <c r="AN64" s="972">
        <v>0</v>
      </c>
      <c r="AO64" s="972"/>
      <c r="AP64" s="972"/>
      <c r="AQ64" s="972"/>
      <c r="AR64" s="972"/>
      <c r="AS64" s="972"/>
      <c r="AT64" s="972">
        <v>1957.2937499999998</v>
      </c>
      <c r="AU64" s="972">
        <v>1765.7339055793991</v>
      </c>
      <c r="AV64" s="973">
        <v>1095245.0276555794</v>
      </c>
      <c r="AW64" s="972">
        <v>0</v>
      </c>
      <c r="AX64" s="972">
        <v>0</v>
      </c>
      <c r="AY64" s="972">
        <v>0</v>
      </c>
      <c r="AZ64" s="972">
        <v>0</v>
      </c>
      <c r="BA64" s="972">
        <v>0</v>
      </c>
      <c r="BB64" s="972">
        <v>0</v>
      </c>
      <c r="BC64" s="972">
        <v>0</v>
      </c>
      <c r="BD64" s="972">
        <v>0</v>
      </c>
      <c r="BE64" s="972">
        <v>0</v>
      </c>
      <c r="BF64" s="972">
        <v>1100.7339449541284</v>
      </c>
      <c r="BG64" s="972">
        <v>0</v>
      </c>
      <c r="BH64" s="972">
        <v>0</v>
      </c>
      <c r="BI64" s="972">
        <v>1096345.7616005335</v>
      </c>
    </row>
    <row r="65" spans="1:61" s="242" customFormat="1" ht="16.149999999999999" customHeight="1" x14ac:dyDescent="0.2">
      <c r="A65" s="247" t="s">
        <v>123</v>
      </c>
      <c r="B65" s="232" t="s">
        <v>206</v>
      </c>
      <c r="C65" s="972">
        <v>730214</v>
      </c>
      <c r="D65" s="972"/>
      <c r="E65" s="972">
        <v>0</v>
      </c>
      <c r="F65" s="972">
        <v>0</v>
      </c>
      <c r="G65" s="972">
        <v>0</v>
      </c>
      <c r="H65" s="972">
        <v>0</v>
      </c>
      <c r="I65" s="972">
        <v>0</v>
      </c>
      <c r="J65" s="972">
        <v>0</v>
      </c>
      <c r="K65" s="972">
        <v>0</v>
      </c>
      <c r="L65" s="972">
        <v>0</v>
      </c>
      <c r="M65" s="972">
        <v>0</v>
      </c>
      <c r="N65" s="972">
        <v>0</v>
      </c>
      <c r="O65" s="972">
        <v>0</v>
      </c>
      <c r="P65" s="972">
        <v>0</v>
      </c>
      <c r="Q65" s="972">
        <v>0</v>
      </c>
      <c r="R65" s="972"/>
      <c r="S65" s="972">
        <v>0</v>
      </c>
      <c r="T65" s="972">
        <v>0</v>
      </c>
      <c r="U65" s="972">
        <v>0</v>
      </c>
      <c r="V65" s="972">
        <v>0</v>
      </c>
      <c r="W65" s="972">
        <v>0</v>
      </c>
      <c r="X65" s="972">
        <v>0</v>
      </c>
      <c r="Y65" s="972">
        <v>0</v>
      </c>
      <c r="Z65" s="972"/>
      <c r="AA65" s="972">
        <v>0</v>
      </c>
      <c r="AB65" s="972">
        <v>0</v>
      </c>
      <c r="AC65" s="972"/>
      <c r="AD65" s="972"/>
      <c r="AE65" s="972"/>
      <c r="AF65" s="972"/>
      <c r="AG65" s="972">
        <v>0</v>
      </c>
      <c r="AH65" s="972">
        <v>0</v>
      </c>
      <c r="AI65" s="972">
        <v>0</v>
      </c>
      <c r="AJ65" s="972">
        <v>0</v>
      </c>
      <c r="AK65" s="972">
        <v>0</v>
      </c>
      <c r="AL65" s="972">
        <v>0</v>
      </c>
      <c r="AM65" s="972">
        <v>0</v>
      </c>
      <c r="AN65" s="972">
        <v>0</v>
      </c>
      <c r="AO65" s="972"/>
      <c r="AP65" s="972"/>
      <c r="AQ65" s="972"/>
      <c r="AR65" s="972"/>
      <c r="AS65" s="972"/>
      <c r="AT65" s="972">
        <v>924.27760416666661</v>
      </c>
      <c r="AU65" s="972">
        <v>3266.6077253218887</v>
      </c>
      <c r="AV65" s="973">
        <v>734404.88532948855</v>
      </c>
      <c r="AW65" s="972">
        <v>0</v>
      </c>
      <c r="AX65" s="972">
        <v>0</v>
      </c>
      <c r="AY65" s="972">
        <v>0</v>
      </c>
      <c r="AZ65" s="972">
        <v>0</v>
      </c>
      <c r="BA65" s="972">
        <v>0</v>
      </c>
      <c r="BB65" s="972">
        <v>0</v>
      </c>
      <c r="BC65" s="972">
        <v>0</v>
      </c>
      <c r="BD65" s="972">
        <v>0</v>
      </c>
      <c r="BE65" s="972">
        <v>0</v>
      </c>
      <c r="BF65" s="972">
        <v>0</v>
      </c>
      <c r="BG65" s="972">
        <v>0</v>
      </c>
      <c r="BH65" s="972">
        <v>0</v>
      </c>
      <c r="BI65" s="972">
        <v>734404.88532948855</v>
      </c>
    </row>
    <row r="66" spans="1:61" s="242" customFormat="1" ht="16.149999999999999" customHeight="1" x14ac:dyDescent="0.2">
      <c r="A66" s="249" t="s">
        <v>207</v>
      </c>
      <c r="B66" s="234" t="s">
        <v>208</v>
      </c>
      <c r="C66" s="974">
        <v>762138</v>
      </c>
      <c r="D66" s="974"/>
      <c r="E66" s="974">
        <v>0</v>
      </c>
      <c r="F66" s="974">
        <v>0</v>
      </c>
      <c r="G66" s="974">
        <v>0</v>
      </c>
      <c r="H66" s="974">
        <v>0</v>
      </c>
      <c r="I66" s="974">
        <v>0</v>
      </c>
      <c r="J66" s="974">
        <v>0</v>
      </c>
      <c r="K66" s="974">
        <v>0</v>
      </c>
      <c r="L66" s="974">
        <v>0</v>
      </c>
      <c r="M66" s="974">
        <v>0</v>
      </c>
      <c r="N66" s="974">
        <v>0</v>
      </c>
      <c r="O66" s="974">
        <v>0</v>
      </c>
      <c r="P66" s="974">
        <v>0</v>
      </c>
      <c r="Q66" s="974">
        <v>0</v>
      </c>
      <c r="R66" s="974"/>
      <c r="S66" s="974">
        <v>0</v>
      </c>
      <c r="T66" s="974">
        <v>0</v>
      </c>
      <c r="U66" s="974">
        <v>0</v>
      </c>
      <c r="V66" s="974">
        <v>0</v>
      </c>
      <c r="W66" s="974">
        <v>0</v>
      </c>
      <c r="X66" s="974">
        <v>0</v>
      </c>
      <c r="Y66" s="974">
        <v>0</v>
      </c>
      <c r="Z66" s="974"/>
      <c r="AA66" s="974">
        <v>0</v>
      </c>
      <c r="AB66" s="974">
        <v>144.26748251748251</v>
      </c>
      <c r="AC66" s="974"/>
      <c r="AD66" s="974"/>
      <c r="AE66" s="974"/>
      <c r="AF66" s="974"/>
      <c r="AG66" s="974">
        <v>0</v>
      </c>
      <c r="AH66" s="974">
        <v>0</v>
      </c>
      <c r="AI66" s="974">
        <v>0</v>
      </c>
      <c r="AJ66" s="974">
        <v>0</v>
      </c>
      <c r="AK66" s="974">
        <v>0</v>
      </c>
      <c r="AL66" s="974">
        <v>0</v>
      </c>
      <c r="AM66" s="974">
        <v>0</v>
      </c>
      <c r="AN66" s="974">
        <v>0</v>
      </c>
      <c r="AO66" s="974"/>
      <c r="AP66" s="974"/>
      <c r="AQ66" s="974"/>
      <c r="AR66" s="974"/>
      <c r="AS66" s="974"/>
      <c r="AT66" s="974">
        <v>434.95416666666665</v>
      </c>
      <c r="AU66" s="974">
        <v>2913.4609442060082</v>
      </c>
      <c r="AV66" s="975">
        <v>765630.68259339023</v>
      </c>
      <c r="AW66" s="974">
        <v>0</v>
      </c>
      <c r="AX66" s="974">
        <v>0</v>
      </c>
      <c r="AY66" s="974">
        <v>0</v>
      </c>
      <c r="AZ66" s="974">
        <v>0</v>
      </c>
      <c r="BA66" s="974">
        <v>0</v>
      </c>
      <c r="BB66" s="974">
        <v>0</v>
      </c>
      <c r="BC66" s="974">
        <v>0</v>
      </c>
      <c r="BD66" s="974">
        <v>0</v>
      </c>
      <c r="BE66" s="974">
        <v>0</v>
      </c>
      <c r="BF66" s="974">
        <v>183.45565749235473</v>
      </c>
      <c r="BG66" s="974">
        <v>0</v>
      </c>
      <c r="BH66" s="976">
        <v>0</v>
      </c>
      <c r="BI66" s="974">
        <v>765814.13825088262</v>
      </c>
    </row>
    <row r="67" spans="1:61" s="242" customFormat="1" ht="16.149999999999999" customHeight="1" x14ac:dyDescent="0.2">
      <c r="A67" s="245" t="s">
        <v>124</v>
      </c>
      <c r="B67" s="236" t="s">
        <v>209</v>
      </c>
      <c r="C67" s="968">
        <v>646886</v>
      </c>
      <c r="D67" s="968"/>
      <c r="E67" s="968">
        <v>190.43822075782538</v>
      </c>
      <c r="F67" s="968">
        <v>0</v>
      </c>
      <c r="G67" s="968">
        <v>0</v>
      </c>
      <c r="H67" s="968">
        <v>0</v>
      </c>
      <c r="I67" s="968">
        <v>0</v>
      </c>
      <c r="J67" s="968">
        <v>0</v>
      </c>
      <c r="K67" s="968">
        <v>0</v>
      </c>
      <c r="L67" s="968">
        <v>0</v>
      </c>
      <c r="M67" s="968">
        <v>2195.970297029703</v>
      </c>
      <c r="N67" s="968">
        <v>0</v>
      </c>
      <c r="O67" s="968">
        <v>127.18020679468243</v>
      </c>
      <c r="P67" s="968">
        <v>0</v>
      </c>
      <c r="Q67" s="968">
        <v>0</v>
      </c>
      <c r="R67" s="968"/>
      <c r="S67" s="968">
        <v>591.27619047619055</v>
      </c>
      <c r="T67" s="968">
        <v>2386.5422396856579</v>
      </c>
      <c r="U67" s="968">
        <v>0</v>
      </c>
      <c r="V67" s="968">
        <v>0</v>
      </c>
      <c r="W67" s="968">
        <v>0</v>
      </c>
      <c r="X67" s="968">
        <v>0</v>
      </c>
      <c r="Y67" s="968">
        <v>0</v>
      </c>
      <c r="Z67" s="968"/>
      <c r="AA67" s="968">
        <v>285.05833333333334</v>
      </c>
      <c r="AB67" s="969">
        <v>0</v>
      </c>
      <c r="AC67" s="969"/>
      <c r="AD67" s="969"/>
      <c r="AE67" s="969"/>
      <c r="AF67" s="969"/>
      <c r="AG67" s="969">
        <v>0</v>
      </c>
      <c r="AH67" s="969">
        <v>0</v>
      </c>
      <c r="AI67" s="969">
        <v>147.25987525987526</v>
      </c>
      <c r="AJ67" s="969">
        <v>0</v>
      </c>
      <c r="AK67" s="969">
        <v>0</v>
      </c>
      <c r="AL67" s="969">
        <v>0</v>
      </c>
      <c r="AM67" s="969">
        <v>0</v>
      </c>
      <c r="AN67" s="969">
        <v>0</v>
      </c>
      <c r="AO67" s="969"/>
      <c r="AP67" s="969"/>
      <c r="AQ67" s="969"/>
      <c r="AR67" s="969"/>
      <c r="AS67" s="969"/>
      <c r="AT67" s="968">
        <v>543.69270833333326</v>
      </c>
      <c r="AU67" s="968">
        <v>2383.7407725321887</v>
      </c>
      <c r="AV67" s="970">
        <v>655737.15884420276</v>
      </c>
      <c r="AW67" s="968">
        <v>0</v>
      </c>
      <c r="AX67" s="968">
        <v>0</v>
      </c>
      <c r="AY67" s="968">
        <v>0</v>
      </c>
      <c r="AZ67" s="968">
        <v>0</v>
      </c>
      <c r="BA67" s="968">
        <v>0</v>
      </c>
      <c r="BB67" s="968">
        <v>0</v>
      </c>
      <c r="BC67" s="968">
        <v>0</v>
      </c>
      <c r="BD67" s="968">
        <v>0</v>
      </c>
      <c r="BE67" s="968">
        <v>0</v>
      </c>
      <c r="BF67" s="968">
        <v>366.91131498470946</v>
      </c>
      <c r="BG67" s="968">
        <v>0</v>
      </c>
      <c r="BH67" s="971">
        <v>2642.4</v>
      </c>
      <c r="BI67" s="968">
        <v>658746.47015918745</v>
      </c>
    </row>
    <row r="68" spans="1:61" s="242" customFormat="1" ht="16.149999999999999" customHeight="1" x14ac:dyDescent="0.2">
      <c r="A68" s="247" t="s">
        <v>210</v>
      </c>
      <c r="B68" s="232" t="s">
        <v>211</v>
      </c>
      <c r="C68" s="972">
        <v>261376</v>
      </c>
      <c r="D68" s="972"/>
      <c r="E68" s="972">
        <v>0</v>
      </c>
      <c r="F68" s="972">
        <v>0</v>
      </c>
      <c r="G68" s="972">
        <v>0</v>
      </c>
      <c r="H68" s="972">
        <v>0</v>
      </c>
      <c r="I68" s="972">
        <v>0</v>
      </c>
      <c r="J68" s="972">
        <v>0</v>
      </c>
      <c r="K68" s="972">
        <v>0</v>
      </c>
      <c r="L68" s="972">
        <v>0</v>
      </c>
      <c r="M68" s="972">
        <v>0</v>
      </c>
      <c r="N68" s="972">
        <v>0</v>
      </c>
      <c r="O68" s="972">
        <v>0</v>
      </c>
      <c r="P68" s="972">
        <v>0</v>
      </c>
      <c r="Q68" s="972">
        <v>0</v>
      </c>
      <c r="R68" s="972"/>
      <c r="S68" s="972">
        <v>0</v>
      </c>
      <c r="T68" s="972">
        <v>0</v>
      </c>
      <c r="U68" s="972">
        <v>0</v>
      </c>
      <c r="V68" s="972">
        <v>0</v>
      </c>
      <c r="W68" s="972">
        <v>0</v>
      </c>
      <c r="X68" s="972">
        <v>0</v>
      </c>
      <c r="Y68" s="972">
        <v>0</v>
      </c>
      <c r="Z68" s="972"/>
      <c r="AA68" s="972">
        <v>0</v>
      </c>
      <c r="AB68" s="972">
        <v>0</v>
      </c>
      <c r="AC68" s="972"/>
      <c r="AD68" s="972"/>
      <c r="AE68" s="972"/>
      <c r="AF68" s="972"/>
      <c r="AG68" s="972">
        <v>0</v>
      </c>
      <c r="AH68" s="972">
        <v>0</v>
      </c>
      <c r="AI68" s="972">
        <v>0</v>
      </c>
      <c r="AJ68" s="972">
        <v>0</v>
      </c>
      <c r="AK68" s="972">
        <v>0</v>
      </c>
      <c r="AL68" s="972">
        <v>0</v>
      </c>
      <c r="AM68" s="972">
        <v>0</v>
      </c>
      <c r="AN68" s="972">
        <v>0</v>
      </c>
      <c r="AO68" s="972"/>
      <c r="AP68" s="972"/>
      <c r="AQ68" s="972"/>
      <c r="AR68" s="972"/>
      <c r="AS68" s="972"/>
      <c r="AT68" s="972">
        <v>163.10781250000002</v>
      </c>
      <c r="AU68" s="972">
        <v>1500.8738197424891</v>
      </c>
      <c r="AV68" s="973">
        <v>263039.9816322425</v>
      </c>
      <c r="AW68" s="972">
        <v>0</v>
      </c>
      <c r="AX68" s="972">
        <v>0</v>
      </c>
      <c r="AY68" s="972">
        <v>0</v>
      </c>
      <c r="AZ68" s="972">
        <v>0</v>
      </c>
      <c r="BA68" s="972">
        <v>4575.4060913705589</v>
      </c>
      <c r="BB68" s="972">
        <v>0</v>
      </c>
      <c r="BC68" s="972">
        <v>0</v>
      </c>
      <c r="BD68" s="972">
        <v>0</v>
      </c>
      <c r="BE68" s="972">
        <v>0</v>
      </c>
      <c r="BF68" s="972">
        <v>366.91131498470946</v>
      </c>
      <c r="BG68" s="972">
        <v>0</v>
      </c>
      <c r="BH68" s="972">
        <v>0</v>
      </c>
      <c r="BI68" s="972">
        <v>267982.29903859779</v>
      </c>
    </row>
    <row r="69" spans="1:61" s="242" customFormat="1" ht="16.149999999999999" customHeight="1" x14ac:dyDescent="0.2">
      <c r="A69" s="247" t="s">
        <v>212</v>
      </c>
      <c r="B69" s="232" t="s">
        <v>213</v>
      </c>
      <c r="C69" s="972">
        <v>369185</v>
      </c>
      <c r="D69" s="972"/>
      <c r="E69" s="972">
        <v>0</v>
      </c>
      <c r="F69" s="972">
        <v>0</v>
      </c>
      <c r="G69" s="972">
        <v>0</v>
      </c>
      <c r="H69" s="972">
        <v>0</v>
      </c>
      <c r="I69" s="972">
        <v>0</v>
      </c>
      <c r="J69" s="972">
        <v>0</v>
      </c>
      <c r="K69" s="972">
        <v>0</v>
      </c>
      <c r="L69" s="972">
        <v>0</v>
      </c>
      <c r="M69" s="972">
        <v>548.99257425742576</v>
      </c>
      <c r="N69" s="972">
        <v>0</v>
      </c>
      <c r="O69" s="972">
        <v>0</v>
      </c>
      <c r="P69" s="972">
        <v>0</v>
      </c>
      <c r="Q69" s="972">
        <v>0</v>
      </c>
      <c r="R69" s="972"/>
      <c r="S69" s="972">
        <v>0</v>
      </c>
      <c r="T69" s="972">
        <v>0</v>
      </c>
      <c r="U69" s="972">
        <v>0</v>
      </c>
      <c r="V69" s="972">
        <v>0</v>
      </c>
      <c r="W69" s="972">
        <v>0</v>
      </c>
      <c r="X69" s="972">
        <v>0</v>
      </c>
      <c r="Y69" s="972">
        <v>0</v>
      </c>
      <c r="Z69" s="972"/>
      <c r="AA69" s="972">
        <v>0</v>
      </c>
      <c r="AB69" s="972">
        <v>0</v>
      </c>
      <c r="AC69" s="972"/>
      <c r="AD69" s="972"/>
      <c r="AE69" s="972"/>
      <c r="AF69" s="972"/>
      <c r="AG69" s="972">
        <v>0</v>
      </c>
      <c r="AH69" s="972">
        <v>0</v>
      </c>
      <c r="AI69" s="972">
        <v>0</v>
      </c>
      <c r="AJ69" s="972">
        <v>0</v>
      </c>
      <c r="AK69" s="972">
        <v>0</v>
      </c>
      <c r="AL69" s="972">
        <v>0</v>
      </c>
      <c r="AM69" s="972">
        <v>0</v>
      </c>
      <c r="AN69" s="972">
        <v>0</v>
      </c>
      <c r="AO69" s="972"/>
      <c r="AP69" s="972"/>
      <c r="AQ69" s="972"/>
      <c r="AR69" s="972"/>
      <c r="AS69" s="972"/>
      <c r="AT69" s="972">
        <v>434.95416666666665</v>
      </c>
      <c r="AU69" s="972">
        <v>794.58025751072967</v>
      </c>
      <c r="AV69" s="973">
        <v>370963.5269984348</v>
      </c>
      <c r="AW69" s="972">
        <v>0</v>
      </c>
      <c r="AX69" s="972">
        <v>0</v>
      </c>
      <c r="AY69" s="972">
        <v>0</v>
      </c>
      <c r="AZ69" s="972">
        <v>0</v>
      </c>
      <c r="BA69" s="972">
        <v>0</v>
      </c>
      <c r="BB69" s="972">
        <v>0</v>
      </c>
      <c r="BC69" s="972">
        <v>0</v>
      </c>
      <c r="BD69" s="972">
        <v>0</v>
      </c>
      <c r="BE69" s="972">
        <v>0</v>
      </c>
      <c r="BF69" s="972">
        <v>366.91131498470946</v>
      </c>
      <c r="BG69" s="972">
        <v>0</v>
      </c>
      <c r="BH69" s="972">
        <v>0</v>
      </c>
      <c r="BI69" s="972">
        <v>371330.43831341952</v>
      </c>
    </row>
    <row r="70" spans="1:61" s="242" customFormat="1" ht="16.149999999999999" customHeight="1" x14ac:dyDescent="0.2">
      <c r="A70" s="247" t="s">
        <v>214</v>
      </c>
      <c r="B70" s="232" t="s">
        <v>215</v>
      </c>
      <c r="C70" s="972">
        <v>321722</v>
      </c>
      <c r="D70" s="972"/>
      <c r="E70" s="972">
        <v>0</v>
      </c>
      <c r="F70" s="972">
        <v>0</v>
      </c>
      <c r="G70" s="972">
        <v>0</v>
      </c>
      <c r="H70" s="972">
        <v>0</v>
      </c>
      <c r="I70" s="972">
        <v>0</v>
      </c>
      <c r="J70" s="972">
        <v>0</v>
      </c>
      <c r="K70" s="972">
        <v>0</v>
      </c>
      <c r="L70" s="972">
        <v>0</v>
      </c>
      <c r="M70" s="972">
        <v>0</v>
      </c>
      <c r="N70" s="972">
        <v>0</v>
      </c>
      <c r="O70" s="972">
        <v>0</v>
      </c>
      <c r="P70" s="972">
        <v>0</v>
      </c>
      <c r="Q70" s="972">
        <v>0</v>
      </c>
      <c r="R70" s="972"/>
      <c r="S70" s="972">
        <v>0</v>
      </c>
      <c r="T70" s="972">
        <v>0</v>
      </c>
      <c r="U70" s="972">
        <v>0</v>
      </c>
      <c r="V70" s="972">
        <v>0</v>
      </c>
      <c r="W70" s="972">
        <v>0</v>
      </c>
      <c r="X70" s="972">
        <v>0</v>
      </c>
      <c r="Y70" s="972">
        <v>0</v>
      </c>
      <c r="Z70" s="972"/>
      <c r="AA70" s="972">
        <v>0</v>
      </c>
      <c r="AB70" s="972">
        <v>144.26748251748251</v>
      </c>
      <c r="AC70" s="972"/>
      <c r="AD70" s="972"/>
      <c r="AE70" s="972"/>
      <c r="AF70" s="972"/>
      <c r="AG70" s="972">
        <v>0</v>
      </c>
      <c r="AH70" s="972">
        <v>0</v>
      </c>
      <c r="AI70" s="972">
        <v>0</v>
      </c>
      <c r="AJ70" s="972">
        <v>0</v>
      </c>
      <c r="AK70" s="972">
        <v>0</v>
      </c>
      <c r="AL70" s="972">
        <v>0</v>
      </c>
      <c r="AM70" s="972">
        <v>0</v>
      </c>
      <c r="AN70" s="972">
        <v>0</v>
      </c>
      <c r="AO70" s="972"/>
      <c r="AP70" s="972"/>
      <c r="AQ70" s="972"/>
      <c r="AR70" s="972"/>
      <c r="AS70" s="972"/>
      <c r="AT70" s="972">
        <v>326.21562500000005</v>
      </c>
      <c r="AU70" s="972">
        <v>353.14678111587983</v>
      </c>
      <c r="AV70" s="973">
        <v>322545.62988863332</v>
      </c>
      <c r="AW70" s="972">
        <v>0</v>
      </c>
      <c r="AX70" s="972">
        <v>0</v>
      </c>
      <c r="AY70" s="972">
        <v>0</v>
      </c>
      <c r="AZ70" s="972">
        <v>0</v>
      </c>
      <c r="BA70" s="972">
        <v>0</v>
      </c>
      <c r="BB70" s="972">
        <v>0</v>
      </c>
      <c r="BC70" s="972">
        <v>0</v>
      </c>
      <c r="BD70" s="972">
        <v>0</v>
      </c>
      <c r="BE70" s="972">
        <v>0</v>
      </c>
      <c r="BF70" s="972">
        <v>0</v>
      </c>
      <c r="BG70" s="972">
        <v>0</v>
      </c>
      <c r="BH70" s="972">
        <v>0</v>
      </c>
      <c r="BI70" s="972">
        <v>322545.62988863332</v>
      </c>
    </row>
    <row r="71" spans="1:61" s="242" customFormat="1" ht="16.149999999999999" customHeight="1" x14ac:dyDescent="0.2">
      <c r="A71" s="249" t="s">
        <v>125</v>
      </c>
      <c r="B71" s="234" t="s">
        <v>216</v>
      </c>
      <c r="C71" s="974">
        <v>1293784</v>
      </c>
      <c r="D71" s="974"/>
      <c r="E71" s="974">
        <v>0</v>
      </c>
      <c r="F71" s="974">
        <v>0</v>
      </c>
      <c r="G71" s="974">
        <v>0</v>
      </c>
      <c r="H71" s="974">
        <v>0</v>
      </c>
      <c r="I71" s="974">
        <v>0</v>
      </c>
      <c r="J71" s="974">
        <v>0</v>
      </c>
      <c r="K71" s="974">
        <v>0</v>
      </c>
      <c r="L71" s="974">
        <v>0</v>
      </c>
      <c r="M71" s="974">
        <v>0</v>
      </c>
      <c r="N71" s="974">
        <v>0</v>
      </c>
      <c r="O71" s="974">
        <v>0</v>
      </c>
      <c r="P71" s="974">
        <v>0</v>
      </c>
      <c r="Q71" s="974">
        <v>0</v>
      </c>
      <c r="R71" s="974"/>
      <c r="S71" s="974">
        <v>0</v>
      </c>
      <c r="T71" s="974">
        <v>0</v>
      </c>
      <c r="U71" s="974">
        <v>0</v>
      </c>
      <c r="V71" s="974">
        <v>0</v>
      </c>
      <c r="W71" s="974">
        <v>0</v>
      </c>
      <c r="X71" s="974">
        <v>0</v>
      </c>
      <c r="Y71" s="974">
        <v>0</v>
      </c>
      <c r="Z71" s="974"/>
      <c r="AA71" s="974">
        <v>0</v>
      </c>
      <c r="AB71" s="974">
        <v>0</v>
      </c>
      <c r="AC71" s="974"/>
      <c r="AD71" s="974"/>
      <c r="AE71" s="974"/>
      <c r="AF71" s="974"/>
      <c r="AG71" s="974">
        <v>0</v>
      </c>
      <c r="AH71" s="974">
        <v>0</v>
      </c>
      <c r="AI71" s="974">
        <v>0</v>
      </c>
      <c r="AJ71" s="974">
        <v>0</v>
      </c>
      <c r="AK71" s="974">
        <v>0</v>
      </c>
      <c r="AL71" s="974">
        <v>0</v>
      </c>
      <c r="AM71" s="974">
        <v>0</v>
      </c>
      <c r="AN71" s="974">
        <v>0</v>
      </c>
      <c r="AO71" s="974"/>
      <c r="AP71" s="974"/>
      <c r="AQ71" s="974"/>
      <c r="AR71" s="974"/>
      <c r="AS71" s="974"/>
      <c r="AT71" s="974">
        <v>434.95416666666665</v>
      </c>
      <c r="AU71" s="974">
        <v>441.43347639484978</v>
      </c>
      <c r="AV71" s="975">
        <v>1294660.3876430613</v>
      </c>
      <c r="AW71" s="974">
        <v>17184.469696969696</v>
      </c>
      <c r="AX71" s="974">
        <v>0</v>
      </c>
      <c r="AY71" s="974">
        <v>0</v>
      </c>
      <c r="AZ71" s="974">
        <v>0</v>
      </c>
      <c r="BA71" s="974">
        <v>261.45177664974619</v>
      </c>
      <c r="BB71" s="974">
        <v>0</v>
      </c>
      <c r="BC71" s="974">
        <v>0</v>
      </c>
      <c r="BD71" s="974">
        <v>0</v>
      </c>
      <c r="BE71" s="974">
        <v>0</v>
      </c>
      <c r="BF71" s="974">
        <v>366.91131498470946</v>
      </c>
      <c r="BG71" s="974">
        <v>0</v>
      </c>
      <c r="BH71" s="976">
        <v>440.40000000000003</v>
      </c>
      <c r="BI71" s="974">
        <v>1312913.6204316656</v>
      </c>
    </row>
    <row r="72" spans="1:61" s="242" customFormat="1" ht="16.149999999999999" customHeight="1" x14ac:dyDescent="0.2">
      <c r="A72" s="245" t="s">
        <v>126</v>
      </c>
      <c r="B72" s="236" t="s">
        <v>217</v>
      </c>
      <c r="C72" s="968">
        <v>297089</v>
      </c>
      <c r="D72" s="968"/>
      <c r="E72" s="968">
        <v>0</v>
      </c>
      <c r="F72" s="968">
        <v>0</v>
      </c>
      <c r="G72" s="968">
        <v>0</v>
      </c>
      <c r="H72" s="968">
        <v>0</v>
      </c>
      <c r="I72" s="968">
        <v>0</v>
      </c>
      <c r="J72" s="968">
        <v>0</v>
      </c>
      <c r="K72" s="968">
        <v>0</v>
      </c>
      <c r="L72" s="968">
        <v>0</v>
      </c>
      <c r="M72" s="968">
        <v>0</v>
      </c>
      <c r="N72" s="968">
        <v>0</v>
      </c>
      <c r="O72" s="968">
        <v>0</v>
      </c>
      <c r="P72" s="968">
        <v>0</v>
      </c>
      <c r="Q72" s="968">
        <v>0</v>
      </c>
      <c r="R72" s="968"/>
      <c r="S72" s="968">
        <v>0</v>
      </c>
      <c r="T72" s="968">
        <v>0</v>
      </c>
      <c r="U72" s="968">
        <v>0</v>
      </c>
      <c r="V72" s="968">
        <v>0</v>
      </c>
      <c r="W72" s="968">
        <v>0</v>
      </c>
      <c r="X72" s="968">
        <v>0</v>
      </c>
      <c r="Y72" s="968">
        <v>0</v>
      </c>
      <c r="Z72" s="968"/>
      <c r="AA72" s="968">
        <v>0</v>
      </c>
      <c r="AB72" s="969">
        <v>0</v>
      </c>
      <c r="AC72" s="969"/>
      <c r="AD72" s="969"/>
      <c r="AE72" s="969"/>
      <c r="AF72" s="969"/>
      <c r="AG72" s="969">
        <v>0</v>
      </c>
      <c r="AH72" s="969">
        <v>0</v>
      </c>
      <c r="AI72" s="969">
        <v>0</v>
      </c>
      <c r="AJ72" s="969">
        <v>0</v>
      </c>
      <c r="AK72" s="969">
        <v>0</v>
      </c>
      <c r="AL72" s="969">
        <v>0</v>
      </c>
      <c r="AM72" s="969">
        <v>0</v>
      </c>
      <c r="AN72" s="969">
        <v>0</v>
      </c>
      <c r="AO72" s="969"/>
      <c r="AP72" s="969"/>
      <c r="AQ72" s="969"/>
      <c r="AR72" s="969"/>
      <c r="AS72" s="969"/>
      <c r="AT72" s="968">
        <v>761.1697916666667</v>
      </c>
      <c r="AU72" s="968">
        <v>1854.0206008583691</v>
      </c>
      <c r="AV72" s="970">
        <v>299704.19039252505</v>
      </c>
      <c r="AW72" s="968">
        <v>0</v>
      </c>
      <c r="AX72" s="968">
        <v>0</v>
      </c>
      <c r="AY72" s="968">
        <v>0</v>
      </c>
      <c r="AZ72" s="968">
        <v>0</v>
      </c>
      <c r="BA72" s="968">
        <v>0</v>
      </c>
      <c r="BB72" s="968">
        <v>0</v>
      </c>
      <c r="BC72" s="968">
        <v>0</v>
      </c>
      <c r="BD72" s="968">
        <v>0</v>
      </c>
      <c r="BE72" s="968">
        <v>0</v>
      </c>
      <c r="BF72" s="968">
        <v>0</v>
      </c>
      <c r="BG72" s="968">
        <v>0</v>
      </c>
      <c r="BH72" s="971">
        <v>0</v>
      </c>
      <c r="BI72" s="968">
        <v>299704.19039252505</v>
      </c>
    </row>
    <row r="73" spans="1:61" s="242" customFormat="1" ht="16.149999999999999" customHeight="1" x14ac:dyDescent="0.2">
      <c r="A73" s="247" t="s">
        <v>218</v>
      </c>
      <c r="B73" s="232" t="s">
        <v>219</v>
      </c>
      <c r="C73" s="972">
        <v>629646</v>
      </c>
      <c r="D73" s="972"/>
      <c r="E73" s="972">
        <v>380.87644151565075</v>
      </c>
      <c r="F73" s="972">
        <v>0</v>
      </c>
      <c r="G73" s="972">
        <v>0</v>
      </c>
      <c r="H73" s="972">
        <v>0</v>
      </c>
      <c r="I73" s="972">
        <v>0</v>
      </c>
      <c r="J73" s="972">
        <v>0</v>
      </c>
      <c r="K73" s="972">
        <v>0</v>
      </c>
      <c r="L73" s="972">
        <v>0</v>
      </c>
      <c r="M73" s="972">
        <v>1463.9801980198019</v>
      </c>
      <c r="N73" s="972">
        <v>0</v>
      </c>
      <c r="O73" s="972">
        <v>254.36041358936487</v>
      </c>
      <c r="P73" s="972">
        <v>0</v>
      </c>
      <c r="Q73" s="972">
        <v>899.8903394255874</v>
      </c>
      <c r="R73" s="972"/>
      <c r="S73" s="972">
        <v>1892.0838095238096</v>
      </c>
      <c r="T73" s="972">
        <v>0</v>
      </c>
      <c r="U73" s="972">
        <v>0</v>
      </c>
      <c r="V73" s="972">
        <v>0</v>
      </c>
      <c r="W73" s="972">
        <v>0</v>
      </c>
      <c r="X73" s="972">
        <v>0</v>
      </c>
      <c r="Y73" s="972">
        <v>0</v>
      </c>
      <c r="Z73" s="972"/>
      <c r="AA73" s="972">
        <v>1282.7625</v>
      </c>
      <c r="AB73" s="972">
        <v>0</v>
      </c>
      <c r="AC73" s="972"/>
      <c r="AD73" s="972"/>
      <c r="AE73" s="972"/>
      <c r="AF73" s="972"/>
      <c r="AG73" s="972">
        <v>0</v>
      </c>
      <c r="AH73" s="972">
        <v>0</v>
      </c>
      <c r="AI73" s="972">
        <v>0</v>
      </c>
      <c r="AJ73" s="972">
        <v>96.350299401197617</v>
      </c>
      <c r="AK73" s="972">
        <v>0</v>
      </c>
      <c r="AL73" s="972">
        <v>0</v>
      </c>
      <c r="AM73" s="972">
        <v>123.18</v>
      </c>
      <c r="AN73" s="972">
        <v>0</v>
      </c>
      <c r="AO73" s="972"/>
      <c r="AP73" s="972"/>
      <c r="AQ73" s="972"/>
      <c r="AR73" s="972"/>
      <c r="AS73" s="972"/>
      <c r="AT73" s="972">
        <v>598.06197916666667</v>
      </c>
      <c r="AU73" s="972">
        <v>2825.1742489270387</v>
      </c>
      <c r="AV73" s="973">
        <v>639462.72022956912</v>
      </c>
      <c r="AW73" s="972">
        <v>0</v>
      </c>
      <c r="AX73" s="972">
        <v>0</v>
      </c>
      <c r="AY73" s="972">
        <v>0</v>
      </c>
      <c r="AZ73" s="972">
        <v>0</v>
      </c>
      <c r="BA73" s="972">
        <v>0</v>
      </c>
      <c r="BB73" s="972">
        <v>0</v>
      </c>
      <c r="BC73" s="972">
        <v>0</v>
      </c>
      <c r="BD73" s="972">
        <v>0</v>
      </c>
      <c r="BE73" s="972">
        <v>0</v>
      </c>
      <c r="BF73" s="972">
        <v>366.91131498470946</v>
      </c>
      <c r="BG73" s="972">
        <v>0</v>
      </c>
      <c r="BH73" s="972">
        <v>440.40000000000003</v>
      </c>
      <c r="BI73" s="972">
        <v>640270.03154455381</v>
      </c>
    </row>
    <row r="74" spans="1:61" s="242" customFormat="1" ht="16.149999999999999" customHeight="1" x14ac:dyDescent="0.2">
      <c r="A74" s="247" t="s">
        <v>127</v>
      </c>
      <c r="B74" s="232" t="s">
        <v>220</v>
      </c>
      <c r="C74" s="972">
        <v>172176</v>
      </c>
      <c r="D74" s="972"/>
      <c r="E74" s="972">
        <v>1333.0675453047777</v>
      </c>
      <c r="F74" s="972">
        <v>0</v>
      </c>
      <c r="G74" s="972">
        <v>0</v>
      </c>
      <c r="H74" s="972">
        <v>0</v>
      </c>
      <c r="I74" s="972">
        <v>0</v>
      </c>
      <c r="J74" s="972">
        <v>0</v>
      </c>
      <c r="K74" s="972">
        <v>0</v>
      </c>
      <c r="L74" s="972">
        <v>0</v>
      </c>
      <c r="M74" s="972">
        <v>2744.9628712871286</v>
      </c>
      <c r="N74" s="972">
        <v>0</v>
      </c>
      <c r="O74" s="972">
        <v>1398.9822747415064</v>
      </c>
      <c r="P74" s="972">
        <v>0</v>
      </c>
      <c r="Q74" s="972">
        <v>29096.454308093995</v>
      </c>
      <c r="R74" s="972"/>
      <c r="S74" s="972">
        <v>29327.29904761905</v>
      </c>
      <c r="T74" s="972">
        <v>0</v>
      </c>
      <c r="U74" s="972">
        <v>0</v>
      </c>
      <c r="V74" s="972">
        <v>0</v>
      </c>
      <c r="W74" s="972">
        <v>0</v>
      </c>
      <c r="X74" s="972">
        <v>0</v>
      </c>
      <c r="Y74" s="972">
        <v>0</v>
      </c>
      <c r="Z74" s="972"/>
      <c r="AA74" s="972">
        <v>2993.1125000000002</v>
      </c>
      <c r="AB74" s="972">
        <v>0</v>
      </c>
      <c r="AC74" s="972"/>
      <c r="AD74" s="972"/>
      <c r="AE74" s="972"/>
      <c r="AF74" s="972"/>
      <c r="AG74" s="972">
        <v>0</v>
      </c>
      <c r="AH74" s="972">
        <v>0</v>
      </c>
      <c r="AI74" s="972">
        <v>1767.1185031185032</v>
      </c>
      <c r="AJ74" s="972">
        <v>1541.6047904191619</v>
      </c>
      <c r="AK74" s="972">
        <v>0</v>
      </c>
      <c r="AL74" s="972">
        <v>0</v>
      </c>
      <c r="AM74" s="972">
        <v>1231.8000000000002</v>
      </c>
      <c r="AN74" s="972">
        <v>0</v>
      </c>
      <c r="AO74" s="972"/>
      <c r="AP74" s="972"/>
      <c r="AQ74" s="972"/>
      <c r="AR74" s="972"/>
      <c r="AS74" s="972"/>
      <c r="AT74" s="972">
        <v>434.95416666666665</v>
      </c>
      <c r="AU74" s="972">
        <v>882.86695278969955</v>
      </c>
      <c r="AV74" s="973">
        <v>244928.22296004047</v>
      </c>
      <c r="AW74" s="972">
        <v>0</v>
      </c>
      <c r="AX74" s="972">
        <v>0</v>
      </c>
      <c r="AY74" s="972">
        <v>0</v>
      </c>
      <c r="AZ74" s="972">
        <v>0</v>
      </c>
      <c r="BA74" s="972">
        <v>0</v>
      </c>
      <c r="BB74" s="972">
        <v>0</v>
      </c>
      <c r="BC74" s="972">
        <v>0</v>
      </c>
      <c r="BD74" s="972">
        <v>0</v>
      </c>
      <c r="BE74" s="972">
        <v>0</v>
      </c>
      <c r="BF74" s="972">
        <v>0</v>
      </c>
      <c r="BG74" s="972">
        <v>0</v>
      </c>
      <c r="BH74" s="972">
        <v>440.40000000000003</v>
      </c>
      <c r="BI74" s="972">
        <v>245368.62296004046</v>
      </c>
    </row>
    <row r="75" spans="1:61" s="242" customFormat="1" ht="16.149999999999999" customHeight="1" x14ac:dyDescent="0.2">
      <c r="A75" s="247" t="s">
        <v>221</v>
      </c>
      <c r="B75" s="232" t="s">
        <v>222</v>
      </c>
      <c r="C75" s="972">
        <v>520247</v>
      </c>
      <c r="D75" s="972"/>
      <c r="E75" s="972">
        <v>0</v>
      </c>
      <c r="F75" s="972">
        <v>0</v>
      </c>
      <c r="G75" s="972">
        <v>0</v>
      </c>
      <c r="H75" s="972">
        <v>0</v>
      </c>
      <c r="I75" s="972">
        <v>0</v>
      </c>
      <c r="J75" s="972">
        <v>0</v>
      </c>
      <c r="K75" s="972">
        <v>0</v>
      </c>
      <c r="L75" s="972">
        <v>0</v>
      </c>
      <c r="M75" s="972">
        <v>2744.9628712871286</v>
      </c>
      <c r="N75" s="972">
        <v>0</v>
      </c>
      <c r="O75" s="972">
        <v>1017.4416543574595</v>
      </c>
      <c r="P75" s="972">
        <v>0</v>
      </c>
      <c r="Q75" s="972">
        <v>149.98172323759792</v>
      </c>
      <c r="R75" s="972"/>
      <c r="S75" s="972">
        <v>1064.2971428571429</v>
      </c>
      <c r="T75" s="972">
        <v>0</v>
      </c>
      <c r="U75" s="972">
        <v>0</v>
      </c>
      <c r="V75" s="972">
        <v>0</v>
      </c>
      <c r="W75" s="972">
        <v>0</v>
      </c>
      <c r="X75" s="972">
        <v>0</v>
      </c>
      <c r="Y75" s="972">
        <v>0</v>
      </c>
      <c r="Z75" s="972"/>
      <c r="AA75" s="972">
        <v>1567.8208333333332</v>
      </c>
      <c r="AB75" s="972">
        <v>0</v>
      </c>
      <c r="AC75" s="972"/>
      <c r="AD75" s="972"/>
      <c r="AE75" s="972"/>
      <c r="AF75" s="972"/>
      <c r="AG75" s="972">
        <v>0</v>
      </c>
      <c r="AH75" s="972">
        <v>0</v>
      </c>
      <c r="AI75" s="972">
        <v>0</v>
      </c>
      <c r="AJ75" s="972">
        <v>0</v>
      </c>
      <c r="AK75" s="972">
        <v>0</v>
      </c>
      <c r="AL75" s="972">
        <v>0</v>
      </c>
      <c r="AM75" s="972">
        <v>123.18</v>
      </c>
      <c r="AN75" s="972">
        <v>0</v>
      </c>
      <c r="AO75" s="972"/>
      <c r="AP75" s="972"/>
      <c r="AQ75" s="972"/>
      <c r="AR75" s="972"/>
      <c r="AS75" s="972"/>
      <c r="AT75" s="972">
        <v>543.69270833333326</v>
      </c>
      <c r="AU75" s="972">
        <v>1765.7339055793991</v>
      </c>
      <c r="AV75" s="973">
        <v>529224.11083898554</v>
      </c>
      <c r="AW75" s="972">
        <v>0</v>
      </c>
      <c r="AX75" s="972">
        <v>0</v>
      </c>
      <c r="AY75" s="972">
        <v>0</v>
      </c>
      <c r="AZ75" s="972">
        <v>0</v>
      </c>
      <c r="BA75" s="972">
        <v>0</v>
      </c>
      <c r="BB75" s="972">
        <v>0</v>
      </c>
      <c r="BC75" s="972">
        <v>0</v>
      </c>
      <c r="BD75" s="972">
        <v>0</v>
      </c>
      <c r="BE75" s="972">
        <v>0</v>
      </c>
      <c r="BF75" s="972">
        <v>550.36697247706422</v>
      </c>
      <c r="BG75" s="972">
        <v>0</v>
      </c>
      <c r="BH75" s="972">
        <v>0</v>
      </c>
      <c r="BI75" s="972">
        <v>529774.4778114626</v>
      </c>
    </row>
    <row r="76" spans="1:61" s="252" customFormat="1" ht="16.149999999999999" customHeight="1" thickBot="1" x14ac:dyDescent="0.25">
      <c r="A76" s="251"/>
      <c r="B76" s="238" t="s">
        <v>346</v>
      </c>
      <c r="C76" s="977">
        <v>96117409</v>
      </c>
      <c r="D76" s="977">
        <v>354721</v>
      </c>
      <c r="E76" s="977">
        <v>57797.999999999993</v>
      </c>
      <c r="F76" s="977">
        <v>106488</v>
      </c>
      <c r="G76" s="977">
        <v>68081.000000000015</v>
      </c>
      <c r="H76" s="977">
        <v>133766</v>
      </c>
      <c r="I76" s="977">
        <v>160019.00000000003</v>
      </c>
      <c r="J76" s="977">
        <v>98181.000000000015</v>
      </c>
      <c r="K76" s="977">
        <v>40824</v>
      </c>
      <c r="L76" s="977">
        <v>74159.000000000015</v>
      </c>
      <c r="M76" s="977">
        <v>73931.000000000015</v>
      </c>
      <c r="N76" s="977">
        <v>24981.000000000004</v>
      </c>
      <c r="O76" s="977">
        <v>86101</v>
      </c>
      <c r="P76" s="977">
        <v>56333</v>
      </c>
      <c r="Q76" s="977">
        <v>57443</v>
      </c>
      <c r="R76" s="977"/>
      <c r="S76" s="977">
        <v>62084.000000000007</v>
      </c>
      <c r="T76" s="977">
        <v>24295</v>
      </c>
      <c r="U76" s="977">
        <v>51200</v>
      </c>
      <c r="V76" s="977">
        <v>11442</v>
      </c>
      <c r="W76" s="977">
        <v>126898.00000000001</v>
      </c>
      <c r="X76" s="977">
        <v>95779</v>
      </c>
      <c r="Y76" s="977">
        <v>74539.000000000015</v>
      </c>
      <c r="Z76" s="977"/>
      <c r="AA76" s="977">
        <v>102621.00000000001</v>
      </c>
      <c r="AB76" s="977">
        <v>82520.999999999985</v>
      </c>
      <c r="AC76" s="977"/>
      <c r="AD76" s="977"/>
      <c r="AE76" s="977"/>
      <c r="AF76" s="977"/>
      <c r="AG76" s="977">
        <v>15869.000000000004</v>
      </c>
      <c r="AH76" s="977">
        <v>13310.999999999998</v>
      </c>
      <c r="AI76" s="977">
        <v>70831.999999999985</v>
      </c>
      <c r="AJ76" s="977">
        <v>32181</v>
      </c>
      <c r="AK76" s="977">
        <v>32883</v>
      </c>
      <c r="AL76" s="977">
        <v>121635</v>
      </c>
      <c r="AM76" s="977">
        <v>24636.000000000004</v>
      </c>
      <c r="AN76" s="977">
        <v>27201</v>
      </c>
      <c r="AO76" s="977"/>
      <c r="AP76" s="977"/>
      <c r="AQ76" s="977"/>
      <c r="AR76" s="977"/>
      <c r="AS76" s="977"/>
      <c r="AT76" s="977">
        <v>104389</v>
      </c>
      <c r="AU76" s="977">
        <v>308561.99999999983</v>
      </c>
      <c r="AV76" s="978">
        <v>98893113.000000015</v>
      </c>
      <c r="AW76" s="977">
        <v>25924</v>
      </c>
      <c r="AX76" s="977">
        <v>52462</v>
      </c>
      <c r="AY76" s="977">
        <v>216044.99999999994</v>
      </c>
      <c r="AZ76" s="977">
        <v>66577.000000000015</v>
      </c>
      <c r="BA76" s="977">
        <v>103012.00000000001</v>
      </c>
      <c r="BB76" s="977">
        <v>167220</v>
      </c>
      <c r="BC76" s="977">
        <v>23254</v>
      </c>
      <c r="BD76" s="977">
        <v>137004</v>
      </c>
      <c r="BE76" s="977">
        <v>39800</v>
      </c>
      <c r="BF76" s="977">
        <v>59990.000000000022</v>
      </c>
      <c r="BG76" s="977">
        <v>88951.000000000015</v>
      </c>
      <c r="BH76" s="977">
        <v>79271.999999999956</v>
      </c>
      <c r="BI76" s="977">
        <v>99952624.000000015</v>
      </c>
    </row>
    <row r="77" spans="1:61" s="252" customFormat="1" ht="15.75" customHeight="1" thickTop="1" x14ac:dyDescent="0.2">
      <c r="A77" s="496"/>
      <c r="B77" s="463"/>
      <c r="C77" s="967">
        <v>0</v>
      </c>
      <c r="D77" s="967">
        <v>0</v>
      </c>
      <c r="E77" s="967">
        <v>0</v>
      </c>
      <c r="F77" s="967">
        <v>0</v>
      </c>
      <c r="G77" s="967">
        <v>0</v>
      </c>
      <c r="H77" s="967">
        <v>0</v>
      </c>
      <c r="I77" s="967">
        <v>0</v>
      </c>
      <c r="J77" s="967">
        <v>0</v>
      </c>
      <c r="K77" s="967">
        <v>0</v>
      </c>
      <c r="L77" s="967">
        <v>0</v>
      </c>
      <c r="M77" s="967">
        <v>0</v>
      </c>
      <c r="N77" s="967">
        <v>0</v>
      </c>
      <c r="O77" s="967">
        <v>0</v>
      </c>
      <c r="P77" s="967">
        <v>0</v>
      </c>
      <c r="Q77" s="967">
        <v>0</v>
      </c>
      <c r="R77" s="967"/>
      <c r="S77" s="967">
        <v>0</v>
      </c>
      <c r="T77" s="967">
        <v>0</v>
      </c>
      <c r="U77" s="967">
        <v>0</v>
      </c>
      <c r="V77" s="967">
        <v>0</v>
      </c>
      <c r="W77" s="967">
        <v>0</v>
      </c>
      <c r="X77" s="967">
        <v>0</v>
      </c>
      <c r="Y77" s="967">
        <v>0</v>
      </c>
      <c r="Z77" s="967"/>
      <c r="AA77" s="967">
        <v>0</v>
      </c>
      <c r="AB77" s="967">
        <v>0</v>
      </c>
      <c r="AC77" s="967">
        <v>0</v>
      </c>
      <c r="AD77" s="967">
        <v>0</v>
      </c>
      <c r="AE77" s="967">
        <v>0</v>
      </c>
      <c r="AF77" s="967">
        <v>0</v>
      </c>
      <c r="AG77" s="967">
        <v>0</v>
      </c>
      <c r="AH77" s="967">
        <v>0</v>
      </c>
      <c r="AI77" s="967">
        <v>0</v>
      </c>
      <c r="AJ77" s="967">
        <v>0</v>
      </c>
      <c r="AK77" s="967">
        <v>0</v>
      </c>
      <c r="AL77" s="967">
        <v>0</v>
      </c>
      <c r="AM77" s="967">
        <v>0</v>
      </c>
      <c r="AN77" s="967">
        <v>0</v>
      </c>
      <c r="AO77" s="967">
        <v>0</v>
      </c>
      <c r="AP77" s="967">
        <v>0</v>
      </c>
      <c r="AQ77" s="967">
        <v>0</v>
      </c>
      <c r="AR77" s="967">
        <v>0</v>
      </c>
      <c r="AS77" s="967">
        <v>0</v>
      </c>
      <c r="AT77" s="967">
        <v>0</v>
      </c>
      <c r="AU77" s="967">
        <v>0</v>
      </c>
      <c r="AV77" s="967">
        <v>0</v>
      </c>
      <c r="AW77" s="967">
        <v>0</v>
      </c>
      <c r="AX77" s="967">
        <v>0</v>
      </c>
      <c r="AY77" s="967">
        <v>0</v>
      </c>
      <c r="AZ77" s="967">
        <v>0</v>
      </c>
      <c r="BA77" s="967">
        <v>0</v>
      </c>
      <c r="BB77" s="967">
        <v>0</v>
      </c>
      <c r="BC77" s="967">
        <v>0</v>
      </c>
      <c r="BD77" s="967">
        <v>0</v>
      </c>
      <c r="BE77" s="967">
        <v>0</v>
      </c>
      <c r="BF77" s="967">
        <v>0</v>
      </c>
      <c r="BG77" s="967">
        <v>0</v>
      </c>
      <c r="BH77" s="967">
        <v>0</v>
      </c>
      <c r="BI77" s="967">
        <v>0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64" activePane="bottomRight" state="frozen"/>
      <selection pane="bottomRight" activeCell="H76" sqref="H76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3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BI1:BI3"/>
    <mergeCell ref="AV1:AV3"/>
    <mergeCell ref="AW1:BC1"/>
    <mergeCell ref="BD1:BH1"/>
    <mergeCell ref="Q1:X1"/>
    <mergeCell ref="Y1:AI1"/>
    <mergeCell ref="AJ1:AU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&amp;L&amp;"Arial,Bold"&amp;18&amp;K000000FY2020-21 Budget Letter
Pay Raise by Residency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T85"/>
  <sheetViews>
    <sheetView view="pageBreakPreview" zoomScaleNormal="100" zoomScaleSheetLayoutView="100" workbookViewId="0">
      <pane xSplit="2" ySplit="6" topLeftCell="C76" activePane="bottomRight" state="frozen"/>
      <selection activeCell="I7" sqref="I7:I84"/>
      <selection pane="topRight" activeCell="I7" sqref="I7:I84"/>
      <selection pane="bottomLeft" activeCell="I7" sqref="I7:I84"/>
      <selection pane="bottomRight" activeCell="G79" sqref="G7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503" t="s">
        <v>498</v>
      </c>
      <c r="B1" s="1504"/>
      <c r="C1" s="1604" t="s">
        <v>291</v>
      </c>
      <c r="D1" s="1605"/>
      <c r="E1" s="1605"/>
      <c r="F1" s="1605"/>
      <c r="G1" s="1605"/>
      <c r="H1" s="1605"/>
      <c r="I1" s="1605"/>
      <c r="J1" s="1605"/>
      <c r="K1" s="1606"/>
      <c r="L1" s="1607" t="s">
        <v>291</v>
      </c>
      <c r="M1" s="1608"/>
      <c r="N1" s="1608"/>
      <c r="O1" s="1608"/>
      <c r="P1" s="1608"/>
      <c r="Q1" s="1608"/>
      <c r="R1" s="1608"/>
      <c r="S1" s="1608"/>
      <c r="T1" s="1608"/>
      <c r="U1" s="1609"/>
      <c r="V1" s="1604" t="s">
        <v>291</v>
      </c>
      <c r="W1" s="1605"/>
      <c r="X1" s="1605"/>
      <c r="Y1" s="1605"/>
      <c r="Z1" s="1605"/>
      <c r="AA1" s="1605"/>
      <c r="AB1" s="1605"/>
      <c r="AC1" s="1605"/>
      <c r="AD1" s="1606"/>
      <c r="AE1" s="1496" t="s">
        <v>358</v>
      </c>
      <c r="AF1" s="1496"/>
      <c r="AG1" s="1496"/>
      <c r="AH1" s="1496"/>
      <c r="AI1" s="1496"/>
      <c r="AJ1" s="1496"/>
      <c r="AK1" s="1496"/>
      <c r="AL1" s="1495" t="s">
        <v>358</v>
      </c>
      <c r="AM1" s="1495"/>
      <c r="AN1" s="1495"/>
      <c r="AO1" s="1495"/>
      <c r="AP1" s="1495"/>
      <c r="AQ1" s="1495"/>
      <c r="AR1" s="1495"/>
      <c r="AS1" s="1495"/>
    </row>
    <row r="2" spans="1:46" ht="30" customHeight="1" x14ac:dyDescent="0.2">
      <c r="A2" s="1505"/>
      <c r="B2" s="1506"/>
      <c r="C2" s="1397" t="s">
        <v>1286</v>
      </c>
      <c r="D2" s="1502" t="s">
        <v>502</v>
      </c>
      <c r="E2" s="1502"/>
      <c r="F2" s="1394" t="s">
        <v>902</v>
      </c>
      <c r="G2" s="1395"/>
      <c r="H2" s="1396"/>
      <c r="I2" s="1497" t="s">
        <v>899</v>
      </c>
      <c r="J2" s="1497"/>
      <c r="K2" s="1497"/>
      <c r="L2" s="1497" t="s">
        <v>900</v>
      </c>
      <c r="M2" s="1497"/>
      <c r="N2" s="1497"/>
      <c r="O2" s="1497" t="s">
        <v>901</v>
      </c>
      <c r="P2" s="1497"/>
      <c r="Q2" s="1497"/>
      <c r="R2" s="1397" t="s">
        <v>394</v>
      </c>
      <c r="S2" s="1276" t="s">
        <v>223</v>
      </c>
      <c r="T2" s="1276"/>
      <c r="U2" s="1276"/>
      <c r="V2" s="1397" t="s">
        <v>395</v>
      </c>
      <c r="W2" s="1397" t="s">
        <v>1356</v>
      </c>
      <c r="X2" s="1397" t="s">
        <v>396</v>
      </c>
      <c r="Y2" s="1406" t="s">
        <v>1292</v>
      </c>
      <c r="Z2" s="1397" t="s">
        <v>908</v>
      </c>
      <c r="AA2" s="1397" t="s">
        <v>1367</v>
      </c>
      <c r="AB2" s="1397" t="s">
        <v>258</v>
      </c>
      <c r="AC2" s="1397" t="s">
        <v>225</v>
      </c>
      <c r="AD2" s="1397" t="s">
        <v>909</v>
      </c>
      <c r="AE2" s="1493" t="s">
        <v>1368</v>
      </c>
      <c r="AF2" s="1489" t="s">
        <v>947</v>
      </c>
      <c r="AG2" s="1490" t="s">
        <v>223</v>
      </c>
      <c r="AH2" s="1490"/>
      <c r="AI2" s="1490"/>
      <c r="AJ2" s="1490"/>
      <c r="AK2" s="1490"/>
      <c r="AL2" s="1489" t="s">
        <v>948</v>
      </c>
      <c r="AM2" s="1489" t="s">
        <v>1369</v>
      </c>
      <c r="AN2" s="1489" t="s">
        <v>949</v>
      </c>
      <c r="AO2" s="1406" t="s">
        <v>1292</v>
      </c>
      <c r="AP2" s="1489" t="s">
        <v>950</v>
      </c>
      <c r="AQ2" s="1489" t="s">
        <v>1361</v>
      </c>
      <c r="AR2" s="1489" t="s">
        <v>258</v>
      </c>
      <c r="AS2" s="1489" t="s">
        <v>951</v>
      </c>
    </row>
    <row r="3" spans="1:46" ht="95.25" customHeight="1" x14ac:dyDescent="0.2">
      <c r="A3" s="1505"/>
      <c r="B3" s="1506"/>
      <c r="C3" s="1397"/>
      <c r="D3" s="1152" t="s">
        <v>486</v>
      </c>
      <c r="E3" s="1152" t="s">
        <v>300</v>
      </c>
      <c r="F3" s="1152" t="s">
        <v>1287</v>
      </c>
      <c r="G3" s="1152" t="s">
        <v>360</v>
      </c>
      <c r="H3" s="1152" t="s">
        <v>300</v>
      </c>
      <c r="I3" s="1152" t="s">
        <v>1288</v>
      </c>
      <c r="J3" s="1152" t="s">
        <v>360</v>
      </c>
      <c r="K3" s="1152" t="s">
        <v>300</v>
      </c>
      <c r="L3" s="1152" t="s">
        <v>1289</v>
      </c>
      <c r="M3" s="1152" t="s">
        <v>372</v>
      </c>
      <c r="N3" s="1152" t="s">
        <v>300</v>
      </c>
      <c r="O3" s="1152" t="s">
        <v>1289</v>
      </c>
      <c r="P3" s="1152" t="s">
        <v>372</v>
      </c>
      <c r="Q3" s="1152" t="s">
        <v>300</v>
      </c>
      <c r="R3" s="1397"/>
      <c r="S3" s="1153" t="s">
        <v>1290</v>
      </c>
      <c r="T3" s="1153" t="s">
        <v>1291</v>
      </c>
      <c r="U3" s="1153" t="s">
        <v>224</v>
      </c>
      <c r="V3" s="1397"/>
      <c r="W3" s="1397"/>
      <c r="X3" s="1397"/>
      <c r="Y3" s="1406"/>
      <c r="Z3" s="1397"/>
      <c r="AA3" s="1397"/>
      <c r="AB3" s="1397"/>
      <c r="AC3" s="1397"/>
      <c r="AD3" s="1397"/>
      <c r="AE3" s="1494"/>
      <c r="AF3" s="1489"/>
      <c r="AG3" s="1153" t="s">
        <v>1293</v>
      </c>
      <c r="AH3" s="1153" t="s">
        <v>1294</v>
      </c>
      <c r="AI3" s="1153" t="s">
        <v>1295</v>
      </c>
      <c r="AJ3" s="1153" t="s">
        <v>1296</v>
      </c>
      <c r="AK3" s="1153" t="s">
        <v>224</v>
      </c>
      <c r="AL3" s="1489"/>
      <c r="AM3" s="1489"/>
      <c r="AN3" s="1489"/>
      <c r="AO3" s="1406"/>
      <c r="AP3" s="1489"/>
      <c r="AQ3" s="1489"/>
      <c r="AR3" s="1489"/>
      <c r="AS3" s="1489"/>
    </row>
    <row r="4" spans="1:46" ht="16.149999999999999" customHeight="1" x14ac:dyDescent="0.2">
      <c r="A4" s="202"/>
      <c r="B4" s="203"/>
      <c r="C4" s="113">
        <v>1</v>
      </c>
      <c r="D4" s="113">
        <v>2</v>
      </c>
      <c r="E4" s="113">
        <v>3</v>
      </c>
      <c r="F4" s="113">
        <v>4</v>
      </c>
      <c r="G4" s="113">
        <v>5</v>
      </c>
      <c r="H4" s="113">
        <v>6</v>
      </c>
      <c r="I4" s="113">
        <v>7</v>
      </c>
      <c r="J4" s="113">
        <v>8</v>
      </c>
      <c r="K4" s="113">
        <v>9</v>
      </c>
      <c r="L4" s="113">
        <v>10</v>
      </c>
      <c r="M4" s="113">
        <v>11</v>
      </c>
      <c r="N4" s="113">
        <v>12</v>
      </c>
      <c r="O4" s="113">
        <v>13</v>
      </c>
      <c r="P4" s="113">
        <v>14</v>
      </c>
      <c r="Q4" s="113">
        <v>15</v>
      </c>
      <c r="R4" s="113">
        <v>16</v>
      </c>
      <c r="S4" s="113">
        <v>17</v>
      </c>
      <c r="T4" s="113">
        <v>18</v>
      </c>
      <c r="U4" s="113">
        <v>19</v>
      </c>
      <c r="V4" s="113">
        <v>20</v>
      </c>
      <c r="W4" s="113">
        <v>21</v>
      </c>
      <c r="X4" s="113">
        <v>22</v>
      </c>
      <c r="Y4" s="113">
        <v>23</v>
      </c>
      <c r="Z4" s="113">
        <v>24</v>
      </c>
      <c r="AA4" s="113">
        <v>25</v>
      </c>
      <c r="AB4" s="113">
        <v>26</v>
      </c>
      <c r="AC4" s="113">
        <v>27</v>
      </c>
      <c r="AD4" s="113">
        <v>28</v>
      </c>
      <c r="AE4" s="113">
        <v>29</v>
      </c>
      <c r="AF4" s="113">
        <v>30</v>
      </c>
      <c r="AG4" s="113">
        <v>31</v>
      </c>
      <c r="AH4" s="113">
        <v>32</v>
      </c>
      <c r="AI4" s="113">
        <v>33</v>
      </c>
      <c r="AJ4" s="113">
        <v>34</v>
      </c>
      <c r="AK4" s="113">
        <v>35</v>
      </c>
      <c r="AL4" s="113">
        <v>36</v>
      </c>
      <c r="AM4" s="113">
        <v>37</v>
      </c>
      <c r="AN4" s="113">
        <v>38</v>
      </c>
      <c r="AO4" s="113">
        <v>39</v>
      </c>
      <c r="AP4" s="113">
        <v>40</v>
      </c>
      <c r="AQ4" s="113">
        <v>41</v>
      </c>
      <c r="AR4" s="113">
        <v>42</v>
      </c>
      <c r="AS4" s="113">
        <v>43</v>
      </c>
    </row>
    <row r="5" spans="1:46" s="652" customFormat="1" ht="31.5" customHeight="1" x14ac:dyDescent="0.2">
      <c r="A5" s="653"/>
      <c r="B5" s="653"/>
      <c r="C5" s="676" t="s">
        <v>760</v>
      </c>
      <c r="D5" s="539" t="s">
        <v>802</v>
      </c>
      <c r="E5" s="539" t="s">
        <v>761</v>
      </c>
      <c r="F5" s="676" t="s">
        <v>898</v>
      </c>
      <c r="G5" s="676" t="s">
        <v>769</v>
      </c>
      <c r="H5" s="676" t="s">
        <v>803</v>
      </c>
      <c r="I5" s="676" t="s">
        <v>897</v>
      </c>
      <c r="J5" s="676" t="s">
        <v>771</v>
      </c>
      <c r="K5" s="676" t="s">
        <v>804</v>
      </c>
      <c r="L5" s="676" t="s">
        <v>895</v>
      </c>
      <c r="M5" s="676" t="s">
        <v>773</v>
      </c>
      <c r="N5" s="676" t="s">
        <v>805</v>
      </c>
      <c r="O5" s="676" t="s">
        <v>896</v>
      </c>
      <c r="P5" s="676" t="s">
        <v>775</v>
      </c>
      <c r="Q5" s="676" t="s">
        <v>806</v>
      </c>
      <c r="R5" s="676" t="s">
        <v>1222</v>
      </c>
      <c r="S5" s="676" t="s">
        <v>889</v>
      </c>
      <c r="T5" s="676" t="s">
        <v>890</v>
      </c>
      <c r="U5" s="676" t="s">
        <v>807</v>
      </c>
      <c r="V5" s="676" t="s">
        <v>808</v>
      </c>
      <c r="W5" s="676" t="s">
        <v>809</v>
      </c>
      <c r="X5" s="676" t="s">
        <v>810</v>
      </c>
      <c r="Y5" s="676" t="s">
        <v>765</v>
      </c>
      <c r="Z5" s="538" t="s">
        <v>1223</v>
      </c>
      <c r="AA5" s="538" t="s">
        <v>936</v>
      </c>
      <c r="AB5" s="538" t="s">
        <v>811</v>
      </c>
      <c r="AC5" s="538" t="s">
        <v>941</v>
      </c>
      <c r="AD5" s="538" t="s">
        <v>1224</v>
      </c>
      <c r="AE5" s="538" t="s">
        <v>791</v>
      </c>
      <c r="AF5" s="538" t="s">
        <v>812</v>
      </c>
      <c r="AG5" s="538" t="s">
        <v>889</v>
      </c>
      <c r="AH5" s="538" t="s">
        <v>813</v>
      </c>
      <c r="AI5" s="538" t="s">
        <v>890</v>
      </c>
      <c r="AJ5" s="538" t="s">
        <v>814</v>
      </c>
      <c r="AK5" s="538" t="s">
        <v>815</v>
      </c>
      <c r="AL5" s="538" t="s">
        <v>816</v>
      </c>
      <c r="AM5" s="538" t="s">
        <v>817</v>
      </c>
      <c r="AN5" s="538" t="s">
        <v>818</v>
      </c>
      <c r="AO5" s="538" t="s">
        <v>765</v>
      </c>
      <c r="AP5" s="538" t="s">
        <v>795</v>
      </c>
      <c r="AQ5" s="538" t="s">
        <v>931</v>
      </c>
      <c r="AR5" s="538" t="s">
        <v>796</v>
      </c>
      <c r="AS5" s="538" t="s">
        <v>939</v>
      </c>
    </row>
    <row r="6" spans="1:46" s="652" customFormat="1" ht="31.5" hidden="1" customHeight="1" x14ac:dyDescent="0.2">
      <c r="A6" s="653"/>
      <c r="B6" s="653"/>
      <c r="C6" s="541" t="s">
        <v>554</v>
      </c>
      <c r="D6" s="541" t="s">
        <v>554</v>
      </c>
      <c r="E6" s="541" t="s">
        <v>555</v>
      </c>
      <c r="F6" s="541" t="s">
        <v>642</v>
      </c>
      <c r="G6" s="541" t="s">
        <v>554</v>
      </c>
      <c r="H6" s="541" t="s">
        <v>555</v>
      </c>
      <c r="I6" s="541" t="s">
        <v>642</v>
      </c>
      <c r="J6" s="541" t="s">
        <v>554</v>
      </c>
      <c r="K6" s="541" t="s">
        <v>555</v>
      </c>
      <c r="L6" s="541" t="s">
        <v>642</v>
      </c>
      <c r="M6" s="541" t="s">
        <v>554</v>
      </c>
      <c r="N6" s="541" t="s">
        <v>555</v>
      </c>
      <c r="O6" s="541" t="s">
        <v>642</v>
      </c>
      <c r="P6" s="541" t="s">
        <v>554</v>
      </c>
      <c r="Q6" s="541" t="s">
        <v>555</v>
      </c>
      <c r="R6" s="541" t="s">
        <v>555</v>
      </c>
      <c r="S6" s="541" t="s">
        <v>764</v>
      </c>
      <c r="T6" s="541" t="s">
        <v>764</v>
      </c>
      <c r="U6" s="541" t="s">
        <v>555</v>
      </c>
      <c r="V6" s="541" t="s">
        <v>555</v>
      </c>
      <c r="W6" s="541" t="s">
        <v>555</v>
      </c>
      <c r="X6" s="541" t="s">
        <v>555</v>
      </c>
      <c r="Y6" s="541" t="s">
        <v>765</v>
      </c>
      <c r="Z6" s="541" t="s">
        <v>782</v>
      </c>
      <c r="AA6" s="541" t="s">
        <v>790</v>
      </c>
      <c r="AB6" s="541" t="s">
        <v>555</v>
      </c>
      <c r="AC6" s="541" t="s">
        <v>555</v>
      </c>
      <c r="AD6" s="541" t="s">
        <v>783</v>
      </c>
      <c r="AE6" s="541" t="s">
        <v>554</v>
      </c>
      <c r="AF6" s="541" t="s">
        <v>555</v>
      </c>
      <c r="AG6" s="541" t="s">
        <v>764</v>
      </c>
      <c r="AH6" s="541" t="s">
        <v>555</v>
      </c>
      <c r="AI6" s="541" t="s">
        <v>764</v>
      </c>
      <c r="AJ6" s="541" t="s">
        <v>555</v>
      </c>
      <c r="AK6" s="541" t="s">
        <v>555</v>
      </c>
      <c r="AL6" s="541" t="s">
        <v>555</v>
      </c>
      <c r="AM6" s="541" t="s">
        <v>555</v>
      </c>
      <c r="AN6" s="541" t="s">
        <v>555</v>
      </c>
      <c r="AO6" s="541" t="s">
        <v>765</v>
      </c>
      <c r="AP6" s="541" t="s">
        <v>555</v>
      </c>
      <c r="AQ6" s="541" t="s">
        <v>790</v>
      </c>
      <c r="AR6" s="541" t="s">
        <v>555</v>
      </c>
      <c r="AS6" s="541" t="s">
        <v>555</v>
      </c>
    </row>
    <row r="7" spans="1:46" ht="15" customHeight="1" x14ac:dyDescent="0.2">
      <c r="A7" s="334"/>
      <c r="B7" s="115"/>
      <c r="C7" s="116"/>
      <c r="D7" s="117"/>
      <c r="E7" s="118"/>
      <c r="F7" s="119"/>
      <c r="G7" s="117"/>
      <c r="H7" s="118"/>
      <c r="I7" s="1106"/>
      <c r="J7" s="117"/>
      <c r="K7" s="118"/>
      <c r="L7" s="119"/>
      <c r="M7" s="117"/>
      <c r="N7" s="118"/>
      <c r="O7" s="119"/>
      <c r="P7" s="117"/>
      <c r="Q7" s="118"/>
      <c r="R7" s="120">
        <v>0</v>
      </c>
      <c r="S7" s="117"/>
      <c r="T7" s="117"/>
      <c r="U7" s="121"/>
      <c r="V7" s="120"/>
      <c r="W7" s="118"/>
      <c r="X7" s="120"/>
      <c r="Y7" s="117"/>
      <c r="Z7" s="120"/>
      <c r="AA7" s="117"/>
      <c r="AB7" s="117"/>
      <c r="AC7" s="120"/>
      <c r="AD7" s="122"/>
      <c r="AE7" s="123"/>
      <c r="AF7" s="124"/>
      <c r="AG7" s="116"/>
      <c r="AH7" s="123"/>
      <c r="AI7" s="116"/>
      <c r="AJ7" s="125"/>
      <c r="AK7" s="126"/>
      <c r="AL7" s="124"/>
      <c r="AM7" s="127"/>
      <c r="AN7" s="124"/>
      <c r="AO7" s="117"/>
      <c r="AP7" s="124"/>
      <c r="AQ7" s="125"/>
      <c r="AR7" s="125"/>
      <c r="AS7" s="124"/>
      <c r="AT7" s="8"/>
    </row>
    <row r="8" spans="1:46" ht="15" customHeight="1" x14ac:dyDescent="0.2">
      <c r="A8" s="339"/>
      <c r="B8" s="133"/>
      <c r="C8" s="134"/>
      <c r="D8" s="135"/>
      <c r="E8" s="136"/>
      <c r="F8" s="137"/>
      <c r="G8" s="135"/>
      <c r="H8" s="136"/>
      <c r="I8" s="1107"/>
      <c r="J8" s="135"/>
      <c r="K8" s="136"/>
      <c r="L8" s="137"/>
      <c r="M8" s="135"/>
      <c r="N8" s="136"/>
      <c r="O8" s="137"/>
      <c r="P8" s="135"/>
      <c r="Q8" s="136"/>
      <c r="R8" s="138">
        <v>0</v>
      </c>
      <c r="S8" s="135"/>
      <c r="T8" s="135"/>
      <c r="U8" s="139"/>
      <c r="V8" s="138"/>
      <c r="W8" s="136"/>
      <c r="X8" s="138"/>
      <c r="Y8" s="135"/>
      <c r="Z8" s="138"/>
      <c r="AA8" s="135"/>
      <c r="AB8" s="135"/>
      <c r="AC8" s="138"/>
      <c r="AD8" s="141"/>
      <c r="AE8" s="142"/>
      <c r="AF8" s="143"/>
      <c r="AG8" s="134"/>
      <c r="AH8" s="142"/>
      <c r="AI8" s="134"/>
      <c r="AJ8" s="144"/>
      <c r="AK8" s="145"/>
      <c r="AL8" s="143"/>
      <c r="AM8" s="146"/>
      <c r="AN8" s="143"/>
      <c r="AO8" s="135"/>
      <c r="AP8" s="143"/>
      <c r="AQ8" s="144"/>
      <c r="AR8" s="144"/>
      <c r="AS8" s="143"/>
      <c r="AT8" s="8"/>
    </row>
    <row r="9" spans="1:46" ht="15" customHeight="1" x14ac:dyDescent="0.2">
      <c r="A9" s="339"/>
      <c r="B9" s="133"/>
      <c r="C9" s="134"/>
      <c r="D9" s="135"/>
      <c r="E9" s="136"/>
      <c r="F9" s="137"/>
      <c r="G9" s="135"/>
      <c r="H9" s="136"/>
      <c r="I9" s="1107"/>
      <c r="J9" s="135"/>
      <c r="K9" s="136"/>
      <c r="L9" s="137"/>
      <c r="M9" s="135"/>
      <c r="N9" s="136"/>
      <c r="O9" s="137"/>
      <c r="P9" s="135"/>
      <c r="Q9" s="136"/>
      <c r="R9" s="138">
        <v>8245</v>
      </c>
      <c r="S9" s="135"/>
      <c r="T9" s="135"/>
      <c r="U9" s="139"/>
      <c r="V9" s="138"/>
      <c r="W9" s="136"/>
      <c r="X9" s="138"/>
      <c r="Y9" s="135"/>
      <c r="Z9" s="138"/>
      <c r="AA9" s="135"/>
      <c r="AB9" s="135"/>
      <c r="AC9" s="138"/>
      <c r="AD9" s="141"/>
      <c r="AE9" s="142"/>
      <c r="AF9" s="143"/>
      <c r="AG9" s="134"/>
      <c r="AH9" s="142"/>
      <c r="AI9" s="134"/>
      <c r="AJ9" s="144"/>
      <c r="AK9" s="145"/>
      <c r="AL9" s="143"/>
      <c r="AM9" s="146"/>
      <c r="AN9" s="143"/>
      <c r="AO9" s="135"/>
      <c r="AP9" s="143"/>
      <c r="AQ9" s="144"/>
      <c r="AR9" s="144"/>
      <c r="AS9" s="143"/>
      <c r="AT9" s="8"/>
    </row>
    <row r="10" spans="1:46" ht="15" customHeight="1" x14ac:dyDescent="0.2">
      <c r="A10" s="339"/>
      <c r="B10" s="133"/>
      <c r="C10" s="134"/>
      <c r="D10" s="135"/>
      <c r="E10" s="136"/>
      <c r="F10" s="137"/>
      <c r="G10" s="135"/>
      <c r="H10" s="136"/>
      <c r="I10" s="1107"/>
      <c r="J10" s="135"/>
      <c r="K10" s="136"/>
      <c r="L10" s="137"/>
      <c r="M10" s="135"/>
      <c r="N10" s="136"/>
      <c r="O10" s="137"/>
      <c r="P10" s="135"/>
      <c r="Q10" s="136"/>
      <c r="R10" s="138">
        <v>0</v>
      </c>
      <c r="S10" s="135"/>
      <c r="T10" s="135"/>
      <c r="U10" s="139"/>
      <c r="V10" s="138"/>
      <c r="W10" s="136"/>
      <c r="X10" s="138"/>
      <c r="Y10" s="135"/>
      <c r="Z10" s="138"/>
      <c r="AA10" s="135"/>
      <c r="AB10" s="135"/>
      <c r="AC10" s="138"/>
      <c r="AD10" s="141"/>
      <c r="AE10" s="142"/>
      <c r="AF10" s="143"/>
      <c r="AG10" s="134"/>
      <c r="AH10" s="142"/>
      <c r="AI10" s="134"/>
      <c r="AJ10" s="144"/>
      <c r="AK10" s="145"/>
      <c r="AL10" s="143"/>
      <c r="AM10" s="146"/>
      <c r="AN10" s="143"/>
      <c r="AO10" s="135"/>
      <c r="AP10" s="143"/>
      <c r="AQ10" s="144"/>
      <c r="AR10" s="144"/>
      <c r="AS10" s="143"/>
      <c r="AT10" s="8"/>
    </row>
    <row r="11" spans="1:46" ht="15" customHeight="1" x14ac:dyDescent="0.2">
      <c r="A11" s="344"/>
      <c r="B11" s="147"/>
      <c r="C11" s="148"/>
      <c r="D11" s="149"/>
      <c r="E11" s="150"/>
      <c r="F11" s="151"/>
      <c r="G11" s="149"/>
      <c r="H11" s="150"/>
      <c r="I11" s="1108"/>
      <c r="J11" s="149"/>
      <c r="K11" s="150"/>
      <c r="L11" s="151"/>
      <c r="M11" s="149"/>
      <c r="N11" s="150"/>
      <c r="O11" s="151"/>
      <c r="P11" s="149"/>
      <c r="Q11" s="150"/>
      <c r="R11" s="152">
        <v>0</v>
      </c>
      <c r="S11" s="149"/>
      <c r="T11" s="149"/>
      <c r="U11" s="153"/>
      <c r="V11" s="152"/>
      <c r="W11" s="150"/>
      <c r="X11" s="152"/>
      <c r="Y11" s="149"/>
      <c r="Z11" s="152"/>
      <c r="AA11" s="155"/>
      <c r="AB11" s="149"/>
      <c r="AC11" s="156"/>
      <c r="AD11" s="156"/>
      <c r="AE11" s="157"/>
      <c r="AF11" s="158"/>
      <c r="AG11" s="148"/>
      <c r="AH11" s="157"/>
      <c r="AI11" s="148"/>
      <c r="AJ11" s="159"/>
      <c r="AK11" s="160"/>
      <c r="AL11" s="158"/>
      <c r="AM11" s="161"/>
      <c r="AN11" s="158"/>
      <c r="AO11" s="149"/>
      <c r="AP11" s="158"/>
      <c r="AQ11" s="159"/>
      <c r="AR11" s="159"/>
      <c r="AS11" s="158"/>
      <c r="AT11" s="8"/>
    </row>
    <row r="12" spans="1:46" ht="15" customHeight="1" x14ac:dyDescent="0.2">
      <c r="A12" s="334"/>
      <c r="B12" s="115"/>
      <c r="C12" s="116"/>
      <c r="D12" s="117"/>
      <c r="E12" s="118"/>
      <c r="F12" s="119"/>
      <c r="G12" s="117"/>
      <c r="H12" s="118"/>
      <c r="I12" s="1106"/>
      <c r="J12" s="117"/>
      <c r="K12" s="118"/>
      <c r="L12" s="119"/>
      <c r="M12" s="117"/>
      <c r="N12" s="118"/>
      <c r="O12" s="119"/>
      <c r="P12" s="117"/>
      <c r="Q12" s="118"/>
      <c r="R12" s="120">
        <v>0</v>
      </c>
      <c r="S12" s="117"/>
      <c r="T12" s="117"/>
      <c r="U12" s="121"/>
      <c r="V12" s="120"/>
      <c r="W12" s="118"/>
      <c r="X12" s="120"/>
      <c r="Y12" s="117"/>
      <c r="Z12" s="120"/>
      <c r="AA12" s="117"/>
      <c r="AB12" s="117"/>
      <c r="AC12" s="120"/>
      <c r="AD12" s="122"/>
      <c r="AE12" s="123"/>
      <c r="AF12" s="124"/>
      <c r="AG12" s="116"/>
      <c r="AH12" s="123"/>
      <c r="AI12" s="116"/>
      <c r="AJ12" s="125"/>
      <c r="AK12" s="126"/>
      <c r="AL12" s="124"/>
      <c r="AM12" s="127"/>
      <c r="AN12" s="124"/>
      <c r="AO12" s="117"/>
      <c r="AP12" s="124"/>
      <c r="AQ12" s="125"/>
      <c r="AR12" s="125"/>
      <c r="AS12" s="124"/>
      <c r="AT12" s="8"/>
    </row>
    <row r="13" spans="1:46" ht="15" customHeight="1" x14ac:dyDescent="0.2">
      <c r="A13" s="339"/>
      <c r="B13" s="133"/>
      <c r="C13" s="134"/>
      <c r="D13" s="135"/>
      <c r="E13" s="136"/>
      <c r="F13" s="137"/>
      <c r="G13" s="135"/>
      <c r="H13" s="136"/>
      <c r="I13" s="1107"/>
      <c r="J13" s="135"/>
      <c r="K13" s="136"/>
      <c r="L13" s="137"/>
      <c r="M13" s="135"/>
      <c r="N13" s="136"/>
      <c r="O13" s="137"/>
      <c r="P13" s="135"/>
      <c r="Q13" s="136"/>
      <c r="R13" s="138">
        <v>0</v>
      </c>
      <c r="S13" s="135"/>
      <c r="T13" s="135"/>
      <c r="U13" s="139"/>
      <c r="V13" s="138"/>
      <c r="W13" s="136"/>
      <c r="X13" s="138"/>
      <c r="Y13" s="135"/>
      <c r="Z13" s="138"/>
      <c r="AA13" s="135"/>
      <c r="AB13" s="135"/>
      <c r="AC13" s="138"/>
      <c r="AD13" s="141"/>
      <c r="AE13" s="142"/>
      <c r="AF13" s="143"/>
      <c r="AG13" s="134"/>
      <c r="AH13" s="142"/>
      <c r="AI13" s="134"/>
      <c r="AJ13" s="144"/>
      <c r="AK13" s="145"/>
      <c r="AL13" s="143"/>
      <c r="AM13" s="146"/>
      <c r="AN13" s="143"/>
      <c r="AO13" s="135"/>
      <c r="AP13" s="143"/>
      <c r="AQ13" s="144"/>
      <c r="AR13" s="144"/>
      <c r="AS13" s="143"/>
      <c r="AT13" s="8"/>
    </row>
    <row r="14" spans="1:46" ht="15" customHeight="1" x14ac:dyDescent="0.2">
      <c r="A14" s="339"/>
      <c r="B14" s="133"/>
      <c r="C14" s="134"/>
      <c r="D14" s="135"/>
      <c r="E14" s="136"/>
      <c r="F14" s="137"/>
      <c r="G14" s="135"/>
      <c r="H14" s="136"/>
      <c r="I14" s="1107"/>
      <c r="J14" s="135"/>
      <c r="K14" s="136"/>
      <c r="L14" s="137"/>
      <c r="M14" s="135"/>
      <c r="N14" s="136"/>
      <c r="O14" s="137"/>
      <c r="P14" s="135"/>
      <c r="Q14" s="136"/>
      <c r="R14" s="138">
        <v>0</v>
      </c>
      <c r="S14" s="135"/>
      <c r="T14" s="135"/>
      <c r="U14" s="139"/>
      <c r="V14" s="138"/>
      <c r="W14" s="136"/>
      <c r="X14" s="138"/>
      <c r="Y14" s="135"/>
      <c r="Z14" s="138"/>
      <c r="AA14" s="135"/>
      <c r="AB14" s="135"/>
      <c r="AC14" s="138"/>
      <c r="AD14" s="141"/>
      <c r="AE14" s="142"/>
      <c r="AF14" s="143"/>
      <c r="AG14" s="134"/>
      <c r="AH14" s="142"/>
      <c r="AI14" s="134"/>
      <c r="AJ14" s="144"/>
      <c r="AK14" s="145"/>
      <c r="AL14" s="143"/>
      <c r="AM14" s="146"/>
      <c r="AN14" s="143"/>
      <c r="AO14" s="135"/>
      <c r="AP14" s="143"/>
      <c r="AQ14" s="144"/>
      <c r="AR14" s="144"/>
      <c r="AS14" s="143"/>
      <c r="AT14" s="8"/>
    </row>
    <row r="15" spans="1:46" ht="15" customHeight="1" x14ac:dyDescent="0.2">
      <c r="A15" s="339"/>
      <c r="B15" s="133"/>
      <c r="C15" s="134"/>
      <c r="D15" s="135"/>
      <c r="E15" s="136"/>
      <c r="F15" s="137"/>
      <c r="G15" s="135"/>
      <c r="H15" s="136"/>
      <c r="I15" s="1107"/>
      <c r="J15" s="135"/>
      <c r="K15" s="136"/>
      <c r="L15" s="137"/>
      <c r="M15" s="135"/>
      <c r="N15" s="136"/>
      <c r="O15" s="137"/>
      <c r="P15" s="135"/>
      <c r="Q15" s="136"/>
      <c r="R15" s="138">
        <v>0</v>
      </c>
      <c r="S15" s="135"/>
      <c r="T15" s="135"/>
      <c r="U15" s="139"/>
      <c r="V15" s="138"/>
      <c r="W15" s="136"/>
      <c r="X15" s="138"/>
      <c r="Y15" s="135"/>
      <c r="Z15" s="138"/>
      <c r="AA15" s="135"/>
      <c r="AB15" s="135"/>
      <c r="AC15" s="138"/>
      <c r="AD15" s="141"/>
      <c r="AE15" s="142"/>
      <c r="AF15" s="143"/>
      <c r="AG15" s="134"/>
      <c r="AH15" s="142"/>
      <c r="AI15" s="134"/>
      <c r="AJ15" s="144"/>
      <c r="AK15" s="145"/>
      <c r="AL15" s="143"/>
      <c r="AM15" s="146"/>
      <c r="AN15" s="143"/>
      <c r="AO15" s="135"/>
      <c r="AP15" s="143"/>
      <c r="AQ15" s="144"/>
      <c r="AR15" s="144"/>
      <c r="AS15" s="143"/>
      <c r="AT15" s="8"/>
    </row>
    <row r="16" spans="1:46" ht="15" customHeight="1" x14ac:dyDescent="0.2">
      <c r="A16" s="344"/>
      <c r="B16" s="147"/>
      <c r="C16" s="148"/>
      <c r="D16" s="149"/>
      <c r="E16" s="150"/>
      <c r="F16" s="151"/>
      <c r="G16" s="149"/>
      <c r="H16" s="150"/>
      <c r="I16" s="1108"/>
      <c r="J16" s="149"/>
      <c r="K16" s="150"/>
      <c r="L16" s="151"/>
      <c r="M16" s="149"/>
      <c r="N16" s="150"/>
      <c r="O16" s="151"/>
      <c r="P16" s="149"/>
      <c r="Q16" s="150"/>
      <c r="R16" s="152">
        <v>0</v>
      </c>
      <c r="S16" s="149"/>
      <c r="T16" s="149"/>
      <c r="U16" s="153"/>
      <c r="V16" s="152"/>
      <c r="W16" s="150"/>
      <c r="X16" s="152"/>
      <c r="Y16" s="149"/>
      <c r="Z16" s="152"/>
      <c r="AA16" s="155"/>
      <c r="AB16" s="149"/>
      <c r="AC16" s="156"/>
      <c r="AD16" s="156"/>
      <c r="AE16" s="157"/>
      <c r="AF16" s="158"/>
      <c r="AG16" s="148"/>
      <c r="AH16" s="157"/>
      <c r="AI16" s="148"/>
      <c r="AJ16" s="159"/>
      <c r="AK16" s="160"/>
      <c r="AL16" s="158"/>
      <c r="AM16" s="161"/>
      <c r="AN16" s="158"/>
      <c r="AO16" s="149"/>
      <c r="AP16" s="158"/>
      <c r="AQ16" s="159"/>
      <c r="AR16" s="159"/>
      <c r="AS16" s="158"/>
      <c r="AT16" s="8"/>
    </row>
    <row r="17" spans="1:46" ht="15" customHeight="1" x14ac:dyDescent="0.2">
      <c r="A17" s="334"/>
      <c r="B17" s="115"/>
      <c r="C17" s="116"/>
      <c r="D17" s="117"/>
      <c r="E17" s="118"/>
      <c r="F17" s="119"/>
      <c r="G17" s="117"/>
      <c r="H17" s="118"/>
      <c r="I17" s="1106"/>
      <c r="J17" s="117"/>
      <c r="K17" s="118"/>
      <c r="L17" s="119"/>
      <c r="M17" s="117"/>
      <c r="N17" s="118"/>
      <c r="O17" s="119"/>
      <c r="P17" s="117"/>
      <c r="Q17" s="118"/>
      <c r="R17" s="120">
        <v>0</v>
      </c>
      <c r="S17" s="117"/>
      <c r="T17" s="117"/>
      <c r="U17" s="121"/>
      <c r="V17" s="120"/>
      <c r="W17" s="118"/>
      <c r="X17" s="120"/>
      <c r="Y17" s="117"/>
      <c r="Z17" s="120"/>
      <c r="AA17" s="117"/>
      <c r="AB17" s="117"/>
      <c r="AC17" s="120"/>
      <c r="AD17" s="122"/>
      <c r="AE17" s="123"/>
      <c r="AF17" s="124"/>
      <c r="AG17" s="116"/>
      <c r="AH17" s="123"/>
      <c r="AI17" s="116"/>
      <c r="AJ17" s="125"/>
      <c r="AK17" s="126"/>
      <c r="AL17" s="124"/>
      <c r="AM17" s="127"/>
      <c r="AN17" s="124"/>
      <c r="AO17" s="117"/>
      <c r="AP17" s="124"/>
      <c r="AQ17" s="125"/>
      <c r="AR17" s="125"/>
      <c r="AS17" s="124"/>
      <c r="AT17" s="8"/>
    </row>
    <row r="18" spans="1:46" ht="15" customHeight="1" x14ac:dyDescent="0.2">
      <c r="A18" s="339"/>
      <c r="B18" s="133"/>
      <c r="C18" s="134"/>
      <c r="D18" s="135"/>
      <c r="E18" s="136"/>
      <c r="F18" s="137"/>
      <c r="G18" s="135"/>
      <c r="H18" s="136"/>
      <c r="I18" s="1107"/>
      <c r="J18" s="135"/>
      <c r="K18" s="136"/>
      <c r="L18" s="137"/>
      <c r="M18" s="135"/>
      <c r="N18" s="136"/>
      <c r="O18" s="137"/>
      <c r="P18" s="135"/>
      <c r="Q18" s="136"/>
      <c r="R18" s="138">
        <v>0</v>
      </c>
      <c r="S18" s="135"/>
      <c r="T18" s="135"/>
      <c r="U18" s="139"/>
      <c r="V18" s="138"/>
      <c r="W18" s="136"/>
      <c r="X18" s="138"/>
      <c r="Y18" s="135"/>
      <c r="Z18" s="138"/>
      <c r="AA18" s="135"/>
      <c r="AB18" s="135"/>
      <c r="AC18" s="138"/>
      <c r="AD18" s="141"/>
      <c r="AE18" s="142"/>
      <c r="AF18" s="143"/>
      <c r="AG18" s="134"/>
      <c r="AH18" s="142"/>
      <c r="AI18" s="134"/>
      <c r="AJ18" s="144"/>
      <c r="AK18" s="145"/>
      <c r="AL18" s="143"/>
      <c r="AM18" s="146"/>
      <c r="AN18" s="143"/>
      <c r="AO18" s="135"/>
      <c r="AP18" s="143"/>
      <c r="AQ18" s="144"/>
      <c r="AR18" s="144"/>
      <c r="AS18" s="143"/>
      <c r="AT18" s="8"/>
    </row>
    <row r="19" spans="1:46" ht="15" customHeight="1" x14ac:dyDescent="0.2">
      <c r="A19" s="339"/>
      <c r="B19" s="133"/>
      <c r="C19" s="134"/>
      <c r="D19" s="135"/>
      <c r="E19" s="136"/>
      <c r="F19" s="137"/>
      <c r="G19" s="135"/>
      <c r="H19" s="136"/>
      <c r="I19" s="1107"/>
      <c r="J19" s="135"/>
      <c r="K19" s="136"/>
      <c r="L19" s="137"/>
      <c r="M19" s="135"/>
      <c r="N19" s="136"/>
      <c r="O19" s="137"/>
      <c r="P19" s="135"/>
      <c r="Q19" s="136"/>
      <c r="R19" s="138">
        <v>0</v>
      </c>
      <c r="S19" s="135"/>
      <c r="T19" s="135"/>
      <c r="U19" s="139"/>
      <c r="V19" s="138"/>
      <c r="W19" s="136"/>
      <c r="X19" s="138"/>
      <c r="Y19" s="135"/>
      <c r="Z19" s="138"/>
      <c r="AA19" s="135"/>
      <c r="AB19" s="135"/>
      <c r="AC19" s="138"/>
      <c r="AD19" s="141"/>
      <c r="AE19" s="142"/>
      <c r="AF19" s="143"/>
      <c r="AG19" s="134"/>
      <c r="AH19" s="142"/>
      <c r="AI19" s="134"/>
      <c r="AJ19" s="144"/>
      <c r="AK19" s="145"/>
      <c r="AL19" s="143"/>
      <c r="AM19" s="146"/>
      <c r="AN19" s="143"/>
      <c r="AO19" s="135"/>
      <c r="AP19" s="143"/>
      <c r="AQ19" s="144"/>
      <c r="AR19" s="144"/>
      <c r="AS19" s="143"/>
      <c r="AT19" s="8"/>
    </row>
    <row r="20" spans="1:46" ht="15" customHeight="1" x14ac:dyDescent="0.2">
      <c r="A20" s="339"/>
      <c r="B20" s="133"/>
      <c r="C20" s="134"/>
      <c r="D20" s="135"/>
      <c r="E20" s="136"/>
      <c r="F20" s="137"/>
      <c r="G20" s="135"/>
      <c r="H20" s="136"/>
      <c r="I20" s="1107"/>
      <c r="J20" s="135"/>
      <c r="K20" s="136"/>
      <c r="L20" s="137"/>
      <c r="M20" s="135"/>
      <c r="N20" s="136"/>
      <c r="O20" s="137"/>
      <c r="P20" s="135"/>
      <c r="Q20" s="136"/>
      <c r="R20" s="138">
        <v>0</v>
      </c>
      <c r="S20" s="135"/>
      <c r="T20" s="135"/>
      <c r="U20" s="139"/>
      <c r="V20" s="138"/>
      <c r="W20" s="136"/>
      <c r="X20" s="138"/>
      <c r="Y20" s="135"/>
      <c r="Z20" s="138"/>
      <c r="AA20" s="135"/>
      <c r="AB20" s="135"/>
      <c r="AC20" s="138"/>
      <c r="AD20" s="141"/>
      <c r="AE20" s="142"/>
      <c r="AF20" s="143"/>
      <c r="AG20" s="134"/>
      <c r="AH20" s="142"/>
      <c r="AI20" s="134"/>
      <c r="AJ20" s="144"/>
      <c r="AK20" s="145"/>
      <c r="AL20" s="143"/>
      <c r="AM20" s="146"/>
      <c r="AN20" s="143"/>
      <c r="AO20" s="135"/>
      <c r="AP20" s="143"/>
      <c r="AQ20" s="144"/>
      <c r="AR20" s="144"/>
      <c r="AS20" s="143"/>
      <c r="AT20" s="8"/>
    </row>
    <row r="21" spans="1:46" ht="15" customHeight="1" x14ac:dyDescent="0.2">
      <c r="A21" s="344"/>
      <c r="B21" s="147"/>
      <c r="C21" s="148"/>
      <c r="D21" s="149"/>
      <c r="E21" s="150"/>
      <c r="F21" s="151"/>
      <c r="G21" s="149"/>
      <c r="H21" s="150"/>
      <c r="I21" s="1108"/>
      <c r="J21" s="149"/>
      <c r="K21" s="150"/>
      <c r="L21" s="151"/>
      <c r="M21" s="149"/>
      <c r="N21" s="150"/>
      <c r="O21" s="151"/>
      <c r="P21" s="149"/>
      <c r="Q21" s="150"/>
      <c r="R21" s="152">
        <v>0</v>
      </c>
      <c r="S21" s="149"/>
      <c r="T21" s="149"/>
      <c r="U21" s="153"/>
      <c r="V21" s="152"/>
      <c r="W21" s="150"/>
      <c r="X21" s="152"/>
      <c r="Y21" s="149"/>
      <c r="Z21" s="152"/>
      <c r="AA21" s="155"/>
      <c r="AB21" s="149"/>
      <c r="AC21" s="156"/>
      <c r="AD21" s="156"/>
      <c r="AE21" s="157"/>
      <c r="AF21" s="158"/>
      <c r="AG21" s="148"/>
      <c r="AH21" s="157"/>
      <c r="AI21" s="148"/>
      <c r="AJ21" s="159"/>
      <c r="AK21" s="160"/>
      <c r="AL21" s="158"/>
      <c r="AM21" s="161"/>
      <c r="AN21" s="158"/>
      <c r="AO21" s="149"/>
      <c r="AP21" s="158"/>
      <c r="AQ21" s="159"/>
      <c r="AR21" s="159"/>
      <c r="AS21" s="158"/>
      <c r="AT21" s="8"/>
    </row>
    <row r="22" spans="1:46" ht="15" customHeight="1" x14ac:dyDescent="0.2">
      <c r="A22" s="334"/>
      <c r="B22" s="115"/>
      <c r="C22" s="116"/>
      <c r="D22" s="117"/>
      <c r="E22" s="118"/>
      <c r="F22" s="119"/>
      <c r="G22" s="117"/>
      <c r="H22" s="118"/>
      <c r="I22" s="1106"/>
      <c r="J22" s="117"/>
      <c r="K22" s="118"/>
      <c r="L22" s="119"/>
      <c r="M22" s="117"/>
      <c r="N22" s="118"/>
      <c r="O22" s="119"/>
      <c r="P22" s="117"/>
      <c r="Q22" s="118"/>
      <c r="R22" s="120">
        <v>0</v>
      </c>
      <c r="S22" s="117"/>
      <c r="T22" s="117"/>
      <c r="U22" s="121"/>
      <c r="V22" s="120"/>
      <c r="W22" s="118"/>
      <c r="X22" s="120"/>
      <c r="Y22" s="117"/>
      <c r="Z22" s="120"/>
      <c r="AA22" s="117"/>
      <c r="AB22" s="117"/>
      <c r="AC22" s="120"/>
      <c r="AD22" s="122"/>
      <c r="AE22" s="123"/>
      <c r="AF22" s="124"/>
      <c r="AG22" s="116"/>
      <c r="AH22" s="123"/>
      <c r="AI22" s="116"/>
      <c r="AJ22" s="125"/>
      <c r="AK22" s="126"/>
      <c r="AL22" s="124"/>
      <c r="AM22" s="127"/>
      <c r="AN22" s="124"/>
      <c r="AO22" s="117"/>
      <c r="AP22" s="124"/>
      <c r="AQ22" s="125"/>
      <c r="AR22" s="125"/>
      <c r="AS22" s="124"/>
      <c r="AT22" s="8"/>
    </row>
    <row r="23" spans="1:46" ht="15" customHeight="1" x14ac:dyDescent="0.2">
      <c r="A23" s="339"/>
      <c r="B23" s="133"/>
      <c r="C23" s="134"/>
      <c r="D23" s="135"/>
      <c r="E23" s="136"/>
      <c r="F23" s="137"/>
      <c r="G23" s="135"/>
      <c r="H23" s="136"/>
      <c r="I23" s="1107"/>
      <c r="J23" s="135"/>
      <c r="K23" s="136"/>
      <c r="L23" s="137"/>
      <c r="M23" s="135"/>
      <c r="N23" s="136"/>
      <c r="O23" s="137"/>
      <c r="P23" s="135"/>
      <c r="Q23" s="136"/>
      <c r="R23" s="138">
        <v>0</v>
      </c>
      <c r="S23" s="135"/>
      <c r="T23" s="135"/>
      <c r="U23" s="139"/>
      <c r="V23" s="138"/>
      <c r="W23" s="136"/>
      <c r="X23" s="138"/>
      <c r="Y23" s="135"/>
      <c r="Z23" s="138"/>
      <c r="AA23" s="135"/>
      <c r="AB23" s="135"/>
      <c r="AC23" s="138"/>
      <c r="AD23" s="141"/>
      <c r="AE23" s="142"/>
      <c r="AF23" s="143"/>
      <c r="AG23" s="134"/>
      <c r="AH23" s="142"/>
      <c r="AI23" s="134"/>
      <c r="AJ23" s="144"/>
      <c r="AK23" s="145"/>
      <c r="AL23" s="143"/>
      <c r="AM23" s="146"/>
      <c r="AN23" s="143"/>
      <c r="AO23" s="135"/>
      <c r="AP23" s="143"/>
      <c r="AQ23" s="144"/>
      <c r="AR23" s="144"/>
      <c r="AS23" s="143"/>
      <c r="AT23" s="8"/>
    </row>
    <row r="24" spans="1:46" ht="15" customHeight="1" x14ac:dyDescent="0.2">
      <c r="A24" s="339"/>
      <c r="B24" s="133"/>
      <c r="C24" s="134"/>
      <c r="D24" s="135"/>
      <c r="E24" s="136"/>
      <c r="F24" s="137"/>
      <c r="G24" s="135"/>
      <c r="H24" s="136"/>
      <c r="I24" s="1107"/>
      <c r="J24" s="135"/>
      <c r="K24" s="136"/>
      <c r="L24" s="137"/>
      <c r="M24" s="135"/>
      <c r="N24" s="136"/>
      <c r="O24" s="137"/>
      <c r="P24" s="135"/>
      <c r="Q24" s="136"/>
      <c r="R24" s="138">
        <v>0</v>
      </c>
      <c r="S24" s="135"/>
      <c r="T24" s="135"/>
      <c r="U24" s="139"/>
      <c r="V24" s="138"/>
      <c r="W24" s="136"/>
      <c r="X24" s="138"/>
      <c r="Y24" s="135"/>
      <c r="Z24" s="138"/>
      <c r="AA24" s="135"/>
      <c r="AB24" s="135"/>
      <c r="AC24" s="138"/>
      <c r="AD24" s="141"/>
      <c r="AE24" s="142"/>
      <c r="AF24" s="143"/>
      <c r="AG24" s="134"/>
      <c r="AH24" s="142"/>
      <c r="AI24" s="134"/>
      <c r="AJ24" s="144"/>
      <c r="AK24" s="145"/>
      <c r="AL24" s="143"/>
      <c r="AM24" s="146"/>
      <c r="AN24" s="143"/>
      <c r="AO24" s="135"/>
      <c r="AP24" s="143"/>
      <c r="AQ24" s="144"/>
      <c r="AR24" s="144"/>
      <c r="AS24" s="143"/>
      <c r="AT24" s="8"/>
    </row>
    <row r="25" spans="1:46" ht="15" customHeight="1" x14ac:dyDescent="0.2">
      <c r="A25" s="339"/>
      <c r="B25" s="133"/>
      <c r="C25" s="134"/>
      <c r="D25" s="135"/>
      <c r="E25" s="136"/>
      <c r="F25" s="137"/>
      <c r="G25" s="135"/>
      <c r="H25" s="136"/>
      <c r="I25" s="1107"/>
      <c r="J25" s="135"/>
      <c r="K25" s="136"/>
      <c r="L25" s="137"/>
      <c r="M25" s="135"/>
      <c r="N25" s="136"/>
      <c r="O25" s="137"/>
      <c r="P25" s="135"/>
      <c r="Q25" s="136"/>
      <c r="R25" s="138">
        <v>0</v>
      </c>
      <c r="S25" s="135"/>
      <c r="T25" s="135"/>
      <c r="U25" s="139"/>
      <c r="V25" s="138"/>
      <c r="W25" s="136"/>
      <c r="X25" s="138"/>
      <c r="Y25" s="135"/>
      <c r="Z25" s="138"/>
      <c r="AA25" s="135"/>
      <c r="AB25" s="135"/>
      <c r="AC25" s="138"/>
      <c r="AD25" s="141"/>
      <c r="AE25" s="142"/>
      <c r="AF25" s="143"/>
      <c r="AG25" s="134"/>
      <c r="AH25" s="142"/>
      <c r="AI25" s="134"/>
      <c r="AJ25" s="144"/>
      <c r="AK25" s="145"/>
      <c r="AL25" s="143"/>
      <c r="AM25" s="146"/>
      <c r="AN25" s="143"/>
      <c r="AO25" s="135"/>
      <c r="AP25" s="143"/>
      <c r="AQ25" s="144"/>
      <c r="AR25" s="144"/>
      <c r="AS25" s="143"/>
      <c r="AT25" s="8"/>
    </row>
    <row r="26" spans="1:46" ht="15" customHeight="1" x14ac:dyDescent="0.2">
      <c r="A26" s="344"/>
      <c r="B26" s="147"/>
      <c r="C26" s="148"/>
      <c r="D26" s="149"/>
      <c r="E26" s="150"/>
      <c r="F26" s="151"/>
      <c r="G26" s="149"/>
      <c r="H26" s="150"/>
      <c r="I26" s="1108"/>
      <c r="J26" s="149"/>
      <c r="K26" s="150"/>
      <c r="L26" s="151"/>
      <c r="M26" s="149"/>
      <c r="N26" s="150"/>
      <c r="O26" s="151"/>
      <c r="P26" s="149"/>
      <c r="Q26" s="150"/>
      <c r="R26" s="152">
        <v>0</v>
      </c>
      <c r="S26" s="149"/>
      <c r="T26" s="149"/>
      <c r="U26" s="153"/>
      <c r="V26" s="152"/>
      <c r="W26" s="150"/>
      <c r="X26" s="152"/>
      <c r="Y26" s="149"/>
      <c r="Z26" s="152"/>
      <c r="AA26" s="155"/>
      <c r="AB26" s="149"/>
      <c r="AC26" s="156"/>
      <c r="AD26" s="156"/>
      <c r="AE26" s="157"/>
      <c r="AF26" s="158"/>
      <c r="AG26" s="148"/>
      <c r="AH26" s="157"/>
      <c r="AI26" s="148"/>
      <c r="AJ26" s="159"/>
      <c r="AK26" s="160"/>
      <c r="AL26" s="158"/>
      <c r="AM26" s="161"/>
      <c r="AN26" s="158"/>
      <c r="AO26" s="149"/>
      <c r="AP26" s="158"/>
      <c r="AQ26" s="159"/>
      <c r="AR26" s="159"/>
      <c r="AS26" s="158"/>
      <c r="AT26" s="8"/>
    </row>
    <row r="27" spans="1:46" ht="15" customHeight="1" x14ac:dyDescent="0.2">
      <c r="A27" s="334"/>
      <c r="B27" s="115"/>
      <c r="C27" s="116"/>
      <c r="D27" s="117"/>
      <c r="E27" s="118"/>
      <c r="F27" s="119"/>
      <c r="G27" s="117"/>
      <c r="H27" s="118"/>
      <c r="I27" s="1106"/>
      <c r="J27" s="117"/>
      <c r="K27" s="118"/>
      <c r="L27" s="119"/>
      <c r="M27" s="117"/>
      <c r="N27" s="118"/>
      <c r="O27" s="119"/>
      <c r="P27" s="117"/>
      <c r="Q27" s="118"/>
      <c r="R27" s="120">
        <v>0</v>
      </c>
      <c r="S27" s="117"/>
      <c r="T27" s="117"/>
      <c r="U27" s="121"/>
      <c r="V27" s="120"/>
      <c r="W27" s="118"/>
      <c r="X27" s="120"/>
      <c r="Y27" s="117"/>
      <c r="Z27" s="120"/>
      <c r="AA27" s="117"/>
      <c r="AB27" s="117"/>
      <c r="AC27" s="120"/>
      <c r="AD27" s="122"/>
      <c r="AE27" s="123"/>
      <c r="AF27" s="124"/>
      <c r="AG27" s="116"/>
      <c r="AH27" s="123"/>
      <c r="AI27" s="116"/>
      <c r="AJ27" s="125"/>
      <c r="AK27" s="126"/>
      <c r="AL27" s="124"/>
      <c r="AM27" s="127"/>
      <c r="AN27" s="124"/>
      <c r="AO27" s="117"/>
      <c r="AP27" s="124"/>
      <c r="AQ27" s="125"/>
      <c r="AR27" s="125"/>
      <c r="AS27" s="124"/>
      <c r="AT27" s="8"/>
    </row>
    <row r="28" spans="1:46" ht="15" customHeight="1" x14ac:dyDescent="0.2">
      <c r="A28" s="339"/>
      <c r="B28" s="133"/>
      <c r="C28" s="134"/>
      <c r="D28" s="135"/>
      <c r="E28" s="136"/>
      <c r="F28" s="137"/>
      <c r="G28" s="135"/>
      <c r="H28" s="136"/>
      <c r="I28" s="1107"/>
      <c r="J28" s="135"/>
      <c r="K28" s="136"/>
      <c r="L28" s="137"/>
      <c r="M28" s="135"/>
      <c r="N28" s="136"/>
      <c r="O28" s="137"/>
      <c r="P28" s="135"/>
      <c r="Q28" s="136"/>
      <c r="R28" s="138">
        <v>0</v>
      </c>
      <c r="S28" s="135"/>
      <c r="T28" s="135"/>
      <c r="U28" s="139"/>
      <c r="V28" s="138"/>
      <c r="W28" s="136"/>
      <c r="X28" s="138"/>
      <c r="Y28" s="135"/>
      <c r="Z28" s="138"/>
      <c r="AA28" s="135"/>
      <c r="AB28" s="135"/>
      <c r="AC28" s="138"/>
      <c r="AD28" s="141"/>
      <c r="AE28" s="142"/>
      <c r="AF28" s="143"/>
      <c r="AG28" s="134"/>
      <c r="AH28" s="142"/>
      <c r="AI28" s="134"/>
      <c r="AJ28" s="144"/>
      <c r="AK28" s="145"/>
      <c r="AL28" s="143"/>
      <c r="AM28" s="146"/>
      <c r="AN28" s="143"/>
      <c r="AO28" s="135"/>
      <c r="AP28" s="143"/>
      <c r="AQ28" s="144"/>
      <c r="AR28" s="144"/>
      <c r="AS28" s="143"/>
      <c r="AT28" s="8"/>
    </row>
    <row r="29" spans="1:46" ht="15" customHeight="1" x14ac:dyDescent="0.2">
      <c r="A29" s="339"/>
      <c r="B29" s="133"/>
      <c r="C29" s="134"/>
      <c r="D29" s="135"/>
      <c r="E29" s="136"/>
      <c r="F29" s="137"/>
      <c r="G29" s="135"/>
      <c r="H29" s="136"/>
      <c r="I29" s="1107"/>
      <c r="J29" s="135"/>
      <c r="K29" s="136"/>
      <c r="L29" s="137"/>
      <c r="M29" s="135"/>
      <c r="N29" s="136"/>
      <c r="O29" s="137"/>
      <c r="P29" s="135"/>
      <c r="Q29" s="136"/>
      <c r="R29" s="138">
        <v>0</v>
      </c>
      <c r="S29" s="135"/>
      <c r="T29" s="135"/>
      <c r="U29" s="139"/>
      <c r="V29" s="138"/>
      <c r="W29" s="136"/>
      <c r="X29" s="138"/>
      <c r="Y29" s="135"/>
      <c r="Z29" s="138"/>
      <c r="AA29" s="135"/>
      <c r="AB29" s="135"/>
      <c r="AC29" s="138"/>
      <c r="AD29" s="141"/>
      <c r="AE29" s="142"/>
      <c r="AF29" s="143"/>
      <c r="AG29" s="134"/>
      <c r="AH29" s="142"/>
      <c r="AI29" s="134"/>
      <c r="AJ29" s="144"/>
      <c r="AK29" s="145"/>
      <c r="AL29" s="143"/>
      <c r="AM29" s="146"/>
      <c r="AN29" s="143"/>
      <c r="AO29" s="135"/>
      <c r="AP29" s="143"/>
      <c r="AQ29" s="144"/>
      <c r="AR29" s="144"/>
      <c r="AS29" s="143"/>
      <c r="AT29" s="8"/>
    </row>
    <row r="30" spans="1:46" ht="15" customHeight="1" x14ac:dyDescent="0.2">
      <c r="A30" s="339"/>
      <c r="B30" s="133"/>
      <c r="C30" s="134"/>
      <c r="D30" s="135"/>
      <c r="E30" s="136"/>
      <c r="F30" s="137"/>
      <c r="G30" s="135"/>
      <c r="H30" s="136"/>
      <c r="I30" s="1107"/>
      <c r="J30" s="135"/>
      <c r="K30" s="136"/>
      <c r="L30" s="137"/>
      <c r="M30" s="135"/>
      <c r="N30" s="136"/>
      <c r="O30" s="137"/>
      <c r="P30" s="135"/>
      <c r="Q30" s="136"/>
      <c r="R30" s="138">
        <v>0</v>
      </c>
      <c r="S30" s="135"/>
      <c r="T30" s="135"/>
      <c r="U30" s="139"/>
      <c r="V30" s="138"/>
      <c r="W30" s="136"/>
      <c r="X30" s="138"/>
      <c r="Y30" s="135"/>
      <c r="Z30" s="138"/>
      <c r="AA30" s="135"/>
      <c r="AB30" s="135"/>
      <c r="AC30" s="138"/>
      <c r="AD30" s="141"/>
      <c r="AE30" s="142"/>
      <c r="AF30" s="143"/>
      <c r="AG30" s="134"/>
      <c r="AH30" s="142"/>
      <c r="AI30" s="134"/>
      <c r="AJ30" s="144"/>
      <c r="AK30" s="145"/>
      <c r="AL30" s="143"/>
      <c r="AM30" s="146"/>
      <c r="AN30" s="143"/>
      <c r="AO30" s="135"/>
      <c r="AP30" s="143"/>
      <c r="AQ30" s="144"/>
      <c r="AR30" s="144"/>
      <c r="AS30" s="143"/>
      <c r="AT30" s="8"/>
    </row>
    <row r="31" spans="1:46" ht="15" customHeight="1" x14ac:dyDescent="0.2">
      <c r="A31" s="344"/>
      <c r="B31" s="147"/>
      <c r="C31" s="148"/>
      <c r="D31" s="149"/>
      <c r="E31" s="150"/>
      <c r="F31" s="151"/>
      <c r="G31" s="149"/>
      <c r="H31" s="150"/>
      <c r="I31" s="1108"/>
      <c r="J31" s="149"/>
      <c r="K31" s="150"/>
      <c r="L31" s="151"/>
      <c r="M31" s="149"/>
      <c r="N31" s="150"/>
      <c r="O31" s="151"/>
      <c r="P31" s="149"/>
      <c r="Q31" s="150"/>
      <c r="R31" s="152">
        <v>0</v>
      </c>
      <c r="S31" s="149"/>
      <c r="T31" s="149"/>
      <c r="U31" s="153"/>
      <c r="V31" s="152"/>
      <c r="W31" s="150"/>
      <c r="X31" s="152"/>
      <c r="Y31" s="149"/>
      <c r="Z31" s="152"/>
      <c r="AA31" s="155"/>
      <c r="AB31" s="149"/>
      <c r="AC31" s="156"/>
      <c r="AD31" s="156"/>
      <c r="AE31" s="157"/>
      <c r="AF31" s="158"/>
      <c r="AG31" s="148"/>
      <c r="AH31" s="157"/>
      <c r="AI31" s="148"/>
      <c r="AJ31" s="159"/>
      <c r="AK31" s="160"/>
      <c r="AL31" s="158"/>
      <c r="AM31" s="161"/>
      <c r="AN31" s="158"/>
      <c r="AO31" s="149"/>
      <c r="AP31" s="158"/>
      <c r="AQ31" s="159"/>
      <c r="AR31" s="159"/>
      <c r="AS31" s="158"/>
      <c r="AT31" s="8"/>
    </row>
    <row r="32" spans="1:46" ht="15" customHeight="1" x14ac:dyDescent="0.2">
      <c r="A32" s="334"/>
      <c r="B32" s="115"/>
      <c r="C32" s="116"/>
      <c r="D32" s="117"/>
      <c r="E32" s="118"/>
      <c r="F32" s="119"/>
      <c r="G32" s="117"/>
      <c r="H32" s="118"/>
      <c r="I32" s="1106"/>
      <c r="J32" s="117"/>
      <c r="K32" s="118"/>
      <c r="L32" s="119"/>
      <c r="M32" s="117"/>
      <c r="N32" s="118"/>
      <c r="O32" s="119"/>
      <c r="P32" s="117"/>
      <c r="Q32" s="118"/>
      <c r="R32" s="120">
        <v>0</v>
      </c>
      <c r="S32" s="117"/>
      <c r="T32" s="117"/>
      <c r="U32" s="121"/>
      <c r="V32" s="120"/>
      <c r="W32" s="118"/>
      <c r="X32" s="120"/>
      <c r="Y32" s="117"/>
      <c r="Z32" s="120"/>
      <c r="AA32" s="117"/>
      <c r="AB32" s="117"/>
      <c r="AC32" s="120"/>
      <c r="AD32" s="122"/>
      <c r="AE32" s="123"/>
      <c r="AF32" s="124"/>
      <c r="AG32" s="116"/>
      <c r="AH32" s="123"/>
      <c r="AI32" s="116"/>
      <c r="AJ32" s="125"/>
      <c r="AK32" s="126"/>
      <c r="AL32" s="124"/>
      <c r="AM32" s="127"/>
      <c r="AN32" s="124"/>
      <c r="AO32" s="117"/>
      <c r="AP32" s="124"/>
      <c r="AQ32" s="125"/>
      <c r="AR32" s="125"/>
      <c r="AS32" s="124"/>
      <c r="AT32" s="8"/>
    </row>
    <row r="33" spans="1:46" ht="15" customHeight="1" x14ac:dyDescent="0.2">
      <c r="A33" s="339"/>
      <c r="B33" s="133"/>
      <c r="C33" s="134"/>
      <c r="D33" s="135"/>
      <c r="E33" s="136"/>
      <c r="F33" s="137"/>
      <c r="G33" s="135"/>
      <c r="H33" s="136"/>
      <c r="I33" s="1107"/>
      <c r="J33" s="135"/>
      <c r="K33" s="136"/>
      <c r="L33" s="137"/>
      <c r="M33" s="135"/>
      <c r="N33" s="136"/>
      <c r="O33" s="137"/>
      <c r="P33" s="135"/>
      <c r="Q33" s="136"/>
      <c r="R33" s="138">
        <v>0</v>
      </c>
      <c r="S33" s="135"/>
      <c r="T33" s="135"/>
      <c r="U33" s="139"/>
      <c r="V33" s="138"/>
      <c r="W33" s="136"/>
      <c r="X33" s="138"/>
      <c r="Y33" s="135"/>
      <c r="Z33" s="138"/>
      <c r="AA33" s="135"/>
      <c r="AB33" s="135"/>
      <c r="AC33" s="138"/>
      <c r="AD33" s="141"/>
      <c r="AE33" s="142"/>
      <c r="AF33" s="143"/>
      <c r="AG33" s="134"/>
      <c r="AH33" s="142"/>
      <c r="AI33" s="134"/>
      <c r="AJ33" s="144"/>
      <c r="AK33" s="145"/>
      <c r="AL33" s="143"/>
      <c r="AM33" s="146"/>
      <c r="AN33" s="143"/>
      <c r="AO33" s="135"/>
      <c r="AP33" s="143"/>
      <c r="AQ33" s="144"/>
      <c r="AR33" s="144"/>
      <c r="AS33" s="143"/>
      <c r="AT33" s="8"/>
    </row>
    <row r="34" spans="1:46" ht="15" customHeight="1" x14ac:dyDescent="0.2">
      <c r="A34" s="339"/>
      <c r="B34" s="133"/>
      <c r="C34" s="134"/>
      <c r="D34" s="135"/>
      <c r="E34" s="136"/>
      <c r="F34" s="137"/>
      <c r="G34" s="135"/>
      <c r="H34" s="136"/>
      <c r="I34" s="1107"/>
      <c r="J34" s="135"/>
      <c r="K34" s="136"/>
      <c r="L34" s="137"/>
      <c r="M34" s="135"/>
      <c r="N34" s="136"/>
      <c r="O34" s="137"/>
      <c r="P34" s="135"/>
      <c r="Q34" s="136"/>
      <c r="R34" s="138">
        <v>0</v>
      </c>
      <c r="S34" s="135"/>
      <c r="T34" s="135"/>
      <c r="U34" s="139"/>
      <c r="V34" s="138"/>
      <c r="W34" s="136"/>
      <c r="X34" s="138"/>
      <c r="Y34" s="135"/>
      <c r="Z34" s="138"/>
      <c r="AA34" s="135"/>
      <c r="AB34" s="135"/>
      <c r="AC34" s="138"/>
      <c r="AD34" s="141"/>
      <c r="AE34" s="142"/>
      <c r="AF34" s="143"/>
      <c r="AG34" s="134"/>
      <c r="AH34" s="142"/>
      <c r="AI34" s="134"/>
      <c r="AJ34" s="144"/>
      <c r="AK34" s="145"/>
      <c r="AL34" s="143"/>
      <c r="AM34" s="146"/>
      <c r="AN34" s="143"/>
      <c r="AO34" s="135"/>
      <c r="AP34" s="143"/>
      <c r="AQ34" s="144"/>
      <c r="AR34" s="144"/>
      <c r="AS34" s="143"/>
      <c r="AT34" s="8"/>
    </row>
    <row r="35" spans="1:46" ht="15" customHeight="1" x14ac:dyDescent="0.2">
      <c r="A35" s="339"/>
      <c r="B35" s="133"/>
      <c r="C35" s="134"/>
      <c r="D35" s="135"/>
      <c r="E35" s="136"/>
      <c r="F35" s="137"/>
      <c r="G35" s="135"/>
      <c r="H35" s="136"/>
      <c r="I35" s="1107"/>
      <c r="J35" s="135"/>
      <c r="K35" s="136"/>
      <c r="L35" s="137"/>
      <c r="M35" s="135"/>
      <c r="N35" s="136"/>
      <c r="O35" s="137"/>
      <c r="P35" s="135"/>
      <c r="Q35" s="136"/>
      <c r="R35" s="138">
        <v>4910</v>
      </c>
      <c r="S35" s="135"/>
      <c r="T35" s="135"/>
      <c r="U35" s="139"/>
      <c r="V35" s="138"/>
      <c r="W35" s="136"/>
      <c r="X35" s="138"/>
      <c r="Y35" s="135"/>
      <c r="Z35" s="138"/>
      <c r="AA35" s="135"/>
      <c r="AB35" s="135"/>
      <c r="AC35" s="138"/>
      <c r="AD35" s="141"/>
      <c r="AE35" s="142"/>
      <c r="AF35" s="143"/>
      <c r="AG35" s="134"/>
      <c r="AH35" s="142"/>
      <c r="AI35" s="134"/>
      <c r="AJ35" s="144"/>
      <c r="AK35" s="145"/>
      <c r="AL35" s="143"/>
      <c r="AM35" s="146"/>
      <c r="AN35" s="143"/>
      <c r="AO35" s="135"/>
      <c r="AP35" s="143"/>
      <c r="AQ35" s="144"/>
      <c r="AR35" s="144"/>
      <c r="AS35" s="143"/>
      <c r="AT35" s="8"/>
    </row>
    <row r="36" spans="1:46" ht="15" customHeight="1" x14ac:dyDescent="0.2">
      <c r="A36" s="344"/>
      <c r="B36" s="147"/>
      <c r="C36" s="148"/>
      <c r="D36" s="149"/>
      <c r="E36" s="150"/>
      <c r="F36" s="151"/>
      <c r="G36" s="149"/>
      <c r="H36" s="150"/>
      <c r="I36" s="1108"/>
      <c r="J36" s="149"/>
      <c r="K36" s="150"/>
      <c r="L36" s="151"/>
      <c r="M36" s="149"/>
      <c r="N36" s="150"/>
      <c r="O36" s="151"/>
      <c r="P36" s="149"/>
      <c r="Q36" s="150"/>
      <c r="R36" s="152">
        <v>0</v>
      </c>
      <c r="S36" s="149"/>
      <c r="T36" s="149"/>
      <c r="U36" s="153"/>
      <c r="V36" s="152"/>
      <c r="W36" s="150"/>
      <c r="X36" s="152"/>
      <c r="Y36" s="149"/>
      <c r="Z36" s="152"/>
      <c r="AA36" s="155"/>
      <c r="AB36" s="149"/>
      <c r="AC36" s="156"/>
      <c r="AD36" s="156"/>
      <c r="AE36" s="157"/>
      <c r="AF36" s="158"/>
      <c r="AG36" s="148"/>
      <c r="AH36" s="157"/>
      <c r="AI36" s="148"/>
      <c r="AJ36" s="159"/>
      <c r="AK36" s="160"/>
      <c r="AL36" s="158"/>
      <c r="AM36" s="161"/>
      <c r="AN36" s="158"/>
      <c r="AO36" s="149"/>
      <c r="AP36" s="158"/>
      <c r="AQ36" s="159"/>
      <c r="AR36" s="159"/>
      <c r="AS36" s="158"/>
      <c r="AT36" s="8"/>
    </row>
    <row r="37" spans="1:46" ht="15" customHeight="1" x14ac:dyDescent="0.2">
      <c r="A37" s="334"/>
      <c r="B37" s="115"/>
      <c r="C37" s="116"/>
      <c r="D37" s="117"/>
      <c r="E37" s="118"/>
      <c r="F37" s="119"/>
      <c r="G37" s="117"/>
      <c r="H37" s="118"/>
      <c r="I37" s="1106"/>
      <c r="J37" s="117"/>
      <c r="K37" s="118"/>
      <c r="L37" s="119"/>
      <c r="M37" s="117"/>
      <c r="N37" s="118"/>
      <c r="O37" s="119"/>
      <c r="P37" s="117"/>
      <c r="Q37" s="118"/>
      <c r="R37" s="120">
        <v>0</v>
      </c>
      <c r="S37" s="117"/>
      <c r="T37" s="117"/>
      <c r="U37" s="121"/>
      <c r="V37" s="120"/>
      <c r="W37" s="118"/>
      <c r="X37" s="120"/>
      <c r="Y37" s="117"/>
      <c r="Z37" s="120"/>
      <c r="AA37" s="117"/>
      <c r="AB37" s="117"/>
      <c r="AC37" s="120"/>
      <c r="AD37" s="122"/>
      <c r="AE37" s="123"/>
      <c r="AF37" s="124"/>
      <c r="AG37" s="116"/>
      <c r="AH37" s="123"/>
      <c r="AI37" s="116"/>
      <c r="AJ37" s="125"/>
      <c r="AK37" s="126"/>
      <c r="AL37" s="124"/>
      <c r="AM37" s="127"/>
      <c r="AN37" s="124"/>
      <c r="AO37" s="117"/>
      <c r="AP37" s="124"/>
      <c r="AQ37" s="125"/>
      <c r="AR37" s="125"/>
      <c r="AS37" s="124"/>
      <c r="AT37" s="8"/>
    </row>
    <row r="38" spans="1:46" ht="15" customHeight="1" x14ac:dyDescent="0.2">
      <c r="A38" s="339"/>
      <c r="B38" s="133"/>
      <c r="C38" s="134"/>
      <c r="D38" s="135"/>
      <c r="E38" s="136"/>
      <c r="F38" s="137"/>
      <c r="G38" s="135"/>
      <c r="H38" s="136"/>
      <c r="I38" s="1107"/>
      <c r="J38" s="135"/>
      <c r="K38" s="136"/>
      <c r="L38" s="137"/>
      <c r="M38" s="135"/>
      <c r="N38" s="136"/>
      <c r="O38" s="137"/>
      <c r="P38" s="135"/>
      <c r="Q38" s="136"/>
      <c r="R38" s="138">
        <v>0</v>
      </c>
      <c r="S38" s="135"/>
      <c r="T38" s="135"/>
      <c r="U38" s="139"/>
      <c r="V38" s="138"/>
      <c r="W38" s="136"/>
      <c r="X38" s="138"/>
      <c r="Y38" s="135"/>
      <c r="Z38" s="138"/>
      <c r="AA38" s="135"/>
      <c r="AB38" s="135"/>
      <c r="AC38" s="138"/>
      <c r="AD38" s="141"/>
      <c r="AE38" s="142"/>
      <c r="AF38" s="143"/>
      <c r="AG38" s="134"/>
      <c r="AH38" s="142"/>
      <c r="AI38" s="134"/>
      <c r="AJ38" s="144"/>
      <c r="AK38" s="145"/>
      <c r="AL38" s="143"/>
      <c r="AM38" s="146"/>
      <c r="AN38" s="143"/>
      <c r="AO38" s="135"/>
      <c r="AP38" s="143"/>
      <c r="AQ38" s="144"/>
      <c r="AR38" s="144"/>
      <c r="AS38" s="143"/>
      <c r="AT38" s="8"/>
    </row>
    <row r="39" spans="1:46" ht="15" customHeight="1" x14ac:dyDescent="0.2">
      <c r="A39" s="339"/>
      <c r="B39" s="133"/>
      <c r="C39" s="134"/>
      <c r="D39" s="135"/>
      <c r="E39" s="136"/>
      <c r="F39" s="137"/>
      <c r="G39" s="135"/>
      <c r="H39" s="136"/>
      <c r="I39" s="1107"/>
      <c r="J39" s="135"/>
      <c r="K39" s="136"/>
      <c r="L39" s="137"/>
      <c r="M39" s="135"/>
      <c r="N39" s="136"/>
      <c r="O39" s="137"/>
      <c r="P39" s="135"/>
      <c r="Q39" s="136"/>
      <c r="R39" s="138">
        <v>0</v>
      </c>
      <c r="S39" s="135"/>
      <c r="T39" s="135"/>
      <c r="U39" s="139"/>
      <c r="V39" s="138"/>
      <c r="W39" s="136"/>
      <c r="X39" s="138"/>
      <c r="Y39" s="135"/>
      <c r="Z39" s="138"/>
      <c r="AA39" s="135"/>
      <c r="AB39" s="135"/>
      <c r="AC39" s="138"/>
      <c r="AD39" s="141"/>
      <c r="AE39" s="142"/>
      <c r="AF39" s="143"/>
      <c r="AG39" s="134"/>
      <c r="AH39" s="142"/>
      <c r="AI39" s="134"/>
      <c r="AJ39" s="144"/>
      <c r="AK39" s="145"/>
      <c r="AL39" s="143"/>
      <c r="AM39" s="146"/>
      <c r="AN39" s="143"/>
      <c r="AO39" s="135"/>
      <c r="AP39" s="143"/>
      <c r="AQ39" s="144"/>
      <c r="AR39" s="144"/>
      <c r="AS39" s="143"/>
      <c r="AT39" s="8"/>
    </row>
    <row r="40" spans="1:46" ht="15" customHeight="1" x14ac:dyDescent="0.2">
      <c r="A40" s="339"/>
      <c r="B40" s="133"/>
      <c r="C40" s="134"/>
      <c r="D40" s="135"/>
      <c r="E40" s="136"/>
      <c r="F40" s="137"/>
      <c r="G40" s="135"/>
      <c r="H40" s="136"/>
      <c r="I40" s="1107"/>
      <c r="J40" s="135"/>
      <c r="K40" s="136"/>
      <c r="L40" s="137"/>
      <c r="M40" s="135"/>
      <c r="N40" s="136"/>
      <c r="O40" s="137"/>
      <c r="P40" s="135"/>
      <c r="Q40" s="136"/>
      <c r="R40" s="138">
        <v>0</v>
      </c>
      <c r="S40" s="135"/>
      <c r="T40" s="135"/>
      <c r="U40" s="139"/>
      <c r="V40" s="138"/>
      <c r="W40" s="136"/>
      <c r="X40" s="138"/>
      <c r="Y40" s="135"/>
      <c r="Z40" s="138"/>
      <c r="AA40" s="135"/>
      <c r="AB40" s="135"/>
      <c r="AC40" s="138"/>
      <c r="AD40" s="141"/>
      <c r="AE40" s="142"/>
      <c r="AF40" s="143"/>
      <c r="AG40" s="134"/>
      <c r="AH40" s="142"/>
      <c r="AI40" s="134"/>
      <c r="AJ40" s="144"/>
      <c r="AK40" s="145"/>
      <c r="AL40" s="143"/>
      <c r="AM40" s="146"/>
      <c r="AN40" s="143"/>
      <c r="AO40" s="135"/>
      <c r="AP40" s="143"/>
      <c r="AQ40" s="144"/>
      <c r="AR40" s="144"/>
      <c r="AS40" s="143"/>
      <c r="AT40" s="8"/>
    </row>
    <row r="41" spans="1:46" ht="15" customHeight="1" x14ac:dyDescent="0.2">
      <c r="A41" s="344"/>
      <c r="B41" s="147"/>
      <c r="C41" s="148"/>
      <c r="D41" s="149"/>
      <c r="E41" s="150"/>
      <c r="F41" s="151"/>
      <c r="G41" s="149"/>
      <c r="H41" s="150"/>
      <c r="I41" s="1108"/>
      <c r="J41" s="149"/>
      <c r="K41" s="150"/>
      <c r="L41" s="151"/>
      <c r="M41" s="149"/>
      <c r="N41" s="150"/>
      <c r="O41" s="151"/>
      <c r="P41" s="149"/>
      <c r="Q41" s="150"/>
      <c r="R41" s="152">
        <v>0</v>
      </c>
      <c r="S41" s="149"/>
      <c r="T41" s="149"/>
      <c r="U41" s="153"/>
      <c r="V41" s="152"/>
      <c r="W41" s="150"/>
      <c r="X41" s="152"/>
      <c r="Y41" s="149"/>
      <c r="Z41" s="152"/>
      <c r="AA41" s="155"/>
      <c r="AB41" s="149"/>
      <c r="AC41" s="156"/>
      <c r="AD41" s="156"/>
      <c r="AE41" s="157"/>
      <c r="AF41" s="158"/>
      <c r="AG41" s="148"/>
      <c r="AH41" s="157"/>
      <c r="AI41" s="148"/>
      <c r="AJ41" s="159"/>
      <c r="AK41" s="160"/>
      <c r="AL41" s="158"/>
      <c r="AM41" s="161"/>
      <c r="AN41" s="158"/>
      <c r="AO41" s="149"/>
      <c r="AP41" s="158"/>
      <c r="AQ41" s="159"/>
      <c r="AR41" s="159"/>
      <c r="AS41" s="158"/>
      <c r="AT41" s="8"/>
    </row>
    <row r="42" spans="1:46" ht="15" customHeight="1" x14ac:dyDescent="0.2">
      <c r="A42" s="334"/>
      <c r="B42" s="115"/>
      <c r="C42" s="116"/>
      <c r="D42" s="117"/>
      <c r="E42" s="118"/>
      <c r="F42" s="119"/>
      <c r="G42" s="117"/>
      <c r="H42" s="118"/>
      <c r="I42" s="1106"/>
      <c r="J42" s="117"/>
      <c r="K42" s="118"/>
      <c r="L42" s="119"/>
      <c r="M42" s="117"/>
      <c r="N42" s="118"/>
      <c r="O42" s="119"/>
      <c r="P42" s="117"/>
      <c r="Q42" s="118"/>
      <c r="R42" s="120">
        <v>0</v>
      </c>
      <c r="S42" s="117"/>
      <c r="T42" s="117"/>
      <c r="U42" s="121"/>
      <c r="V42" s="120"/>
      <c r="W42" s="118"/>
      <c r="X42" s="120"/>
      <c r="Y42" s="117"/>
      <c r="Z42" s="120"/>
      <c r="AA42" s="117"/>
      <c r="AB42" s="117"/>
      <c r="AC42" s="120"/>
      <c r="AD42" s="122"/>
      <c r="AE42" s="123"/>
      <c r="AF42" s="124"/>
      <c r="AG42" s="116"/>
      <c r="AH42" s="123"/>
      <c r="AI42" s="116"/>
      <c r="AJ42" s="125"/>
      <c r="AK42" s="126"/>
      <c r="AL42" s="124"/>
      <c r="AM42" s="127"/>
      <c r="AN42" s="124"/>
      <c r="AO42" s="117"/>
      <c r="AP42" s="124"/>
      <c r="AQ42" s="125"/>
      <c r="AR42" s="125"/>
      <c r="AS42" s="124"/>
      <c r="AT42" s="8"/>
    </row>
    <row r="43" spans="1:46" ht="15" customHeight="1" x14ac:dyDescent="0.2">
      <c r="A43" s="339"/>
      <c r="B43" s="133"/>
      <c r="C43" s="134"/>
      <c r="D43" s="135"/>
      <c r="E43" s="136"/>
      <c r="F43" s="137"/>
      <c r="G43" s="135"/>
      <c r="H43" s="136"/>
      <c r="I43" s="1107"/>
      <c r="J43" s="135"/>
      <c r="K43" s="136"/>
      <c r="L43" s="137"/>
      <c r="M43" s="135"/>
      <c r="N43" s="136"/>
      <c r="O43" s="137"/>
      <c r="P43" s="135"/>
      <c r="Q43" s="136"/>
      <c r="R43" s="138">
        <v>0</v>
      </c>
      <c r="S43" s="135"/>
      <c r="T43" s="135"/>
      <c r="U43" s="139"/>
      <c r="V43" s="138"/>
      <c r="W43" s="136"/>
      <c r="X43" s="138"/>
      <c r="Y43" s="135"/>
      <c r="Z43" s="138"/>
      <c r="AA43" s="135"/>
      <c r="AB43" s="135"/>
      <c r="AC43" s="138"/>
      <c r="AD43" s="141"/>
      <c r="AE43" s="142"/>
      <c r="AF43" s="143"/>
      <c r="AG43" s="134"/>
      <c r="AH43" s="142"/>
      <c r="AI43" s="134"/>
      <c r="AJ43" s="144"/>
      <c r="AK43" s="145"/>
      <c r="AL43" s="143"/>
      <c r="AM43" s="146"/>
      <c r="AN43" s="143"/>
      <c r="AO43" s="135"/>
      <c r="AP43" s="143"/>
      <c r="AQ43" s="144"/>
      <c r="AR43" s="144"/>
      <c r="AS43" s="143"/>
      <c r="AT43" s="8"/>
    </row>
    <row r="44" spans="1:46" ht="15" customHeight="1" x14ac:dyDescent="0.2">
      <c r="A44" s="339"/>
      <c r="B44" s="133"/>
      <c r="C44" s="134"/>
      <c r="D44" s="135"/>
      <c r="E44" s="136"/>
      <c r="F44" s="137"/>
      <c r="G44" s="135"/>
      <c r="H44" s="136"/>
      <c r="I44" s="1107"/>
      <c r="J44" s="135"/>
      <c r="K44" s="136"/>
      <c r="L44" s="137"/>
      <c r="M44" s="135"/>
      <c r="N44" s="136"/>
      <c r="O44" s="137"/>
      <c r="P44" s="135"/>
      <c r="Q44" s="136"/>
      <c r="R44" s="138">
        <v>0</v>
      </c>
      <c r="S44" s="135"/>
      <c r="T44" s="135"/>
      <c r="U44" s="139"/>
      <c r="V44" s="138"/>
      <c r="W44" s="136"/>
      <c r="X44" s="138"/>
      <c r="Y44" s="135"/>
      <c r="Z44" s="138"/>
      <c r="AA44" s="135"/>
      <c r="AB44" s="135"/>
      <c r="AC44" s="138"/>
      <c r="AD44" s="141"/>
      <c r="AE44" s="142"/>
      <c r="AF44" s="143"/>
      <c r="AG44" s="134"/>
      <c r="AH44" s="142"/>
      <c r="AI44" s="134"/>
      <c r="AJ44" s="144"/>
      <c r="AK44" s="145"/>
      <c r="AL44" s="143"/>
      <c r="AM44" s="146"/>
      <c r="AN44" s="143"/>
      <c r="AO44" s="135"/>
      <c r="AP44" s="143"/>
      <c r="AQ44" s="144"/>
      <c r="AR44" s="144"/>
      <c r="AS44" s="143"/>
      <c r="AT44" s="8"/>
    </row>
    <row r="45" spans="1:46" ht="15" customHeight="1" x14ac:dyDescent="0.2">
      <c r="A45" s="339"/>
      <c r="B45" s="133"/>
      <c r="C45" s="134"/>
      <c r="D45" s="135"/>
      <c r="E45" s="136"/>
      <c r="F45" s="137"/>
      <c r="G45" s="135"/>
      <c r="H45" s="136"/>
      <c r="I45" s="1107"/>
      <c r="J45" s="135"/>
      <c r="K45" s="136"/>
      <c r="L45" s="137"/>
      <c r="M45" s="135"/>
      <c r="N45" s="136"/>
      <c r="O45" s="137"/>
      <c r="P45" s="135"/>
      <c r="Q45" s="136"/>
      <c r="R45" s="138">
        <v>0</v>
      </c>
      <c r="S45" s="135"/>
      <c r="T45" s="135"/>
      <c r="U45" s="139"/>
      <c r="V45" s="138"/>
      <c r="W45" s="136"/>
      <c r="X45" s="138"/>
      <c r="Y45" s="135"/>
      <c r="Z45" s="138"/>
      <c r="AA45" s="135"/>
      <c r="AB45" s="135"/>
      <c r="AC45" s="138"/>
      <c r="AD45" s="141"/>
      <c r="AE45" s="142"/>
      <c r="AF45" s="143"/>
      <c r="AG45" s="134"/>
      <c r="AH45" s="142"/>
      <c r="AI45" s="134"/>
      <c r="AJ45" s="144"/>
      <c r="AK45" s="145"/>
      <c r="AL45" s="143"/>
      <c r="AM45" s="146"/>
      <c r="AN45" s="143"/>
      <c r="AO45" s="135"/>
      <c r="AP45" s="143"/>
      <c r="AQ45" s="144"/>
      <c r="AR45" s="144"/>
      <c r="AS45" s="143"/>
      <c r="AT45" s="8"/>
    </row>
    <row r="46" spans="1:46" ht="15" customHeight="1" x14ac:dyDescent="0.2">
      <c r="A46" s="344"/>
      <c r="B46" s="147"/>
      <c r="C46" s="148"/>
      <c r="D46" s="149"/>
      <c r="E46" s="150"/>
      <c r="F46" s="151"/>
      <c r="G46" s="149"/>
      <c r="H46" s="150"/>
      <c r="I46" s="1108"/>
      <c r="J46" s="149"/>
      <c r="K46" s="150"/>
      <c r="L46" s="151"/>
      <c r="M46" s="149"/>
      <c r="N46" s="150"/>
      <c r="O46" s="151"/>
      <c r="P46" s="149"/>
      <c r="Q46" s="150"/>
      <c r="R46" s="152">
        <v>0</v>
      </c>
      <c r="S46" s="149"/>
      <c r="T46" s="149"/>
      <c r="U46" s="153"/>
      <c r="V46" s="152"/>
      <c r="W46" s="150"/>
      <c r="X46" s="152"/>
      <c r="Y46" s="149"/>
      <c r="Z46" s="152"/>
      <c r="AA46" s="155"/>
      <c r="AB46" s="149"/>
      <c r="AC46" s="156"/>
      <c r="AD46" s="156"/>
      <c r="AE46" s="157"/>
      <c r="AF46" s="158"/>
      <c r="AG46" s="148"/>
      <c r="AH46" s="157"/>
      <c r="AI46" s="148"/>
      <c r="AJ46" s="159"/>
      <c r="AK46" s="160"/>
      <c r="AL46" s="158"/>
      <c r="AM46" s="161"/>
      <c r="AN46" s="158"/>
      <c r="AO46" s="149"/>
      <c r="AP46" s="158"/>
      <c r="AQ46" s="159"/>
      <c r="AR46" s="159"/>
      <c r="AS46" s="158"/>
      <c r="AT46" s="8"/>
    </row>
    <row r="47" spans="1:46" ht="15" customHeight="1" x14ac:dyDescent="0.2">
      <c r="A47" s="334"/>
      <c r="B47" s="115"/>
      <c r="C47" s="116"/>
      <c r="D47" s="117"/>
      <c r="E47" s="118"/>
      <c r="F47" s="119"/>
      <c r="G47" s="117"/>
      <c r="H47" s="118"/>
      <c r="I47" s="1106"/>
      <c r="J47" s="117"/>
      <c r="K47" s="118"/>
      <c r="L47" s="119"/>
      <c r="M47" s="117"/>
      <c r="N47" s="118"/>
      <c r="O47" s="119"/>
      <c r="P47" s="117"/>
      <c r="Q47" s="118"/>
      <c r="R47" s="120">
        <v>0</v>
      </c>
      <c r="S47" s="117"/>
      <c r="T47" s="117"/>
      <c r="U47" s="121"/>
      <c r="V47" s="120"/>
      <c r="W47" s="118"/>
      <c r="X47" s="120"/>
      <c r="Y47" s="117"/>
      <c r="Z47" s="120"/>
      <c r="AA47" s="117"/>
      <c r="AB47" s="117"/>
      <c r="AC47" s="120"/>
      <c r="AD47" s="122"/>
      <c r="AE47" s="123"/>
      <c r="AF47" s="124"/>
      <c r="AG47" s="116"/>
      <c r="AH47" s="123"/>
      <c r="AI47" s="116"/>
      <c r="AJ47" s="125"/>
      <c r="AK47" s="126"/>
      <c r="AL47" s="124"/>
      <c r="AM47" s="127"/>
      <c r="AN47" s="124"/>
      <c r="AO47" s="117"/>
      <c r="AP47" s="124"/>
      <c r="AQ47" s="125"/>
      <c r="AR47" s="125"/>
      <c r="AS47" s="124"/>
      <c r="AT47" s="8"/>
    </row>
    <row r="48" spans="1:46" ht="15" customHeight="1" x14ac:dyDescent="0.2">
      <c r="A48" s="339"/>
      <c r="B48" s="133"/>
      <c r="C48" s="134"/>
      <c r="D48" s="135"/>
      <c r="E48" s="136"/>
      <c r="F48" s="137"/>
      <c r="G48" s="135"/>
      <c r="H48" s="136"/>
      <c r="I48" s="1107"/>
      <c r="J48" s="135"/>
      <c r="K48" s="136"/>
      <c r="L48" s="137"/>
      <c r="M48" s="135"/>
      <c r="N48" s="136"/>
      <c r="O48" s="137"/>
      <c r="P48" s="135"/>
      <c r="Q48" s="136"/>
      <c r="R48" s="138">
        <v>0</v>
      </c>
      <c r="S48" s="135"/>
      <c r="T48" s="135"/>
      <c r="U48" s="139"/>
      <c r="V48" s="138"/>
      <c r="W48" s="136"/>
      <c r="X48" s="138"/>
      <c r="Y48" s="135"/>
      <c r="Z48" s="138"/>
      <c r="AA48" s="135"/>
      <c r="AB48" s="135"/>
      <c r="AC48" s="138"/>
      <c r="AD48" s="141"/>
      <c r="AE48" s="142"/>
      <c r="AF48" s="143"/>
      <c r="AG48" s="134"/>
      <c r="AH48" s="142"/>
      <c r="AI48" s="134"/>
      <c r="AJ48" s="144"/>
      <c r="AK48" s="145"/>
      <c r="AL48" s="143"/>
      <c r="AM48" s="146"/>
      <c r="AN48" s="143"/>
      <c r="AO48" s="135"/>
      <c r="AP48" s="143"/>
      <c r="AQ48" s="144"/>
      <c r="AR48" s="144"/>
      <c r="AS48" s="143"/>
      <c r="AT48" s="8"/>
    </row>
    <row r="49" spans="1:46" ht="15" customHeight="1" x14ac:dyDescent="0.2">
      <c r="A49" s="339"/>
      <c r="B49" s="133"/>
      <c r="C49" s="134"/>
      <c r="D49" s="135"/>
      <c r="E49" s="136"/>
      <c r="F49" s="137"/>
      <c r="G49" s="135"/>
      <c r="H49" s="136"/>
      <c r="I49" s="1107"/>
      <c r="J49" s="135"/>
      <c r="K49" s="136"/>
      <c r="L49" s="137"/>
      <c r="M49" s="135"/>
      <c r="N49" s="136"/>
      <c r="O49" s="137"/>
      <c r="P49" s="135"/>
      <c r="Q49" s="136"/>
      <c r="R49" s="138">
        <v>0</v>
      </c>
      <c r="S49" s="135"/>
      <c r="T49" s="135"/>
      <c r="U49" s="139"/>
      <c r="V49" s="138"/>
      <c r="W49" s="136"/>
      <c r="X49" s="138"/>
      <c r="Y49" s="135"/>
      <c r="Z49" s="138"/>
      <c r="AA49" s="135"/>
      <c r="AB49" s="135"/>
      <c r="AC49" s="138"/>
      <c r="AD49" s="141"/>
      <c r="AE49" s="142"/>
      <c r="AF49" s="143"/>
      <c r="AG49" s="134"/>
      <c r="AH49" s="142"/>
      <c r="AI49" s="134"/>
      <c r="AJ49" s="144"/>
      <c r="AK49" s="145"/>
      <c r="AL49" s="143"/>
      <c r="AM49" s="146"/>
      <c r="AN49" s="143"/>
      <c r="AO49" s="135"/>
      <c r="AP49" s="143"/>
      <c r="AQ49" s="144"/>
      <c r="AR49" s="144"/>
      <c r="AS49" s="143"/>
      <c r="AT49" s="8"/>
    </row>
    <row r="50" spans="1:46" ht="15" customHeight="1" x14ac:dyDescent="0.2">
      <c r="A50" s="339"/>
      <c r="B50" s="133"/>
      <c r="C50" s="134"/>
      <c r="D50" s="135"/>
      <c r="E50" s="136"/>
      <c r="F50" s="137"/>
      <c r="G50" s="135"/>
      <c r="H50" s="136"/>
      <c r="I50" s="1107"/>
      <c r="J50" s="135"/>
      <c r="K50" s="136"/>
      <c r="L50" s="137"/>
      <c r="M50" s="135"/>
      <c r="N50" s="136"/>
      <c r="O50" s="137"/>
      <c r="P50" s="135"/>
      <c r="Q50" s="136"/>
      <c r="R50" s="138">
        <v>0</v>
      </c>
      <c r="S50" s="135"/>
      <c r="T50" s="135"/>
      <c r="U50" s="139"/>
      <c r="V50" s="138"/>
      <c r="W50" s="136"/>
      <c r="X50" s="138"/>
      <c r="Y50" s="135"/>
      <c r="Z50" s="138"/>
      <c r="AA50" s="135"/>
      <c r="AB50" s="135"/>
      <c r="AC50" s="138"/>
      <c r="AD50" s="141"/>
      <c r="AE50" s="142"/>
      <c r="AF50" s="143"/>
      <c r="AG50" s="134"/>
      <c r="AH50" s="142"/>
      <c r="AI50" s="134"/>
      <c r="AJ50" s="144"/>
      <c r="AK50" s="145"/>
      <c r="AL50" s="143"/>
      <c r="AM50" s="146"/>
      <c r="AN50" s="143"/>
      <c r="AO50" s="135"/>
      <c r="AP50" s="143"/>
      <c r="AQ50" s="144"/>
      <c r="AR50" s="144"/>
      <c r="AS50" s="143"/>
      <c r="AT50" s="8"/>
    </row>
    <row r="51" spans="1:46" ht="15" customHeight="1" x14ac:dyDescent="0.2">
      <c r="A51" s="344"/>
      <c r="B51" s="147"/>
      <c r="C51" s="148"/>
      <c r="D51" s="149"/>
      <c r="E51" s="150"/>
      <c r="F51" s="151"/>
      <c r="G51" s="149"/>
      <c r="H51" s="150"/>
      <c r="I51" s="1108"/>
      <c r="J51" s="149"/>
      <c r="K51" s="150"/>
      <c r="L51" s="151"/>
      <c r="M51" s="149"/>
      <c r="N51" s="150"/>
      <c r="O51" s="151"/>
      <c r="P51" s="149"/>
      <c r="Q51" s="150"/>
      <c r="R51" s="152">
        <v>0</v>
      </c>
      <c r="S51" s="149"/>
      <c r="T51" s="149"/>
      <c r="U51" s="153"/>
      <c r="V51" s="152"/>
      <c r="W51" s="150"/>
      <c r="X51" s="152"/>
      <c r="Y51" s="149"/>
      <c r="Z51" s="152"/>
      <c r="AA51" s="155"/>
      <c r="AB51" s="149"/>
      <c r="AC51" s="156"/>
      <c r="AD51" s="156"/>
      <c r="AE51" s="157"/>
      <c r="AF51" s="158"/>
      <c r="AG51" s="148"/>
      <c r="AH51" s="157"/>
      <c r="AI51" s="148"/>
      <c r="AJ51" s="159"/>
      <c r="AK51" s="160"/>
      <c r="AL51" s="158"/>
      <c r="AM51" s="161"/>
      <c r="AN51" s="158"/>
      <c r="AO51" s="149"/>
      <c r="AP51" s="158"/>
      <c r="AQ51" s="159"/>
      <c r="AR51" s="159"/>
      <c r="AS51" s="158"/>
      <c r="AT51" s="8"/>
    </row>
    <row r="52" spans="1:46" ht="15" customHeight="1" x14ac:dyDescent="0.2">
      <c r="A52" s="334"/>
      <c r="B52" s="115"/>
      <c r="C52" s="116"/>
      <c r="D52" s="117"/>
      <c r="E52" s="118"/>
      <c r="F52" s="119"/>
      <c r="G52" s="117"/>
      <c r="H52" s="118"/>
      <c r="I52" s="1106"/>
      <c r="J52" s="117"/>
      <c r="K52" s="118"/>
      <c r="L52" s="119"/>
      <c r="M52" s="117"/>
      <c r="N52" s="118"/>
      <c r="O52" s="119"/>
      <c r="P52" s="117"/>
      <c r="Q52" s="118"/>
      <c r="R52" s="120">
        <v>0</v>
      </c>
      <c r="S52" s="117"/>
      <c r="T52" s="117"/>
      <c r="U52" s="121"/>
      <c r="V52" s="120"/>
      <c r="W52" s="118"/>
      <c r="X52" s="120"/>
      <c r="Y52" s="117"/>
      <c r="Z52" s="120"/>
      <c r="AA52" s="117"/>
      <c r="AB52" s="117"/>
      <c r="AC52" s="120"/>
      <c r="AD52" s="122"/>
      <c r="AE52" s="123"/>
      <c r="AF52" s="124"/>
      <c r="AG52" s="116"/>
      <c r="AH52" s="123"/>
      <c r="AI52" s="116"/>
      <c r="AJ52" s="125"/>
      <c r="AK52" s="126"/>
      <c r="AL52" s="124"/>
      <c r="AM52" s="127"/>
      <c r="AN52" s="124"/>
      <c r="AO52" s="117"/>
      <c r="AP52" s="124"/>
      <c r="AQ52" s="125"/>
      <c r="AR52" s="125"/>
      <c r="AS52" s="124"/>
      <c r="AT52" s="8"/>
    </row>
    <row r="53" spans="1:46" ht="15" customHeight="1" x14ac:dyDescent="0.2">
      <c r="A53" s="339"/>
      <c r="B53" s="133"/>
      <c r="C53" s="134"/>
      <c r="D53" s="135"/>
      <c r="E53" s="136"/>
      <c r="F53" s="137"/>
      <c r="G53" s="135"/>
      <c r="H53" s="136"/>
      <c r="I53" s="1107"/>
      <c r="J53" s="135"/>
      <c r="K53" s="136"/>
      <c r="L53" s="137"/>
      <c r="M53" s="135"/>
      <c r="N53" s="136"/>
      <c r="O53" s="137"/>
      <c r="P53" s="135"/>
      <c r="Q53" s="136"/>
      <c r="R53" s="138">
        <v>151530</v>
      </c>
      <c r="S53" s="135"/>
      <c r="T53" s="135"/>
      <c r="U53" s="139"/>
      <c r="V53" s="138"/>
      <c r="W53" s="136"/>
      <c r="X53" s="138"/>
      <c r="Y53" s="135"/>
      <c r="Z53" s="138"/>
      <c r="AA53" s="135"/>
      <c r="AB53" s="135"/>
      <c r="AC53" s="138"/>
      <c r="AD53" s="141"/>
      <c r="AE53" s="142"/>
      <c r="AF53" s="143"/>
      <c r="AG53" s="134"/>
      <c r="AH53" s="142"/>
      <c r="AI53" s="134"/>
      <c r="AJ53" s="144"/>
      <c r="AK53" s="145"/>
      <c r="AL53" s="143"/>
      <c r="AM53" s="146"/>
      <c r="AN53" s="143"/>
      <c r="AO53" s="135"/>
      <c r="AP53" s="143"/>
      <c r="AQ53" s="144"/>
      <c r="AR53" s="144"/>
      <c r="AS53" s="143"/>
      <c r="AT53" s="8"/>
    </row>
    <row r="54" spans="1:46" ht="15" customHeight="1" x14ac:dyDescent="0.2">
      <c r="A54" s="339"/>
      <c r="B54" s="133"/>
      <c r="C54" s="134"/>
      <c r="D54" s="135"/>
      <c r="E54" s="136"/>
      <c r="F54" s="137"/>
      <c r="G54" s="135"/>
      <c r="H54" s="136"/>
      <c r="I54" s="1107"/>
      <c r="J54" s="135"/>
      <c r="K54" s="136"/>
      <c r="L54" s="137"/>
      <c r="M54" s="135"/>
      <c r="N54" s="136"/>
      <c r="O54" s="137"/>
      <c r="P54" s="135"/>
      <c r="Q54" s="136"/>
      <c r="R54" s="138">
        <v>98707</v>
      </c>
      <c r="S54" s="135"/>
      <c r="T54" s="135"/>
      <c r="U54" s="139"/>
      <c r="V54" s="138"/>
      <c r="W54" s="136"/>
      <c r="X54" s="138"/>
      <c r="Y54" s="135"/>
      <c r="Z54" s="138"/>
      <c r="AA54" s="135"/>
      <c r="AB54" s="135"/>
      <c r="AC54" s="138"/>
      <c r="AD54" s="141"/>
      <c r="AE54" s="142"/>
      <c r="AF54" s="143"/>
      <c r="AG54" s="134"/>
      <c r="AH54" s="142"/>
      <c r="AI54" s="134"/>
      <c r="AJ54" s="144"/>
      <c r="AK54" s="145"/>
      <c r="AL54" s="143"/>
      <c r="AM54" s="146"/>
      <c r="AN54" s="143"/>
      <c r="AO54" s="135"/>
      <c r="AP54" s="143"/>
      <c r="AQ54" s="144"/>
      <c r="AR54" s="144"/>
      <c r="AS54" s="143"/>
      <c r="AT54" s="8"/>
    </row>
    <row r="55" spans="1:46" ht="15" customHeight="1" x14ac:dyDescent="0.2">
      <c r="A55" s="339"/>
      <c r="B55" s="133"/>
      <c r="C55" s="134"/>
      <c r="D55" s="135"/>
      <c r="E55" s="136"/>
      <c r="F55" s="137"/>
      <c r="G55" s="135"/>
      <c r="H55" s="136"/>
      <c r="I55" s="1107"/>
      <c r="J55" s="135"/>
      <c r="K55" s="136"/>
      <c r="L55" s="137"/>
      <c r="M55" s="135"/>
      <c r="N55" s="136"/>
      <c r="O55" s="137"/>
      <c r="P55" s="135"/>
      <c r="Q55" s="136"/>
      <c r="R55" s="138">
        <v>0</v>
      </c>
      <c r="S55" s="135"/>
      <c r="T55" s="135"/>
      <c r="U55" s="139"/>
      <c r="V55" s="138"/>
      <c r="W55" s="136"/>
      <c r="X55" s="138"/>
      <c r="Y55" s="135"/>
      <c r="Z55" s="138"/>
      <c r="AA55" s="135"/>
      <c r="AB55" s="135"/>
      <c r="AC55" s="138"/>
      <c r="AD55" s="141"/>
      <c r="AE55" s="142"/>
      <c r="AF55" s="143"/>
      <c r="AG55" s="134"/>
      <c r="AH55" s="142"/>
      <c r="AI55" s="134"/>
      <c r="AJ55" s="144"/>
      <c r="AK55" s="145"/>
      <c r="AL55" s="143"/>
      <c r="AM55" s="146"/>
      <c r="AN55" s="143"/>
      <c r="AO55" s="135"/>
      <c r="AP55" s="143"/>
      <c r="AQ55" s="144"/>
      <c r="AR55" s="144"/>
      <c r="AS55" s="143"/>
      <c r="AT55" s="8"/>
    </row>
    <row r="56" spans="1:46" ht="15" customHeight="1" x14ac:dyDescent="0.2">
      <c r="A56" s="344"/>
      <c r="B56" s="147"/>
      <c r="C56" s="148"/>
      <c r="D56" s="149"/>
      <c r="E56" s="150"/>
      <c r="F56" s="151"/>
      <c r="G56" s="149"/>
      <c r="H56" s="150"/>
      <c r="I56" s="1108"/>
      <c r="J56" s="149"/>
      <c r="K56" s="150"/>
      <c r="L56" s="151"/>
      <c r="M56" s="149"/>
      <c r="N56" s="150"/>
      <c r="O56" s="151"/>
      <c r="P56" s="149"/>
      <c r="Q56" s="150"/>
      <c r="R56" s="152">
        <v>0</v>
      </c>
      <c r="S56" s="149"/>
      <c r="T56" s="149"/>
      <c r="U56" s="153"/>
      <c r="V56" s="152"/>
      <c r="W56" s="150"/>
      <c r="X56" s="152"/>
      <c r="Y56" s="149"/>
      <c r="Z56" s="152"/>
      <c r="AA56" s="155"/>
      <c r="AB56" s="149"/>
      <c r="AC56" s="156"/>
      <c r="AD56" s="156"/>
      <c r="AE56" s="157"/>
      <c r="AF56" s="158"/>
      <c r="AG56" s="148"/>
      <c r="AH56" s="157"/>
      <c r="AI56" s="148"/>
      <c r="AJ56" s="159"/>
      <c r="AK56" s="160"/>
      <c r="AL56" s="158"/>
      <c r="AM56" s="161"/>
      <c r="AN56" s="158"/>
      <c r="AO56" s="149"/>
      <c r="AP56" s="158"/>
      <c r="AQ56" s="159"/>
      <c r="AR56" s="159"/>
      <c r="AS56" s="158"/>
      <c r="AT56" s="8"/>
    </row>
    <row r="57" spans="1:46" ht="15" customHeight="1" x14ac:dyDescent="0.2">
      <c r="A57" s="334"/>
      <c r="B57" s="115"/>
      <c r="C57" s="116"/>
      <c r="D57" s="117"/>
      <c r="E57" s="118"/>
      <c r="F57" s="119"/>
      <c r="G57" s="117"/>
      <c r="H57" s="118"/>
      <c r="I57" s="1106"/>
      <c r="J57" s="117"/>
      <c r="K57" s="118"/>
      <c r="L57" s="119"/>
      <c r="M57" s="117"/>
      <c r="N57" s="118"/>
      <c r="O57" s="119"/>
      <c r="P57" s="117"/>
      <c r="Q57" s="118"/>
      <c r="R57" s="120">
        <v>0</v>
      </c>
      <c r="S57" s="117"/>
      <c r="T57" s="117"/>
      <c r="U57" s="121"/>
      <c r="V57" s="120"/>
      <c r="W57" s="118"/>
      <c r="X57" s="120"/>
      <c r="Y57" s="117"/>
      <c r="Z57" s="120"/>
      <c r="AA57" s="117"/>
      <c r="AB57" s="117"/>
      <c r="AC57" s="120"/>
      <c r="AD57" s="122"/>
      <c r="AE57" s="123"/>
      <c r="AF57" s="124"/>
      <c r="AG57" s="116"/>
      <c r="AH57" s="123"/>
      <c r="AI57" s="116"/>
      <c r="AJ57" s="125"/>
      <c r="AK57" s="126"/>
      <c r="AL57" s="124"/>
      <c r="AM57" s="127"/>
      <c r="AN57" s="124"/>
      <c r="AO57" s="117"/>
      <c r="AP57" s="124"/>
      <c r="AQ57" s="125"/>
      <c r="AR57" s="125"/>
      <c r="AS57" s="124"/>
      <c r="AT57" s="8"/>
    </row>
    <row r="58" spans="1:46" ht="15" customHeight="1" x14ac:dyDescent="0.2">
      <c r="A58" s="339"/>
      <c r="B58" s="133"/>
      <c r="C58" s="134"/>
      <c r="D58" s="135"/>
      <c r="E58" s="136"/>
      <c r="F58" s="137"/>
      <c r="G58" s="135"/>
      <c r="H58" s="136"/>
      <c r="I58" s="1107"/>
      <c r="J58" s="135"/>
      <c r="K58" s="136"/>
      <c r="L58" s="137"/>
      <c r="M58" s="135"/>
      <c r="N58" s="136"/>
      <c r="O58" s="137"/>
      <c r="P58" s="135"/>
      <c r="Q58" s="136"/>
      <c r="R58" s="138">
        <v>0</v>
      </c>
      <c r="S58" s="135"/>
      <c r="T58" s="135"/>
      <c r="U58" s="139"/>
      <c r="V58" s="138"/>
      <c r="W58" s="136"/>
      <c r="X58" s="138"/>
      <c r="Y58" s="135"/>
      <c r="Z58" s="138"/>
      <c r="AA58" s="135"/>
      <c r="AB58" s="135"/>
      <c r="AC58" s="138"/>
      <c r="AD58" s="141"/>
      <c r="AE58" s="142"/>
      <c r="AF58" s="143"/>
      <c r="AG58" s="134"/>
      <c r="AH58" s="142"/>
      <c r="AI58" s="134"/>
      <c r="AJ58" s="144"/>
      <c r="AK58" s="145"/>
      <c r="AL58" s="143"/>
      <c r="AM58" s="146"/>
      <c r="AN58" s="143"/>
      <c r="AO58" s="135"/>
      <c r="AP58" s="143"/>
      <c r="AQ58" s="144"/>
      <c r="AR58" s="144"/>
      <c r="AS58" s="143"/>
      <c r="AT58" s="8"/>
    </row>
    <row r="59" spans="1:46" ht="15" customHeight="1" x14ac:dyDescent="0.2">
      <c r="A59" s="339"/>
      <c r="B59" s="133"/>
      <c r="C59" s="134"/>
      <c r="D59" s="135"/>
      <c r="E59" s="136"/>
      <c r="F59" s="137"/>
      <c r="G59" s="135"/>
      <c r="H59" s="136"/>
      <c r="I59" s="1107"/>
      <c r="J59" s="135"/>
      <c r="K59" s="136"/>
      <c r="L59" s="137"/>
      <c r="M59" s="135"/>
      <c r="N59" s="136"/>
      <c r="O59" s="137"/>
      <c r="P59" s="135"/>
      <c r="Q59" s="136"/>
      <c r="R59" s="138">
        <v>0</v>
      </c>
      <c r="S59" s="135"/>
      <c r="T59" s="135"/>
      <c r="U59" s="139"/>
      <c r="V59" s="138"/>
      <c r="W59" s="136"/>
      <c r="X59" s="138"/>
      <c r="Y59" s="135"/>
      <c r="Z59" s="138"/>
      <c r="AA59" s="135"/>
      <c r="AB59" s="135"/>
      <c r="AC59" s="138"/>
      <c r="AD59" s="141"/>
      <c r="AE59" s="142"/>
      <c r="AF59" s="143"/>
      <c r="AG59" s="134"/>
      <c r="AH59" s="142"/>
      <c r="AI59" s="134"/>
      <c r="AJ59" s="144"/>
      <c r="AK59" s="145"/>
      <c r="AL59" s="143"/>
      <c r="AM59" s="146"/>
      <c r="AN59" s="143"/>
      <c r="AO59" s="135"/>
      <c r="AP59" s="143"/>
      <c r="AQ59" s="144"/>
      <c r="AR59" s="144"/>
      <c r="AS59" s="143"/>
      <c r="AT59" s="8"/>
    </row>
    <row r="60" spans="1:46" ht="15" customHeight="1" x14ac:dyDescent="0.2">
      <c r="A60" s="339"/>
      <c r="B60" s="133"/>
      <c r="C60" s="134"/>
      <c r="D60" s="135"/>
      <c r="E60" s="136"/>
      <c r="F60" s="137"/>
      <c r="G60" s="135"/>
      <c r="H60" s="136"/>
      <c r="I60" s="1107"/>
      <c r="J60" s="135"/>
      <c r="K60" s="136"/>
      <c r="L60" s="137"/>
      <c r="M60" s="135"/>
      <c r="N60" s="136"/>
      <c r="O60" s="137"/>
      <c r="P60" s="135"/>
      <c r="Q60" s="136"/>
      <c r="R60" s="138">
        <v>0</v>
      </c>
      <c r="S60" s="135"/>
      <c r="T60" s="135"/>
      <c r="U60" s="139"/>
      <c r="V60" s="138"/>
      <c r="W60" s="136"/>
      <c r="X60" s="138"/>
      <c r="Y60" s="135"/>
      <c r="Z60" s="138"/>
      <c r="AA60" s="135"/>
      <c r="AB60" s="135"/>
      <c r="AC60" s="138"/>
      <c r="AD60" s="141"/>
      <c r="AE60" s="142"/>
      <c r="AF60" s="143"/>
      <c r="AG60" s="134"/>
      <c r="AH60" s="142"/>
      <c r="AI60" s="134"/>
      <c r="AJ60" s="144"/>
      <c r="AK60" s="145"/>
      <c r="AL60" s="143"/>
      <c r="AM60" s="146"/>
      <c r="AN60" s="143"/>
      <c r="AO60" s="135"/>
      <c r="AP60" s="143"/>
      <c r="AQ60" s="144"/>
      <c r="AR60" s="144"/>
      <c r="AS60" s="143"/>
      <c r="AT60" s="8"/>
    </row>
    <row r="61" spans="1:46" ht="15" customHeight="1" x14ac:dyDescent="0.2">
      <c r="A61" s="344"/>
      <c r="B61" s="147"/>
      <c r="C61" s="148"/>
      <c r="D61" s="149"/>
      <c r="E61" s="150"/>
      <c r="F61" s="151"/>
      <c r="G61" s="149"/>
      <c r="H61" s="150"/>
      <c r="I61" s="1108"/>
      <c r="J61" s="149"/>
      <c r="K61" s="150"/>
      <c r="L61" s="151"/>
      <c r="M61" s="149"/>
      <c r="N61" s="150"/>
      <c r="O61" s="151"/>
      <c r="P61" s="149"/>
      <c r="Q61" s="150"/>
      <c r="R61" s="152">
        <v>0</v>
      </c>
      <c r="S61" s="149"/>
      <c r="T61" s="149"/>
      <c r="U61" s="153"/>
      <c r="V61" s="152"/>
      <c r="W61" s="150"/>
      <c r="X61" s="152"/>
      <c r="Y61" s="149"/>
      <c r="Z61" s="152"/>
      <c r="AA61" s="155"/>
      <c r="AB61" s="149"/>
      <c r="AC61" s="156"/>
      <c r="AD61" s="156"/>
      <c r="AE61" s="157"/>
      <c r="AF61" s="158"/>
      <c r="AG61" s="148"/>
      <c r="AH61" s="157"/>
      <c r="AI61" s="148"/>
      <c r="AJ61" s="159"/>
      <c r="AK61" s="160"/>
      <c r="AL61" s="158"/>
      <c r="AM61" s="161"/>
      <c r="AN61" s="158"/>
      <c r="AO61" s="149"/>
      <c r="AP61" s="158"/>
      <c r="AQ61" s="159"/>
      <c r="AR61" s="159"/>
      <c r="AS61" s="158"/>
      <c r="AT61" s="8"/>
    </row>
    <row r="62" spans="1:46" ht="15" customHeight="1" x14ac:dyDescent="0.2">
      <c r="A62" s="334"/>
      <c r="B62" s="115"/>
      <c r="C62" s="116"/>
      <c r="D62" s="117"/>
      <c r="E62" s="118"/>
      <c r="F62" s="119"/>
      <c r="G62" s="117"/>
      <c r="H62" s="118"/>
      <c r="I62" s="1106"/>
      <c r="J62" s="117"/>
      <c r="K62" s="118"/>
      <c r="L62" s="119"/>
      <c r="M62" s="117"/>
      <c r="N62" s="118"/>
      <c r="O62" s="119"/>
      <c r="P62" s="117"/>
      <c r="Q62" s="118"/>
      <c r="R62" s="120">
        <v>0</v>
      </c>
      <c r="S62" s="117"/>
      <c r="T62" s="117"/>
      <c r="U62" s="121"/>
      <c r="V62" s="120"/>
      <c r="W62" s="118"/>
      <c r="X62" s="120"/>
      <c r="Y62" s="117"/>
      <c r="Z62" s="120"/>
      <c r="AA62" s="117"/>
      <c r="AB62" s="117"/>
      <c r="AC62" s="120"/>
      <c r="AD62" s="122"/>
      <c r="AE62" s="123"/>
      <c r="AF62" s="124"/>
      <c r="AG62" s="116"/>
      <c r="AH62" s="123"/>
      <c r="AI62" s="116"/>
      <c r="AJ62" s="125"/>
      <c r="AK62" s="126"/>
      <c r="AL62" s="124"/>
      <c r="AM62" s="127"/>
      <c r="AN62" s="124"/>
      <c r="AO62" s="117"/>
      <c r="AP62" s="124"/>
      <c r="AQ62" s="125"/>
      <c r="AR62" s="125"/>
      <c r="AS62" s="124"/>
      <c r="AT62" s="8"/>
    </row>
    <row r="63" spans="1:46" ht="15" customHeight="1" x14ac:dyDescent="0.2">
      <c r="A63" s="339"/>
      <c r="B63" s="133"/>
      <c r="C63" s="134"/>
      <c r="D63" s="135"/>
      <c r="E63" s="136"/>
      <c r="F63" s="137"/>
      <c r="G63" s="135"/>
      <c r="H63" s="136"/>
      <c r="I63" s="1107"/>
      <c r="J63" s="135"/>
      <c r="K63" s="136"/>
      <c r="L63" s="137"/>
      <c r="M63" s="135"/>
      <c r="N63" s="136"/>
      <c r="O63" s="137"/>
      <c r="P63" s="135"/>
      <c r="Q63" s="136"/>
      <c r="R63" s="138">
        <v>0</v>
      </c>
      <c r="S63" s="135"/>
      <c r="T63" s="135"/>
      <c r="U63" s="139"/>
      <c r="V63" s="138"/>
      <c r="W63" s="136"/>
      <c r="X63" s="138"/>
      <c r="Y63" s="135"/>
      <c r="Z63" s="138"/>
      <c r="AA63" s="135"/>
      <c r="AB63" s="135"/>
      <c r="AC63" s="138"/>
      <c r="AD63" s="141"/>
      <c r="AE63" s="142"/>
      <c r="AF63" s="143"/>
      <c r="AG63" s="134"/>
      <c r="AH63" s="142"/>
      <c r="AI63" s="134"/>
      <c r="AJ63" s="144"/>
      <c r="AK63" s="145"/>
      <c r="AL63" s="143"/>
      <c r="AM63" s="146"/>
      <c r="AN63" s="143"/>
      <c r="AO63" s="135"/>
      <c r="AP63" s="143"/>
      <c r="AQ63" s="144"/>
      <c r="AR63" s="144"/>
      <c r="AS63" s="143"/>
      <c r="AT63" s="8"/>
    </row>
    <row r="64" spans="1:46" ht="15" customHeight="1" x14ac:dyDescent="0.2">
      <c r="A64" s="339"/>
      <c r="B64" s="133"/>
      <c r="C64" s="134"/>
      <c r="D64" s="135"/>
      <c r="E64" s="136"/>
      <c r="F64" s="137"/>
      <c r="G64" s="135"/>
      <c r="H64" s="136"/>
      <c r="I64" s="1107"/>
      <c r="J64" s="135"/>
      <c r="K64" s="136"/>
      <c r="L64" s="137"/>
      <c r="M64" s="135"/>
      <c r="N64" s="136"/>
      <c r="O64" s="137"/>
      <c r="P64" s="135"/>
      <c r="Q64" s="136"/>
      <c r="R64" s="138">
        <v>0</v>
      </c>
      <c r="S64" s="135"/>
      <c r="T64" s="135"/>
      <c r="U64" s="139"/>
      <c r="V64" s="138"/>
      <c r="W64" s="136"/>
      <c r="X64" s="138"/>
      <c r="Y64" s="135"/>
      <c r="Z64" s="138"/>
      <c r="AA64" s="135"/>
      <c r="AB64" s="135"/>
      <c r="AC64" s="138"/>
      <c r="AD64" s="141"/>
      <c r="AE64" s="142"/>
      <c r="AF64" s="143"/>
      <c r="AG64" s="134"/>
      <c r="AH64" s="142"/>
      <c r="AI64" s="134"/>
      <c r="AJ64" s="144"/>
      <c r="AK64" s="145"/>
      <c r="AL64" s="143"/>
      <c r="AM64" s="146"/>
      <c r="AN64" s="143"/>
      <c r="AO64" s="135"/>
      <c r="AP64" s="143"/>
      <c r="AQ64" s="144"/>
      <c r="AR64" s="144"/>
      <c r="AS64" s="143"/>
      <c r="AT64" s="8"/>
    </row>
    <row r="65" spans="1:46" ht="15" customHeight="1" x14ac:dyDescent="0.2">
      <c r="A65" s="339"/>
      <c r="B65" s="133"/>
      <c r="C65" s="134"/>
      <c r="D65" s="135"/>
      <c r="E65" s="136"/>
      <c r="F65" s="137"/>
      <c r="G65" s="135"/>
      <c r="H65" s="136"/>
      <c r="I65" s="1107"/>
      <c r="J65" s="135"/>
      <c r="K65" s="136"/>
      <c r="L65" s="137"/>
      <c r="M65" s="135"/>
      <c r="N65" s="136"/>
      <c r="O65" s="137"/>
      <c r="P65" s="135"/>
      <c r="Q65" s="136"/>
      <c r="R65" s="138">
        <v>0</v>
      </c>
      <c r="S65" s="135"/>
      <c r="T65" s="135"/>
      <c r="U65" s="139"/>
      <c r="V65" s="138"/>
      <c r="W65" s="136"/>
      <c r="X65" s="138"/>
      <c r="Y65" s="135"/>
      <c r="Z65" s="138"/>
      <c r="AA65" s="135"/>
      <c r="AB65" s="135"/>
      <c r="AC65" s="138"/>
      <c r="AD65" s="141"/>
      <c r="AE65" s="142"/>
      <c r="AF65" s="143"/>
      <c r="AG65" s="134"/>
      <c r="AH65" s="142"/>
      <c r="AI65" s="134"/>
      <c r="AJ65" s="144"/>
      <c r="AK65" s="145"/>
      <c r="AL65" s="143"/>
      <c r="AM65" s="146"/>
      <c r="AN65" s="143"/>
      <c r="AO65" s="135"/>
      <c r="AP65" s="143"/>
      <c r="AQ65" s="144"/>
      <c r="AR65" s="144"/>
      <c r="AS65" s="143"/>
      <c r="AT65" s="8"/>
    </row>
    <row r="66" spans="1:46" ht="15" customHeight="1" x14ac:dyDescent="0.2">
      <c r="A66" s="344"/>
      <c r="B66" s="147"/>
      <c r="C66" s="148"/>
      <c r="D66" s="149"/>
      <c r="E66" s="150"/>
      <c r="F66" s="151"/>
      <c r="G66" s="149"/>
      <c r="H66" s="150"/>
      <c r="I66" s="1108"/>
      <c r="J66" s="149"/>
      <c r="K66" s="150"/>
      <c r="L66" s="151"/>
      <c r="M66" s="149"/>
      <c r="N66" s="150"/>
      <c r="O66" s="151"/>
      <c r="P66" s="149"/>
      <c r="Q66" s="150"/>
      <c r="R66" s="152">
        <v>0</v>
      </c>
      <c r="S66" s="149"/>
      <c r="T66" s="149"/>
      <c r="U66" s="153"/>
      <c r="V66" s="152"/>
      <c r="W66" s="150"/>
      <c r="X66" s="152"/>
      <c r="Y66" s="149"/>
      <c r="Z66" s="152"/>
      <c r="AA66" s="155"/>
      <c r="AB66" s="149"/>
      <c r="AC66" s="156"/>
      <c r="AD66" s="156"/>
      <c r="AE66" s="157"/>
      <c r="AF66" s="158"/>
      <c r="AG66" s="148"/>
      <c r="AH66" s="157"/>
      <c r="AI66" s="148"/>
      <c r="AJ66" s="159"/>
      <c r="AK66" s="160"/>
      <c r="AL66" s="158"/>
      <c r="AM66" s="161"/>
      <c r="AN66" s="158"/>
      <c r="AO66" s="149"/>
      <c r="AP66" s="158"/>
      <c r="AQ66" s="159"/>
      <c r="AR66" s="159"/>
      <c r="AS66" s="158"/>
      <c r="AT66" s="8"/>
    </row>
    <row r="67" spans="1:46" ht="15" customHeight="1" x14ac:dyDescent="0.2">
      <c r="A67" s="334"/>
      <c r="B67" s="115"/>
      <c r="C67" s="116"/>
      <c r="D67" s="117"/>
      <c r="E67" s="118"/>
      <c r="F67" s="119"/>
      <c r="G67" s="117"/>
      <c r="H67" s="118"/>
      <c r="I67" s="1106"/>
      <c r="J67" s="117"/>
      <c r="K67" s="118"/>
      <c r="L67" s="119"/>
      <c r="M67" s="117"/>
      <c r="N67" s="118"/>
      <c r="O67" s="119"/>
      <c r="P67" s="117"/>
      <c r="Q67" s="118"/>
      <c r="R67" s="120">
        <v>0</v>
      </c>
      <c r="S67" s="117"/>
      <c r="T67" s="117"/>
      <c r="U67" s="121"/>
      <c r="V67" s="120"/>
      <c r="W67" s="118"/>
      <c r="X67" s="120"/>
      <c r="Y67" s="117"/>
      <c r="Z67" s="120"/>
      <c r="AA67" s="117"/>
      <c r="AB67" s="117"/>
      <c r="AC67" s="120"/>
      <c r="AD67" s="122"/>
      <c r="AE67" s="123"/>
      <c r="AF67" s="124"/>
      <c r="AG67" s="116"/>
      <c r="AH67" s="123"/>
      <c r="AI67" s="116"/>
      <c r="AJ67" s="125"/>
      <c r="AK67" s="126"/>
      <c r="AL67" s="124"/>
      <c r="AM67" s="127"/>
      <c r="AN67" s="124"/>
      <c r="AO67" s="117"/>
      <c r="AP67" s="124"/>
      <c r="AQ67" s="125"/>
      <c r="AR67" s="125"/>
      <c r="AS67" s="124"/>
      <c r="AT67" s="8"/>
    </row>
    <row r="68" spans="1:46" ht="15" customHeight="1" x14ac:dyDescent="0.2">
      <c r="A68" s="339"/>
      <c r="B68" s="133"/>
      <c r="C68" s="134"/>
      <c r="D68" s="135"/>
      <c r="E68" s="136"/>
      <c r="F68" s="137"/>
      <c r="G68" s="135"/>
      <c r="H68" s="136"/>
      <c r="I68" s="1107"/>
      <c r="J68" s="135"/>
      <c r="K68" s="136"/>
      <c r="L68" s="137"/>
      <c r="M68" s="135"/>
      <c r="N68" s="136"/>
      <c r="O68" s="137"/>
      <c r="P68" s="135"/>
      <c r="Q68" s="136"/>
      <c r="R68" s="138">
        <v>0</v>
      </c>
      <c r="S68" s="135"/>
      <c r="T68" s="135"/>
      <c r="U68" s="139"/>
      <c r="V68" s="138"/>
      <c r="W68" s="136"/>
      <c r="X68" s="138"/>
      <c r="Y68" s="135"/>
      <c r="Z68" s="138"/>
      <c r="AA68" s="135"/>
      <c r="AB68" s="135"/>
      <c r="AC68" s="138"/>
      <c r="AD68" s="141"/>
      <c r="AE68" s="142"/>
      <c r="AF68" s="143"/>
      <c r="AG68" s="134"/>
      <c r="AH68" s="142"/>
      <c r="AI68" s="134"/>
      <c r="AJ68" s="144"/>
      <c r="AK68" s="145"/>
      <c r="AL68" s="143"/>
      <c r="AM68" s="146"/>
      <c r="AN68" s="143"/>
      <c r="AO68" s="135"/>
      <c r="AP68" s="143"/>
      <c r="AQ68" s="144"/>
      <c r="AR68" s="144"/>
      <c r="AS68" s="143"/>
      <c r="AT68" s="8"/>
    </row>
    <row r="69" spans="1:46" ht="15" customHeight="1" x14ac:dyDescent="0.2">
      <c r="A69" s="339"/>
      <c r="B69" s="133"/>
      <c r="C69" s="134"/>
      <c r="D69" s="135"/>
      <c r="E69" s="136"/>
      <c r="F69" s="137"/>
      <c r="G69" s="135"/>
      <c r="H69" s="136"/>
      <c r="I69" s="1107"/>
      <c r="J69" s="135"/>
      <c r="K69" s="136"/>
      <c r="L69" s="137"/>
      <c r="M69" s="135"/>
      <c r="N69" s="136"/>
      <c r="O69" s="137"/>
      <c r="P69" s="135"/>
      <c r="Q69" s="136"/>
      <c r="R69" s="138">
        <v>0</v>
      </c>
      <c r="S69" s="135"/>
      <c r="T69" s="135"/>
      <c r="U69" s="139"/>
      <c r="V69" s="138"/>
      <c r="W69" s="136"/>
      <c r="X69" s="138"/>
      <c r="Y69" s="135"/>
      <c r="Z69" s="138"/>
      <c r="AA69" s="135"/>
      <c r="AB69" s="135"/>
      <c r="AC69" s="138"/>
      <c r="AD69" s="141"/>
      <c r="AE69" s="142"/>
      <c r="AF69" s="143"/>
      <c r="AG69" s="134"/>
      <c r="AH69" s="142"/>
      <c r="AI69" s="134"/>
      <c r="AJ69" s="144"/>
      <c r="AK69" s="145"/>
      <c r="AL69" s="143"/>
      <c r="AM69" s="146"/>
      <c r="AN69" s="143"/>
      <c r="AO69" s="135"/>
      <c r="AP69" s="143"/>
      <c r="AQ69" s="144"/>
      <c r="AR69" s="144"/>
      <c r="AS69" s="143"/>
      <c r="AT69" s="8"/>
    </row>
    <row r="70" spans="1:46" ht="15" customHeight="1" x14ac:dyDescent="0.2">
      <c r="A70" s="339"/>
      <c r="B70" s="133"/>
      <c r="C70" s="134"/>
      <c r="D70" s="135"/>
      <c r="E70" s="136"/>
      <c r="F70" s="137"/>
      <c r="G70" s="135"/>
      <c r="H70" s="136"/>
      <c r="I70" s="1107"/>
      <c r="J70" s="135"/>
      <c r="K70" s="136"/>
      <c r="L70" s="137"/>
      <c r="M70" s="135"/>
      <c r="N70" s="136"/>
      <c r="O70" s="137"/>
      <c r="P70" s="135"/>
      <c r="Q70" s="136"/>
      <c r="R70" s="138">
        <v>0</v>
      </c>
      <c r="S70" s="135"/>
      <c r="T70" s="135"/>
      <c r="U70" s="139"/>
      <c r="V70" s="138"/>
      <c r="W70" s="136"/>
      <c r="X70" s="138"/>
      <c r="Y70" s="135"/>
      <c r="Z70" s="138"/>
      <c r="AA70" s="135"/>
      <c r="AB70" s="135"/>
      <c r="AC70" s="138"/>
      <c r="AD70" s="141"/>
      <c r="AE70" s="142"/>
      <c r="AF70" s="143"/>
      <c r="AG70" s="134"/>
      <c r="AH70" s="142"/>
      <c r="AI70" s="134"/>
      <c r="AJ70" s="144"/>
      <c r="AK70" s="145"/>
      <c r="AL70" s="143"/>
      <c r="AM70" s="146"/>
      <c r="AN70" s="143"/>
      <c r="AO70" s="135"/>
      <c r="AP70" s="143"/>
      <c r="AQ70" s="144"/>
      <c r="AR70" s="144"/>
      <c r="AS70" s="143"/>
      <c r="AT70" s="8"/>
    </row>
    <row r="71" spans="1:46" ht="15" customHeight="1" x14ac:dyDescent="0.2">
      <c r="A71" s="344"/>
      <c r="B71" s="147"/>
      <c r="C71" s="148"/>
      <c r="D71" s="149"/>
      <c r="E71" s="150"/>
      <c r="F71" s="151"/>
      <c r="G71" s="149"/>
      <c r="H71" s="150"/>
      <c r="I71" s="1108"/>
      <c r="J71" s="149"/>
      <c r="K71" s="150"/>
      <c r="L71" s="151"/>
      <c r="M71" s="149"/>
      <c r="N71" s="150"/>
      <c r="O71" s="151"/>
      <c r="P71" s="149"/>
      <c r="Q71" s="150"/>
      <c r="R71" s="152">
        <v>0</v>
      </c>
      <c r="S71" s="149"/>
      <c r="T71" s="149"/>
      <c r="U71" s="153"/>
      <c r="V71" s="152"/>
      <c r="W71" s="150"/>
      <c r="X71" s="152"/>
      <c r="Y71" s="149"/>
      <c r="Z71" s="152"/>
      <c r="AA71" s="155"/>
      <c r="AB71" s="149"/>
      <c r="AC71" s="156"/>
      <c r="AD71" s="156"/>
      <c r="AE71" s="157"/>
      <c r="AF71" s="158"/>
      <c r="AG71" s="148"/>
      <c r="AH71" s="157"/>
      <c r="AI71" s="148"/>
      <c r="AJ71" s="159"/>
      <c r="AK71" s="160"/>
      <c r="AL71" s="158"/>
      <c r="AM71" s="161"/>
      <c r="AN71" s="158"/>
      <c r="AO71" s="149"/>
      <c r="AP71" s="158"/>
      <c r="AQ71" s="159"/>
      <c r="AR71" s="159"/>
      <c r="AS71" s="158"/>
      <c r="AT71" s="8"/>
    </row>
    <row r="72" spans="1:46" ht="15" customHeight="1" x14ac:dyDescent="0.2">
      <c r="A72" s="334"/>
      <c r="B72" s="115"/>
      <c r="C72" s="116"/>
      <c r="D72" s="117"/>
      <c r="E72" s="118"/>
      <c r="F72" s="119"/>
      <c r="G72" s="117"/>
      <c r="H72" s="118"/>
      <c r="I72" s="1106"/>
      <c r="J72" s="117"/>
      <c r="K72" s="118"/>
      <c r="L72" s="119"/>
      <c r="M72" s="117"/>
      <c r="N72" s="118"/>
      <c r="O72" s="119"/>
      <c r="P72" s="117"/>
      <c r="Q72" s="118"/>
      <c r="R72" s="120">
        <v>0</v>
      </c>
      <c r="S72" s="117"/>
      <c r="T72" s="117"/>
      <c r="U72" s="121"/>
      <c r="V72" s="120"/>
      <c r="W72" s="118"/>
      <c r="X72" s="120"/>
      <c r="Y72" s="117"/>
      <c r="Z72" s="120"/>
      <c r="AA72" s="117"/>
      <c r="AB72" s="117"/>
      <c r="AC72" s="120"/>
      <c r="AD72" s="122"/>
      <c r="AE72" s="123"/>
      <c r="AF72" s="124"/>
      <c r="AG72" s="116"/>
      <c r="AH72" s="123"/>
      <c r="AI72" s="116"/>
      <c r="AJ72" s="125"/>
      <c r="AK72" s="126"/>
      <c r="AL72" s="124"/>
      <c r="AM72" s="127"/>
      <c r="AN72" s="124"/>
      <c r="AO72" s="117"/>
      <c r="AP72" s="124"/>
      <c r="AQ72" s="125"/>
      <c r="AR72" s="125"/>
      <c r="AS72" s="124"/>
      <c r="AT72" s="8"/>
    </row>
    <row r="73" spans="1:46" ht="15" customHeight="1" x14ac:dyDescent="0.2">
      <c r="A73" s="339"/>
      <c r="B73" s="133"/>
      <c r="C73" s="134"/>
      <c r="D73" s="135"/>
      <c r="E73" s="136"/>
      <c r="F73" s="137"/>
      <c r="G73" s="135"/>
      <c r="H73" s="136"/>
      <c r="I73" s="1107"/>
      <c r="J73" s="135"/>
      <c r="K73" s="136"/>
      <c r="L73" s="137"/>
      <c r="M73" s="135"/>
      <c r="N73" s="136"/>
      <c r="O73" s="137"/>
      <c r="P73" s="135"/>
      <c r="Q73" s="136"/>
      <c r="R73" s="138">
        <v>0</v>
      </c>
      <c r="S73" s="135"/>
      <c r="T73" s="135"/>
      <c r="U73" s="139"/>
      <c r="V73" s="138"/>
      <c r="W73" s="136"/>
      <c r="X73" s="138"/>
      <c r="Y73" s="135"/>
      <c r="Z73" s="138"/>
      <c r="AA73" s="135"/>
      <c r="AB73" s="135"/>
      <c r="AC73" s="138"/>
      <c r="AD73" s="141"/>
      <c r="AE73" s="142"/>
      <c r="AF73" s="143"/>
      <c r="AG73" s="134"/>
      <c r="AH73" s="142"/>
      <c r="AI73" s="134"/>
      <c r="AJ73" s="144"/>
      <c r="AK73" s="145"/>
      <c r="AL73" s="143"/>
      <c r="AM73" s="146"/>
      <c r="AN73" s="143"/>
      <c r="AO73" s="135"/>
      <c r="AP73" s="143"/>
      <c r="AQ73" s="144"/>
      <c r="AR73" s="144"/>
      <c r="AS73" s="143"/>
      <c r="AT73" s="8"/>
    </row>
    <row r="74" spans="1:46" ht="15" customHeight="1" x14ac:dyDescent="0.2">
      <c r="A74" s="339"/>
      <c r="B74" s="133"/>
      <c r="C74" s="134"/>
      <c r="D74" s="135"/>
      <c r="E74" s="136"/>
      <c r="F74" s="137"/>
      <c r="G74" s="135"/>
      <c r="H74" s="136"/>
      <c r="I74" s="1107"/>
      <c r="J74" s="135"/>
      <c r="K74" s="136"/>
      <c r="L74" s="137"/>
      <c r="M74" s="135"/>
      <c r="N74" s="136"/>
      <c r="O74" s="137"/>
      <c r="P74" s="135"/>
      <c r="Q74" s="136"/>
      <c r="R74" s="138">
        <v>0</v>
      </c>
      <c r="S74" s="135"/>
      <c r="T74" s="135"/>
      <c r="U74" s="139"/>
      <c r="V74" s="138"/>
      <c r="W74" s="136"/>
      <c r="X74" s="138"/>
      <c r="Y74" s="135"/>
      <c r="Z74" s="138"/>
      <c r="AA74" s="135"/>
      <c r="AB74" s="135"/>
      <c r="AC74" s="138"/>
      <c r="AD74" s="141"/>
      <c r="AE74" s="142"/>
      <c r="AF74" s="143"/>
      <c r="AG74" s="134"/>
      <c r="AH74" s="142"/>
      <c r="AI74" s="134"/>
      <c r="AJ74" s="144"/>
      <c r="AK74" s="145"/>
      <c r="AL74" s="143"/>
      <c r="AM74" s="146"/>
      <c r="AN74" s="143"/>
      <c r="AO74" s="135"/>
      <c r="AP74" s="143"/>
      <c r="AQ74" s="144"/>
      <c r="AR74" s="144"/>
      <c r="AS74" s="143"/>
      <c r="AT74" s="8"/>
    </row>
    <row r="75" spans="1:46" ht="15" customHeight="1" x14ac:dyDescent="0.2">
      <c r="A75" s="339"/>
      <c r="B75" s="133"/>
      <c r="C75" s="134"/>
      <c r="D75" s="135"/>
      <c r="E75" s="136"/>
      <c r="F75" s="137"/>
      <c r="G75" s="135"/>
      <c r="H75" s="136"/>
      <c r="I75" s="1107"/>
      <c r="J75" s="135"/>
      <c r="K75" s="136"/>
      <c r="L75" s="137"/>
      <c r="M75" s="135"/>
      <c r="N75" s="136"/>
      <c r="O75" s="137"/>
      <c r="P75" s="135"/>
      <c r="Q75" s="136"/>
      <c r="R75" s="138">
        <v>0</v>
      </c>
      <c r="S75" s="135"/>
      <c r="T75" s="135"/>
      <c r="U75" s="139"/>
      <c r="V75" s="138"/>
      <c r="W75" s="136"/>
      <c r="X75" s="138"/>
      <c r="Y75" s="135"/>
      <c r="Z75" s="138"/>
      <c r="AA75" s="135"/>
      <c r="AB75" s="135"/>
      <c r="AC75" s="138"/>
      <c r="AD75" s="141"/>
      <c r="AE75" s="142"/>
      <c r="AF75" s="143"/>
      <c r="AG75" s="134"/>
      <c r="AH75" s="142"/>
      <c r="AI75" s="134"/>
      <c r="AJ75" s="144"/>
      <c r="AK75" s="145"/>
      <c r="AL75" s="143"/>
      <c r="AM75" s="146"/>
      <c r="AN75" s="143"/>
      <c r="AO75" s="135"/>
      <c r="AP75" s="143"/>
      <c r="AQ75" s="144"/>
      <c r="AR75" s="144"/>
      <c r="AS75" s="143"/>
      <c r="AT75" s="8"/>
    </row>
    <row r="76" spans="1:46" s="19" customFormat="1" ht="15" customHeight="1" thickBot="1" x14ac:dyDescent="0.25">
      <c r="A76" s="1499" t="s">
        <v>365</v>
      </c>
      <c r="B76" s="1500"/>
      <c r="C76" s="913">
        <v>69</v>
      </c>
      <c r="D76" s="914">
        <v>4268.9653302959669</v>
      </c>
      <c r="E76" s="915">
        <v>200325.26859689009</v>
      </c>
      <c r="F76" s="916">
        <v>66</v>
      </c>
      <c r="G76" s="917">
        <v>570.35224473434255</v>
      </c>
      <c r="H76" s="918">
        <v>21739.798060075806</v>
      </c>
      <c r="I76" s="1109">
        <v>0</v>
      </c>
      <c r="J76" s="917">
        <v>158.37628411149953</v>
      </c>
      <c r="K76" s="918">
        <v>0</v>
      </c>
      <c r="L76" s="916">
        <v>19</v>
      </c>
      <c r="M76" s="917">
        <v>3936.5780458287281</v>
      </c>
      <c r="N76" s="918">
        <v>41326.357159725114</v>
      </c>
      <c r="O76" s="916">
        <v>0</v>
      </c>
      <c r="P76" s="917">
        <v>1527.9418817790604</v>
      </c>
      <c r="Q76" s="918">
        <v>0</v>
      </c>
      <c r="R76" s="919">
        <v>263392</v>
      </c>
      <c r="S76" s="917">
        <v>-263392</v>
      </c>
      <c r="T76" s="917">
        <v>0</v>
      </c>
      <c r="U76" s="920">
        <v>-263392</v>
      </c>
      <c r="V76" s="919"/>
      <c r="W76" s="918"/>
      <c r="X76" s="919"/>
      <c r="Y76" s="918"/>
      <c r="Z76" s="919"/>
      <c r="AA76" s="917"/>
      <c r="AB76" s="917"/>
      <c r="AC76" s="919"/>
      <c r="AD76" s="921"/>
      <c r="AE76" s="917"/>
      <c r="AF76" s="922"/>
      <c r="AG76" s="916"/>
      <c r="AH76" s="917"/>
      <c r="AI76" s="916"/>
      <c r="AJ76" s="917"/>
      <c r="AK76" s="920"/>
      <c r="AL76" s="922"/>
      <c r="AM76" s="917"/>
      <c r="AN76" s="922"/>
      <c r="AO76" s="917"/>
      <c r="AP76" s="922"/>
      <c r="AQ76" s="917"/>
      <c r="AR76" s="917"/>
      <c r="AS76" s="922"/>
      <c r="AT76" s="33"/>
    </row>
    <row r="77" spans="1:46" s="19" customFormat="1" ht="15" customHeight="1" thickTop="1" x14ac:dyDescent="0.2">
      <c r="A77" s="1418" t="s">
        <v>1109</v>
      </c>
      <c r="B77" s="1419"/>
      <c r="C77" s="909"/>
      <c r="D77" s="860"/>
      <c r="E77" s="910"/>
      <c r="F77" s="911"/>
      <c r="G77" s="860"/>
      <c r="H77" s="910"/>
      <c r="I77" s="1110"/>
      <c r="J77" s="860"/>
      <c r="K77" s="910"/>
      <c r="L77" s="911"/>
      <c r="M77" s="860"/>
      <c r="N77" s="910"/>
      <c r="O77" s="911"/>
      <c r="P77" s="860"/>
      <c r="Q77" s="910"/>
      <c r="R77" s="861"/>
      <c r="S77" s="860"/>
      <c r="T77" s="860"/>
      <c r="U77" s="860">
        <v>0</v>
      </c>
      <c r="V77" s="861"/>
      <c r="W77" s="910"/>
      <c r="X77" s="861"/>
      <c r="Y77" s="860"/>
      <c r="Z77" s="861"/>
      <c r="AA77" s="860"/>
      <c r="AB77" s="860"/>
      <c r="AC77" s="861"/>
      <c r="AD77" s="912"/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9" customFormat="1" ht="15" customHeight="1" x14ac:dyDescent="0.2">
      <c r="A78" s="1424" t="s">
        <v>333</v>
      </c>
      <c r="B78" s="1425"/>
      <c r="C78" s="703"/>
      <c r="D78" s="704"/>
      <c r="E78" s="704"/>
      <c r="F78" s="703"/>
      <c r="G78" s="704"/>
      <c r="H78" s="704"/>
      <c r="I78" s="1111"/>
      <c r="J78" s="704"/>
      <c r="K78" s="704"/>
      <c r="L78" s="703"/>
      <c r="M78" s="704"/>
      <c r="N78" s="704"/>
      <c r="O78" s="703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5"/>
      <c r="AA78" s="705"/>
      <c r="AB78" s="704"/>
      <c r="AC78" s="705"/>
      <c r="AD78" s="705"/>
      <c r="AE78" s="705"/>
      <c r="AF78" s="705"/>
      <c r="AG78" s="703"/>
      <c r="AH78" s="705"/>
      <c r="AI78" s="703"/>
      <c r="AJ78" s="705"/>
      <c r="AK78" s="705"/>
      <c r="AL78" s="705"/>
      <c r="AM78" s="705"/>
      <c r="AN78" s="705"/>
      <c r="AO78" s="705"/>
      <c r="AP78" s="705"/>
      <c r="AQ78" s="705"/>
      <c r="AR78" s="705"/>
      <c r="AS78" s="705"/>
      <c r="AT78" s="33"/>
    </row>
    <row r="79" spans="1:46" s="19" customFormat="1" ht="15" customHeight="1" x14ac:dyDescent="0.2">
      <c r="A79" s="1422" t="s">
        <v>334</v>
      </c>
      <c r="B79" s="1423"/>
      <c r="C79" s="703"/>
      <c r="D79" s="704"/>
      <c r="E79" s="704"/>
      <c r="F79" s="703"/>
      <c r="G79" s="704"/>
      <c r="H79" s="704"/>
      <c r="I79" s="1111"/>
      <c r="J79" s="704"/>
      <c r="K79" s="704"/>
      <c r="L79" s="703"/>
      <c r="M79" s="704"/>
      <c r="N79" s="704"/>
      <c r="O79" s="703"/>
      <c r="P79" s="704"/>
      <c r="Q79" s="704"/>
      <c r="R79" s="704"/>
      <c r="S79" s="704"/>
      <c r="T79" s="704"/>
      <c r="U79" s="704"/>
      <c r="V79" s="704"/>
      <c r="W79" s="704"/>
      <c r="X79" s="704"/>
      <c r="Y79" s="704"/>
      <c r="Z79" s="141"/>
      <c r="AA79" s="705"/>
      <c r="AB79" s="704"/>
      <c r="AC79" s="141"/>
      <c r="AD79" s="141"/>
      <c r="AE79" s="704"/>
      <c r="AF79" s="704"/>
      <c r="AG79" s="703"/>
      <c r="AH79" s="704"/>
      <c r="AI79" s="703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33"/>
    </row>
    <row r="80" spans="1:46" s="19" customFormat="1" ht="15" customHeight="1" x14ac:dyDescent="0.2">
      <c r="A80" s="1420" t="s">
        <v>345</v>
      </c>
      <c r="B80" s="1421"/>
      <c r="C80" s="703"/>
      <c r="D80" s="704"/>
      <c r="E80" s="704"/>
      <c r="F80" s="703"/>
      <c r="G80" s="704"/>
      <c r="H80" s="704"/>
      <c r="I80" s="1111"/>
      <c r="J80" s="704"/>
      <c r="K80" s="704"/>
      <c r="L80" s="703"/>
      <c r="M80" s="704"/>
      <c r="N80" s="704"/>
      <c r="O80" s="703"/>
      <c r="P80" s="704"/>
      <c r="Q80" s="704"/>
      <c r="R80" s="704"/>
      <c r="S80" s="704"/>
      <c r="T80" s="704"/>
      <c r="U80" s="704"/>
      <c r="V80" s="704"/>
      <c r="W80" s="704"/>
      <c r="X80" s="704"/>
      <c r="Y80" s="704"/>
      <c r="Z80" s="707"/>
      <c r="AA80" s="705"/>
      <c r="AB80" s="704"/>
      <c r="AC80" s="707"/>
      <c r="AD80" s="141"/>
      <c r="AE80" s="704"/>
      <c r="AF80" s="704"/>
      <c r="AG80" s="703"/>
      <c r="AH80" s="704"/>
      <c r="AI80" s="703"/>
      <c r="AJ80" s="704"/>
      <c r="AK80" s="704"/>
      <c r="AL80" s="704"/>
      <c r="AM80" s="704"/>
      <c r="AN80" s="704"/>
      <c r="AO80" s="704"/>
      <c r="AP80" s="704"/>
      <c r="AQ80" s="704"/>
      <c r="AR80" s="704"/>
      <c r="AS80" s="704"/>
      <c r="AT80" s="33"/>
    </row>
    <row r="81" spans="1:46" ht="15" customHeight="1" x14ac:dyDescent="0.2">
      <c r="A81" s="1416" t="s">
        <v>1192</v>
      </c>
      <c r="B81" s="1417"/>
      <c r="C81" s="703"/>
      <c r="D81" s="704"/>
      <c r="E81" s="704"/>
      <c r="F81" s="703"/>
      <c r="G81" s="704"/>
      <c r="H81" s="704"/>
      <c r="I81" s="1111"/>
      <c r="J81" s="704"/>
      <c r="K81" s="704"/>
      <c r="L81" s="703"/>
      <c r="M81" s="704"/>
      <c r="N81" s="704"/>
      <c r="O81" s="703"/>
      <c r="P81" s="704"/>
      <c r="Q81" s="704"/>
      <c r="R81" s="704"/>
      <c r="S81" s="704"/>
      <c r="T81" s="704"/>
      <c r="U81" s="704"/>
      <c r="V81" s="704"/>
      <c r="W81" s="704"/>
      <c r="X81" s="704"/>
      <c r="Y81" s="704"/>
      <c r="Z81" s="705"/>
      <c r="AA81" s="705"/>
      <c r="AB81" s="704"/>
      <c r="AC81" s="705"/>
      <c r="AD81" s="141"/>
      <c r="AE81" s="704"/>
      <c r="AF81" s="704"/>
      <c r="AG81" s="703"/>
      <c r="AH81" s="704"/>
      <c r="AI81" s="703"/>
      <c r="AJ81" s="704"/>
      <c r="AK81" s="704"/>
      <c r="AL81" s="704"/>
      <c r="AM81" s="704"/>
      <c r="AN81" s="704"/>
      <c r="AO81" s="704"/>
      <c r="AP81" s="704"/>
      <c r="AQ81" s="704"/>
      <c r="AR81" s="704"/>
      <c r="AS81" s="704"/>
      <c r="AT81" s="8"/>
    </row>
    <row r="82" spans="1:46" s="19" customFormat="1" ht="15" customHeight="1" x14ac:dyDescent="0.2">
      <c r="A82" s="1416" t="s">
        <v>344</v>
      </c>
      <c r="B82" s="1417"/>
      <c r="C82" s="703"/>
      <c r="D82" s="704"/>
      <c r="E82" s="704"/>
      <c r="F82" s="703"/>
      <c r="G82" s="704"/>
      <c r="H82" s="704"/>
      <c r="I82" s="1111"/>
      <c r="J82" s="704"/>
      <c r="K82" s="704"/>
      <c r="L82" s="703"/>
      <c r="M82" s="704"/>
      <c r="N82" s="704"/>
      <c r="O82" s="703"/>
      <c r="P82" s="704"/>
      <c r="Q82" s="704"/>
      <c r="R82" s="704"/>
      <c r="S82" s="704"/>
      <c r="T82" s="704"/>
      <c r="U82" s="704"/>
      <c r="V82" s="704"/>
      <c r="W82" s="704"/>
      <c r="X82" s="704"/>
      <c r="Y82" s="704"/>
      <c r="Z82" s="707"/>
      <c r="AA82" s="705"/>
      <c r="AB82" s="704"/>
      <c r="AC82" s="707"/>
      <c r="AD82" s="141"/>
      <c r="AE82" s="704"/>
      <c r="AF82" s="704"/>
      <c r="AG82" s="703"/>
      <c r="AH82" s="704"/>
      <c r="AI82" s="703"/>
      <c r="AJ82" s="704"/>
      <c r="AK82" s="704"/>
      <c r="AL82" s="704"/>
      <c r="AM82" s="704"/>
      <c r="AN82" s="704"/>
      <c r="AO82" s="704"/>
      <c r="AP82" s="704"/>
      <c r="AQ82" s="704"/>
      <c r="AR82" s="704"/>
      <c r="AS82" s="704"/>
      <c r="AT82" s="33"/>
    </row>
    <row r="83" spans="1:46" s="19" customFormat="1" ht="15" customHeight="1" x14ac:dyDescent="0.2">
      <c r="A83" s="1414" t="s">
        <v>242</v>
      </c>
      <c r="B83" s="1415"/>
      <c r="C83" s="708"/>
      <c r="D83" s="709"/>
      <c r="E83" s="709"/>
      <c r="F83" s="708"/>
      <c r="G83" s="709"/>
      <c r="H83" s="709"/>
      <c r="I83" s="1112"/>
      <c r="J83" s="709"/>
      <c r="K83" s="709"/>
      <c r="L83" s="708"/>
      <c r="M83" s="709"/>
      <c r="N83" s="709"/>
      <c r="O83" s="708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156"/>
      <c r="AA83" s="155"/>
      <c r="AB83" s="709"/>
      <c r="AC83" s="156"/>
      <c r="AD83" s="156"/>
      <c r="AE83" s="709"/>
      <c r="AF83" s="709"/>
      <c r="AG83" s="708"/>
      <c r="AH83" s="709"/>
      <c r="AI83" s="708"/>
      <c r="AJ83" s="709"/>
      <c r="AK83" s="709"/>
      <c r="AL83" s="709"/>
      <c r="AM83" s="709"/>
      <c r="AN83" s="709"/>
      <c r="AO83" s="709"/>
      <c r="AP83" s="709"/>
      <c r="AQ83" s="709"/>
      <c r="AR83" s="709"/>
      <c r="AS83" s="709"/>
      <c r="AT83" s="33"/>
    </row>
    <row r="84" spans="1:46" s="19" customFormat="1" ht="15" customHeight="1" thickBot="1" x14ac:dyDescent="0.25">
      <c r="A84" s="1499" t="s">
        <v>366</v>
      </c>
      <c r="B84" s="1500"/>
      <c r="C84" s="913">
        <v>69</v>
      </c>
      <c r="D84" s="914">
        <v>4268.9653302959669</v>
      </c>
      <c r="E84" s="915">
        <v>200325.26859689009</v>
      </c>
      <c r="F84" s="916">
        <v>66</v>
      </c>
      <c r="G84" s="917">
        <v>570.35224473434255</v>
      </c>
      <c r="H84" s="918">
        <v>21739.798060075806</v>
      </c>
      <c r="I84" s="1109">
        <v>0</v>
      </c>
      <c r="J84" s="917">
        <v>158.37628411149953</v>
      </c>
      <c r="K84" s="918">
        <v>0</v>
      </c>
      <c r="L84" s="916">
        <v>19</v>
      </c>
      <c r="M84" s="917">
        <v>3936.5780458287281</v>
      </c>
      <c r="N84" s="918">
        <v>41326.357159725114</v>
      </c>
      <c r="O84" s="916">
        <v>0</v>
      </c>
      <c r="P84" s="917">
        <v>1527.9418817790604</v>
      </c>
      <c r="Q84" s="918">
        <v>0</v>
      </c>
      <c r="R84" s="919">
        <v>263392</v>
      </c>
      <c r="S84" s="917">
        <v>-263392</v>
      </c>
      <c r="T84" s="917">
        <v>0</v>
      </c>
      <c r="U84" s="920">
        <v>-263392</v>
      </c>
      <c r="V84" s="919"/>
      <c r="W84" s="918"/>
      <c r="X84" s="919"/>
      <c r="Y84" s="918"/>
      <c r="Z84" s="919"/>
      <c r="AA84" s="917"/>
      <c r="AB84" s="917"/>
      <c r="AC84" s="919"/>
      <c r="AD84" s="921"/>
      <c r="AE84" s="917"/>
      <c r="AF84" s="922"/>
      <c r="AG84" s="916"/>
      <c r="AH84" s="917"/>
      <c r="AI84" s="916"/>
      <c r="AJ84" s="917"/>
      <c r="AK84" s="920"/>
      <c r="AL84" s="922"/>
      <c r="AM84" s="917"/>
      <c r="AN84" s="922"/>
      <c r="AO84" s="917"/>
      <c r="AP84" s="922"/>
      <c r="AQ84" s="917"/>
      <c r="AR84" s="917"/>
      <c r="AS84" s="922"/>
      <c r="AT84" s="33"/>
    </row>
    <row r="85" spans="1:46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O2:Q2"/>
    <mergeCell ref="V1:AD1"/>
    <mergeCell ref="AE1:AK1"/>
    <mergeCell ref="AR2:AR3"/>
    <mergeCell ref="AS2:AS3"/>
    <mergeCell ref="C2:C3"/>
    <mergeCell ref="D2:E2"/>
    <mergeCell ref="F2:H2"/>
    <mergeCell ref="I2:K2"/>
    <mergeCell ref="L2:N2"/>
    <mergeCell ref="AE2:AE3"/>
    <mergeCell ref="AF2:AF3"/>
    <mergeCell ref="AG2:AK2"/>
    <mergeCell ref="V2:V3"/>
    <mergeCell ref="W2:W3"/>
    <mergeCell ref="X2:X3"/>
    <mergeCell ref="Y2:Y3"/>
    <mergeCell ref="Z2:Z3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L2:AL3"/>
    <mergeCell ref="AM2:AM3"/>
    <mergeCell ref="AN2:AN3"/>
    <mergeCell ref="AO2:AO3"/>
    <mergeCell ref="AB2:AB3"/>
    <mergeCell ref="AC2:AC3"/>
    <mergeCell ref="AD2:AD3"/>
    <mergeCell ref="A81:B81"/>
    <mergeCell ref="A82:B82"/>
    <mergeCell ref="A83:B83"/>
    <mergeCell ref="A84:B84"/>
    <mergeCell ref="A76:B76"/>
    <mergeCell ref="A78:B78"/>
    <mergeCell ref="A79:B79"/>
    <mergeCell ref="A77:B77"/>
    <mergeCell ref="A80:B80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March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3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RowHeight="12.75" x14ac:dyDescent="0.2"/>
  <cols>
    <col min="1" max="1" width="8.5703125" style="798" bestFit="1" customWidth="1"/>
    <col min="2" max="2" width="8.5703125" style="798" hidden="1" customWidth="1"/>
    <col min="3" max="3" width="33.140625" style="798" customWidth="1"/>
    <col min="4" max="6" width="11.7109375" style="798" customWidth="1"/>
    <col min="7" max="7" width="11.7109375" style="799" customWidth="1"/>
    <col min="8" max="11" width="11.7109375" style="798" customWidth="1"/>
    <col min="12" max="14" width="12.7109375" style="798" customWidth="1"/>
    <col min="15" max="15" width="12.7109375" style="799" customWidth="1"/>
    <col min="16" max="16384" width="9.140625" style="798"/>
  </cols>
  <sheetData>
    <row r="1" spans="1:15" s="793" customFormat="1" ht="66.75" customHeight="1" x14ac:dyDescent="0.2">
      <c r="A1" s="1361" t="s">
        <v>1297</v>
      </c>
      <c r="B1" s="1362"/>
      <c r="C1" s="1362"/>
      <c r="D1" s="1071" t="s">
        <v>1097</v>
      </c>
      <c r="E1" s="1072" t="s">
        <v>1098</v>
      </c>
      <c r="F1" s="1073" t="s">
        <v>1099</v>
      </c>
      <c r="G1" s="1363" t="s">
        <v>1100</v>
      </c>
      <c r="H1" s="1074" t="s">
        <v>1101</v>
      </c>
      <c r="I1" s="1074" t="s">
        <v>1098</v>
      </c>
      <c r="J1" s="1075" t="s">
        <v>1099</v>
      </c>
      <c r="K1" s="1364" t="s">
        <v>1100</v>
      </c>
      <c r="L1" s="1076" t="s">
        <v>1102</v>
      </c>
      <c r="M1" s="1354" t="s">
        <v>1103</v>
      </c>
      <c r="N1" s="1354" t="s">
        <v>1104</v>
      </c>
      <c r="O1" s="1354" t="s">
        <v>1105</v>
      </c>
    </row>
    <row r="2" spans="1:15" s="793" customFormat="1" ht="12.75" hidden="1" customHeight="1" x14ac:dyDescent="0.2">
      <c r="A2" s="1362"/>
      <c r="B2" s="1362"/>
      <c r="C2" s="1362"/>
      <c r="D2" s="1071"/>
      <c r="E2" s="1077"/>
      <c r="F2" s="1077"/>
      <c r="G2" s="1363"/>
      <c r="H2" s="1077"/>
      <c r="I2" s="1077"/>
      <c r="J2" s="1077"/>
      <c r="K2" s="1364"/>
      <c r="L2" s="1076"/>
      <c r="M2" s="1354"/>
      <c r="N2" s="1354"/>
      <c r="O2" s="1354"/>
    </row>
    <row r="3" spans="1:15" s="793" customFormat="1" ht="12.75" hidden="1" customHeight="1" x14ac:dyDescent="0.2">
      <c r="A3" s="1362"/>
      <c r="B3" s="1362"/>
      <c r="C3" s="1362"/>
      <c r="D3" s="1071"/>
      <c r="E3" s="1077"/>
      <c r="F3" s="1077"/>
      <c r="G3" s="1363"/>
      <c r="H3" s="1077"/>
      <c r="I3" s="1077"/>
      <c r="J3" s="1077"/>
      <c r="K3" s="1364"/>
      <c r="L3" s="1076"/>
      <c r="M3" s="1354"/>
      <c r="N3" s="1354"/>
      <c r="O3" s="1354"/>
    </row>
    <row r="4" spans="1:15" s="793" customFormat="1" ht="16.5" customHeight="1" x14ac:dyDescent="0.2">
      <c r="A4" s="1362"/>
      <c r="B4" s="1362"/>
      <c r="C4" s="1362"/>
      <c r="D4" s="1071" t="s">
        <v>1409</v>
      </c>
      <c r="E4" s="1072">
        <v>1000</v>
      </c>
      <c r="F4" s="1073">
        <v>0.26</v>
      </c>
      <c r="G4" s="1363"/>
      <c r="H4" s="1078" t="s">
        <v>1409</v>
      </c>
      <c r="I4" s="1074">
        <v>500</v>
      </c>
      <c r="J4" s="1075">
        <v>0.29399999999999998</v>
      </c>
      <c r="K4" s="1364"/>
      <c r="L4" s="1076" t="s">
        <v>1409</v>
      </c>
      <c r="M4" s="1354"/>
      <c r="N4" s="1354"/>
      <c r="O4" s="1354"/>
    </row>
    <row r="5" spans="1:15" s="793" customFormat="1" ht="15.75" customHeight="1" x14ac:dyDescent="0.2">
      <c r="A5" s="794"/>
      <c r="B5" s="795"/>
      <c r="C5" s="796"/>
      <c r="D5" s="797">
        <v>1</v>
      </c>
      <c r="E5" s="797">
        <v>2</v>
      </c>
      <c r="F5" s="797">
        <v>3</v>
      </c>
      <c r="G5" s="797">
        <f>F5+1</f>
        <v>4</v>
      </c>
      <c r="H5" s="797">
        <v>5</v>
      </c>
      <c r="I5" s="797">
        <v>6</v>
      </c>
      <c r="J5" s="797">
        <v>7</v>
      </c>
      <c r="K5" s="797">
        <f>J5+1</f>
        <v>8</v>
      </c>
      <c r="L5" s="797">
        <v>9</v>
      </c>
      <c r="M5" s="797">
        <v>10</v>
      </c>
      <c r="N5" s="797">
        <v>11</v>
      </c>
      <c r="O5" s="797">
        <f>N5+1</f>
        <v>12</v>
      </c>
    </row>
    <row r="6" spans="1:15" hidden="1" x14ac:dyDescent="0.2"/>
    <row r="7" spans="1:15" ht="15.75" customHeight="1" x14ac:dyDescent="0.2">
      <c r="A7" s="502">
        <v>1</v>
      </c>
      <c r="B7" s="800">
        <v>1</v>
      </c>
      <c r="C7" s="801" t="s">
        <v>4</v>
      </c>
      <c r="D7" s="802">
        <v>725.538917294974</v>
      </c>
      <c r="E7" s="782">
        <f t="shared" ref="E7:E70" si="0">ROUND(D7*$E$4,0)</f>
        <v>725539</v>
      </c>
      <c r="F7" s="782">
        <f t="shared" ref="F7:F70" si="1">ROUND(E7*$F$4,0)</f>
        <v>188640</v>
      </c>
      <c r="G7" s="803">
        <f>E7+F7</f>
        <v>914179</v>
      </c>
      <c r="H7" s="802">
        <v>484.99999999999898</v>
      </c>
      <c r="I7" s="782">
        <f t="shared" ref="I7:I70" si="2">ROUND(H7*$I$4,0)</f>
        <v>242500</v>
      </c>
      <c r="J7" s="782">
        <f t="shared" ref="J7:J70" si="3">ROUND(I7*$J$4,0)</f>
        <v>71295</v>
      </c>
      <c r="K7" s="804">
        <f>I7+J7</f>
        <v>313795</v>
      </c>
      <c r="L7" s="802">
        <f t="shared" ref="L7:O38" si="4">D7+H7</f>
        <v>1210.5389172949731</v>
      </c>
      <c r="M7" s="782">
        <f t="shared" si="4"/>
        <v>968039</v>
      </c>
      <c r="N7" s="782">
        <f t="shared" si="4"/>
        <v>259935</v>
      </c>
      <c r="O7" s="805">
        <f t="shared" si="4"/>
        <v>1227974</v>
      </c>
    </row>
    <row r="8" spans="1:15" ht="15.75" customHeight="1" x14ac:dyDescent="0.2">
      <c r="A8" s="44">
        <v>2</v>
      </c>
      <c r="B8" s="226">
        <v>2</v>
      </c>
      <c r="C8" s="506" t="s">
        <v>5</v>
      </c>
      <c r="D8" s="806">
        <v>381</v>
      </c>
      <c r="E8" s="783">
        <f t="shared" si="0"/>
        <v>381000</v>
      </c>
      <c r="F8" s="783">
        <f t="shared" si="1"/>
        <v>99060</v>
      </c>
      <c r="G8" s="807">
        <f t="shared" ref="G8:G71" si="5">E8+F8</f>
        <v>480060</v>
      </c>
      <c r="H8" s="806">
        <v>234.99999999999901</v>
      </c>
      <c r="I8" s="783">
        <f t="shared" si="2"/>
        <v>117500</v>
      </c>
      <c r="J8" s="783">
        <f t="shared" si="3"/>
        <v>34545</v>
      </c>
      <c r="K8" s="808">
        <f t="shared" ref="K8:K71" si="6">I8+J8</f>
        <v>152045</v>
      </c>
      <c r="L8" s="806">
        <f t="shared" si="4"/>
        <v>615.99999999999898</v>
      </c>
      <c r="M8" s="783">
        <f t="shared" si="4"/>
        <v>498500</v>
      </c>
      <c r="N8" s="783">
        <f t="shared" si="4"/>
        <v>133605</v>
      </c>
      <c r="O8" s="809">
        <f t="shared" si="4"/>
        <v>632105</v>
      </c>
    </row>
    <row r="9" spans="1:15" ht="15.75" customHeight="1" x14ac:dyDescent="0.2">
      <c r="A9" s="508">
        <v>3</v>
      </c>
      <c r="B9" s="226">
        <v>3</v>
      </c>
      <c r="C9" s="506" t="s">
        <v>6</v>
      </c>
      <c r="D9" s="806">
        <v>1849.1331501809643</v>
      </c>
      <c r="E9" s="783">
        <f t="shared" si="0"/>
        <v>1849133</v>
      </c>
      <c r="F9" s="783">
        <f t="shared" si="1"/>
        <v>480775</v>
      </c>
      <c r="G9" s="807">
        <f t="shared" si="5"/>
        <v>2329908</v>
      </c>
      <c r="H9" s="806">
        <v>1201</v>
      </c>
      <c r="I9" s="783">
        <f t="shared" si="2"/>
        <v>600500</v>
      </c>
      <c r="J9" s="783">
        <f t="shared" si="3"/>
        <v>176547</v>
      </c>
      <c r="K9" s="808">
        <f t="shared" si="6"/>
        <v>777047</v>
      </c>
      <c r="L9" s="806">
        <f t="shared" si="4"/>
        <v>3050.1331501809645</v>
      </c>
      <c r="M9" s="783">
        <f t="shared" si="4"/>
        <v>2449633</v>
      </c>
      <c r="N9" s="783">
        <f t="shared" si="4"/>
        <v>657322</v>
      </c>
      <c r="O9" s="809">
        <f t="shared" si="4"/>
        <v>3106955</v>
      </c>
    </row>
    <row r="10" spans="1:15" ht="15.75" customHeight="1" x14ac:dyDescent="0.2">
      <c r="A10" s="508">
        <v>4</v>
      </c>
      <c r="B10" s="226">
        <v>4</v>
      </c>
      <c r="C10" s="506" t="s">
        <v>7</v>
      </c>
      <c r="D10" s="806">
        <v>256.719882258979</v>
      </c>
      <c r="E10" s="783">
        <f t="shared" si="0"/>
        <v>256720</v>
      </c>
      <c r="F10" s="783">
        <f t="shared" si="1"/>
        <v>66747</v>
      </c>
      <c r="G10" s="807">
        <f t="shared" si="5"/>
        <v>323467</v>
      </c>
      <c r="H10" s="806">
        <v>186.77999999999997</v>
      </c>
      <c r="I10" s="783">
        <f t="shared" si="2"/>
        <v>93390</v>
      </c>
      <c r="J10" s="783">
        <f t="shared" si="3"/>
        <v>27457</v>
      </c>
      <c r="K10" s="808">
        <f t="shared" si="6"/>
        <v>120847</v>
      </c>
      <c r="L10" s="806">
        <f t="shared" si="4"/>
        <v>443.49988225897897</v>
      </c>
      <c r="M10" s="783">
        <f t="shared" si="4"/>
        <v>350110</v>
      </c>
      <c r="N10" s="783">
        <f t="shared" si="4"/>
        <v>94204</v>
      </c>
      <c r="O10" s="809">
        <f t="shared" si="4"/>
        <v>444314</v>
      </c>
    </row>
    <row r="11" spans="1:15" ht="15.75" customHeight="1" x14ac:dyDescent="0.2">
      <c r="A11" s="810">
        <v>5</v>
      </c>
      <c r="B11" s="510">
        <v>5</v>
      </c>
      <c r="C11" s="811" t="s">
        <v>8</v>
      </c>
      <c r="D11" s="812">
        <v>340.82214421200001</v>
      </c>
      <c r="E11" s="813">
        <f t="shared" si="0"/>
        <v>340822</v>
      </c>
      <c r="F11" s="813">
        <f t="shared" si="1"/>
        <v>88614</v>
      </c>
      <c r="G11" s="814">
        <f t="shared" si="5"/>
        <v>429436</v>
      </c>
      <c r="H11" s="812">
        <v>266</v>
      </c>
      <c r="I11" s="813">
        <f t="shared" si="2"/>
        <v>133000</v>
      </c>
      <c r="J11" s="813">
        <f t="shared" si="3"/>
        <v>39102</v>
      </c>
      <c r="K11" s="815">
        <f t="shared" si="6"/>
        <v>172102</v>
      </c>
      <c r="L11" s="812">
        <f t="shared" si="4"/>
        <v>606.82214421200001</v>
      </c>
      <c r="M11" s="813">
        <f t="shared" si="4"/>
        <v>473822</v>
      </c>
      <c r="N11" s="813">
        <f t="shared" si="4"/>
        <v>127716</v>
      </c>
      <c r="O11" s="816">
        <f t="shared" si="4"/>
        <v>601538</v>
      </c>
    </row>
    <row r="12" spans="1:15" ht="15.75" customHeight="1" x14ac:dyDescent="0.2">
      <c r="A12" s="502">
        <v>6</v>
      </c>
      <c r="B12" s="800">
        <v>6</v>
      </c>
      <c r="C12" s="801" t="s">
        <v>9</v>
      </c>
      <c r="D12" s="802">
        <v>477.50904676438199</v>
      </c>
      <c r="E12" s="782">
        <f t="shared" si="0"/>
        <v>477509</v>
      </c>
      <c r="F12" s="782">
        <f t="shared" si="1"/>
        <v>124152</v>
      </c>
      <c r="G12" s="803">
        <f t="shared" si="5"/>
        <v>601661</v>
      </c>
      <c r="H12" s="802">
        <v>305.67860947128599</v>
      </c>
      <c r="I12" s="782">
        <f t="shared" si="2"/>
        <v>152839</v>
      </c>
      <c r="J12" s="782">
        <f t="shared" si="3"/>
        <v>44935</v>
      </c>
      <c r="K12" s="804">
        <f t="shared" si="6"/>
        <v>197774</v>
      </c>
      <c r="L12" s="802">
        <f t="shared" si="4"/>
        <v>783.18765623566799</v>
      </c>
      <c r="M12" s="782">
        <f t="shared" si="4"/>
        <v>630348</v>
      </c>
      <c r="N12" s="782">
        <f t="shared" si="4"/>
        <v>169087</v>
      </c>
      <c r="O12" s="805">
        <f t="shared" si="4"/>
        <v>799435</v>
      </c>
    </row>
    <row r="13" spans="1:15" ht="15.75" customHeight="1" x14ac:dyDescent="0.2">
      <c r="A13" s="44">
        <v>7</v>
      </c>
      <c r="B13" s="226">
        <v>7</v>
      </c>
      <c r="C13" s="506" t="s">
        <v>10</v>
      </c>
      <c r="D13" s="806">
        <v>227.01649995055101</v>
      </c>
      <c r="E13" s="783">
        <f t="shared" si="0"/>
        <v>227016</v>
      </c>
      <c r="F13" s="783">
        <f t="shared" si="1"/>
        <v>59024</v>
      </c>
      <c r="G13" s="807">
        <f t="shared" si="5"/>
        <v>286040</v>
      </c>
      <c r="H13" s="806">
        <v>171.73223742239898</v>
      </c>
      <c r="I13" s="783">
        <f t="shared" si="2"/>
        <v>85866</v>
      </c>
      <c r="J13" s="783">
        <f t="shared" si="3"/>
        <v>25245</v>
      </c>
      <c r="K13" s="808">
        <f t="shared" si="6"/>
        <v>111111</v>
      </c>
      <c r="L13" s="806">
        <f t="shared" si="4"/>
        <v>398.74873737295002</v>
      </c>
      <c r="M13" s="783">
        <f t="shared" si="4"/>
        <v>312882</v>
      </c>
      <c r="N13" s="783">
        <f t="shared" si="4"/>
        <v>84269</v>
      </c>
      <c r="O13" s="809">
        <f t="shared" si="4"/>
        <v>397151</v>
      </c>
    </row>
    <row r="14" spans="1:15" ht="15.75" customHeight="1" x14ac:dyDescent="0.2">
      <c r="A14" s="508">
        <v>8</v>
      </c>
      <c r="B14" s="226">
        <v>8</v>
      </c>
      <c r="C14" s="506" t="s">
        <v>11</v>
      </c>
      <c r="D14" s="806">
        <v>1935</v>
      </c>
      <c r="E14" s="783">
        <f t="shared" si="0"/>
        <v>1935000</v>
      </c>
      <c r="F14" s="783">
        <f t="shared" si="1"/>
        <v>503100</v>
      </c>
      <c r="G14" s="807">
        <f t="shared" si="5"/>
        <v>2438100</v>
      </c>
      <c r="H14" s="806">
        <v>1226</v>
      </c>
      <c r="I14" s="783">
        <f t="shared" si="2"/>
        <v>613000</v>
      </c>
      <c r="J14" s="783">
        <f t="shared" si="3"/>
        <v>180222</v>
      </c>
      <c r="K14" s="808">
        <f t="shared" si="6"/>
        <v>793222</v>
      </c>
      <c r="L14" s="806">
        <f t="shared" si="4"/>
        <v>3161</v>
      </c>
      <c r="M14" s="783">
        <f t="shared" si="4"/>
        <v>2548000</v>
      </c>
      <c r="N14" s="783">
        <f t="shared" si="4"/>
        <v>683322</v>
      </c>
      <c r="O14" s="809">
        <f t="shared" si="4"/>
        <v>3231322</v>
      </c>
    </row>
    <row r="15" spans="1:15" ht="15.75" customHeight="1" x14ac:dyDescent="0.2">
      <c r="A15" s="508">
        <v>9</v>
      </c>
      <c r="B15" s="226">
        <v>9</v>
      </c>
      <c r="C15" s="506" t="s">
        <v>12</v>
      </c>
      <c r="D15" s="806">
        <v>2692.3973515424382</v>
      </c>
      <c r="E15" s="783">
        <f t="shared" si="0"/>
        <v>2692397</v>
      </c>
      <c r="F15" s="783">
        <f t="shared" si="1"/>
        <v>700023</v>
      </c>
      <c r="G15" s="807">
        <f t="shared" si="5"/>
        <v>3392420</v>
      </c>
      <c r="H15" s="806">
        <v>2258.7425757171077</v>
      </c>
      <c r="I15" s="783">
        <f t="shared" si="2"/>
        <v>1129371</v>
      </c>
      <c r="J15" s="783">
        <f t="shared" si="3"/>
        <v>332035</v>
      </c>
      <c r="K15" s="808">
        <f t="shared" si="6"/>
        <v>1461406</v>
      </c>
      <c r="L15" s="806">
        <f t="shared" si="4"/>
        <v>4951.1399272595463</v>
      </c>
      <c r="M15" s="783">
        <f t="shared" si="4"/>
        <v>3821768</v>
      </c>
      <c r="N15" s="783">
        <f t="shared" si="4"/>
        <v>1032058</v>
      </c>
      <c r="O15" s="809">
        <f t="shared" si="4"/>
        <v>4853826</v>
      </c>
    </row>
    <row r="16" spans="1:15" ht="15.75" customHeight="1" x14ac:dyDescent="0.2">
      <c r="A16" s="810">
        <v>10</v>
      </c>
      <c r="B16" s="510">
        <v>10</v>
      </c>
      <c r="C16" s="811" t="s">
        <v>13</v>
      </c>
      <c r="D16" s="812">
        <v>3026.9807387435703</v>
      </c>
      <c r="E16" s="813">
        <f t="shared" si="0"/>
        <v>3026981</v>
      </c>
      <c r="F16" s="813">
        <f t="shared" si="1"/>
        <v>787015</v>
      </c>
      <c r="G16" s="814">
        <f t="shared" si="5"/>
        <v>3813996</v>
      </c>
      <c r="H16" s="812">
        <v>1686.6884473359219</v>
      </c>
      <c r="I16" s="813">
        <f t="shared" si="2"/>
        <v>843344</v>
      </c>
      <c r="J16" s="813">
        <f t="shared" si="3"/>
        <v>247943</v>
      </c>
      <c r="K16" s="815">
        <f t="shared" si="6"/>
        <v>1091287</v>
      </c>
      <c r="L16" s="812">
        <f t="shared" si="4"/>
        <v>4713.6691860794926</v>
      </c>
      <c r="M16" s="813">
        <f t="shared" si="4"/>
        <v>3870325</v>
      </c>
      <c r="N16" s="813">
        <f t="shared" si="4"/>
        <v>1034958</v>
      </c>
      <c r="O16" s="816">
        <f t="shared" si="4"/>
        <v>4905283</v>
      </c>
    </row>
    <row r="17" spans="1:15" ht="15.75" customHeight="1" x14ac:dyDescent="0.2">
      <c r="A17" s="502">
        <v>11</v>
      </c>
      <c r="B17" s="800">
        <v>11</v>
      </c>
      <c r="C17" s="801" t="s">
        <v>14</v>
      </c>
      <c r="D17" s="802">
        <v>153.19394685725098</v>
      </c>
      <c r="E17" s="782">
        <f t="shared" si="0"/>
        <v>153194</v>
      </c>
      <c r="F17" s="782">
        <f t="shared" si="1"/>
        <v>39830</v>
      </c>
      <c r="G17" s="803">
        <f t="shared" si="5"/>
        <v>193024</v>
      </c>
      <c r="H17" s="802">
        <v>117.963807004689</v>
      </c>
      <c r="I17" s="782">
        <f t="shared" si="2"/>
        <v>58982</v>
      </c>
      <c r="J17" s="782">
        <f t="shared" si="3"/>
        <v>17341</v>
      </c>
      <c r="K17" s="804">
        <f t="shared" si="6"/>
        <v>76323</v>
      </c>
      <c r="L17" s="802">
        <f t="shared" si="4"/>
        <v>271.15775386193997</v>
      </c>
      <c r="M17" s="782">
        <f t="shared" si="4"/>
        <v>212176</v>
      </c>
      <c r="N17" s="782">
        <f t="shared" si="4"/>
        <v>57171</v>
      </c>
      <c r="O17" s="805">
        <f t="shared" si="4"/>
        <v>269347</v>
      </c>
    </row>
    <row r="18" spans="1:15" ht="15.75" customHeight="1" x14ac:dyDescent="0.2">
      <c r="A18" s="44">
        <v>12</v>
      </c>
      <c r="B18" s="226">
        <v>12</v>
      </c>
      <c r="C18" s="506" t="s">
        <v>15</v>
      </c>
      <c r="D18" s="806">
        <v>167.25145755226703</v>
      </c>
      <c r="E18" s="783">
        <f t="shared" si="0"/>
        <v>167251</v>
      </c>
      <c r="F18" s="783">
        <f t="shared" si="1"/>
        <v>43485</v>
      </c>
      <c r="G18" s="807">
        <f t="shared" si="5"/>
        <v>210736</v>
      </c>
      <c r="H18" s="806">
        <v>92.764707868332991</v>
      </c>
      <c r="I18" s="783">
        <f t="shared" si="2"/>
        <v>46382</v>
      </c>
      <c r="J18" s="783">
        <f t="shared" si="3"/>
        <v>13636</v>
      </c>
      <c r="K18" s="808">
        <f t="shared" si="6"/>
        <v>60018</v>
      </c>
      <c r="L18" s="806">
        <f t="shared" si="4"/>
        <v>260.01616542060003</v>
      </c>
      <c r="M18" s="783">
        <f t="shared" si="4"/>
        <v>213633</v>
      </c>
      <c r="N18" s="783">
        <f t="shared" si="4"/>
        <v>57121</v>
      </c>
      <c r="O18" s="809">
        <f t="shared" si="4"/>
        <v>270754</v>
      </c>
    </row>
    <row r="19" spans="1:15" ht="15.75" customHeight="1" x14ac:dyDescent="0.2">
      <c r="A19" s="508">
        <v>13</v>
      </c>
      <c r="B19" s="226">
        <v>13</v>
      </c>
      <c r="C19" s="506" t="s">
        <v>16</v>
      </c>
      <c r="D19" s="806">
        <v>89.64670894462401</v>
      </c>
      <c r="E19" s="783">
        <f t="shared" si="0"/>
        <v>89647</v>
      </c>
      <c r="F19" s="783">
        <f t="shared" si="1"/>
        <v>23308</v>
      </c>
      <c r="G19" s="807">
        <f t="shared" si="5"/>
        <v>112955</v>
      </c>
      <c r="H19" s="806">
        <v>98.452494477320002</v>
      </c>
      <c r="I19" s="783">
        <f t="shared" si="2"/>
        <v>49226</v>
      </c>
      <c r="J19" s="783">
        <f t="shared" si="3"/>
        <v>14472</v>
      </c>
      <c r="K19" s="808">
        <f t="shared" si="6"/>
        <v>63698</v>
      </c>
      <c r="L19" s="806">
        <f t="shared" si="4"/>
        <v>188.09920342194403</v>
      </c>
      <c r="M19" s="783">
        <f t="shared" si="4"/>
        <v>138873</v>
      </c>
      <c r="N19" s="783">
        <f t="shared" si="4"/>
        <v>37780</v>
      </c>
      <c r="O19" s="809">
        <f t="shared" si="4"/>
        <v>176653</v>
      </c>
    </row>
    <row r="20" spans="1:15" ht="15.75" customHeight="1" x14ac:dyDescent="0.2">
      <c r="A20" s="508">
        <v>14</v>
      </c>
      <c r="B20" s="226">
        <v>14</v>
      </c>
      <c r="C20" s="506" t="s">
        <v>17</v>
      </c>
      <c r="D20" s="806">
        <v>138.05992025003303</v>
      </c>
      <c r="E20" s="783">
        <f t="shared" si="0"/>
        <v>138060</v>
      </c>
      <c r="F20" s="783">
        <f t="shared" si="1"/>
        <v>35896</v>
      </c>
      <c r="G20" s="807">
        <f t="shared" si="5"/>
        <v>173956</v>
      </c>
      <c r="H20" s="806">
        <v>134.940079749923</v>
      </c>
      <c r="I20" s="783">
        <f t="shared" si="2"/>
        <v>67470</v>
      </c>
      <c r="J20" s="783">
        <f t="shared" si="3"/>
        <v>19836</v>
      </c>
      <c r="K20" s="808">
        <f t="shared" si="6"/>
        <v>87306</v>
      </c>
      <c r="L20" s="806">
        <f t="shared" si="4"/>
        <v>272.999999999956</v>
      </c>
      <c r="M20" s="783">
        <f t="shared" si="4"/>
        <v>205530</v>
      </c>
      <c r="N20" s="783">
        <f t="shared" si="4"/>
        <v>55732</v>
      </c>
      <c r="O20" s="809">
        <f t="shared" si="4"/>
        <v>261262</v>
      </c>
    </row>
    <row r="21" spans="1:15" ht="15.75" customHeight="1" x14ac:dyDescent="0.2">
      <c r="A21" s="749">
        <v>15</v>
      </c>
      <c r="B21" s="510">
        <v>15</v>
      </c>
      <c r="C21" s="811" t="s">
        <v>18</v>
      </c>
      <c r="D21" s="812">
        <v>296.98</v>
      </c>
      <c r="E21" s="813">
        <f t="shared" si="0"/>
        <v>296980</v>
      </c>
      <c r="F21" s="813">
        <f t="shared" si="1"/>
        <v>77215</v>
      </c>
      <c r="G21" s="814">
        <f t="shared" si="5"/>
        <v>374195</v>
      </c>
      <c r="H21" s="812">
        <v>209</v>
      </c>
      <c r="I21" s="813">
        <f t="shared" si="2"/>
        <v>104500</v>
      </c>
      <c r="J21" s="813">
        <f t="shared" si="3"/>
        <v>30723</v>
      </c>
      <c r="K21" s="815">
        <f t="shared" si="6"/>
        <v>135223</v>
      </c>
      <c r="L21" s="812">
        <f t="shared" si="4"/>
        <v>505.98</v>
      </c>
      <c r="M21" s="813">
        <f t="shared" si="4"/>
        <v>401480</v>
      </c>
      <c r="N21" s="813">
        <f t="shared" si="4"/>
        <v>107938</v>
      </c>
      <c r="O21" s="816">
        <f t="shared" si="4"/>
        <v>509418</v>
      </c>
    </row>
    <row r="22" spans="1:15" ht="15.75" customHeight="1" x14ac:dyDescent="0.2">
      <c r="A22" s="502">
        <v>16</v>
      </c>
      <c r="B22" s="800">
        <v>16</v>
      </c>
      <c r="C22" s="801" t="s">
        <v>19</v>
      </c>
      <c r="D22" s="802">
        <v>413</v>
      </c>
      <c r="E22" s="782">
        <f t="shared" si="0"/>
        <v>413000</v>
      </c>
      <c r="F22" s="782">
        <f t="shared" si="1"/>
        <v>107380</v>
      </c>
      <c r="G22" s="803">
        <f t="shared" si="5"/>
        <v>520380</v>
      </c>
      <c r="H22" s="802">
        <v>310</v>
      </c>
      <c r="I22" s="782">
        <f t="shared" si="2"/>
        <v>155000</v>
      </c>
      <c r="J22" s="782">
        <f t="shared" si="3"/>
        <v>45570</v>
      </c>
      <c r="K22" s="804">
        <f t="shared" si="6"/>
        <v>200570</v>
      </c>
      <c r="L22" s="802">
        <f t="shared" si="4"/>
        <v>723</v>
      </c>
      <c r="M22" s="782">
        <f t="shared" si="4"/>
        <v>568000</v>
      </c>
      <c r="N22" s="782">
        <f t="shared" si="4"/>
        <v>152950</v>
      </c>
      <c r="O22" s="805">
        <f t="shared" si="4"/>
        <v>720950</v>
      </c>
    </row>
    <row r="23" spans="1:15" ht="15.75" customHeight="1" x14ac:dyDescent="0.2">
      <c r="A23" s="44">
        <v>17</v>
      </c>
      <c r="B23" s="226">
        <v>17</v>
      </c>
      <c r="C23" s="506" t="s">
        <v>20</v>
      </c>
      <c r="D23" s="817">
        <v>3759.5276785699398</v>
      </c>
      <c r="E23" s="818">
        <f t="shared" si="0"/>
        <v>3759528</v>
      </c>
      <c r="F23" s="818">
        <f t="shared" si="1"/>
        <v>977477</v>
      </c>
      <c r="G23" s="807">
        <f t="shared" si="5"/>
        <v>4737005</v>
      </c>
      <c r="H23" s="817">
        <v>2225.5664222069968</v>
      </c>
      <c r="I23" s="818">
        <f t="shared" si="2"/>
        <v>1112783</v>
      </c>
      <c r="J23" s="818">
        <f t="shared" si="3"/>
        <v>327158</v>
      </c>
      <c r="K23" s="808">
        <f t="shared" si="6"/>
        <v>1439941</v>
      </c>
      <c r="L23" s="817">
        <f t="shared" si="4"/>
        <v>5985.0941007769361</v>
      </c>
      <c r="M23" s="818">
        <f t="shared" si="4"/>
        <v>4872311</v>
      </c>
      <c r="N23" s="818">
        <f t="shared" si="4"/>
        <v>1304635</v>
      </c>
      <c r="O23" s="809">
        <f t="shared" si="4"/>
        <v>6176946</v>
      </c>
    </row>
    <row r="24" spans="1:15" ht="15.75" customHeight="1" x14ac:dyDescent="0.2">
      <c r="A24" s="508">
        <v>18</v>
      </c>
      <c r="B24" s="226">
        <v>18</v>
      </c>
      <c r="C24" s="506" t="s">
        <v>21</v>
      </c>
      <c r="D24" s="817">
        <v>73.255584935881984</v>
      </c>
      <c r="E24" s="818">
        <f t="shared" si="0"/>
        <v>73256</v>
      </c>
      <c r="F24" s="818">
        <f t="shared" si="1"/>
        <v>19047</v>
      </c>
      <c r="G24" s="807">
        <f t="shared" si="5"/>
        <v>92303</v>
      </c>
      <c r="H24" s="817">
        <v>70.744415064089992</v>
      </c>
      <c r="I24" s="818">
        <f t="shared" si="2"/>
        <v>35372</v>
      </c>
      <c r="J24" s="818">
        <f t="shared" si="3"/>
        <v>10399</v>
      </c>
      <c r="K24" s="808">
        <f t="shared" si="6"/>
        <v>45771</v>
      </c>
      <c r="L24" s="817">
        <f t="shared" si="4"/>
        <v>143.99999999997198</v>
      </c>
      <c r="M24" s="818">
        <f t="shared" si="4"/>
        <v>108628</v>
      </c>
      <c r="N24" s="818">
        <f t="shared" si="4"/>
        <v>29446</v>
      </c>
      <c r="O24" s="809">
        <f t="shared" si="4"/>
        <v>138074</v>
      </c>
    </row>
    <row r="25" spans="1:15" ht="15.75" customHeight="1" x14ac:dyDescent="0.2">
      <c r="A25" s="508">
        <v>19</v>
      </c>
      <c r="B25" s="226">
        <v>19</v>
      </c>
      <c r="C25" s="506" t="s">
        <v>22</v>
      </c>
      <c r="D25" s="817">
        <v>163</v>
      </c>
      <c r="E25" s="818">
        <f t="shared" si="0"/>
        <v>163000</v>
      </c>
      <c r="F25" s="818">
        <f t="shared" si="1"/>
        <v>42380</v>
      </c>
      <c r="G25" s="807">
        <f t="shared" si="5"/>
        <v>205380</v>
      </c>
      <c r="H25" s="817">
        <v>112</v>
      </c>
      <c r="I25" s="818">
        <f t="shared" si="2"/>
        <v>56000</v>
      </c>
      <c r="J25" s="818">
        <f t="shared" si="3"/>
        <v>16464</v>
      </c>
      <c r="K25" s="808">
        <f t="shared" si="6"/>
        <v>72464</v>
      </c>
      <c r="L25" s="817">
        <f t="shared" si="4"/>
        <v>275</v>
      </c>
      <c r="M25" s="818">
        <f t="shared" si="4"/>
        <v>219000</v>
      </c>
      <c r="N25" s="818">
        <f t="shared" si="4"/>
        <v>58844</v>
      </c>
      <c r="O25" s="809">
        <f t="shared" si="4"/>
        <v>277844</v>
      </c>
    </row>
    <row r="26" spans="1:15" ht="15.75" customHeight="1" x14ac:dyDescent="0.2">
      <c r="A26" s="749">
        <v>20</v>
      </c>
      <c r="B26" s="510">
        <v>20</v>
      </c>
      <c r="C26" s="811" t="s">
        <v>23</v>
      </c>
      <c r="D26" s="819">
        <v>478.76494766997399</v>
      </c>
      <c r="E26" s="820">
        <f t="shared" si="0"/>
        <v>478765</v>
      </c>
      <c r="F26" s="820">
        <f t="shared" si="1"/>
        <v>124479</v>
      </c>
      <c r="G26" s="814">
        <f t="shared" si="5"/>
        <v>603244</v>
      </c>
      <c r="H26" s="819">
        <v>266</v>
      </c>
      <c r="I26" s="820">
        <f t="shared" si="2"/>
        <v>133000</v>
      </c>
      <c r="J26" s="820">
        <f t="shared" si="3"/>
        <v>39102</v>
      </c>
      <c r="K26" s="815">
        <f t="shared" si="6"/>
        <v>172102</v>
      </c>
      <c r="L26" s="819">
        <f t="shared" si="4"/>
        <v>744.76494766997394</v>
      </c>
      <c r="M26" s="820">
        <f t="shared" si="4"/>
        <v>611765</v>
      </c>
      <c r="N26" s="820">
        <f t="shared" si="4"/>
        <v>163581</v>
      </c>
      <c r="O26" s="816">
        <f t="shared" si="4"/>
        <v>775346</v>
      </c>
    </row>
    <row r="27" spans="1:15" ht="15.75" customHeight="1" x14ac:dyDescent="0.2">
      <c r="A27" s="502">
        <v>21</v>
      </c>
      <c r="B27" s="800">
        <v>21</v>
      </c>
      <c r="C27" s="801" t="s">
        <v>24</v>
      </c>
      <c r="D27" s="821">
        <v>248.59626906330703</v>
      </c>
      <c r="E27" s="822">
        <f t="shared" si="0"/>
        <v>248596</v>
      </c>
      <c r="F27" s="822">
        <f t="shared" si="1"/>
        <v>64635</v>
      </c>
      <c r="G27" s="803">
        <f t="shared" si="5"/>
        <v>313231</v>
      </c>
      <c r="H27" s="821">
        <v>207.54718547543197</v>
      </c>
      <c r="I27" s="822">
        <f t="shared" si="2"/>
        <v>103774</v>
      </c>
      <c r="J27" s="822">
        <f t="shared" si="3"/>
        <v>30510</v>
      </c>
      <c r="K27" s="804">
        <f t="shared" si="6"/>
        <v>134284</v>
      </c>
      <c r="L27" s="821">
        <f t="shared" si="4"/>
        <v>456.14345453873898</v>
      </c>
      <c r="M27" s="822">
        <f t="shared" si="4"/>
        <v>352370</v>
      </c>
      <c r="N27" s="822">
        <f t="shared" si="4"/>
        <v>95145</v>
      </c>
      <c r="O27" s="805">
        <f t="shared" si="4"/>
        <v>447515</v>
      </c>
    </row>
    <row r="28" spans="1:15" ht="15.75" customHeight="1" x14ac:dyDescent="0.2">
      <c r="A28" s="44">
        <v>22</v>
      </c>
      <c r="B28" s="226">
        <v>22</v>
      </c>
      <c r="C28" s="506" t="s">
        <v>25</v>
      </c>
      <c r="D28" s="817">
        <v>257.33290315897301</v>
      </c>
      <c r="E28" s="818">
        <f t="shared" si="0"/>
        <v>257333</v>
      </c>
      <c r="F28" s="818">
        <f t="shared" si="1"/>
        <v>66907</v>
      </c>
      <c r="G28" s="807">
        <f t="shared" si="5"/>
        <v>324240</v>
      </c>
      <c r="H28" s="817">
        <v>155.98567209098701</v>
      </c>
      <c r="I28" s="818">
        <f t="shared" si="2"/>
        <v>77993</v>
      </c>
      <c r="J28" s="818">
        <f t="shared" si="3"/>
        <v>22930</v>
      </c>
      <c r="K28" s="808">
        <f t="shared" si="6"/>
        <v>100923</v>
      </c>
      <c r="L28" s="817">
        <f t="shared" si="4"/>
        <v>413.31857524996002</v>
      </c>
      <c r="M28" s="818">
        <f t="shared" si="4"/>
        <v>335326</v>
      </c>
      <c r="N28" s="818">
        <f t="shared" si="4"/>
        <v>89837</v>
      </c>
      <c r="O28" s="809">
        <f t="shared" si="4"/>
        <v>425163</v>
      </c>
    </row>
    <row r="29" spans="1:15" ht="15.75" customHeight="1" x14ac:dyDescent="0.2">
      <c r="A29" s="508">
        <v>23</v>
      </c>
      <c r="B29" s="226">
        <v>23</v>
      </c>
      <c r="C29" s="506" t="s">
        <v>26</v>
      </c>
      <c r="D29" s="817">
        <v>1024.1019613709641</v>
      </c>
      <c r="E29" s="818">
        <f t="shared" si="0"/>
        <v>1024102</v>
      </c>
      <c r="F29" s="818">
        <f t="shared" si="1"/>
        <v>266267</v>
      </c>
      <c r="G29" s="807">
        <f t="shared" si="5"/>
        <v>1290369</v>
      </c>
      <c r="H29" s="817">
        <v>585.65909090900004</v>
      </c>
      <c r="I29" s="818">
        <f t="shared" si="2"/>
        <v>292830</v>
      </c>
      <c r="J29" s="818">
        <f t="shared" si="3"/>
        <v>86092</v>
      </c>
      <c r="K29" s="808">
        <f t="shared" si="6"/>
        <v>378922</v>
      </c>
      <c r="L29" s="817">
        <f t="shared" si="4"/>
        <v>1609.7610522799641</v>
      </c>
      <c r="M29" s="818">
        <f t="shared" si="4"/>
        <v>1316932</v>
      </c>
      <c r="N29" s="818">
        <f t="shared" si="4"/>
        <v>352359</v>
      </c>
      <c r="O29" s="809">
        <f t="shared" si="4"/>
        <v>1669291</v>
      </c>
    </row>
    <row r="30" spans="1:15" ht="15.75" customHeight="1" x14ac:dyDescent="0.2">
      <c r="A30" s="508">
        <v>24</v>
      </c>
      <c r="B30" s="226">
        <v>24</v>
      </c>
      <c r="C30" s="506" t="s">
        <v>27</v>
      </c>
      <c r="D30" s="817">
        <v>452.70643641999999</v>
      </c>
      <c r="E30" s="818">
        <f t="shared" si="0"/>
        <v>452706</v>
      </c>
      <c r="F30" s="818">
        <f t="shared" si="1"/>
        <v>117704</v>
      </c>
      <c r="G30" s="807">
        <f t="shared" si="5"/>
        <v>570410</v>
      </c>
      <c r="H30" s="817">
        <v>338</v>
      </c>
      <c r="I30" s="818">
        <f t="shared" si="2"/>
        <v>169000</v>
      </c>
      <c r="J30" s="818">
        <f t="shared" si="3"/>
        <v>49686</v>
      </c>
      <c r="K30" s="808">
        <f t="shared" si="6"/>
        <v>218686</v>
      </c>
      <c r="L30" s="817">
        <f t="shared" si="4"/>
        <v>790.70643642000005</v>
      </c>
      <c r="M30" s="818">
        <f t="shared" si="4"/>
        <v>621706</v>
      </c>
      <c r="N30" s="818">
        <f t="shared" si="4"/>
        <v>167390</v>
      </c>
      <c r="O30" s="809">
        <f t="shared" si="4"/>
        <v>789096</v>
      </c>
    </row>
    <row r="31" spans="1:15" ht="15.75" customHeight="1" x14ac:dyDescent="0.2">
      <c r="A31" s="749">
        <v>25</v>
      </c>
      <c r="B31" s="510">
        <v>25</v>
      </c>
      <c r="C31" s="811" t="s">
        <v>28</v>
      </c>
      <c r="D31" s="819">
        <v>198.04819327727</v>
      </c>
      <c r="E31" s="820">
        <f t="shared" si="0"/>
        <v>198048</v>
      </c>
      <c r="F31" s="820">
        <f t="shared" si="1"/>
        <v>51492</v>
      </c>
      <c r="G31" s="814">
        <f t="shared" si="5"/>
        <v>249540</v>
      </c>
      <c r="H31" s="819">
        <v>135.99999999999901</v>
      </c>
      <c r="I31" s="820">
        <f t="shared" si="2"/>
        <v>68000</v>
      </c>
      <c r="J31" s="820">
        <f t="shared" si="3"/>
        <v>19992</v>
      </c>
      <c r="K31" s="815">
        <f t="shared" si="6"/>
        <v>87992</v>
      </c>
      <c r="L31" s="819">
        <f t="shared" si="4"/>
        <v>334.04819327726898</v>
      </c>
      <c r="M31" s="820">
        <f t="shared" si="4"/>
        <v>266048</v>
      </c>
      <c r="N31" s="820">
        <f t="shared" si="4"/>
        <v>71484</v>
      </c>
      <c r="O31" s="816">
        <f t="shared" si="4"/>
        <v>337532</v>
      </c>
    </row>
    <row r="32" spans="1:15" ht="15.75" customHeight="1" x14ac:dyDescent="0.2">
      <c r="A32" s="502">
        <v>26</v>
      </c>
      <c r="B32" s="800">
        <v>26</v>
      </c>
      <c r="C32" s="801" t="s">
        <v>29</v>
      </c>
      <c r="D32" s="821">
        <v>4133.4338612675547</v>
      </c>
      <c r="E32" s="822">
        <f t="shared" si="0"/>
        <v>4133434</v>
      </c>
      <c r="F32" s="822">
        <f t="shared" si="1"/>
        <v>1074693</v>
      </c>
      <c r="G32" s="803">
        <f t="shared" si="5"/>
        <v>5208127</v>
      </c>
      <c r="H32" s="821">
        <v>2281.1678267757648</v>
      </c>
      <c r="I32" s="822">
        <f t="shared" si="2"/>
        <v>1140584</v>
      </c>
      <c r="J32" s="822">
        <f t="shared" si="3"/>
        <v>335332</v>
      </c>
      <c r="K32" s="804">
        <f t="shared" si="6"/>
        <v>1475916</v>
      </c>
      <c r="L32" s="821">
        <f t="shared" si="4"/>
        <v>6414.6016880433199</v>
      </c>
      <c r="M32" s="822">
        <f t="shared" si="4"/>
        <v>5274018</v>
      </c>
      <c r="N32" s="822">
        <f t="shared" si="4"/>
        <v>1410025</v>
      </c>
      <c r="O32" s="805">
        <f t="shared" si="4"/>
        <v>6684043</v>
      </c>
    </row>
    <row r="33" spans="1:15" ht="15.75" customHeight="1" x14ac:dyDescent="0.2">
      <c r="A33" s="508">
        <v>27</v>
      </c>
      <c r="B33" s="226">
        <v>27</v>
      </c>
      <c r="C33" s="506" t="s">
        <v>30</v>
      </c>
      <c r="D33" s="817">
        <v>440.59167501898696</v>
      </c>
      <c r="E33" s="818">
        <f t="shared" si="0"/>
        <v>440592</v>
      </c>
      <c r="F33" s="818">
        <f t="shared" si="1"/>
        <v>114554</v>
      </c>
      <c r="G33" s="807">
        <f t="shared" si="5"/>
        <v>555146</v>
      </c>
      <c r="H33" s="817">
        <v>323.17206697499802</v>
      </c>
      <c r="I33" s="818">
        <f t="shared" si="2"/>
        <v>161586</v>
      </c>
      <c r="J33" s="818">
        <f t="shared" si="3"/>
        <v>47506</v>
      </c>
      <c r="K33" s="808">
        <f t="shared" si="6"/>
        <v>209092</v>
      </c>
      <c r="L33" s="817">
        <f t="shared" si="4"/>
        <v>763.76374199398492</v>
      </c>
      <c r="M33" s="818">
        <f t="shared" si="4"/>
        <v>602178</v>
      </c>
      <c r="N33" s="818">
        <f t="shared" si="4"/>
        <v>162060</v>
      </c>
      <c r="O33" s="809">
        <f t="shared" si="4"/>
        <v>764238</v>
      </c>
    </row>
    <row r="34" spans="1:15" ht="15.75" customHeight="1" x14ac:dyDescent="0.2">
      <c r="A34" s="508">
        <v>28</v>
      </c>
      <c r="B34" s="226">
        <v>28</v>
      </c>
      <c r="C34" s="506" t="s">
        <v>31</v>
      </c>
      <c r="D34" s="817">
        <v>2456.0880559818229</v>
      </c>
      <c r="E34" s="818">
        <f t="shared" si="0"/>
        <v>2456088</v>
      </c>
      <c r="F34" s="818">
        <f t="shared" si="1"/>
        <v>638583</v>
      </c>
      <c r="G34" s="807">
        <f t="shared" si="5"/>
        <v>3094671</v>
      </c>
      <c r="H34" s="817">
        <v>1810</v>
      </c>
      <c r="I34" s="818">
        <f t="shared" si="2"/>
        <v>905000</v>
      </c>
      <c r="J34" s="818">
        <f t="shared" si="3"/>
        <v>266070</v>
      </c>
      <c r="K34" s="808">
        <f t="shared" si="6"/>
        <v>1171070</v>
      </c>
      <c r="L34" s="817">
        <f t="shared" si="4"/>
        <v>4266.0880559818233</v>
      </c>
      <c r="M34" s="818">
        <f t="shared" si="4"/>
        <v>3361088</v>
      </c>
      <c r="N34" s="818">
        <f t="shared" si="4"/>
        <v>904653</v>
      </c>
      <c r="O34" s="809">
        <f t="shared" si="4"/>
        <v>4265741</v>
      </c>
    </row>
    <row r="35" spans="1:15" ht="15.75" customHeight="1" x14ac:dyDescent="0.2">
      <c r="A35" s="508">
        <v>29</v>
      </c>
      <c r="B35" s="226">
        <v>29</v>
      </c>
      <c r="C35" s="506" t="s">
        <v>32</v>
      </c>
      <c r="D35" s="817">
        <v>1093.9956956326221</v>
      </c>
      <c r="E35" s="818">
        <f t="shared" si="0"/>
        <v>1093996</v>
      </c>
      <c r="F35" s="818">
        <f t="shared" si="1"/>
        <v>284439</v>
      </c>
      <c r="G35" s="807">
        <f t="shared" si="5"/>
        <v>1378435</v>
      </c>
      <c r="H35" s="817">
        <v>752.47840619986096</v>
      </c>
      <c r="I35" s="818">
        <f t="shared" si="2"/>
        <v>376239</v>
      </c>
      <c r="J35" s="818">
        <f t="shared" si="3"/>
        <v>110614</v>
      </c>
      <c r="K35" s="808">
        <f t="shared" si="6"/>
        <v>486853</v>
      </c>
      <c r="L35" s="817">
        <f t="shared" si="4"/>
        <v>1846.474101832483</v>
      </c>
      <c r="M35" s="818">
        <f t="shared" si="4"/>
        <v>1470235</v>
      </c>
      <c r="N35" s="818">
        <f t="shared" si="4"/>
        <v>395053</v>
      </c>
      <c r="O35" s="809">
        <f t="shared" si="4"/>
        <v>1865288</v>
      </c>
    </row>
    <row r="36" spans="1:15" ht="15.75" customHeight="1" x14ac:dyDescent="0.2">
      <c r="A36" s="749">
        <v>30</v>
      </c>
      <c r="B36" s="510">
        <v>30</v>
      </c>
      <c r="C36" s="811" t="s">
        <v>33</v>
      </c>
      <c r="D36" s="819">
        <v>215.33687997801599</v>
      </c>
      <c r="E36" s="820">
        <f t="shared" si="0"/>
        <v>215337</v>
      </c>
      <c r="F36" s="820">
        <f t="shared" si="1"/>
        <v>55988</v>
      </c>
      <c r="G36" s="814">
        <f t="shared" si="5"/>
        <v>271325</v>
      </c>
      <c r="H36" s="819">
        <v>169.666594551278</v>
      </c>
      <c r="I36" s="820">
        <f t="shared" si="2"/>
        <v>84833</v>
      </c>
      <c r="J36" s="820">
        <f t="shared" si="3"/>
        <v>24941</v>
      </c>
      <c r="K36" s="815">
        <f t="shared" si="6"/>
        <v>109774</v>
      </c>
      <c r="L36" s="819">
        <f t="shared" si="4"/>
        <v>385.00347452929395</v>
      </c>
      <c r="M36" s="820">
        <f t="shared" si="4"/>
        <v>300170</v>
      </c>
      <c r="N36" s="820">
        <f t="shared" si="4"/>
        <v>80929</v>
      </c>
      <c r="O36" s="816">
        <f t="shared" si="4"/>
        <v>381099</v>
      </c>
    </row>
    <row r="37" spans="1:15" ht="15.75" customHeight="1" x14ac:dyDescent="0.2">
      <c r="A37" s="502">
        <v>31</v>
      </c>
      <c r="B37" s="800">
        <v>31</v>
      </c>
      <c r="C37" s="801" t="s">
        <v>34</v>
      </c>
      <c r="D37" s="821">
        <v>534.58333333330097</v>
      </c>
      <c r="E37" s="822">
        <f t="shared" si="0"/>
        <v>534583</v>
      </c>
      <c r="F37" s="822">
        <f t="shared" si="1"/>
        <v>138992</v>
      </c>
      <c r="G37" s="803">
        <f t="shared" si="5"/>
        <v>673575</v>
      </c>
      <c r="H37" s="821">
        <v>377.91666666666197</v>
      </c>
      <c r="I37" s="822">
        <f t="shared" si="2"/>
        <v>188958</v>
      </c>
      <c r="J37" s="822">
        <f t="shared" si="3"/>
        <v>55554</v>
      </c>
      <c r="K37" s="804">
        <f t="shared" si="6"/>
        <v>244512</v>
      </c>
      <c r="L37" s="821">
        <f t="shared" si="4"/>
        <v>912.49999999996294</v>
      </c>
      <c r="M37" s="822">
        <f t="shared" si="4"/>
        <v>723541</v>
      </c>
      <c r="N37" s="822">
        <f t="shared" si="4"/>
        <v>194546</v>
      </c>
      <c r="O37" s="805">
        <f t="shared" si="4"/>
        <v>918087</v>
      </c>
    </row>
    <row r="38" spans="1:15" ht="15.75" customHeight="1" x14ac:dyDescent="0.2">
      <c r="A38" s="508">
        <v>32</v>
      </c>
      <c r="B38" s="226">
        <v>32</v>
      </c>
      <c r="C38" s="506" t="s">
        <v>35</v>
      </c>
      <c r="D38" s="817">
        <v>2077.5808548288819</v>
      </c>
      <c r="E38" s="818">
        <f t="shared" si="0"/>
        <v>2077581</v>
      </c>
      <c r="F38" s="818">
        <f t="shared" si="1"/>
        <v>540171</v>
      </c>
      <c r="G38" s="807">
        <f t="shared" si="5"/>
        <v>2617752</v>
      </c>
      <c r="H38" s="817">
        <v>1545.3272866237812</v>
      </c>
      <c r="I38" s="818">
        <f t="shared" si="2"/>
        <v>772664</v>
      </c>
      <c r="J38" s="818">
        <f t="shared" si="3"/>
        <v>227163</v>
      </c>
      <c r="K38" s="808">
        <f t="shared" si="6"/>
        <v>999827</v>
      </c>
      <c r="L38" s="817">
        <f t="shared" si="4"/>
        <v>3622.9081414526631</v>
      </c>
      <c r="M38" s="818">
        <f t="shared" si="4"/>
        <v>2850245</v>
      </c>
      <c r="N38" s="818">
        <f t="shared" si="4"/>
        <v>767334</v>
      </c>
      <c r="O38" s="809">
        <f t="shared" si="4"/>
        <v>3617579</v>
      </c>
    </row>
    <row r="39" spans="1:15" ht="15.75" customHeight="1" x14ac:dyDescent="0.2">
      <c r="A39" s="508">
        <v>33</v>
      </c>
      <c r="B39" s="226">
        <v>33</v>
      </c>
      <c r="C39" s="506" t="s">
        <v>36</v>
      </c>
      <c r="D39" s="817">
        <v>103.746637751466</v>
      </c>
      <c r="E39" s="818">
        <f t="shared" si="0"/>
        <v>103747</v>
      </c>
      <c r="F39" s="818">
        <f t="shared" si="1"/>
        <v>26974</v>
      </c>
      <c r="G39" s="807">
        <f t="shared" si="5"/>
        <v>130721</v>
      </c>
      <c r="H39" s="817">
        <v>95.782553971813996</v>
      </c>
      <c r="I39" s="818">
        <f t="shared" si="2"/>
        <v>47891</v>
      </c>
      <c r="J39" s="818">
        <f t="shared" si="3"/>
        <v>14080</v>
      </c>
      <c r="K39" s="808">
        <f t="shared" si="6"/>
        <v>61971</v>
      </c>
      <c r="L39" s="817">
        <f t="shared" ref="L39:O75" si="7">D39+H39</f>
        <v>199.52919172328001</v>
      </c>
      <c r="M39" s="818">
        <f t="shared" si="7"/>
        <v>151638</v>
      </c>
      <c r="N39" s="818">
        <f t="shared" si="7"/>
        <v>41054</v>
      </c>
      <c r="O39" s="809">
        <f t="shared" si="7"/>
        <v>192692</v>
      </c>
    </row>
    <row r="40" spans="1:15" ht="15.75" customHeight="1" x14ac:dyDescent="0.2">
      <c r="A40" s="508">
        <v>34</v>
      </c>
      <c r="B40" s="226">
        <v>34</v>
      </c>
      <c r="C40" s="506" t="s">
        <v>37</v>
      </c>
      <c r="D40" s="817">
        <v>270.77014230701906</v>
      </c>
      <c r="E40" s="818">
        <f t="shared" si="0"/>
        <v>270770</v>
      </c>
      <c r="F40" s="818">
        <f t="shared" si="1"/>
        <v>70400</v>
      </c>
      <c r="G40" s="807">
        <f t="shared" si="5"/>
        <v>341170</v>
      </c>
      <c r="H40" s="817">
        <v>200.22985769290298</v>
      </c>
      <c r="I40" s="818">
        <f t="shared" si="2"/>
        <v>100115</v>
      </c>
      <c r="J40" s="818">
        <f t="shared" si="3"/>
        <v>29434</v>
      </c>
      <c r="K40" s="808">
        <f t="shared" si="6"/>
        <v>129549</v>
      </c>
      <c r="L40" s="817">
        <f t="shared" si="7"/>
        <v>470.99999999992201</v>
      </c>
      <c r="M40" s="818">
        <f t="shared" si="7"/>
        <v>370885</v>
      </c>
      <c r="N40" s="818">
        <f t="shared" si="7"/>
        <v>99834</v>
      </c>
      <c r="O40" s="809">
        <f t="shared" si="7"/>
        <v>470719</v>
      </c>
    </row>
    <row r="41" spans="1:15" ht="15.75" customHeight="1" x14ac:dyDescent="0.2">
      <c r="A41" s="749">
        <v>35</v>
      </c>
      <c r="B41" s="510">
        <v>35</v>
      </c>
      <c r="C41" s="811" t="s">
        <v>38</v>
      </c>
      <c r="D41" s="819">
        <v>548.84999999992397</v>
      </c>
      <c r="E41" s="820">
        <f t="shared" si="0"/>
        <v>548850</v>
      </c>
      <c r="F41" s="820">
        <f t="shared" si="1"/>
        <v>142701</v>
      </c>
      <c r="G41" s="814">
        <f t="shared" si="5"/>
        <v>691551</v>
      </c>
      <c r="H41" s="819">
        <v>219.99999999999801</v>
      </c>
      <c r="I41" s="820">
        <f t="shared" si="2"/>
        <v>110000</v>
      </c>
      <c r="J41" s="820">
        <f t="shared" si="3"/>
        <v>32340</v>
      </c>
      <c r="K41" s="815">
        <f t="shared" si="6"/>
        <v>142340</v>
      </c>
      <c r="L41" s="819">
        <f t="shared" si="7"/>
        <v>768.84999999992192</v>
      </c>
      <c r="M41" s="820">
        <f t="shared" si="7"/>
        <v>658850</v>
      </c>
      <c r="N41" s="820">
        <f t="shared" si="7"/>
        <v>175041</v>
      </c>
      <c r="O41" s="816">
        <f t="shared" si="7"/>
        <v>833891</v>
      </c>
    </row>
    <row r="42" spans="1:15" ht="15.75" customHeight="1" x14ac:dyDescent="0.2">
      <c r="A42" s="502">
        <v>36</v>
      </c>
      <c r="B42" s="800">
        <v>36</v>
      </c>
      <c r="C42" s="801" t="s">
        <v>39</v>
      </c>
      <c r="D42" s="821">
        <v>4088.3401594442976</v>
      </c>
      <c r="E42" s="822">
        <f t="shared" si="0"/>
        <v>4088340</v>
      </c>
      <c r="F42" s="822">
        <f t="shared" si="1"/>
        <v>1062968</v>
      </c>
      <c r="G42" s="803">
        <f t="shared" si="5"/>
        <v>5151308</v>
      </c>
      <c r="H42" s="821">
        <v>1953.7023803995799</v>
      </c>
      <c r="I42" s="822">
        <f t="shared" si="2"/>
        <v>976851</v>
      </c>
      <c r="J42" s="822">
        <f t="shared" si="3"/>
        <v>287194</v>
      </c>
      <c r="K42" s="804">
        <f t="shared" si="6"/>
        <v>1264045</v>
      </c>
      <c r="L42" s="821">
        <f t="shared" si="7"/>
        <v>6042.0425398438774</v>
      </c>
      <c r="M42" s="822">
        <f t="shared" si="7"/>
        <v>5065191</v>
      </c>
      <c r="N42" s="822">
        <f t="shared" si="7"/>
        <v>1350162</v>
      </c>
      <c r="O42" s="805">
        <f t="shared" si="7"/>
        <v>6415353</v>
      </c>
    </row>
    <row r="43" spans="1:15" ht="15.75" customHeight="1" x14ac:dyDescent="0.2">
      <c r="A43" s="508">
        <v>37</v>
      </c>
      <c r="B43" s="226">
        <v>37</v>
      </c>
      <c r="C43" s="506" t="s">
        <v>40</v>
      </c>
      <c r="D43" s="817">
        <v>1566.2937984429241</v>
      </c>
      <c r="E43" s="818">
        <f t="shared" si="0"/>
        <v>1566294</v>
      </c>
      <c r="F43" s="818">
        <f t="shared" si="1"/>
        <v>407236</v>
      </c>
      <c r="G43" s="807">
        <f t="shared" si="5"/>
        <v>1973530</v>
      </c>
      <c r="H43" s="817">
        <v>1302.847641697979</v>
      </c>
      <c r="I43" s="818">
        <f t="shared" si="2"/>
        <v>651424</v>
      </c>
      <c r="J43" s="818">
        <f t="shared" si="3"/>
        <v>191519</v>
      </c>
      <c r="K43" s="808">
        <f t="shared" si="6"/>
        <v>842943</v>
      </c>
      <c r="L43" s="817">
        <f t="shared" si="7"/>
        <v>2869.1414401409029</v>
      </c>
      <c r="M43" s="818">
        <f t="shared" si="7"/>
        <v>2217718</v>
      </c>
      <c r="N43" s="818">
        <f t="shared" si="7"/>
        <v>598755</v>
      </c>
      <c r="O43" s="809">
        <f t="shared" si="7"/>
        <v>2816473</v>
      </c>
    </row>
    <row r="44" spans="1:15" ht="15.75" customHeight="1" x14ac:dyDescent="0.2">
      <c r="A44" s="508">
        <v>38</v>
      </c>
      <c r="B44" s="226">
        <v>38</v>
      </c>
      <c r="C44" s="506" t="s">
        <v>41</v>
      </c>
      <c r="D44" s="817">
        <v>353.78111587900003</v>
      </c>
      <c r="E44" s="818">
        <f t="shared" si="0"/>
        <v>353781</v>
      </c>
      <c r="F44" s="818">
        <f t="shared" si="1"/>
        <v>91983</v>
      </c>
      <c r="G44" s="807">
        <f t="shared" si="5"/>
        <v>445764</v>
      </c>
      <c r="H44" s="817">
        <v>295</v>
      </c>
      <c r="I44" s="818">
        <f t="shared" si="2"/>
        <v>147500</v>
      </c>
      <c r="J44" s="818">
        <f t="shared" si="3"/>
        <v>43365</v>
      </c>
      <c r="K44" s="808">
        <f t="shared" si="6"/>
        <v>190865</v>
      </c>
      <c r="L44" s="817">
        <f t="shared" si="7"/>
        <v>648.78111587900003</v>
      </c>
      <c r="M44" s="818">
        <f t="shared" si="7"/>
        <v>501281</v>
      </c>
      <c r="N44" s="818">
        <f t="shared" si="7"/>
        <v>135348</v>
      </c>
      <c r="O44" s="809">
        <f t="shared" si="7"/>
        <v>636629</v>
      </c>
    </row>
    <row r="45" spans="1:15" ht="15.75" customHeight="1" x14ac:dyDescent="0.2">
      <c r="A45" s="508">
        <v>39</v>
      </c>
      <c r="B45" s="226">
        <v>39</v>
      </c>
      <c r="C45" s="506" t="s">
        <v>42</v>
      </c>
      <c r="D45" s="817">
        <v>167.00392464399999</v>
      </c>
      <c r="E45" s="818">
        <f t="shared" si="0"/>
        <v>167004</v>
      </c>
      <c r="F45" s="818">
        <f t="shared" si="1"/>
        <v>43421</v>
      </c>
      <c r="G45" s="807">
        <f t="shared" si="5"/>
        <v>210425</v>
      </c>
      <c r="H45" s="817">
        <v>104</v>
      </c>
      <c r="I45" s="818">
        <f t="shared" si="2"/>
        <v>52000</v>
      </c>
      <c r="J45" s="818">
        <f t="shared" si="3"/>
        <v>15288</v>
      </c>
      <c r="K45" s="808">
        <f t="shared" si="6"/>
        <v>67288</v>
      </c>
      <c r="L45" s="817">
        <f t="shared" si="7"/>
        <v>271.00392464399999</v>
      </c>
      <c r="M45" s="818">
        <f t="shared" si="7"/>
        <v>219004</v>
      </c>
      <c r="N45" s="818">
        <f t="shared" si="7"/>
        <v>58709</v>
      </c>
      <c r="O45" s="809">
        <f t="shared" si="7"/>
        <v>277713</v>
      </c>
    </row>
    <row r="46" spans="1:15" ht="15.75" customHeight="1" x14ac:dyDescent="0.2">
      <c r="A46" s="749">
        <v>40</v>
      </c>
      <c r="B46" s="510">
        <v>40</v>
      </c>
      <c r="C46" s="811" t="s">
        <v>43</v>
      </c>
      <c r="D46" s="819">
        <v>1968.5999999999831</v>
      </c>
      <c r="E46" s="820">
        <f t="shared" si="0"/>
        <v>1968600</v>
      </c>
      <c r="F46" s="820">
        <f t="shared" si="1"/>
        <v>511836</v>
      </c>
      <c r="G46" s="814">
        <f t="shared" si="5"/>
        <v>2480436</v>
      </c>
      <c r="H46" s="819">
        <v>1175.85128205</v>
      </c>
      <c r="I46" s="820">
        <f t="shared" si="2"/>
        <v>587926</v>
      </c>
      <c r="J46" s="820">
        <f t="shared" si="3"/>
        <v>172850</v>
      </c>
      <c r="K46" s="815">
        <f t="shared" si="6"/>
        <v>760776</v>
      </c>
      <c r="L46" s="819">
        <f t="shared" si="7"/>
        <v>3144.4512820499831</v>
      </c>
      <c r="M46" s="820">
        <f t="shared" si="7"/>
        <v>2556526</v>
      </c>
      <c r="N46" s="820">
        <f t="shared" si="7"/>
        <v>684686</v>
      </c>
      <c r="O46" s="816">
        <f t="shared" si="7"/>
        <v>3241212</v>
      </c>
    </row>
    <row r="47" spans="1:15" ht="15.75" customHeight="1" x14ac:dyDescent="0.2">
      <c r="A47" s="502">
        <v>41</v>
      </c>
      <c r="B47" s="800">
        <v>41</v>
      </c>
      <c r="C47" s="801" t="s">
        <v>44</v>
      </c>
      <c r="D47" s="821">
        <v>127.94450740738701</v>
      </c>
      <c r="E47" s="822">
        <f t="shared" si="0"/>
        <v>127945</v>
      </c>
      <c r="F47" s="822">
        <f t="shared" si="1"/>
        <v>33266</v>
      </c>
      <c r="G47" s="803">
        <f t="shared" si="5"/>
        <v>161211</v>
      </c>
      <c r="H47" s="821">
        <v>109.09822163741799</v>
      </c>
      <c r="I47" s="822">
        <f t="shared" si="2"/>
        <v>54549</v>
      </c>
      <c r="J47" s="822">
        <f t="shared" si="3"/>
        <v>16037</v>
      </c>
      <c r="K47" s="804">
        <f t="shared" si="6"/>
        <v>70586</v>
      </c>
      <c r="L47" s="821">
        <f t="shared" si="7"/>
        <v>237.04272904480501</v>
      </c>
      <c r="M47" s="822">
        <f t="shared" si="7"/>
        <v>182494</v>
      </c>
      <c r="N47" s="822">
        <f t="shared" si="7"/>
        <v>49303</v>
      </c>
      <c r="O47" s="805">
        <f t="shared" si="7"/>
        <v>231797</v>
      </c>
    </row>
    <row r="48" spans="1:15" ht="15.75" customHeight="1" x14ac:dyDescent="0.2">
      <c r="A48" s="508">
        <v>42</v>
      </c>
      <c r="B48" s="226">
        <v>42</v>
      </c>
      <c r="C48" s="506" t="s">
        <v>45</v>
      </c>
      <c r="D48" s="817">
        <v>212.342011102181</v>
      </c>
      <c r="E48" s="818">
        <f t="shared" si="0"/>
        <v>212342</v>
      </c>
      <c r="F48" s="818">
        <f t="shared" si="1"/>
        <v>55209</v>
      </c>
      <c r="G48" s="807">
        <f t="shared" si="5"/>
        <v>267551</v>
      </c>
      <c r="H48" s="817">
        <v>177.65798889780399</v>
      </c>
      <c r="I48" s="818">
        <f t="shared" si="2"/>
        <v>88829</v>
      </c>
      <c r="J48" s="818">
        <f t="shared" si="3"/>
        <v>26116</v>
      </c>
      <c r="K48" s="808">
        <f t="shared" si="6"/>
        <v>114945</v>
      </c>
      <c r="L48" s="817">
        <f t="shared" si="7"/>
        <v>389.99999999998499</v>
      </c>
      <c r="M48" s="818">
        <f t="shared" si="7"/>
        <v>301171</v>
      </c>
      <c r="N48" s="818">
        <f t="shared" si="7"/>
        <v>81325</v>
      </c>
      <c r="O48" s="809">
        <f t="shared" si="7"/>
        <v>382496</v>
      </c>
    </row>
    <row r="49" spans="1:15" ht="15.75" customHeight="1" x14ac:dyDescent="0.2">
      <c r="A49" s="508">
        <v>43</v>
      </c>
      <c r="B49" s="226">
        <v>43</v>
      </c>
      <c r="C49" s="506" t="s">
        <v>46</v>
      </c>
      <c r="D49" s="817">
        <v>338.96666666400006</v>
      </c>
      <c r="E49" s="818">
        <f t="shared" si="0"/>
        <v>338967</v>
      </c>
      <c r="F49" s="818">
        <f t="shared" si="1"/>
        <v>88131</v>
      </c>
      <c r="G49" s="807">
        <f t="shared" si="5"/>
        <v>427098</v>
      </c>
      <c r="H49" s="817">
        <v>273</v>
      </c>
      <c r="I49" s="818">
        <f t="shared" si="2"/>
        <v>136500</v>
      </c>
      <c r="J49" s="818">
        <f t="shared" si="3"/>
        <v>40131</v>
      </c>
      <c r="K49" s="808">
        <f t="shared" si="6"/>
        <v>176631</v>
      </c>
      <c r="L49" s="817">
        <f t="shared" si="7"/>
        <v>611.96666666400006</v>
      </c>
      <c r="M49" s="818">
        <f t="shared" si="7"/>
        <v>475467</v>
      </c>
      <c r="N49" s="818">
        <f t="shared" si="7"/>
        <v>128262</v>
      </c>
      <c r="O49" s="809">
        <f t="shared" si="7"/>
        <v>603729</v>
      </c>
    </row>
    <row r="50" spans="1:15" ht="15.75" customHeight="1" x14ac:dyDescent="0.2">
      <c r="A50" s="508">
        <v>44</v>
      </c>
      <c r="B50" s="226">
        <v>44</v>
      </c>
      <c r="C50" s="506" t="s">
        <v>47</v>
      </c>
      <c r="D50" s="817">
        <v>617.22115946257702</v>
      </c>
      <c r="E50" s="818">
        <f t="shared" si="0"/>
        <v>617221</v>
      </c>
      <c r="F50" s="818">
        <f t="shared" si="1"/>
        <v>160477</v>
      </c>
      <c r="G50" s="807">
        <f t="shared" si="5"/>
        <v>777698</v>
      </c>
      <c r="H50" s="817">
        <v>301.00331611499803</v>
      </c>
      <c r="I50" s="818">
        <f t="shared" si="2"/>
        <v>150502</v>
      </c>
      <c r="J50" s="818">
        <f t="shared" si="3"/>
        <v>44248</v>
      </c>
      <c r="K50" s="808">
        <f t="shared" si="6"/>
        <v>194750</v>
      </c>
      <c r="L50" s="817">
        <f t="shared" si="7"/>
        <v>918.22447557757505</v>
      </c>
      <c r="M50" s="818">
        <f t="shared" si="7"/>
        <v>767723</v>
      </c>
      <c r="N50" s="818">
        <f t="shared" si="7"/>
        <v>204725</v>
      </c>
      <c r="O50" s="809">
        <f t="shared" si="7"/>
        <v>972448</v>
      </c>
    </row>
    <row r="51" spans="1:15" ht="15.75" customHeight="1" x14ac:dyDescent="0.2">
      <c r="A51" s="749">
        <v>45</v>
      </c>
      <c r="B51" s="510">
        <v>45</v>
      </c>
      <c r="C51" s="811" t="s">
        <v>48</v>
      </c>
      <c r="D51" s="819">
        <v>1010.4999999999959</v>
      </c>
      <c r="E51" s="820">
        <f t="shared" si="0"/>
        <v>1010500</v>
      </c>
      <c r="F51" s="820">
        <f t="shared" si="1"/>
        <v>262730</v>
      </c>
      <c r="G51" s="814">
        <f t="shared" si="5"/>
        <v>1273230</v>
      </c>
      <c r="H51" s="819">
        <v>695</v>
      </c>
      <c r="I51" s="820">
        <f t="shared" si="2"/>
        <v>347500</v>
      </c>
      <c r="J51" s="820">
        <f t="shared" si="3"/>
        <v>102165</v>
      </c>
      <c r="K51" s="815">
        <f t="shared" si="6"/>
        <v>449665</v>
      </c>
      <c r="L51" s="819">
        <f t="shared" si="7"/>
        <v>1705.4999999999959</v>
      </c>
      <c r="M51" s="820">
        <f t="shared" si="7"/>
        <v>1358000</v>
      </c>
      <c r="N51" s="820">
        <f t="shared" si="7"/>
        <v>364895</v>
      </c>
      <c r="O51" s="816">
        <f t="shared" si="7"/>
        <v>1722895</v>
      </c>
    </row>
    <row r="52" spans="1:15" ht="15.75" customHeight="1" x14ac:dyDescent="0.2">
      <c r="A52" s="502">
        <v>46</v>
      </c>
      <c r="B52" s="800">
        <v>46</v>
      </c>
      <c r="C52" s="801" t="s">
        <v>49</v>
      </c>
      <c r="D52" s="821">
        <v>89.759249588999992</v>
      </c>
      <c r="E52" s="822">
        <f t="shared" si="0"/>
        <v>89759</v>
      </c>
      <c r="F52" s="822">
        <f t="shared" si="1"/>
        <v>23337</v>
      </c>
      <c r="G52" s="803">
        <f t="shared" si="5"/>
        <v>113096</v>
      </c>
      <c r="H52" s="821">
        <v>76</v>
      </c>
      <c r="I52" s="822">
        <f t="shared" si="2"/>
        <v>38000</v>
      </c>
      <c r="J52" s="822">
        <f t="shared" si="3"/>
        <v>11172</v>
      </c>
      <c r="K52" s="804">
        <f t="shared" si="6"/>
        <v>49172</v>
      </c>
      <c r="L52" s="821">
        <f t="shared" si="7"/>
        <v>165.75924958899998</v>
      </c>
      <c r="M52" s="822">
        <f t="shared" si="7"/>
        <v>127759</v>
      </c>
      <c r="N52" s="822">
        <f t="shared" si="7"/>
        <v>34509</v>
      </c>
      <c r="O52" s="805">
        <f t="shared" si="7"/>
        <v>162268</v>
      </c>
    </row>
    <row r="53" spans="1:15" ht="15.75" customHeight="1" x14ac:dyDescent="0.2">
      <c r="A53" s="508">
        <v>47</v>
      </c>
      <c r="B53" s="226">
        <v>47</v>
      </c>
      <c r="C53" s="506" t="s">
        <v>50</v>
      </c>
      <c r="D53" s="817">
        <v>375.99999999999898</v>
      </c>
      <c r="E53" s="818">
        <f t="shared" si="0"/>
        <v>376000</v>
      </c>
      <c r="F53" s="818">
        <f t="shared" si="1"/>
        <v>97760</v>
      </c>
      <c r="G53" s="807">
        <f t="shared" si="5"/>
        <v>473760</v>
      </c>
      <c r="H53" s="817">
        <v>154</v>
      </c>
      <c r="I53" s="818">
        <f t="shared" si="2"/>
        <v>77000</v>
      </c>
      <c r="J53" s="818">
        <f t="shared" si="3"/>
        <v>22638</v>
      </c>
      <c r="K53" s="808">
        <f t="shared" si="6"/>
        <v>99638</v>
      </c>
      <c r="L53" s="817">
        <f t="shared" si="7"/>
        <v>529.99999999999898</v>
      </c>
      <c r="M53" s="818">
        <f t="shared" si="7"/>
        <v>453000</v>
      </c>
      <c r="N53" s="818">
        <f t="shared" si="7"/>
        <v>120398</v>
      </c>
      <c r="O53" s="809">
        <f t="shared" si="7"/>
        <v>573398</v>
      </c>
    </row>
    <row r="54" spans="1:15" ht="15.75" customHeight="1" x14ac:dyDescent="0.2">
      <c r="A54" s="508">
        <v>48</v>
      </c>
      <c r="B54" s="226">
        <v>48</v>
      </c>
      <c r="C54" s="506" t="s">
        <v>73</v>
      </c>
      <c r="D54" s="817">
        <v>597.01528654899994</v>
      </c>
      <c r="E54" s="818">
        <f t="shared" si="0"/>
        <v>597015</v>
      </c>
      <c r="F54" s="818">
        <f t="shared" si="1"/>
        <v>155224</v>
      </c>
      <c r="G54" s="807">
        <f t="shared" si="5"/>
        <v>752239</v>
      </c>
      <c r="H54" s="817">
        <v>324.20878657200001</v>
      </c>
      <c r="I54" s="818">
        <f t="shared" si="2"/>
        <v>162104</v>
      </c>
      <c r="J54" s="818">
        <f t="shared" si="3"/>
        <v>47659</v>
      </c>
      <c r="K54" s="808">
        <f t="shared" si="6"/>
        <v>209763</v>
      </c>
      <c r="L54" s="817">
        <f t="shared" si="7"/>
        <v>921.22407312099995</v>
      </c>
      <c r="M54" s="818">
        <f t="shared" si="7"/>
        <v>759119</v>
      </c>
      <c r="N54" s="818">
        <f t="shared" si="7"/>
        <v>202883</v>
      </c>
      <c r="O54" s="809">
        <f t="shared" si="7"/>
        <v>962002</v>
      </c>
    </row>
    <row r="55" spans="1:15" ht="15.75" customHeight="1" x14ac:dyDescent="0.2">
      <c r="A55" s="508">
        <v>49</v>
      </c>
      <c r="B55" s="226">
        <v>49</v>
      </c>
      <c r="C55" s="506" t="s">
        <v>51</v>
      </c>
      <c r="D55" s="817">
        <v>1127.97</v>
      </c>
      <c r="E55" s="818">
        <f t="shared" si="0"/>
        <v>1127970</v>
      </c>
      <c r="F55" s="818">
        <f t="shared" si="1"/>
        <v>293272</v>
      </c>
      <c r="G55" s="807">
        <f t="shared" si="5"/>
        <v>1421242</v>
      </c>
      <c r="H55" s="817">
        <v>681</v>
      </c>
      <c r="I55" s="818">
        <f t="shared" si="2"/>
        <v>340500</v>
      </c>
      <c r="J55" s="818">
        <f t="shared" si="3"/>
        <v>100107</v>
      </c>
      <c r="K55" s="808">
        <f t="shared" si="6"/>
        <v>440607</v>
      </c>
      <c r="L55" s="817">
        <f t="shared" si="7"/>
        <v>1808.97</v>
      </c>
      <c r="M55" s="818">
        <f t="shared" si="7"/>
        <v>1468470</v>
      </c>
      <c r="N55" s="818">
        <f t="shared" si="7"/>
        <v>393379</v>
      </c>
      <c r="O55" s="809">
        <f t="shared" si="7"/>
        <v>1861849</v>
      </c>
    </row>
    <row r="56" spans="1:15" ht="15.75" customHeight="1" x14ac:dyDescent="0.2">
      <c r="A56" s="749">
        <v>50</v>
      </c>
      <c r="B56" s="510">
        <v>50</v>
      </c>
      <c r="C56" s="811" t="s">
        <v>52</v>
      </c>
      <c r="D56" s="819">
        <v>564.70130739593299</v>
      </c>
      <c r="E56" s="820">
        <f t="shared" si="0"/>
        <v>564701</v>
      </c>
      <c r="F56" s="820">
        <f t="shared" si="1"/>
        <v>146822</v>
      </c>
      <c r="G56" s="814">
        <f t="shared" si="5"/>
        <v>711523</v>
      </c>
      <c r="H56" s="819">
        <v>384.99911376800003</v>
      </c>
      <c r="I56" s="820">
        <f t="shared" si="2"/>
        <v>192500</v>
      </c>
      <c r="J56" s="820">
        <f t="shared" si="3"/>
        <v>56595</v>
      </c>
      <c r="K56" s="815">
        <f t="shared" si="6"/>
        <v>249095</v>
      </c>
      <c r="L56" s="819">
        <f t="shared" si="7"/>
        <v>949.70042116393302</v>
      </c>
      <c r="M56" s="820">
        <f t="shared" si="7"/>
        <v>757201</v>
      </c>
      <c r="N56" s="820">
        <f t="shared" si="7"/>
        <v>203417</v>
      </c>
      <c r="O56" s="816">
        <f t="shared" si="7"/>
        <v>960618</v>
      </c>
    </row>
    <row r="57" spans="1:15" ht="15.75" customHeight="1" x14ac:dyDescent="0.2">
      <c r="A57" s="502">
        <v>51</v>
      </c>
      <c r="B57" s="800">
        <v>51</v>
      </c>
      <c r="C57" s="801" t="s">
        <v>53</v>
      </c>
      <c r="D57" s="821">
        <v>728.6</v>
      </c>
      <c r="E57" s="822">
        <f t="shared" si="0"/>
        <v>728600</v>
      </c>
      <c r="F57" s="822">
        <f t="shared" si="1"/>
        <v>189436</v>
      </c>
      <c r="G57" s="803">
        <f t="shared" si="5"/>
        <v>918036</v>
      </c>
      <c r="H57" s="821">
        <v>484.20178570400003</v>
      </c>
      <c r="I57" s="822">
        <f t="shared" si="2"/>
        <v>242101</v>
      </c>
      <c r="J57" s="822">
        <f t="shared" si="3"/>
        <v>71178</v>
      </c>
      <c r="K57" s="804">
        <f t="shared" si="6"/>
        <v>313279</v>
      </c>
      <c r="L57" s="821">
        <f t="shared" si="7"/>
        <v>1212.8017857039999</v>
      </c>
      <c r="M57" s="822">
        <f t="shared" si="7"/>
        <v>970701</v>
      </c>
      <c r="N57" s="822">
        <f t="shared" si="7"/>
        <v>260614</v>
      </c>
      <c r="O57" s="805">
        <f t="shared" si="7"/>
        <v>1231315</v>
      </c>
    </row>
    <row r="58" spans="1:15" ht="15.75" customHeight="1" x14ac:dyDescent="0.2">
      <c r="A58" s="508">
        <v>52</v>
      </c>
      <c r="B58" s="226">
        <v>52</v>
      </c>
      <c r="C58" s="506" t="s">
        <v>54</v>
      </c>
      <c r="D58" s="817">
        <v>3440.72351585977</v>
      </c>
      <c r="E58" s="818">
        <f t="shared" si="0"/>
        <v>3440724</v>
      </c>
      <c r="F58" s="818">
        <f t="shared" si="1"/>
        <v>894588</v>
      </c>
      <c r="G58" s="807">
        <f t="shared" si="5"/>
        <v>4335312</v>
      </c>
      <c r="H58" s="817">
        <v>2360.6795526649757</v>
      </c>
      <c r="I58" s="818">
        <f t="shared" si="2"/>
        <v>1180340</v>
      </c>
      <c r="J58" s="818">
        <f t="shared" si="3"/>
        <v>347020</v>
      </c>
      <c r="K58" s="808">
        <f t="shared" si="6"/>
        <v>1527360</v>
      </c>
      <c r="L58" s="817">
        <f t="shared" si="7"/>
        <v>5801.4030685247453</v>
      </c>
      <c r="M58" s="818">
        <f t="shared" si="7"/>
        <v>4621064</v>
      </c>
      <c r="N58" s="818">
        <f t="shared" si="7"/>
        <v>1241608</v>
      </c>
      <c r="O58" s="809">
        <f t="shared" si="7"/>
        <v>5862672</v>
      </c>
    </row>
    <row r="59" spans="1:15" ht="15.75" customHeight="1" x14ac:dyDescent="0.2">
      <c r="A59" s="508">
        <v>53</v>
      </c>
      <c r="B59" s="226">
        <v>53</v>
      </c>
      <c r="C59" s="506" t="s">
        <v>55</v>
      </c>
      <c r="D59" s="806">
        <v>1642.4027328314594</v>
      </c>
      <c r="E59" s="783">
        <f t="shared" si="0"/>
        <v>1642403</v>
      </c>
      <c r="F59" s="783">
        <f t="shared" si="1"/>
        <v>427025</v>
      </c>
      <c r="G59" s="807">
        <f t="shared" si="5"/>
        <v>2069428</v>
      </c>
      <c r="H59" s="806">
        <v>1148.6712077663849</v>
      </c>
      <c r="I59" s="783">
        <f t="shared" si="2"/>
        <v>574336</v>
      </c>
      <c r="J59" s="783">
        <f t="shared" si="3"/>
        <v>168855</v>
      </c>
      <c r="K59" s="808">
        <f t="shared" si="6"/>
        <v>743191</v>
      </c>
      <c r="L59" s="806">
        <f t="shared" si="7"/>
        <v>2791.0739405978443</v>
      </c>
      <c r="M59" s="783">
        <f t="shared" si="7"/>
        <v>2216739</v>
      </c>
      <c r="N59" s="783">
        <f t="shared" si="7"/>
        <v>595880</v>
      </c>
      <c r="O59" s="809">
        <f t="shared" si="7"/>
        <v>2812619</v>
      </c>
    </row>
    <row r="60" spans="1:15" ht="15.75" customHeight="1" x14ac:dyDescent="0.2">
      <c r="A60" s="508">
        <v>54</v>
      </c>
      <c r="B60" s="226">
        <v>54</v>
      </c>
      <c r="C60" s="506" t="s">
        <v>56</v>
      </c>
      <c r="D60" s="806">
        <v>44.909999999990006</v>
      </c>
      <c r="E60" s="783">
        <f t="shared" si="0"/>
        <v>44910</v>
      </c>
      <c r="F60" s="783">
        <f t="shared" si="1"/>
        <v>11677</v>
      </c>
      <c r="G60" s="807">
        <f t="shared" si="5"/>
        <v>56587</v>
      </c>
      <c r="H60" s="806">
        <v>45.228769841259997</v>
      </c>
      <c r="I60" s="783">
        <f t="shared" si="2"/>
        <v>22614</v>
      </c>
      <c r="J60" s="783">
        <f t="shared" si="3"/>
        <v>6649</v>
      </c>
      <c r="K60" s="808">
        <f t="shared" si="6"/>
        <v>29263</v>
      </c>
      <c r="L60" s="806">
        <f t="shared" si="7"/>
        <v>90.138769841249996</v>
      </c>
      <c r="M60" s="783">
        <f t="shared" si="7"/>
        <v>67524</v>
      </c>
      <c r="N60" s="783">
        <f t="shared" si="7"/>
        <v>18326</v>
      </c>
      <c r="O60" s="809">
        <f t="shared" si="7"/>
        <v>85850</v>
      </c>
    </row>
    <row r="61" spans="1:15" ht="15.75" customHeight="1" x14ac:dyDescent="0.2">
      <c r="A61" s="749">
        <v>55</v>
      </c>
      <c r="B61" s="510">
        <v>55</v>
      </c>
      <c r="C61" s="811" t="s">
        <v>57</v>
      </c>
      <c r="D61" s="812">
        <v>1346.4080634309962</v>
      </c>
      <c r="E61" s="813">
        <f t="shared" si="0"/>
        <v>1346408</v>
      </c>
      <c r="F61" s="813">
        <f t="shared" si="1"/>
        <v>350066</v>
      </c>
      <c r="G61" s="814">
        <f t="shared" si="5"/>
        <v>1696474</v>
      </c>
      <c r="H61" s="812">
        <v>796.23488168499989</v>
      </c>
      <c r="I61" s="813">
        <f t="shared" si="2"/>
        <v>398117</v>
      </c>
      <c r="J61" s="813">
        <f t="shared" si="3"/>
        <v>117046</v>
      </c>
      <c r="K61" s="815">
        <f t="shared" si="6"/>
        <v>515163</v>
      </c>
      <c r="L61" s="812">
        <f t="shared" si="7"/>
        <v>2142.6429451159961</v>
      </c>
      <c r="M61" s="813">
        <f t="shared" si="7"/>
        <v>1744525</v>
      </c>
      <c r="N61" s="813">
        <f t="shared" si="7"/>
        <v>467112</v>
      </c>
      <c r="O61" s="816">
        <f t="shared" si="7"/>
        <v>2211637</v>
      </c>
    </row>
    <row r="62" spans="1:15" ht="15.75" customHeight="1" x14ac:dyDescent="0.2">
      <c r="A62" s="502">
        <v>56</v>
      </c>
      <c r="B62" s="800">
        <v>56</v>
      </c>
      <c r="C62" s="801" t="s">
        <v>58</v>
      </c>
      <c r="D62" s="802">
        <v>151.54942460620799</v>
      </c>
      <c r="E62" s="782">
        <f t="shared" si="0"/>
        <v>151549</v>
      </c>
      <c r="F62" s="782">
        <f t="shared" si="1"/>
        <v>39403</v>
      </c>
      <c r="G62" s="803">
        <f t="shared" si="5"/>
        <v>190952</v>
      </c>
      <c r="H62" s="802">
        <v>123.38270051176299</v>
      </c>
      <c r="I62" s="782">
        <f t="shared" si="2"/>
        <v>61691</v>
      </c>
      <c r="J62" s="782">
        <f t="shared" si="3"/>
        <v>18137</v>
      </c>
      <c r="K62" s="804">
        <f t="shared" si="6"/>
        <v>79828</v>
      </c>
      <c r="L62" s="802">
        <f t="shared" si="7"/>
        <v>274.932125117971</v>
      </c>
      <c r="M62" s="782">
        <f t="shared" si="7"/>
        <v>213240</v>
      </c>
      <c r="N62" s="782">
        <f t="shared" si="7"/>
        <v>57540</v>
      </c>
      <c r="O62" s="805">
        <f t="shared" si="7"/>
        <v>270780</v>
      </c>
    </row>
    <row r="63" spans="1:15" ht="15.75" customHeight="1" x14ac:dyDescent="0.2">
      <c r="A63" s="508">
        <v>57</v>
      </c>
      <c r="B63" s="226">
        <v>57</v>
      </c>
      <c r="C63" s="506" t="s">
        <v>59</v>
      </c>
      <c r="D63" s="806">
        <v>791.99264061408087</v>
      </c>
      <c r="E63" s="783">
        <f t="shared" si="0"/>
        <v>791993</v>
      </c>
      <c r="F63" s="783">
        <f t="shared" si="1"/>
        <v>205918</v>
      </c>
      <c r="G63" s="807">
        <f t="shared" si="5"/>
        <v>997911</v>
      </c>
      <c r="H63" s="806">
        <v>447.12361110799895</v>
      </c>
      <c r="I63" s="783">
        <f t="shared" si="2"/>
        <v>223562</v>
      </c>
      <c r="J63" s="783">
        <f t="shared" si="3"/>
        <v>65727</v>
      </c>
      <c r="K63" s="808">
        <f t="shared" si="6"/>
        <v>289289</v>
      </c>
      <c r="L63" s="806">
        <f t="shared" si="7"/>
        <v>1239.1162517220798</v>
      </c>
      <c r="M63" s="783">
        <f t="shared" si="7"/>
        <v>1015555</v>
      </c>
      <c r="N63" s="783">
        <f t="shared" si="7"/>
        <v>271645</v>
      </c>
      <c r="O63" s="809">
        <f t="shared" si="7"/>
        <v>1287200</v>
      </c>
    </row>
    <row r="64" spans="1:15" ht="15.75" customHeight="1" x14ac:dyDescent="0.2">
      <c r="A64" s="508">
        <v>58</v>
      </c>
      <c r="B64" s="226">
        <v>58</v>
      </c>
      <c r="C64" s="506" t="s">
        <v>60</v>
      </c>
      <c r="D64" s="806">
        <v>626.99999999989109</v>
      </c>
      <c r="E64" s="783">
        <f t="shared" si="0"/>
        <v>627000</v>
      </c>
      <c r="F64" s="783">
        <f t="shared" si="1"/>
        <v>163020</v>
      </c>
      <c r="G64" s="807">
        <f t="shared" si="5"/>
        <v>790020</v>
      </c>
      <c r="H64" s="806">
        <v>465.99999999997397</v>
      </c>
      <c r="I64" s="783">
        <f t="shared" si="2"/>
        <v>233000</v>
      </c>
      <c r="J64" s="783">
        <f t="shared" si="3"/>
        <v>68502</v>
      </c>
      <c r="K64" s="808">
        <f t="shared" si="6"/>
        <v>301502</v>
      </c>
      <c r="L64" s="806">
        <f t="shared" si="7"/>
        <v>1092.9999999998649</v>
      </c>
      <c r="M64" s="783">
        <f t="shared" si="7"/>
        <v>860000</v>
      </c>
      <c r="N64" s="783">
        <f t="shared" si="7"/>
        <v>231522</v>
      </c>
      <c r="O64" s="809">
        <f t="shared" si="7"/>
        <v>1091522</v>
      </c>
    </row>
    <row r="65" spans="1:15" ht="15.75" customHeight="1" x14ac:dyDescent="0.2">
      <c r="A65" s="508">
        <v>59</v>
      </c>
      <c r="B65" s="226">
        <v>59</v>
      </c>
      <c r="C65" s="506" t="s">
        <v>61</v>
      </c>
      <c r="D65" s="806">
        <v>422.39512589498094</v>
      </c>
      <c r="E65" s="783">
        <f t="shared" si="0"/>
        <v>422395</v>
      </c>
      <c r="F65" s="783">
        <f t="shared" si="1"/>
        <v>109823</v>
      </c>
      <c r="G65" s="807">
        <f t="shared" si="5"/>
        <v>532218</v>
      </c>
      <c r="H65" s="806">
        <v>306.02272649500003</v>
      </c>
      <c r="I65" s="783">
        <f t="shared" si="2"/>
        <v>153011</v>
      </c>
      <c r="J65" s="783">
        <f t="shared" si="3"/>
        <v>44985</v>
      </c>
      <c r="K65" s="808">
        <f t="shared" si="6"/>
        <v>197996</v>
      </c>
      <c r="L65" s="806">
        <f t="shared" si="7"/>
        <v>728.41785238998091</v>
      </c>
      <c r="M65" s="783">
        <f t="shared" si="7"/>
        <v>575406</v>
      </c>
      <c r="N65" s="783">
        <f t="shared" si="7"/>
        <v>154808</v>
      </c>
      <c r="O65" s="809">
        <f t="shared" si="7"/>
        <v>730214</v>
      </c>
    </row>
    <row r="66" spans="1:15" ht="15.75" customHeight="1" x14ac:dyDescent="0.2">
      <c r="A66" s="749">
        <v>60</v>
      </c>
      <c r="B66" s="510">
        <v>60</v>
      </c>
      <c r="C66" s="811" t="s">
        <v>62</v>
      </c>
      <c r="D66" s="812">
        <v>438.49999999998795</v>
      </c>
      <c r="E66" s="813">
        <f t="shared" si="0"/>
        <v>438500</v>
      </c>
      <c r="F66" s="813">
        <f t="shared" si="1"/>
        <v>114010</v>
      </c>
      <c r="G66" s="814">
        <f t="shared" si="5"/>
        <v>552510</v>
      </c>
      <c r="H66" s="812">
        <v>323.99999999999898</v>
      </c>
      <c r="I66" s="813">
        <f t="shared" si="2"/>
        <v>162000</v>
      </c>
      <c r="J66" s="813">
        <f t="shared" si="3"/>
        <v>47628</v>
      </c>
      <c r="K66" s="815">
        <f t="shared" si="6"/>
        <v>209628</v>
      </c>
      <c r="L66" s="812">
        <f t="shared" si="7"/>
        <v>762.49999999998693</v>
      </c>
      <c r="M66" s="813">
        <f t="shared" si="7"/>
        <v>600500</v>
      </c>
      <c r="N66" s="813">
        <f t="shared" si="7"/>
        <v>161638</v>
      </c>
      <c r="O66" s="816">
        <f t="shared" si="7"/>
        <v>762138</v>
      </c>
    </row>
    <row r="67" spans="1:15" ht="15.75" customHeight="1" x14ac:dyDescent="0.2">
      <c r="A67" s="502">
        <v>61</v>
      </c>
      <c r="B67" s="800">
        <v>61</v>
      </c>
      <c r="C67" s="801" t="s">
        <v>63</v>
      </c>
      <c r="D67" s="802">
        <v>411.21666666599401</v>
      </c>
      <c r="E67" s="782">
        <f t="shared" si="0"/>
        <v>411217</v>
      </c>
      <c r="F67" s="782">
        <f t="shared" si="1"/>
        <v>106916</v>
      </c>
      <c r="G67" s="803">
        <f t="shared" si="5"/>
        <v>518133</v>
      </c>
      <c r="H67" s="802">
        <v>199</v>
      </c>
      <c r="I67" s="782">
        <f t="shared" si="2"/>
        <v>99500</v>
      </c>
      <c r="J67" s="782">
        <f t="shared" si="3"/>
        <v>29253</v>
      </c>
      <c r="K67" s="804">
        <f t="shared" si="6"/>
        <v>128753</v>
      </c>
      <c r="L67" s="802">
        <f t="shared" si="7"/>
        <v>610.21666666599401</v>
      </c>
      <c r="M67" s="782">
        <f t="shared" si="7"/>
        <v>510717</v>
      </c>
      <c r="N67" s="782">
        <f t="shared" si="7"/>
        <v>136169</v>
      </c>
      <c r="O67" s="805">
        <f t="shared" si="7"/>
        <v>646886</v>
      </c>
    </row>
    <row r="68" spans="1:15" ht="15.75" customHeight="1" x14ac:dyDescent="0.2">
      <c r="A68" s="508">
        <v>62</v>
      </c>
      <c r="B68" s="226">
        <v>62</v>
      </c>
      <c r="C68" s="506" t="s">
        <v>64</v>
      </c>
      <c r="D68" s="806">
        <v>155.13425925924003</v>
      </c>
      <c r="E68" s="783">
        <f t="shared" si="0"/>
        <v>155134</v>
      </c>
      <c r="F68" s="783">
        <f t="shared" si="1"/>
        <v>40335</v>
      </c>
      <c r="G68" s="807">
        <f t="shared" si="5"/>
        <v>195469</v>
      </c>
      <c r="H68" s="806">
        <v>101.865740740738</v>
      </c>
      <c r="I68" s="783">
        <f t="shared" si="2"/>
        <v>50933</v>
      </c>
      <c r="J68" s="783">
        <f t="shared" si="3"/>
        <v>14974</v>
      </c>
      <c r="K68" s="808">
        <f t="shared" si="6"/>
        <v>65907</v>
      </c>
      <c r="L68" s="806">
        <f t="shared" si="7"/>
        <v>256.99999999997806</v>
      </c>
      <c r="M68" s="783">
        <f t="shared" si="7"/>
        <v>206067</v>
      </c>
      <c r="N68" s="783">
        <f t="shared" si="7"/>
        <v>55309</v>
      </c>
      <c r="O68" s="809">
        <f t="shared" si="7"/>
        <v>261376</v>
      </c>
    </row>
    <row r="69" spans="1:15" ht="15.75" customHeight="1" x14ac:dyDescent="0.2">
      <c r="A69" s="508">
        <v>63</v>
      </c>
      <c r="B69" s="226">
        <v>63</v>
      </c>
      <c r="C69" s="506" t="s">
        <v>65</v>
      </c>
      <c r="D69" s="806">
        <v>218.03395759452098</v>
      </c>
      <c r="E69" s="783">
        <f t="shared" si="0"/>
        <v>218034</v>
      </c>
      <c r="F69" s="783">
        <f t="shared" si="1"/>
        <v>56689</v>
      </c>
      <c r="G69" s="807">
        <f t="shared" si="5"/>
        <v>274723</v>
      </c>
      <c r="H69" s="806">
        <v>146.000044550436</v>
      </c>
      <c r="I69" s="783">
        <f t="shared" si="2"/>
        <v>73000</v>
      </c>
      <c r="J69" s="783">
        <f t="shared" si="3"/>
        <v>21462</v>
      </c>
      <c r="K69" s="808">
        <f t="shared" si="6"/>
        <v>94462</v>
      </c>
      <c r="L69" s="806">
        <f t="shared" si="7"/>
        <v>364.03400214495696</v>
      </c>
      <c r="M69" s="783">
        <f t="shared" si="7"/>
        <v>291034</v>
      </c>
      <c r="N69" s="783">
        <f t="shared" si="7"/>
        <v>78151</v>
      </c>
      <c r="O69" s="809">
        <f t="shared" si="7"/>
        <v>369185</v>
      </c>
    </row>
    <row r="70" spans="1:15" ht="15.75" customHeight="1" x14ac:dyDescent="0.2">
      <c r="A70" s="508">
        <v>64</v>
      </c>
      <c r="B70" s="226">
        <v>64</v>
      </c>
      <c r="C70" s="506" t="s">
        <v>66</v>
      </c>
      <c r="D70" s="806">
        <v>175.99999999999901</v>
      </c>
      <c r="E70" s="783">
        <f t="shared" si="0"/>
        <v>176000</v>
      </c>
      <c r="F70" s="783">
        <f t="shared" si="1"/>
        <v>45760</v>
      </c>
      <c r="G70" s="807">
        <f t="shared" si="5"/>
        <v>221760</v>
      </c>
      <c r="H70" s="806">
        <v>154.49999999999901</v>
      </c>
      <c r="I70" s="783">
        <f t="shared" si="2"/>
        <v>77250</v>
      </c>
      <c r="J70" s="783">
        <f t="shared" si="3"/>
        <v>22712</v>
      </c>
      <c r="K70" s="808">
        <f t="shared" si="6"/>
        <v>99962</v>
      </c>
      <c r="L70" s="806">
        <f t="shared" si="7"/>
        <v>330.49999999999801</v>
      </c>
      <c r="M70" s="783">
        <f t="shared" si="7"/>
        <v>253250</v>
      </c>
      <c r="N70" s="783">
        <f t="shared" si="7"/>
        <v>68472</v>
      </c>
      <c r="O70" s="809">
        <f t="shared" si="7"/>
        <v>321722</v>
      </c>
    </row>
    <row r="71" spans="1:15" ht="15.75" customHeight="1" x14ac:dyDescent="0.2">
      <c r="A71" s="749">
        <v>65</v>
      </c>
      <c r="B71" s="510">
        <v>65</v>
      </c>
      <c r="C71" s="811" t="s">
        <v>67</v>
      </c>
      <c r="D71" s="812">
        <v>740.11049772686704</v>
      </c>
      <c r="E71" s="813">
        <f>ROUND(D71*$E$4,0)</f>
        <v>740110</v>
      </c>
      <c r="F71" s="813">
        <f>ROUND(E71*$F$4,0)</f>
        <v>192429</v>
      </c>
      <c r="G71" s="814">
        <f t="shared" si="5"/>
        <v>932539</v>
      </c>
      <c r="H71" s="812">
        <v>558.33825395263102</v>
      </c>
      <c r="I71" s="813">
        <f>ROUND(H71*$I$4,0)</f>
        <v>279169</v>
      </c>
      <c r="J71" s="813">
        <f>ROUND(I71*$J$4,0)</f>
        <v>82076</v>
      </c>
      <c r="K71" s="815">
        <f t="shared" si="6"/>
        <v>361245</v>
      </c>
      <c r="L71" s="812">
        <f t="shared" si="7"/>
        <v>1298.4487516794979</v>
      </c>
      <c r="M71" s="813">
        <f t="shared" si="7"/>
        <v>1019279</v>
      </c>
      <c r="N71" s="813">
        <f t="shared" si="7"/>
        <v>274505</v>
      </c>
      <c r="O71" s="816">
        <f t="shared" si="7"/>
        <v>1293784</v>
      </c>
    </row>
    <row r="72" spans="1:15" ht="15.75" customHeight="1" x14ac:dyDescent="0.2">
      <c r="A72" s="502">
        <v>66</v>
      </c>
      <c r="B72" s="800">
        <v>66</v>
      </c>
      <c r="C72" s="801" t="s">
        <v>68</v>
      </c>
      <c r="D72" s="802">
        <v>172.887125751974</v>
      </c>
      <c r="E72" s="782">
        <f>ROUND(D72*$E$4,0)</f>
        <v>172887</v>
      </c>
      <c r="F72" s="782">
        <f>ROUND(E72*$F$4,0)</f>
        <v>44951</v>
      </c>
      <c r="G72" s="803">
        <f>E72+F72</f>
        <v>217838</v>
      </c>
      <c r="H72" s="802">
        <v>122.490483366999</v>
      </c>
      <c r="I72" s="782">
        <f>ROUND(H72*$I$4,0)</f>
        <v>61245</v>
      </c>
      <c r="J72" s="782">
        <f>ROUND(I72*$J$4,0)</f>
        <v>18006</v>
      </c>
      <c r="K72" s="804">
        <f>I72+J72</f>
        <v>79251</v>
      </c>
      <c r="L72" s="802">
        <f t="shared" si="7"/>
        <v>295.377609118973</v>
      </c>
      <c r="M72" s="782">
        <f t="shared" si="7"/>
        <v>234132</v>
      </c>
      <c r="N72" s="782">
        <f t="shared" si="7"/>
        <v>62957</v>
      </c>
      <c r="O72" s="805">
        <f t="shared" si="7"/>
        <v>297089</v>
      </c>
    </row>
    <row r="73" spans="1:15" ht="15.75" customHeight="1" x14ac:dyDescent="0.2">
      <c r="A73" s="45">
        <v>67</v>
      </c>
      <c r="B73" s="45">
        <v>67</v>
      </c>
      <c r="C73" s="107" t="s">
        <v>2</v>
      </c>
      <c r="D73" s="823">
        <v>408.89333333199994</v>
      </c>
      <c r="E73" s="824">
        <f>ROUND(D73*$E$4,0)</f>
        <v>408893</v>
      </c>
      <c r="F73" s="824">
        <f>ROUND(E73*$F$4,0)</f>
        <v>106312</v>
      </c>
      <c r="G73" s="825">
        <f>E73+F73</f>
        <v>515205</v>
      </c>
      <c r="H73" s="823">
        <v>176.880751973</v>
      </c>
      <c r="I73" s="824">
        <f>ROUND(H73*$I$4,0)</f>
        <v>88440</v>
      </c>
      <c r="J73" s="824">
        <f>ROUND(I73*$J$4,0)</f>
        <v>26001</v>
      </c>
      <c r="K73" s="826">
        <f>I73+J73</f>
        <v>114441</v>
      </c>
      <c r="L73" s="823">
        <f t="shared" si="7"/>
        <v>585.77408530499997</v>
      </c>
      <c r="M73" s="824">
        <f t="shared" si="7"/>
        <v>497333</v>
      </c>
      <c r="N73" s="824">
        <f t="shared" si="7"/>
        <v>132313</v>
      </c>
      <c r="O73" s="827">
        <f t="shared" si="7"/>
        <v>629646</v>
      </c>
    </row>
    <row r="74" spans="1:15" ht="15.75" customHeight="1" x14ac:dyDescent="0.2">
      <c r="A74" s="517">
        <v>68</v>
      </c>
      <c r="B74" s="227">
        <v>68</v>
      </c>
      <c r="C74" s="506" t="s">
        <v>1</v>
      </c>
      <c r="D74" s="806">
        <v>109.854119224995</v>
      </c>
      <c r="E74" s="783">
        <f>ROUND(D74*$E$4,0)</f>
        <v>109854</v>
      </c>
      <c r="F74" s="783">
        <f>ROUND(E74*$F$4,0)</f>
        <v>28562</v>
      </c>
      <c r="G74" s="807">
        <f>E74+F74</f>
        <v>138416</v>
      </c>
      <c r="H74" s="806">
        <v>52.180311352999993</v>
      </c>
      <c r="I74" s="783">
        <f>ROUND(H74*$I$4,0)</f>
        <v>26090</v>
      </c>
      <c r="J74" s="783">
        <f>ROUND(I74*$J$4,0)</f>
        <v>7670</v>
      </c>
      <c r="K74" s="808">
        <f>I74+J74</f>
        <v>33760</v>
      </c>
      <c r="L74" s="806">
        <f t="shared" si="7"/>
        <v>162.03443057799501</v>
      </c>
      <c r="M74" s="783">
        <f t="shared" si="7"/>
        <v>135944</v>
      </c>
      <c r="N74" s="783">
        <f t="shared" si="7"/>
        <v>36232</v>
      </c>
      <c r="O74" s="809">
        <f t="shared" si="7"/>
        <v>172176</v>
      </c>
    </row>
    <row r="75" spans="1:15" ht="15.75" customHeight="1" x14ac:dyDescent="0.2">
      <c r="A75" s="828">
        <v>69</v>
      </c>
      <c r="B75" s="520">
        <v>69</v>
      </c>
      <c r="C75" s="811" t="s">
        <v>74</v>
      </c>
      <c r="D75" s="812">
        <v>352.30198019799798</v>
      </c>
      <c r="E75" s="813">
        <f>ROUND(D75*$E$4,0)</f>
        <v>352302</v>
      </c>
      <c r="F75" s="813">
        <f>ROUND(E75*$F$4,0)</f>
        <v>91599</v>
      </c>
      <c r="G75" s="814">
        <f>E75+F75</f>
        <v>443901</v>
      </c>
      <c r="H75" s="812">
        <v>118</v>
      </c>
      <c r="I75" s="813">
        <f>ROUND(H75*$I$4,0)</f>
        <v>59000</v>
      </c>
      <c r="J75" s="813">
        <f>ROUND(I75*$J$4,0)</f>
        <v>17346</v>
      </c>
      <c r="K75" s="815">
        <f>I75+J75</f>
        <v>76346</v>
      </c>
      <c r="L75" s="812">
        <f t="shared" si="7"/>
        <v>470.30198019799798</v>
      </c>
      <c r="M75" s="813">
        <f t="shared" si="7"/>
        <v>411302</v>
      </c>
      <c r="N75" s="813">
        <f t="shared" si="7"/>
        <v>108945</v>
      </c>
      <c r="O75" s="816">
        <f t="shared" si="7"/>
        <v>520247</v>
      </c>
    </row>
    <row r="76" spans="1:15" ht="15.75" customHeight="1" thickBot="1" x14ac:dyDescent="0.25">
      <c r="A76" s="1358" t="s">
        <v>239</v>
      </c>
      <c r="B76" s="1359"/>
      <c r="C76" s="1360"/>
      <c r="D76" s="829">
        <f t="shared" ref="D76:M76" si="8">SUM(D7:D75)</f>
        <v>57285.913504689153</v>
      </c>
      <c r="E76" s="830">
        <f t="shared" si="8"/>
        <v>57285913</v>
      </c>
      <c r="F76" s="830">
        <f t="shared" si="8"/>
        <v>14894338</v>
      </c>
      <c r="G76" s="831">
        <f t="shared" si="8"/>
        <v>72180251</v>
      </c>
      <c r="H76" s="829">
        <f>SUM(H7:H75)</f>
        <v>36997.15655710148</v>
      </c>
      <c r="I76" s="830">
        <f t="shared" si="8"/>
        <v>18498576</v>
      </c>
      <c r="J76" s="830">
        <f t="shared" si="8"/>
        <v>5438582</v>
      </c>
      <c r="K76" s="832">
        <f t="shared" si="8"/>
        <v>23937158</v>
      </c>
      <c r="L76" s="829">
        <f t="shared" si="8"/>
        <v>94283.070061790626</v>
      </c>
      <c r="M76" s="830">
        <f t="shared" si="8"/>
        <v>75784489</v>
      </c>
      <c r="N76" s="830">
        <f>SUM(N7:N75)</f>
        <v>20332920</v>
      </c>
      <c r="O76" s="833">
        <f>SUM(O7:O75)</f>
        <v>96117409</v>
      </c>
    </row>
    <row r="77" spans="1:15" ht="9" customHeight="1" thickTop="1" x14ac:dyDescent="0.2">
      <c r="A77" s="636"/>
      <c r="B77" s="637"/>
      <c r="C77" s="638"/>
      <c r="D77" s="836"/>
      <c r="E77" s="836"/>
      <c r="F77" s="836"/>
      <c r="G77" s="836"/>
      <c r="H77" s="836"/>
      <c r="I77" s="836"/>
      <c r="J77" s="836"/>
      <c r="K77" s="836"/>
      <c r="L77" s="836"/>
      <c r="M77" s="836"/>
      <c r="N77" s="836"/>
      <c r="O77" s="836"/>
    </row>
    <row r="78" spans="1:15" ht="15.75" customHeight="1" x14ac:dyDescent="0.2">
      <c r="A78" s="835">
        <v>341001</v>
      </c>
      <c r="B78" s="800">
        <v>341001</v>
      </c>
      <c r="C78" s="801" t="s">
        <v>244</v>
      </c>
      <c r="D78" s="802">
        <v>66.489883616703992</v>
      </c>
      <c r="E78" s="782">
        <f t="shared" ref="E78:E89" si="9">ROUND(D78*$E$4,0)</f>
        <v>66490</v>
      </c>
      <c r="F78" s="782">
        <f t="shared" ref="F78:F89" si="10">ROUND(E78*$F$4,0)</f>
        <v>17287</v>
      </c>
      <c r="G78" s="803">
        <f t="shared" ref="G78:G89" si="11">E78+F78</f>
        <v>83777</v>
      </c>
      <c r="H78" s="802">
        <v>35.102532327581002</v>
      </c>
      <c r="I78" s="782">
        <f t="shared" ref="I78:I89" si="12">ROUND(H78*$I$4,0)</f>
        <v>17551</v>
      </c>
      <c r="J78" s="782">
        <f t="shared" ref="J78:J89" si="13">ROUND(I78*$J$4,0)</f>
        <v>5160</v>
      </c>
      <c r="K78" s="804">
        <f t="shared" ref="K78:K89" si="14">I78+J78</f>
        <v>22711</v>
      </c>
      <c r="L78" s="802">
        <f t="shared" ref="L78:O89" si="15">D78+H78</f>
        <v>101.59241594428499</v>
      </c>
      <c r="M78" s="782">
        <f t="shared" si="15"/>
        <v>84041</v>
      </c>
      <c r="N78" s="782">
        <f t="shared" si="15"/>
        <v>22447</v>
      </c>
      <c r="O78" s="805">
        <f t="shared" si="15"/>
        <v>106488</v>
      </c>
    </row>
    <row r="79" spans="1:15" ht="15.75" customHeight="1" x14ac:dyDescent="0.2">
      <c r="A79" s="508">
        <v>343001</v>
      </c>
      <c r="B79" s="226">
        <v>343001</v>
      </c>
      <c r="C79" s="506" t="s">
        <v>328</v>
      </c>
      <c r="D79" s="806">
        <v>40.826086955999997</v>
      </c>
      <c r="E79" s="783">
        <f t="shared" si="9"/>
        <v>40826</v>
      </c>
      <c r="F79" s="783">
        <f t="shared" si="10"/>
        <v>10615</v>
      </c>
      <c r="G79" s="807">
        <f t="shared" si="11"/>
        <v>51441</v>
      </c>
      <c r="H79" s="806">
        <v>9.826086956000001</v>
      </c>
      <c r="I79" s="783">
        <f t="shared" si="12"/>
        <v>4913</v>
      </c>
      <c r="J79" s="783">
        <f t="shared" si="13"/>
        <v>1444</v>
      </c>
      <c r="K79" s="808">
        <f t="shared" si="14"/>
        <v>6357</v>
      </c>
      <c r="L79" s="806">
        <f t="shared" si="15"/>
        <v>50.652173911999995</v>
      </c>
      <c r="M79" s="783">
        <f t="shared" si="15"/>
        <v>45739</v>
      </c>
      <c r="N79" s="783">
        <f t="shared" si="15"/>
        <v>12059</v>
      </c>
      <c r="O79" s="809">
        <f t="shared" si="15"/>
        <v>57798</v>
      </c>
    </row>
    <row r="80" spans="1:15" ht="15.75" customHeight="1" x14ac:dyDescent="0.2">
      <c r="A80" s="508">
        <v>344001</v>
      </c>
      <c r="B80" s="226">
        <v>344001</v>
      </c>
      <c r="C80" s="506" t="s">
        <v>245</v>
      </c>
      <c r="D80" s="806">
        <v>46.843902438000001</v>
      </c>
      <c r="E80" s="783">
        <f t="shared" si="9"/>
        <v>46844</v>
      </c>
      <c r="F80" s="783">
        <f t="shared" si="10"/>
        <v>12179</v>
      </c>
      <c r="G80" s="807">
        <f t="shared" si="11"/>
        <v>59023</v>
      </c>
      <c r="H80" s="806">
        <v>14</v>
      </c>
      <c r="I80" s="783">
        <f t="shared" si="12"/>
        <v>7000</v>
      </c>
      <c r="J80" s="783">
        <f t="shared" si="13"/>
        <v>2058</v>
      </c>
      <c r="K80" s="808">
        <f t="shared" si="14"/>
        <v>9058</v>
      </c>
      <c r="L80" s="806">
        <f t="shared" si="15"/>
        <v>60.843902438000001</v>
      </c>
      <c r="M80" s="783">
        <f t="shared" si="15"/>
        <v>53844</v>
      </c>
      <c r="N80" s="783">
        <f t="shared" si="15"/>
        <v>14237</v>
      </c>
      <c r="O80" s="809">
        <f t="shared" si="15"/>
        <v>68081</v>
      </c>
    </row>
    <row r="81" spans="1:15" ht="15.75" customHeight="1" x14ac:dyDescent="0.2">
      <c r="A81" s="508">
        <v>345001</v>
      </c>
      <c r="B81" s="226">
        <v>345001</v>
      </c>
      <c r="C81" s="506" t="s">
        <v>509</v>
      </c>
      <c r="D81" s="806">
        <v>211</v>
      </c>
      <c r="E81" s="783">
        <f t="shared" si="9"/>
        <v>211000</v>
      </c>
      <c r="F81" s="783">
        <f t="shared" si="10"/>
        <v>54860</v>
      </c>
      <c r="G81" s="807">
        <f t="shared" si="11"/>
        <v>265860</v>
      </c>
      <c r="H81" s="806">
        <v>66</v>
      </c>
      <c r="I81" s="783">
        <f t="shared" si="12"/>
        <v>33000</v>
      </c>
      <c r="J81" s="783">
        <f t="shared" si="13"/>
        <v>9702</v>
      </c>
      <c r="K81" s="808">
        <f t="shared" si="14"/>
        <v>42702</v>
      </c>
      <c r="L81" s="806">
        <f t="shared" si="15"/>
        <v>277</v>
      </c>
      <c r="M81" s="783">
        <f t="shared" si="15"/>
        <v>244000</v>
      </c>
      <c r="N81" s="783">
        <f t="shared" si="15"/>
        <v>64562</v>
      </c>
      <c r="O81" s="809">
        <f t="shared" si="15"/>
        <v>308562</v>
      </c>
    </row>
    <row r="82" spans="1:15" ht="15.75" customHeight="1" x14ac:dyDescent="0.2">
      <c r="A82" s="749">
        <v>346001</v>
      </c>
      <c r="B82" s="510">
        <v>346001</v>
      </c>
      <c r="C82" s="811" t="s">
        <v>246</v>
      </c>
      <c r="D82" s="812">
        <v>63.546815008000003</v>
      </c>
      <c r="E82" s="813">
        <f t="shared" si="9"/>
        <v>63547</v>
      </c>
      <c r="F82" s="813">
        <f t="shared" si="10"/>
        <v>16522</v>
      </c>
      <c r="G82" s="814">
        <f t="shared" si="11"/>
        <v>80069</v>
      </c>
      <c r="H82" s="812">
        <v>27.994764397000001</v>
      </c>
      <c r="I82" s="813">
        <f t="shared" si="12"/>
        <v>13997</v>
      </c>
      <c r="J82" s="813">
        <f t="shared" si="13"/>
        <v>4115</v>
      </c>
      <c r="K82" s="815">
        <f t="shared" si="14"/>
        <v>18112</v>
      </c>
      <c r="L82" s="812">
        <f t="shared" si="15"/>
        <v>91.541579405000007</v>
      </c>
      <c r="M82" s="813">
        <f t="shared" si="15"/>
        <v>77544</v>
      </c>
      <c r="N82" s="813">
        <f t="shared" si="15"/>
        <v>20637</v>
      </c>
      <c r="O82" s="816">
        <f t="shared" si="15"/>
        <v>98181</v>
      </c>
    </row>
    <row r="83" spans="1:15" ht="15.75" customHeight="1" x14ac:dyDescent="0.2">
      <c r="A83" s="502">
        <v>347001</v>
      </c>
      <c r="B83" s="800">
        <v>347001</v>
      </c>
      <c r="C83" s="801" t="s">
        <v>247</v>
      </c>
      <c r="D83" s="802">
        <v>108</v>
      </c>
      <c r="E83" s="782">
        <f t="shared" si="9"/>
        <v>108000</v>
      </c>
      <c r="F83" s="782">
        <f t="shared" si="10"/>
        <v>28080</v>
      </c>
      <c r="G83" s="803">
        <f t="shared" si="11"/>
        <v>136080</v>
      </c>
      <c r="H83" s="802">
        <v>37</v>
      </c>
      <c r="I83" s="782">
        <f t="shared" si="12"/>
        <v>18500</v>
      </c>
      <c r="J83" s="782">
        <f t="shared" si="13"/>
        <v>5439</v>
      </c>
      <c r="K83" s="804">
        <f t="shared" si="14"/>
        <v>23939</v>
      </c>
      <c r="L83" s="802">
        <f t="shared" si="15"/>
        <v>145</v>
      </c>
      <c r="M83" s="782">
        <f t="shared" si="15"/>
        <v>126500</v>
      </c>
      <c r="N83" s="782">
        <f t="shared" si="15"/>
        <v>33519</v>
      </c>
      <c r="O83" s="805">
        <f t="shared" si="15"/>
        <v>160019</v>
      </c>
    </row>
    <row r="84" spans="1:15" ht="15.75" customHeight="1" x14ac:dyDescent="0.2">
      <c r="A84" s="508">
        <v>348001</v>
      </c>
      <c r="B84" s="226">
        <v>348001</v>
      </c>
      <c r="C84" s="506" t="s">
        <v>399</v>
      </c>
      <c r="D84" s="806">
        <v>91.876595741999992</v>
      </c>
      <c r="E84" s="783">
        <f t="shared" si="9"/>
        <v>91877</v>
      </c>
      <c r="F84" s="783">
        <f t="shared" si="10"/>
        <v>23888</v>
      </c>
      <c r="G84" s="807">
        <f t="shared" si="11"/>
        <v>115765</v>
      </c>
      <c r="H84" s="806">
        <v>27.822587609999999</v>
      </c>
      <c r="I84" s="783">
        <f t="shared" si="12"/>
        <v>13911</v>
      </c>
      <c r="J84" s="783">
        <f t="shared" si="13"/>
        <v>4090</v>
      </c>
      <c r="K84" s="808">
        <f t="shared" si="14"/>
        <v>18001</v>
      </c>
      <c r="L84" s="806">
        <f t="shared" si="15"/>
        <v>119.69918335199999</v>
      </c>
      <c r="M84" s="783">
        <f t="shared" si="15"/>
        <v>105788</v>
      </c>
      <c r="N84" s="783">
        <f t="shared" si="15"/>
        <v>27978</v>
      </c>
      <c r="O84" s="809">
        <f t="shared" si="15"/>
        <v>133766</v>
      </c>
    </row>
    <row r="85" spans="1:15" ht="15.75" customHeight="1" x14ac:dyDescent="0.2">
      <c r="A85" s="508" t="s">
        <v>643</v>
      </c>
      <c r="B85" s="226" t="s">
        <v>643</v>
      </c>
      <c r="C85" s="506" t="s">
        <v>523</v>
      </c>
      <c r="D85" s="806">
        <v>9</v>
      </c>
      <c r="E85" s="783">
        <f t="shared" si="9"/>
        <v>9000</v>
      </c>
      <c r="F85" s="783">
        <f t="shared" si="10"/>
        <v>2340</v>
      </c>
      <c r="G85" s="807">
        <f t="shared" si="11"/>
        <v>11340</v>
      </c>
      <c r="H85" s="806">
        <v>7</v>
      </c>
      <c r="I85" s="783">
        <f t="shared" si="12"/>
        <v>3500</v>
      </c>
      <c r="J85" s="783">
        <f t="shared" si="13"/>
        <v>1029</v>
      </c>
      <c r="K85" s="808">
        <f t="shared" si="14"/>
        <v>4529</v>
      </c>
      <c r="L85" s="806">
        <f t="shared" si="15"/>
        <v>16</v>
      </c>
      <c r="M85" s="783">
        <f t="shared" si="15"/>
        <v>12500</v>
      </c>
      <c r="N85" s="783">
        <f t="shared" si="15"/>
        <v>3369</v>
      </c>
      <c r="O85" s="809">
        <f t="shared" si="15"/>
        <v>15869</v>
      </c>
    </row>
    <row r="86" spans="1:15" ht="15.75" customHeight="1" x14ac:dyDescent="0.2">
      <c r="A86" s="508" t="s">
        <v>412</v>
      </c>
      <c r="B86" s="226" t="s">
        <v>269</v>
      </c>
      <c r="C86" s="506" t="s">
        <v>849</v>
      </c>
      <c r="D86" s="806">
        <v>15.666666666000001</v>
      </c>
      <c r="E86" s="783">
        <f t="shared" si="9"/>
        <v>15667</v>
      </c>
      <c r="F86" s="783">
        <f t="shared" si="10"/>
        <v>4073</v>
      </c>
      <c r="G86" s="807">
        <f t="shared" si="11"/>
        <v>19740</v>
      </c>
      <c r="H86" s="806">
        <v>8.1</v>
      </c>
      <c r="I86" s="783">
        <f t="shared" si="12"/>
        <v>4050</v>
      </c>
      <c r="J86" s="783">
        <f t="shared" si="13"/>
        <v>1191</v>
      </c>
      <c r="K86" s="808">
        <f t="shared" si="14"/>
        <v>5241</v>
      </c>
      <c r="L86" s="806">
        <f t="shared" si="15"/>
        <v>23.766666665999999</v>
      </c>
      <c r="M86" s="783">
        <f t="shared" si="15"/>
        <v>19717</v>
      </c>
      <c r="N86" s="783">
        <f t="shared" si="15"/>
        <v>5264</v>
      </c>
      <c r="O86" s="809">
        <f t="shared" si="15"/>
        <v>24981</v>
      </c>
    </row>
    <row r="87" spans="1:15" ht="15.75" customHeight="1" x14ac:dyDescent="0.2">
      <c r="A87" s="749" t="s">
        <v>413</v>
      </c>
      <c r="B87" s="510" t="s">
        <v>276</v>
      </c>
      <c r="C87" s="811" t="s">
        <v>250</v>
      </c>
      <c r="D87" s="812">
        <v>39.590575398527008</v>
      </c>
      <c r="E87" s="813">
        <f t="shared" si="9"/>
        <v>39591</v>
      </c>
      <c r="F87" s="813">
        <f t="shared" si="10"/>
        <v>10294</v>
      </c>
      <c r="G87" s="814">
        <f t="shared" si="11"/>
        <v>49885</v>
      </c>
      <c r="H87" s="812">
        <v>18.854606855450001</v>
      </c>
      <c r="I87" s="813">
        <f t="shared" si="12"/>
        <v>9427</v>
      </c>
      <c r="J87" s="813">
        <f t="shared" si="13"/>
        <v>2772</v>
      </c>
      <c r="K87" s="815">
        <f t="shared" si="14"/>
        <v>12199</v>
      </c>
      <c r="L87" s="812">
        <f t="shared" si="15"/>
        <v>58.445182253977009</v>
      </c>
      <c r="M87" s="813">
        <f t="shared" si="15"/>
        <v>49018</v>
      </c>
      <c r="N87" s="813">
        <f t="shared" si="15"/>
        <v>13066</v>
      </c>
      <c r="O87" s="816">
        <f t="shared" si="15"/>
        <v>62084</v>
      </c>
    </row>
    <row r="88" spans="1:15" ht="15.75" customHeight="1" x14ac:dyDescent="0.2">
      <c r="A88" s="502" t="s">
        <v>645</v>
      </c>
      <c r="B88" s="800" t="s">
        <v>645</v>
      </c>
      <c r="C88" s="801" t="s">
        <v>834</v>
      </c>
      <c r="D88" s="802">
        <v>7.9971870599999999</v>
      </c>
      <c r="E88" s="782">
        <f t="shared" si="9"/>
        <v>7997</v>
      </c>
      <c r="F88" s="782">
        <f t="shared" si="10"/>
        <v>2079</v>
      </c>
      <c r="G88" s="803">
        <f t="shared" si="11"/>
        <v>10076</v>
      </c>
      <c r="H88" s="802">
        <v>5</v>
      </c>
      <c r="I88" s="782">
        <f t="shared" si="12"/>
        <v>2500</v>
      </c>
      <c r="J88" s="782">
        <f t="shared" si="13"/>
        <v>735</v>
      </c>
      <c r="K88" s="804">
        <f t="shared" si="14"/>
        <v>3235</v>
      </c>
      <c r="L88" s="802">
        <f t="shared" si="15"/>
        <v>12.99718706</v>
      </c>
      <c r="M88" s="782">
        <f t="shared" si="15"/>
        <v>10497</v>
      </c>
      <c r="N88" s="782">
        <f t="shared" si="15"/>
        <v>2814</v>
      </c>
      <c r="O88" s="805">
        <f t="shared" si="15"/>
        <v>13311</v>
      </c>
    </row>
    <row r="89" spans="1:15" ht="15.75" customHeight="1" x14ac:dyDescent="0.2">
      <c r="A89" s="508" t="s">
        <v>414</v>
      </c>
      <c r="B89" s="226" t="s">
        <v>285</v>
      </c>
      <c r="C89" s="506" t="s">
        <v>322</v>
      </c>
      <c r="D89" s="806">
        <v>47.945766392639001</v>
      </c>
      <c r="E89" s="783">
        <f t="shared" si="9"/>
        <v>47946</v>
      </c>
      <c r="F89" s="783">
        <f t="shared" si="10"/>
        <v>12466</v>
      </c>
      <c r="G89" s="807">
        <f t="shared" si="11"/>
        <v>60412</v>
      </c>
      <c r="H89" s="806">
        <v>21.833438610346999</v>
      </c>
      <c r="I89" s="783">
        <f t="shared" si="12"/>
        <v>10917</v>
      </c>
      <c r="J89" s="783">
        <f t="shared" si="13"/>
        <v>3210</v>
      </c>
      <c r="K89" s="808">
        <f t="shared" si="14"/>
        <v>14127</v>
      </c>
      <c r="L89" s="806">
        <f t="shared" si="15"/>
        <v>69.779205002986004</v>
      </c>
      <c r="M89" s="783">
        <f t="shared" si="15"/>
        <v>58863</v>
      </c>
      <c r="N89" s="783">
        <f t="shared" si="15"/>
        <v>15676</v>
      </c>
      <c r="O89" s="809">
        <f t="shared" si="15"/>
        <v>74539</v>
      </c>
    </row>
    <row r="90" spans="1:15" ht="15.75" customHeight="1" x14ac:dyDescent="0.2">
      <c r="A90" s="508" t="s">
        <v>460</v>
      </c>
      <c r="B90" s="226" t="s">
        <v>460</v>
      </c>
      <c r="C90" s="506" t="s">
        <v>461</v>
      </c>
      <c r="D90" s="806">
        <v>51.647083864999999</v>
      </c>
      <c r="E90" s="783">
        <f>ROUND(D90*$E$4,0)</f>
        <v>51647</v>
      </c>
      <c r="F90" s="783">
        <f>ROUND(E90*$F$4,0)</f>
        <v>13428</v>
      </c>
      <c r="G90" s="807">
        <f>E90+F90</f>
        <v>65075</v>
      </c>
      <c r="H90" s="806">
        <v>26.964285713999999</v>
      </c>
      <c r="I90" s="783">
        <f>ROUND(H90*$I$4,0)</f>
        <v>13482</v>
      </c>
      <c r="J90" s="783">
        <f>ROUND(I90*$J$4,0)</f>
        <v>3964</v>
      </c>
      <c r="K90" s="808">
        <f>I90+J90</f>
        <v>17446</v>
      </c>
      <c r="L90" s="806">
        <f>D90+H90</f>
        <v>78.611369578999998</v>
      </c>
      <c r="M90" s="783">
        <f>E90+I90</f>
        <v>65129</v>
      </c>
      <c r="N90" s="783">
        <f>F90+J90</f>
        <v>17392</v>
      </c>
      <c r="O90" s="809">
        <f>G90+K90</f>
        <v>82521</v>
      </c>
    </row>
    <row r="91" spans="1:15" ht="15.75" customHeight="1" x14ac:dyDescent="0.2">
      <c r="A91" s="508" t="s">
        <v>416</v>
      </c>
      <c r="B91" s="226" t="s">
        <v>277</v>
      </c>
      <c r="C91" s="506" t="s">
        <v>261</v>
      </c>
      <c r="D91" s="806">
        <v>14.558378136</v>
      </c>
      <c r="E91" s="783">
        <f t="shared" ref="E91:E109" si="16">ROUND(D91*$E$4,0)</f>
        <v>14558</v>
      </c>
      <c r="F91" s="783">
        <f t="shared" ref="F91:F109" si="17">ROUND(E91*$F$4,0)</f>
        <v>3785</v>
      </c>
      <c r="G91" s="807">
        <f t="shared" ref="G91:G109" si="18">E91+F91</f>
        <v>18343</v>
      </c>
      <c r="H91" s="806">
        <v>9.1999999999999993</v>
      </c>
      <c r="I91" s="783">
        <f t="shared" ref="I91:I109" si="19">ROUND(H91*$I$4,0)</f>
        <v>4600</v>
      </c>
      <c r="J91" s="783">
        <f t="shared" ref="J91:J109" si="20">ROUND(I91*$J$4,0)</f>
        <v>1352</v>
      </c>
      <c r="K91" s="808">
        <f t="shared" ref="K91:K109" si="21">I91+J91</f>
        <v>5952</v>
      </c>
      <c r="L91" s="806">
        <f t="shared" ref="L91:L109" si="22">D91+H91</f>
        <v>23.758378135999997</v>
      </c>
      <c r="M91" s="783">
        <f t="shared" ref="M91:M109" si="23">E91+I91</f>
        <v>19158</v>
      </c>
      <c r="N91" s="783">
        <f t="shared" ref="N91:N109" si="24">F91+J91</f>
        <v>5137</v>
      </c>
      <c r="O91" s="809">
        <f t="shared" ref="O91:O109" si="25">G91+K91</f>
        <v>24295</v>
      </c>
    </row>
    <row r="92" spans="1:15" ht="15.75" customHeight="1" x14ac:dyDescent="0.2">
      <c r="A92" s="749" t="s">
        <v>417</v>
      </c>
      <c r="B92" s="510" t="s">
        <v>270</v>
      </c>
      <c r="C92" s="811" t="s">
        <v>241</v>
      </c>
      <c r="D92" s="812">
        <v>38.990277777109</v>
      </c>
      <c r="E92" s="813">
        <f t="shared" si="16"/>
        <v>38990</v>
      </c>
      <c r="F92" s="813">
        <f t="shared" si="17"/>
        <v>10137</v>
      </c>
      <c r="G92" s="814">
        <f t="shared" si="18"/>
        <v>49127</v>
      </c>
      <c r="H92" s="812">
        <v>11.138888888887999</v>
      </c>
      <c r="I92" s="813">
        <f t="shared" si="19"/>
        <v>5569</v>
      </c>
      <c r="J92" s="813">
        <f t="shared" si="20"/>
        <v>1637</v>
      </c>
      <c r="K92" s="815">
        <f t="shared" si="21"/>
        <v>7206</v>
      </c>
      <c r="L92" s="812">
        <f t="shared" si="22"/>
        <v>50.129166665996998</v>
      </c>
      <c r="M92" s="813">
        <f t="shared" si="23"/>
        <v>44559</v>
      </c>
      <c r="N92" s="813">
        <f t="shared" si="24"/>
        <v>11774</v>
      </c>
      <c r="O92" s="816">
        <f t="shared" si="25"/>
        <v>56333</v>
      </c>
    </row>
    <row r="93" spans="1:15" ht="15.75" customHeight="1" x14ac:dyDescent="0.2">
      <c r="A93" s="502" t="s">
        <v>418</v>
      </c>
      <c r="B93" s="800">
        <v>328002</v>
      </c>
      <c r="C93" s="801" t="s">
        <v>251</v>
      </c>
      <c r="D93" s="802">
        <v>35.5</v>
      </c>
      <c r="E93" s="782">
        <f t="shared" si="16"/>
        <v>35500</v>
      </c>
      <c r="F93" s="782">
        <f t="shared" si="17"/>
        <v>9230</v>
      </c>
      <c r="G93" s="803">
        <f t="shared" si="18"/>
        <v>44730</v>
      </c>
      <c r="H93" s="802">
        <v>10</v>
      </c>
      <c r="I93" s="782">
        <f t="shared" si="19"/>
        <v>5000</v>
      </c>
      <c r="J93" s="782">
        <f t="shared" si="20"/>
        <v>1470</v>
      </c>
      <c r="K93" s="804">
        <f t="shared" si="21"/>
        <v>6470</v>
      </c>
      <c r="L93" s="802">
        <f t="shared" si="22"/>
        <v>45.5</v>
      </c>
      <c r="M93" s="782">
        <f t="shared" si="23"/>
        <v>40500</v>
      </c>
      <c r="N93" s="782">
        <f t="shared" si="24"/>
        <v>10700</v>
      </c>
      <c r="O93" s="805">
        <f t="shared" si="25"/>
        <v>51200</v>
      </c>
    </row>
    <row r="94" spans="1:15" ht="15.75" customHeight="1" x14ac:dyDescent="0.2">
      <c r="A94" s="508" t="s">
        <v>419</v>
      </c>
      <c r="B94" s="226" t="s">
        <v>278</v>
      </c>
      <c r="C94" s="506" t="s">
        <v>252</v>
      </c>
      <c r="D94" s="806">
        <v>6</v>
      </c>
      <c r="E94" s="783">
        <f t="shared" si="16"/>
        <v>6000</v>
      </c>
      <c r="F94" s="783">
        <f t="shared" si="17"/>
        <v>1560</v>
      </c>
      <c r="G94" s="807">
        <f t="shared" si="18"/>
        <v>7560</v>
      </c>
      <c r="H94" s="806">
        <v>6</v>
      </c>
      <c r="I94" s="783">
        <f t="shared" si="19"/>
        <v>3000</v>
      </c>
      <c r="J94" s="783">
        <f t="shared" si="20"/>
        <v>882</v>
      </c>
      <c r="K94" s="808">
        <f t="shared" si="21"/>
        <v>3882</v>
      </c>
      <c r="L94" s="806">
        <f t="shared" si="22"/>
        <v>12</v>
      </c>
      <c r="M94" s="783">
        <f t="shared" si="23"/>
        <v>9000</v>
      </c>
      <c r="N94" s="783">
        <f t="shared" si="24"/>
        <v>2442</v>
      </c>
      <c r="O94" s="809">
        <f t="shared" si="25"/>
        <v>11442</v>
      </c>
    </row>
    <row r="95" spans="1:15" ht="15.75" customHeight="1" x14ac:dyDescent="0.2">
      <c r="A95" s="508" t="s">
        <v>420</v>
      </c>
      <c r="B95" s="226" t="s">
        <v>279</v>
      </c>
      <c r="C95" s="506" t="s">
        <v>253</v>
      </c>
      <c r="D95" s="806">
        <v>86.484375</v>
      </c>
      <c r="E95" s="783">
        <f t="shared" si="16"/>
        <v>86484</v>
      </c>
      <c r="F95" s="783">
        <f t="shared" si="17"/>
        <v>22486</v>
      </c>
      <c r="G95" s="807">
        <f t="shared" si="18"/>
        <v>108970</v>
      </c>
      <c r="H95" s="806">
        <v>27.709069611</v>
      </c>
      <c r="I95" s="783">
        <f t="shared" si="19"/>
        <v>13855</v>
      </c>
      <c r="J95" s="783">
        <f t="shared" si="20"/>
        <v>4073</v>
      </c>
      <c r="K95" s="808">
        <f t="shared" si="21"/>
        <v>17928</v>
      </c>
      <c r="L95" s="806">
        <f t="shared" si="22"/>
        <v>114.193444611</v>
      </c>
      <c r="M95" s="783">
        <f t="shared" si="23"/>
        <v>100339</v>
      </c>
      <c r="N95" s="783">
        <f t="shared" si="24"/>
        <v>26559</v>
      </c>
      <c r="O95" s="809">
        <f t="shared" si="25"/>
        <v>126898</v>
      </c>
    </row>
    <row r="96" spans="1:15" ht="15.75" customHeight="1" x14ac:dyDescent="0.2">
      <c r="A96" s="508" t="s">
        <v>421</v>
      </c>
      <c r="B96" s="226" t="s">
        <v>271</v>
      </c>
      <c r="C96" s="506" t="s">
        <v>240</v>
      </c>
      <c r="D96" s="806">
        <v>52</v>
      </c>
      <c r="E96" s="783">
        <f t="shared" si="16"/>
        <v>52000</v>
      </c>
      <c r="F96" s="783">
        <f t="shared" si="17"/>
        <v>13520</v>
      </c>
      <c r="G96" s="807">
        <f t="shared" si="18"/>
        <v>65520</v>
      </c>
      <c r="H96" s="806">
        <v>13</v>
      </c>
      <c r="I96" s="783">
        <f t="shared" si="19"/>
        <v>6500</v>
      </c>
      <c r="J96" s="783">
        <f t="shared" si="20"/>
        <v>1911</v>
      </c>
      <c r="K96" s="808">
        <f t="shared" si="21"/>
        <v>8411</v>
      </c>
      <c r="L96" s="806">
        <f t="shared" si="22"/>
        <v>65</v>
      </c>
      <c r="M96" s="783">
        <f t="shared" si="23"/>
        <v>58500</v>
      </c>
      <c r="N96" s="783">
        <f t="shared" si="24"/>
        <v>15431</v>
      </c>
      <c r="O96" s="809">
        <f t="shared" si="25"/>
        <v>73931</v>
      </c>
    </row>
    <row r="97" spans="1:15" ht="15.75" customHeight="1" x14ac:dyDescent="0.2">
      <c r="A97" s="749" t="s">
        <v>422</v>
      </c>
      <c r="B97" s="510" t="s">
        <v>280</v>
      </c>
      <c r="C97" s="811" t="s">
        <v>254</v>
      </c>
      <c r="D97" s="812">
        <v>62</v>
      </c>
      <c r="E97" s="813">
        <f t="shared" si="16"/>
        <v>62000</v>
      </c>
      <c r="F97" s="813">
        <f t="shared" si="17"/>
        <v>16120</v>
      </c>
      <c r="G97" s="814">
        <f t="shared" si="18"/>
        <v>78120</v>
      </c>
      <c r="H97" s="812">
        <v>27.294259750999998</v>
      </c>
      <c r="I97" s="813">
        <f t="shared" si="19"/>
        <v>13647</v>
      </c>
      <c r="J97" s="813">
        <f t="shared" si="20"/>
        <v>4012</v>
      </c>
      <c r="K97" s="815">
        <f t="shared" si="21"/>
        <v>17659</v>
      </c>
      <c r="L97" s="812">
        <f t="shared" si="22"/>
        <v>89.294259750999998</v>
      </c>
      <c r="M97" s="813">
        <f t="shared" si="23"/>
        <v>75647</v>
      </c>
      <c r="N97" s="813">
        <f t="shared" si="24"/>
        <v>20132</v>
      </c>
      <c r="O97" s="816">
        <f t="shared" si="25"/>
        <v>95779</v>
      </c>
    </row>
    <row r="98" spans="1:15" ht="15.75" customHeight="1" x14ac:dyDescent="0.2">
      <c r="A98" s="502" t="s">
        <v>423</v>
      </c>
      <c r="B98" s="800" t="s">
        <v>275</v>
      </c>
      <c r="C98" s="801" t="s">
        <v>249</v>
      </c>
      <c r="D98" s="802">
        <v>40.454545453999998</v>
      </c>
      <c r="E98" s="782">
        <f t="shared" si="16"/>
        <v>40455</v>
      </c>
      <c r="F98" s="782">
        <f t="shared" si="17"/>
        <v>10518</v>
      </c>
      <c r="G98" s="803">
        <f t="shared" si="18"/>
        <v>50973</v>
      </c>
      <c r="H98" s="802">
        <v>10</v>
      </c>
      <c r="I98" s="782">
        <f t="shared" si="19"/>
        <v>5000</v>
      </c>
      <c r="J98" s="782">
        <f t="shared" si="20"/>
        <v>1470</v>
      </c>
      <c r="K98" s="804">
        <f t="shared" si="21"/>
        <v>6470</v>
      </c>
      <c r="L98" s="802">
        <f t="shared" si="22"/>
        <v>50.454545453999998</v>
      </c>
      <c r="M98" s="782">
        <f t="shared" si="23"/>
        <v>45455</v>
      </c>
      <c r="N98" s="782">
        <f t="shared" si="24"/>
        <v>11988</v>
      </c>
      <c r="O98" s="805">
        <f t="shared" si="25"/>
        <v>57443</v>
      </c>
    </row>
    <row r="99" spans="1:15" ht="15.75" customHeight="1" x14ac:dyDescent="0.2">
      <c r="A99" s="508" t="s">
        <v>424</v>
      </c>
      <c r="B99" s="226">
        <v>343002</v>
      </c>
      <c r="C99" s="506" t="s">
        <v>311</v>
      </c>
      <c r="D99" s="806">
        <v>73.28350250199999</v>
      </c>
      <c r="E99" s="783">
        <f t="shared" si="16"/>
        <v>73284</v>
      </c>
      <c r="F99" s="783">
        <f t="shared" si="17"/>
        <v>19054</v>
      </c>
      <c r="G99" s="807">
        <f t="shared" si="18"/>
        <v>92338</v>
      </c>
      <c r="H99" s="806">
        <v>18.626253431999999</v>
      </c>
      <c r="I99" s="783">
        <f t="shared" si="19"/>
        <v>9313</v>
      </c>
      <c r="J99" s="783">
        <f t="shared" si="20"/>
        <v>2738</v>
      </c>
      <c r="K99" s="808">
        <f t="shared" si="21"/>
        <v>12051</v>
      </c>
      <c r="L99" s="806">
        <f t="shared" si="22"/>
        <v>91.909755933999989</v>
      </c>
      <c r="M99" s="783">
        <f t="shared" si="23"/>
        <v>82597</v>
      </c>
      <c r="N99" s="783">
        <f t="shared" si="24"/>
        <v>21792</v>
      </c>
      <c r="O99" s="809">
        <f t="shared" si="25"/>
        <v>104389</v>
      </c>
    </row>
    <row r="100" spans="1:15" ht="15.75" customHeight="1" x14ac:dyDescent="0.2">
      <c r="A100" s="508" t="s">
        <v>425</v>
      </c>
      <c r="B100" s="226">
        <v>328001</v>
      </c>
      <c r="C100" s="506" t="s">
        <v>243</v>
      </c>
      <c r="D100" s="806">
        <v>51.897058797000007</v>
      </c>
      <c r="E100" s="783">
        <f t="shared" si="16"/>
        <v>51897</v>
      </c>
      <c r="F100" s="783">
        <f t="shared" si="17"/>
        <v>13493</v>
      </c>
      <c r="G100" s="807">
        <f t="shared" si="18"/>
        <v>65390</v>
      </c>
      <c r="H100" s="806">
        <v>13.553921562999999</v>
      </c>
      <c r="I100" s="783">
        <f t="shared" si="19"/>
        <v>6777</v>
      </c>
      <c r="J100" s="783">
        <f t="shared" si="20"/>
        <v>1992</v>
      </c>
      <c r="K100" s="808">
        <f t="shared" si="21"/>
        <v>8769</v>
      </c>
      <c r="L100" s="806">
        <f t="shared" si="22"/>
        <v>65.450980360000003</v>
      </c>
      <c r="M100" s="783">
        <f t="shared" si="23"/>
        <v>58674</v>
      </c>
      <c r="N100" s="783">
        <f t="shared" si="24"/>
        <v>15485</v>
      </c>
      <c r="O100" s="809">
        <f t="shared" si="25"/>
        <v>74159</v>
      </c>
    </row>
    <row r="101" spans="1:15" ht="15.75" customHeight="1" x14ac:dyDescent="0.2">
      <c r="A101" s="508" t="s">
        <v>426</v>
      </c>
      <c r="B101" s="226">
        <v>349001</v>
      </c>
      <c r="C101" s="506" t="s">
        <v>248</v>
      </c>
      <c r="D101" s="806">
        <v>20.272727272723998</v>
      </c>
      <c r="E101" s="783">
        <f t="shared" si="16"/>
        <v>20273</v>
      </c>
      <c r="F101" s="783">
        <f t="shared" si="17"/>
        <v>5271</v>
      </c>
      <c r="G101" s="807">
        <f t="shared" si="18"/>
        <v>25544</v>
      </c>
      <c r="H101" s="806">
        <v>23.616161615271</v>
      </c>
      <c r="I101" s="783">
        <f t="shared" si="19"/>
        <v>11808</v>
      </c>
      <c r="J101" s="783">
        <f t="shared" si="20"/>
        <v>3472</v>
      </c>
      <c r="K101" s="808">
        <f t="shared" si="21"/>
        <v>15280</v>
      </c>
      <c r="L101" s="806">
        <f t="shared" si="22"/>
        <v>43.888888887994995</v>
      </c>
      <c r="M101" s="783">
        <f t="shared" si="23"/>
        <v>32081</v>
      </c>
      <c r="N101" s="783">
        <f t="shared" si="24"/>
        <v>8743</v>
      </c>
      <c r="O101" s="809">
        <f t="shared" si="25"/>
        <v>40824</v>
      </c>
    </row>
    <row r="102" spans="1:15" ht="15.75" customHeight="1" x14ac:dyDescent="0.2">
      <c r="A102" s="749" t="s">
        <v>434</v>
      </c>
      <c r="B102" s="510" t="s">
        <v>284</v>
      </c>
      <c r="C102" s="811" t="s">
        <v>330</v>
      </c>
      <c r="D102" s="812">
        <v>24</v>
      </c>
      <c r="E102" s="813">
        <f t="shared" si="16"/>
        <v>24000</v>
      </c>
      <c r="F102" s="813">
        <f t="shared" si="17"/>
        <v>6240</v>
      </c>
      <c r="G102" s="814">
        <f t="shared" si="18"/>
        <v>30240</v>
      </c>
      <c r="H102" s="812">
        <v>3</v>
      </c>
      <c r="I102" s="813">
        <f t="shared" si="19"/>
        <v>1500</v>
      </c>
      <c r="J102" s="813">
        <f t="shared" si="20"/>
        <v>441</v>
      </c>
      <c r="K102" s="815">
        <f t="shared" si="21"/>
        <v>1941</v>
      </c>
      <c r="L102" s="812">
        <f t="shared" si="22"/>
        <v>27</v>
      </c>
      <c r="M102" s="813">
        <f t="shared" si="23"/>
        <v>25500</v>
      </c>
      <c r="N102" s="813">
        <f t="shared" si="24"/>
        <v>6681</v>
      </c>
      <c r="O102" s="816">
        <f t="shared" si="25"/>
        <v>32181</v>
      </c>
    </row>
    <row r="103" spans="1:15" ht="15.75" customHeight="1" x14ac:dyDescent="0.2">
      <c r="A103" s="502" t="s">
        <v>343</v>
      </c>
      <c r="B103" s="800" t="s">
        <v>343</v>
      </c>
      <c r="C103" s="801" t="s">
        <v>436</v>
      </c>
      <c r="D103" s="802">
        <v>55</v>
      </c>
      <c r="E103" s="782">
        <f t="shared" si="16"/>
        <v>55000</v>
      </c>
      <c r="F103" s="782">
        <f t="shared" si="17"/>
        <v>14300</v>
      </c>
      <c r="G103" s="803">
        <f t="shared" si="18"/>
        <v>69300</v>
      </c>
      <c r="H103" s="802">
        <v>51.5</v>
      </c>
      <c r="I103" s="782">
        <f t="shared" si="19"/>
        <v>25750</v>
      </c>
      <c r="J103" s="782">
        <f t="shared" si="20"/>
        <v>7571</v>
      </c>
      <c r="K103" s="804">
        <f t="shared" si="21"/>
        <v>33321</v>
      </c>
      <c r="L103" s="802">
        <f t="shared" si="22"/>
        <v>106.5</v>
      </c>
      <c r="M103" s="782">
        <f t="shared" si="23"/>
        <v>80750</v>
      </c>
      <c r="N103" s="782">
        <f t="shared" si="24"/>
        <v>21871</v>
      </c>
      <c r="O103" s="805">
        <f t="shared" si="25"/>
        <v>102621</v>
      </c>
    </row>
    <row r="104" spans="1:15" ht="15.75" customHeight="1" x14ac:dyDescent="0.2">
      <c r="A104" s="508" t="s">
        <v>856</v>
      </c>
      <c r="B104" s="226" t="s">
        <v>856</v>
      </c>
      <c r="C104" s="506" t="s">
        <v>853</v>
      </c>
      <c r="D104" s="806">
        <v>24.556752159000002</v>
      </c>
      <c r="E104" s="783">
        <f t="shared" si="16"/>
        <v>24557</v>
      </c>
      <c r="F104" s="783">
        <f t="shared" si="17"/>
        <v>6385</v>
      </c>
      <c r="G104" s="807">
        <f t="shared" si="18"/>
        <v>30942</v>
      </c>
      <c r="H104" s="806">
        <v>3</v>
      </c>
      <c r="I104" s="783">
        <f t="shared" si="19"/>
        <v>1500</v>
      </c>
      <c r="J104" s="783">
        <f t="shared" si="20"/>
        <v>441</v>
      </c>
      <c r="K104" s="808">
        <f t="shared" si="21"/>
        <v>1941</v>
      </c>
      <c r="L104" s="806">
        <f t="shared" si="22"/>
        <v>27.556752159000002</v>
      </c>
      <c r="M104" s="783">
        <f t="shared" si="23"/>
        <v>26057</v>
      </c>
      <c r="N104" s="783">
        <f t="shared" si="24"/>
        <v>6826</v>
      </c>
      <c r="O104" s="809">
        <f t="shared" si="25"/>
        <v>32883</v>
      </c>
    </row>
    <row r="105" spans="1:15" ht="15.75" customHeight="1" x14ac:dyDescent="0.2">
      <c r="A105" s="508" t="s">
        <v>858</v>
      </c>
      <c r="B105" s="226" t="s">
        <v>858</v>
      </c>
      <c r="C105" s="506" t="s">
        <v>1058</v>
      </c>
      <c r="D105" s="806">
        <v>75.999999999999005</v>
      </c>
      <c r="E105" s="783">
        <f t="shared" si="16"/>
        <v>76000</v>
      </c>
      <c r="F105" s="783">
        <f t="shared" si="17"/>
        <v>19760</v>
      </c>
      <c r="G105" s="807">
        <f t="shared" si="18"/>
        <v>95760</v>
      </c>
      <c r="H105" s="806">
        <v>39.992304139999</v>
      </c>
      <c r="I105" s="783">
        <f t="shared" si="19"/>
        <v>19996</v>
      </c>
      <c r="J105" s="783">
        <f t="shared" si="20"/>
        <v>5879</v>
      </c>
      <c r="K105" s="808">
        <f t="shared" si="21"/>
        <v>25875</v>
      </c>
      <c r="L105" s="806">
        <f t="shared" si="22"/>
        <v>115.992304139998</v>
      </c>
      <c r="M105" s="783">
        <f t="shared" si="23"/>
        <v>95996</v>
      </c>
      <c r="N105" s="783">
        <f t="shared" si="24"/>
        <v>25639</v>
      </c>
      <c r="O105" s="809">
        <f t="shared" si="25"/>
        <v>121635</v>
      </c>
    </row>
    <row r="106" spans="1:15" ht="15.75" customHeight="1" x14ac:dyDescent="0.2">
      <c r="A106" s="508" t="s">
        <v>1198</v>
      </c>
      <c r="B106" s="226" t="s">
        <v>1198</v>
      </c>
      <c r="C106" s="506" t="s">
        <v>1199</v>
      </c>
      <c r="D106" s="806">
        <v>16.989583332000002</v>
      </c>
      <c r="E106" s="783">
        <f t="shared" si="16"/>
        <v>16990</v>
      </c>
      <c r="F106" s="783">
        <f t="shared" si="17"/>
        <v>4417</v>
      </c>
      <c r="G106" s="807">
        <f t="shared" si="18"/>
        <v>21407</v>
      </c>
      <c r="H106" s="806">
        <v>4.9895833329999997</v>
      </c>
      <c r="I106" s="783">
        <f t="shared" si="19"/>
        <v>2495</v>
      </c>
      <c r="J106" s="783">
        <f t="shared" si="20"/>
        <v>734</v>
      </c>
      <c r="K106" s="808">
        <f t="shared" si="21"/>
        <v>3229</v>
      </c>
      <c r="L106" s="806">
        <f t="shared" si="22"/>
        <v>21.979166665000001</v>
      </c>
      <c r="M106" s="783">
        <f t="shared" si="23"/>
        <v>19485</v>
      </c>
      <c r="N106" s="783">
        <f t="shared" si="24"/>
        <v>5151</v>
      </c>
      <c r="O106" s="809">
        <f t="shared" si="25"/>
        <v>24636</v>
      </c>
    </row>
    <row r="107" spans="1:15" ht="15.75" customHeight="1" x14ac:dyDescent="0.2">
      <c r="A107" s="749" t="s">
        <v>1200</v>
      </c>
      <c r="B107" s="510" t="s">
        <v>1200</v>
      </c>
      <c r="C107" s="811" t="s">
        <v>1201</v>
      </c>
      <c r="D107" s="812">
        <v>14.913194444</v>
      </c>
      <c r="E107" s="813">
        <f t="shared" si="16"/>
        <v>14913</v>
      </c>
      <c r="F107" s="813">
        <f t="shared" si="17"/>
        <v>3877</v>
      </c>
      <c r="G107" s="814">
        <f t="shared" si="18"/>
        <v>18790</v>
      </c>
      <c r="H107" s="812">
        <v>13</v>
      </c>
      <c r="I107" s="813">
        <f t="shared" si="19"/>
        <v>6500</v>
      </c>
      <c r="J107" s="813">
        <f t="shared" si="20"/>
        <v>1911</v>
      </c>
      <c r="K107" s="815">
        <f t="shared" si="21"/>
        <v>8411</v>
      </c>
      <c r="L107" s="812">
        <f t="shared" si="22"/>
        <v>27.913194443999998</v>
      </c>
      <c r="M107" s="813">
        <f t="shared" si="23"/>
        <v>21413</v>
      </c>
      <c r="N107" s="813">
        <f t="shared" si="24"/>
        <v>5788</v>
      </c>
      <c r="O107" s="816">
        <f t="shared" si="25"/>
        <v>27201</v>
      </c>
    </row>
    <row r="108" spans="1:15" ht="15.75" customHeight="1" x14ac:dyDescent="0.2">
      <c r="A108" s="502" t="s">
        <v>646</v>
      </c>
      <c r="B108" s="800" t="s">
        <v>646</v>
      </c>
      <c r="C108" s="801" t="s">
        <v>835</v>
      </c>
      <c r="D108" s="802">
        <v>48</v>
      </c>
      <c r="E108" s="782">
        <f t="shared" si="16"/>
        <v>48000</v>
      </c>
      <c r="F108" s="782">
        <f t="shared" si="17"/>
        <v>12480</v>
      </c>
      <c r="G108" s="803">
        <f t="shared" si="18"/>
        <v>60480</v>
      </c>
      <c r="H108" s="802">
        <v>16</v>
      </c>
      <c r="I108" s="782">
        <f t="shared" si="19"/>
        <v>8000</v>
      </c>
      <c r="J108" s="782">
        <f t="shared" si="20"/>
        <v>2352</v>
      </c>
      <c r="K108" s="804">
        <f t="shared" si="21"/>
        <v>10352</v>
      </c>
      <c r="L108" s="802">
        <f t="shared" si="22"/>
        <v>64</v>
      </c>
      <c r="M108" s="782">
        <f t="shared" si="23"/>
        <v>56000</v>
      </c>
      <c r="N108" s="782">
        <f t="shared" si="24"/>
        <v>14832</v>
      </c>
      <c r="O108" s="805">
        <f t="shared" si="25"/>
        <v>70832</v>
      </c>
    </row>
    <row r="109" spans="1:15" ht="15.75" customHeight="1" x14ac:dyDescent="0.2">
      <c r="A109" s="508" t="s">
        <v>647</v>
      </c>
      <c r="B109" s="226" t="s">
        <v>415</v>
      </c>
      <c r="C109" s="506" t="s">
        <v>1031</v>
      </c>
      <c r="D109" s="806">
        <v>46</v>
      </c>
      <c r="E109" s="783">
        <f t="shared" si="16"/>
        <v>46000</v>
      </c>
      <c r="F109" s="783">
        <f t="shared" si="17"/>
        <v>11960</v>
      </c>
      <c r="G109" s="807">
        <f t="shared" si="18"/>
        <v>57960</v>
      </c>
      <c r="H109" s="806">
        <v>43.494791665999998</v>
      </c>
      <c r="I109" s="783">
        <f t="shared" si="19"/>
        <v>21747</v>
      </c>
      <c r="J109" s="783">
        <f t="shared" si="20"/>
        <v>6394</v>
      </c>
      <c r="K109" s="808">
        <f t="shared" si="21"/>
        <v>28141</v>
      </c>
      <c r="L109" s="806">
        <f t="shared" si="22"/>
        <v>89.494791665999998</v>
      </c>
      <c r="M109" s="783">
        <f t="shared" si="23"/>
        <v>67747</v>
      </c>
      <c r="N109" s="783">
        <f t="shared" si="24"/>
        <v>18354</v>
      </c>
      <c r="O109" s="809">
        <f t="shared" si="25"/>
        <v>86101</v>
      </c>
    </row>
    <row r="110" spans="1:15" ht="15.75" customHeight="1" thickBot="1" x14ac:dyDescent="0.25">
      <c r="A110" s="1358" t="s">
        <v>317</v>
      </c>
      <c r="B110" s="1359"/>
      <c r="C110" s="1360"/>
      <c r="D110" s="829">
        <f t="shared" ref="D110:O110" si="26">SUM(D78:D109)</f>
        <v>1587.330958016702</v>
      </c>
      <c r="E110" s="830">
        <f t="shared" si="26"/>
        <v>1587333</v>
      </c>
      <c r="F110" s="830">
        <f t="shared" si="26"/>
        <v>412704</v>
      </c>
      <c r="G110" s="831">
        <f t="shared" si="26"/>
        <v>2000037</v>
      </c>
      <c r="H110" s="829">
        <f t="shared" si="26"/>
        <v>650.61353647053591</v>
      </c>
      <c r="I110" s="830">
        <f t="shared" si="26"/>
        <v>325305</v>
      </c>
      <c r="J110" s="830">
        <f t="shared" si="26"/>
        <v>95641</v>
      </c>
      <c r="K110" s="832">
        <f t="shared" si="26"/>
        <v>420946</v>
      </c>
      <c r="L110" s="829">
        <f t="shared" si="26"/>
        <v>2237.9444944872375</v>
      </c>
      <c r="M110" s="830">
        <f t="shared" si="26"/>
        <v>1912638</v>
      </c>
      <c r="N110" s="830">
        <f t="shared" si="26"/>
        <v>508345</v>
      </c>
      <c r="O110" s="833">
        <f t="shared" si="26"/>
        <v>2420983</v>
      </c>
    </row>
    <row r="111" spans="1:15" ht="9" customHeight="1" thickTop="1" x14ac:dyDescent="0.2">
      <c r="A111" s="627"/>
      <c r="B111" s="628"/>
      <c r="C111" s="629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</row>
    <row r="112" spans="1:15" ht="15.75" customHeight="1" x14ac:dyDescent="0.2">
      <c r="A112" s="835">
        <v>396211</v>
      </c>
      <c r="B112" s="835" t="s">
        <v>429</v>
      </c>
      <c r="C112" s="801" t="s">
        <v>838</v>
      </c>
      <c r="D112" s="802">
        <v>71.779487179333003</v>
      </c>
      <c r="E112" s="782">
        <f>ROUND(D112*$E$4,0)</f>
        <v>71779</v>
      </c>
      <c r="F112" s="782">
        <f>ROUND(E112*$F$4,0)</f>
        <v>18663</v>
      </c>
      <c r="G112" s="803">
        <f>E112+F112</f>
        <v>90442</v>
      </c>
      <c r="H112" s="802">
        <v>68.166666666666003</v>
      </c>
      <c r="I112" s="782">
        <f>ROUND(H112*$I$4,0)</f>
        <v>34083</v>
      </c>
      <c r="J112" s="782">
        <f>ROUND(I112*$J$4,0)</f>
        <v>10020</v>
      </c>
      <c r="K112" s="804">
        <f>I112+J112</f>
        <v>44103</v>
      </c>
      <c r="L112" s="802">
        <f>D112+H112</f>
        <v>139.94615384599899</v>
      </c>
      <c r="M112" s="782">
        <f>E112+I112</f>
        <v>105862</v>
      </c>
      <c r="N112" s="782">
        <f>F112+J112</f>
        <v>28683</v>
      </c>
      <c r="O112" s="805">
        <f>G112+K112</f>
        <v>134545</v>
      </c>
    </row>
    <row r="113" spans="1:15" ht="15.75" customHeight="1" x14ac:dyDescent="0.2">
      <c r="A113" s="508" t="s">
        <v>1202</v>
      </c>
      <c r="B113" s="226" t="s">
        <v>435</v>
      </c>
      <c r="C113" s="506" t="s">
        <v>1169</v>
      </c>
      <c r="D113" s="806">
        <v>28</v>
      </c>
      <c r="E113" s="783">
        <f t="shared" ref="E113:E118" si="27">ROUND(D113*$E$4,0)</f>
        <v>28000</v>
      </c>
      <c r="F113" s="783">
        <f t="shared" ref="F113:F118" si="28">ROUND(E113*$F$4,0)</f>
        <v>7280</v>
      </c>
      <c r="G113" s="807">
        <f t="shared" ref="G113:G118" si="29">E113+F113</f>
        <v>35280</v>
      </c>
      <c r="H113" s="806">
        <v>5</v>
      </c>
      <c r="I113" s="783">
        <f t="shared" ref="I113:I118" si="30">ROUND(H113*$I$4,0)</f>
        <v>2500</v>
      </c>
      <c r="J113" s="783">
        <f t="shared" ref="J113:J118" si="31">ROUND(I113*$J$4,0)</f>
        <v>735</v>
      </c>
      <c r="K113" s="808">
        <f t="shared" ref="K113:K118" si="32">I113+J113</f>
        <v>3235</v>
      </c>
      <c r="L113" s="806">
        <f t="shared" ref="L113:O118" si="33">D113+H113</f>
        <v>33</v>
      </c>
      <c r="M113" s="783">
        <f t="shared" si="33"/>
        <v>30500</v>
      </c>
      <c r="N113" s="783">
        <f t="shared" si="33"/>
        <v>8015</v>
      </c>
      <c r="O113" s="809">
        <f t="shared" si="33"/>
        <v>38515</v>
      </c>
    </row>
    <row r="114" spans="1:15" ht="15.75" customHeight="1" x14ac:dyDescent="0.2">
      <c r="A114" s="508" t="s">
        <v>433</v>
      </c>
      <c r="B114" s="226" t="s">
        <v>306</v>
      </c>
      <c r="C114" s="506" t="s">
        <v>1238</v>
      </c>
      <c r="D114" s="806">
        <v>14.666666666666</v>
      </c>
      <c r="E114" s="783">
        <f t="shared" si="27"/>
        <v>14667</v>
      </c>
      <c r="F114" s="783">
        <f t="shared" si="28"/>
        <v>3813</v>
      </c>
      <c r="G114" s="807">
        <f t="shared" si="29"/>
        <v>18480</v>
      </c>
      <c r="H114" s="806">
        <v>8.333333333333</v>
      </c>
      <c r="I114" s="783">
        <f t="shared" si="30"/>
        <v>4167</v>
      </c>
      <c r="J114" s="783">
        <f t="shared" si="31"/>
        <v>1225</v>
      </c>
      <c r="K114" s="808">
        <f t="shared" si="32"/>
        <v>5392</v>
      </c>
      <c r="L114" s="806">
        <f t="shared" si="33"/>
        <v>22.999999999998998</v>
      </c>
      <c r="M114" s="783">
        <f t="shared" si="33"/>
        <v>18834</v>
      </c>
      <c r="N114" s="783">
        <f t="shared" si="33"/>
        <v>5038</v>
      </c>
      <c r="O114" s="809">
        <f t="shared" si="33"/>
        <v>23872</v>
      </c>
    </row>
    <row r="115" spans="1:15" ht="15.75" customHeight="1" x14ac:dyDescent="0.2">
      <c r="A115" s="508" t="s">
        <v>431</v>
      </c>
      <c r="B115" s="226" t="s">
        <v>281</v>
      </c>
      <c r="C115" s="506" t="s">
        <v>1239</v>
      </c>
      <c r="D115" s="806">
        <v>15.666666666666</v>
      </c>
      <c r="E115" s="783">
        <f t="shared" si="27"/>
        <v>15667</v>
      </c>
      <c r="F115" s="783">
        <f t="shared" si="28"/>
        <v>4073</v>
      </c>
      <c r="G115" s="807">
        <f t="shared" si="29"/>
        <v>19740</v>
      </c>
      <c r="H115" s="806">
        <v>9.333333333333</v>
      </c>
      <c r="I115" s="783">
        <f t="shared" si="30"/>
        <v>4667</v>
      </c>
      <c r="J115" s="783">
        <f t="shared" si="31"/>
        <v>1372</v>
      </c>
      <c r="K115" s="808">
        <f t="shared" si="32"/>
        <v>6039</v>
      </c>
      <c r="L115" s="806">
        <f t="shared" si="33"/>
        <v>24.999999999998998</v>
      </c>
      <c r="M115" s="783">
        <f t="shared" si="33"/>
        <v>20334</v>
      </c>
      <c r="N115" s="783">
        <f t="shared" si="33"/>
        <v>5445</v>
      </c>
      <c r="O115" s="809">
        <f t="shared" si="33"/>
        <v>25779</v>
      </c>
    </row>
    <row r="116" spans="1:15" ht="15" customHeight="1" x14ac:dyDescent="0.2">
      <c r="A116" s="749" t="s">
        <v>341</v>
      </c>
      <c r="B116" s="510" t="s">
        <v>341</v>
      </c>
      <c r="C116" s="811" t="s">
        <v>331</v>
      </c>
      <c r="D116" s="812">
        <v>36.953086419000002</v>
      </c>
      <c r="E116" s="813">
        <f t="shared" si="27"/>
        <v>36953</v>
      </c>
      <c r="F116" s="813">
        <f t="shared" si="28"/>
        <v>9608</v>
      </c>
      <c r="G116" s="814">
        <f t="shared" si="29"/>
        <v>46561</v>
      </c>
      <c r="H116" s="812">
        <v>12</v>
      </c>
      <c r="I116" s="813">
        <f t="shared" si="30"/>
        <v>6000</v>
      </c>
      <c r="J116" s="813">
        <f t="shared" si="31"/>
        <v>1764</v>
      </c>
      <c r="K116" s="815">
        <f t="shared" si="32"/>
        <v>7764</v>
      </c>
      <c r="L116" s="812">
        <f t="shared" si="33"/>
        <v>48.953086419000002</v>
      </c>
      <c r="M116" s="813">
        <f t="shared" si="33"/>
        <v>42953</v>
      </c>
      <c r="N116" s="813">
        <f t="shared" si="33"/>
        <v>11372</v>
      </c>
      <c r="O116" s="816">
        <f t="shared" si="33"/>
        <v>54325</v>
      </c>
    </row>
    <row r="117" spans="1:15" ht="15.75" customHeight="1" x14ac:dyDescent="0.2">
      <c r="A117" s="508" t="s">
        <v>430</v>
      </c>
      <c r="B117" s="226">
        <v>389002</v>
      </c>
      <c r="C117" s="506" t="s">
        <v>329</v>
      </c>
      <c r="D117" s="806">
        <v>35.948979590999997</v>
      </c>
      <c r="E117" s="783">
        <f t="shared" si="27"/>
        <v>35949</v>
      </c>
      <c r="F117" s="783">
        <f t="shared" si="28"/>
        <v>9347</v>
      </c>
      <c r="G117" s="807">
        <f t="shared" si="29"/>
        <v>45296</v>
      </c>
      <c r="H117" s="806">
        <v>14.111559139000001</v>
      </c>
      <c r="I117" s="783">
        <f t="shared" si="30"/>
        <v>7056</v>
      </c>
      <c r="J117" s="783">
        <f t="shared" si="31"/>
        <v>2074</v>
      </c>
      <c r="K117" s="808">
        <f t="shared" si="32"/>
        <v>9130</v>
      </c>
      <c r="L117" s="806">
        <f t="shared" si="33"/>
        <v>50.060538729999998</v>
      </c>
      <c r="M117" s="783">
        <f t="shared" si="33"/>
        <v>43005</v>
      </c>
      <c r="N117" s="783">
        <f t="shared" si="33"/>
        <v>11421</v>
      </c>
      <c r="O117" s="809">
        <f t="shared" si="33"/>
        <v>54426</v>
      </c>
    </row>
    <row r="118" spans="1:15" ht="15.75" customHeight="1" x14ac:dyDescent="0.2">
      <c r="A118" s="749" t="s">
        <v>1203</v>
      </c>
      <c r="B118" s="510" t="s">
        <v>1204</v>
      </c>
      <c r="C118" s="811" t="s">
        <v>1240</v>
      </c>
      <c r="D118" s="812">
        <v>13.666666666666</v>
      </c>
      <c r="E118" s="813">
        <f t="shared" si="27"/>
        <v>13667</v>
      </c>
      <c r="F118" s="813">
        <f t="shared" si="28"/>
        <v>3553</v>
      </c>
      <c r="G118" s="814">
        <f t="shared" si="29"/>
        <v>17220</v>
      </c>
      <c r="H118" s="812">
        <v>9.333333333333</v>
      </c>
      <c r="I118" s="813">
        <f t="shared" si="30"/>
        <v>4667</v>
      </c>
      <c r="J118" s="813">
        <f t="shared" si="31"/>
        <v>1372</v>
      </c>
      <c r="K118" s="815">
        <f t="shared" si="32"/>
        <v>6039</v>
      </c>
      <c r="L118" s="812">
        <f t="shared" si="33"/>
        <v>22.999999999998998</v>
      </c>
      <c r="M118" s="813">
        <f t="shared" si="33"/>
        <v>18334</v>
      </c>
      <c r="N118" s="813">
        <f t="shared" si="33"/>
        <v>4925</v>
      </c>
      <c r="O118" s="816">
        <f t="shared" si="33"/>
        <v>23259</v>
      </c>
    </row>
    <row r="119" spans="1:15" ht="15.75" customHeight="1" thickBot="1" x14ac:dyDescent="0.25">
      <c r="A119" s="1358" t="s">
        <v>1134</v>
      </c>
      <c r="B119" s="1359"/>
      <c r="C119" s="1360"/>
      <c r="D119" s="829">
        <f t="shared" ref="D119:O119" si="34">SUM(D112:D118)</f>
        <v>216.681553189331</v>
      </c>
      <c r="E119" s="830">
        <f t="shared" si="34"/>
        <v>216682</v>
      </c>
      <c r="F119" s="830">
        <f t="shared" si="34"/>
        <v>56337</v>
      </c>
      <c r="G119" s="831">
        <f t="shared" si="34"/>
        <v>273019</v>
      </c>
      <c r="H119" s="829">
        <f t="shared" si="34"/>
        <v>126.27822580566502</v>
      </c>
      <c r="I119" s="830">
        <f t="shared" si="34"/>
        <v>63140</v>
      </c>
      <c r="J119" s="830">
        <f t="shared" si="34"/>
        <v>18562</v>
      </c>
      <c r="K119" s="832">
        <f t="shared" si="34"/>
        <v>81702</v>
      </c>
      <c r="L119" s="829">
        <f t="shared" si="34"/>
        <v>342.95977899499599</v>
      </c>
      <c r="M119" s="830">
        <f t="shared" si="34"/>
        <v>279822</v>
      </c>
      <c r="N119" s="830">
        <f t="shared" si="34"/>
        <v>74899</v>
      </c>
      <c r="O119" s="833">
        <f t="shared" si="34"/>
        <v>354721</v>
      </c>
    </row>
    <row r="120" spans="1:15" ht="9" customHeight="1" thickTop="1" x14ac:dyDescent="0.2">
      <c r="A120" s="636"/>
      <c r="B120" s="637"/>
      <c r="C120" s="638"/>
      <c r="D120" s="836"/>
      <c r="E120" s="836"/>
      <c r="F120" s="836"/>
      <c r="G120" s="836"/>
      <c r="H120" s="836"/>
      <c r="I120" s="836"/>
      <c r="J120" s="836"/>
      <c r="K120" s="836"/>
      <c r="L120" s="836"/>
      <c r="M120" s="836"/>
      <c r="N120" s="836"/>
      <c r="O120" s="836"/>
    </row>
    <row r="121" spans="1:15" ht="27" customHeight="1" thickBot="1" x14ac:dyDescent="0.25">
      <c r="A121" s="1355" t="s">
        <v>1133</v>
      </c>
      <c r="B121" s="1356"/>
      <c r="C121" s="1357"/>
      <c r="D121" s="829">
        <f t="shared" ref="D121:O121" si="35">D76+D110+D119</f>
        <v>59089.926015895187</v>
      </c>
      <c r="E121" s="830">
        <f t="shared" si="35"/>
        <v>59089928</v>
      </c>
      <c r="F121" s="830">
        <f t="shared" si="35"/>
        <v>15363379</v>
      </c>
      <c r="G121" s="831">
        <f t="shared" si="35"/>
        <v>74453307</v>
      </c>
      <c r="H121" s="829">
        <f t="shared" si="35"/>
        <v>37774.048319377682</v>
      </c>
      <c r="I121" s="830">
        <f t="shared" si="35"/>
        <v>18887021</v>
      </c>
      <c r="J121" s="830">
        <f t="shared" si="35"/>
        <v>5552785</v>
      </c>
      <c r="K121" s="832">
        <f t="shared" si="35"/>
        <v>24439806</v>
      </c>
      <c r="L121" s="829">
        <f t="shared" si="35"/>
        <v>96863.974335272855</v>
      </c>
      <c r="M121" s="830">
        <f t="shared" si="35"/>
        <v>77976949</v>
      </c>
      <c r="N121" s="830">
        <f t="shared" si="35"/>
        <v>20916164</v>
      </c>
      <c r="O121" s="833">
        <f t="shared" si="35"/>
        <v>98893113</v>
      </c>
    </row>
    <row r="122" spans="1:15" ht="9" customHeight="1" thickTop="1" x14ac:dyDescent="0.2">
      <c r="A122" s="627"/>
      <c r="B122" s="628"/>
      <c r="C122" s="639"/>
      <c r="D122" s="834"/>
      <c r="E122" s="834"/>
      <c r="F122" s="834"/>
      <c r="G122" s="834"/>
      <c r="H122" s="834"/>
      <c r="I122" s="834"/>
      <c r="J122" s="834"/>
      <c r="K122" s="834"/>
      <c r="L122" s="834"/>
      <c r="M122" s="834"/>
      <c r="N122" s="834"/>
      <c r="O122" s="834"/>
    </row>
    <row r="123" spans="1:15" ht="15.75" customHeight="1" x14ac:dyDescent="0.2">
      <c r="A123" s="835">
        <v>318</v>
      </c>
      <c r="B123" s="800">
        <v>318001</v>
      </c>
      <c r="C123" s="801" t="s">
        <v>235</v>
      </c>
      <c r="D123" s="802">
        <v>94.110977156999994</v>
      </c>
      <c r="E123" s="782">
        <f t="shared" ref="E123:E128" si="36">ROUND(D123*$E$4,0)</f>
        <v>94111</v>
      </c>
      <c r="F123" s="782">
        <f t="shared" ref="F123:F128" si="37">ROUND(E123*$F$4,0)</f>
        <v>24469</v>
      </c>
      <c r="G123" s="803">
        <f t="shared" ref="G123:G128" si="38">E123+F123</f>
        <v>118580</v>
      </c>
      <c r="H123" s="802">
        <v>28.475000000000001</v>
      </c>
      <c r="I123" s="782">
        <f t="shared" ref="I123:I128" si="39">ROUND(H123*$I$4,0)</f>
        <v>14238</v>
      </c>
      <c r="J123" s="782">
        <f t="shared" ref="J123:J128" si="40">ROUND(I123*$J$4,0)</f>
        <v>4186</v>
      </c>
      <c r="K123" s="804">
        <f t="shared" ref="K123:K128" si="41">I123+J123</f>
        <v>18424</v>
      </c>
      <c r="L123" s="802">
        <f t="shared" ref="L123:O128" si="42">D123+H123</f>
        <v>122.585977157</v>
      </c>
      <c r="M123" s="782">
        <f t="shared" si="42"/>
        <v>108349</v>
      </c>
      <c r="N123" s="782">
        <f t="shared" si="42"/>
        <v>28655</v>
      </c>
      <c r="O123" s="805">
        <f t="shared" si="42"/>
        <v>137004</v>
      </c>
    </row>
    <row r="124" spans="1:15" ht="15.75" customHeight="1" x14ac:dyDescent="0.2">
      <c r="A124" s="508">
        <v>319</v>
      </c>
      <c r="B124" s="226">
        <v>319001</v>
      </c>
      <c r="C124" s="506" t="s">
        <v>236</v>
      </c>
      <c r="D124" s="806">
        <v>29.533012818999996</v>
      </c>
      <c r="E124" s="783">
        <f t="shared" si="36"/>
        <v>29533</v>
      </c>
      <c r="F124" s="783">
        <f t="shared" si="37"/>
        <v>7679</v>
      </c>
      <c r="G124" s="807">
        <f t="shared" si="38"/>
        <v>37212</v>
      </c>
      <c r="H124" s="806">
        <v>4</v>
      </c>
      <c r="I124" s="783">
        <f t="shared" si="39"/>
        <v>2000</v>
      </c>
      <c r="J124" s="783">
        <f t="shared" si="40"/>
        <v>588</v>
      </c>
      <c r="K124" s="808">
        <f t="shared" si="41"/>
        <v>2588</v>
      </c>
      <c r="L124" s="806">
        <f t="shared" si="42"/>
        <v>33.533012818999993</v>
      </c>
      <c r="M124" s="783">
        <f t="shared" si="42"/>
        <v>31533</v>
      </c>
      <c r="N124" s="783">
        <f t="shared" si="42"/>
        <v>8267</v>
      </c>
      <c r="O124" s="809">
        <f t="shared" si="42"/>
        <v>39800</v>
      </c>
    </row>
    <row r="125" spans="1:15" ht="15.75" customHeight="1" x14ac:dyDescent="0.2">
      <c r="A125" s="508">
        <v>302006</v>
      </c>
      <c r="B125" s="226">
        <v>302006</v>
      </c>
      <c r="C125" s="506" t="s">
        <v>1106</v>
      </c>
      <c r="D125" s="806">
        <v>39</v>
      </c>
      <c r="E125" s="783">
        <f t="shared" si="36"/>
        <v>39000</v>
      </c>
      <c r="F125" s="783">
        <f t="shared" si="37"/>
        <v>10140</v>
      </c>
      <c r="G125" s="807">
        <f t="shared" si="38"/>
        <v>49140</v>
      </c>
      <c r="H125" s="806">
        <v>16.769230768</v>
      </c>
      <c r="I125" s="783">
        <f t="shared" si="39"/>
        <v>8385</v>
      </c>
      <c r="J125" s="783">
        <f t="shared" si="40"/>
        <v>2465</v>
      </c>
      <c r="K125" s="808">
        <f t="shared" si="41"/>
        <v>10850</v>
      </c>
      <c r="L125" s="806">
        <f t="shared" si="42"/>
        <v>55.769230768</v>
      </c>
      <c r="M125" s="783">
        <f t="shared" si="42"/>
        <v>47385</v>
      </c>
      <c r="N125" s="783">
        <f t="shared" si="42"/>
        <v>12605</v>
      </c>
      <c r="O125" s="809">
        <f t="shared" si="42"/>
        <v>59990</v>
      </c>
    </row>
    <row r="126" spans="1:15" ht="15.75" customHeight="1" x14ac:dyDescent="0.2">
      <c r="A126" s="508">
        <v>334001</v>
      </c>
      <c r="B126" s="226">
        <v>334001</v>
      </c>
      <c r="C126" s="506" t="s">
        <v>308</v>
      </c>
      <c r="D126" s="806">
        <v>63.977388509000001</v>
      </c>
      <c r="E126" s="783">
        <f t="shared" si="36"/>
        <v>63977</v>
      </c>
      <c r="F126" s="783">
        <f t="shared" si="37"/>
        <v>16634</v>
      </c>
      <c r="G126" s="807">
        <f t="shared" si="38"/>
        <v>80611</v>
      </c>
      <c r="H126" s="806">
        <v>12.889423076</v>
      </c>
      <c r="I126" s="783">
        <f t="shared" si="39"/>
        <v>6445</v>
      </c>
      <c r="J126" s="783">
        <f t="shared" si="40"/>
        <v>1895</v>
      </c>
      <c r="K126" s="808">
        <f t="shared" si="41"/>
        <v>8340</v>
      </c>
      <c r="L126" s="806">
        <f t="shared" si="42"/>
        <v>76.866811584999994</v>
      </c>
      <c r="M126" s="783">
        <f t="shared" si="42"/>
        <v>70422</v>
      </c>
      <c r="N126" s="783">
        <f t="shared" si="42"/>
        <v>18529</v>
      </c>
      <c r="O126" s="809">
        <f t="shared" si="42"/>
        <v>88951</v>
      </c>
    </row>
    <row r="127" spans="1:15" ht="15.75" customHeight="1" x14ac:dyDescent="0.2">
      <c r="A127" s="749" t="s">
        <v>833</v>
      </c>
      <c r="B127" s="510">
        <v>17137</v>
      </c>
      <c r="C127" s="811" t="s">
        <v>522</v>
      </c>
      <c r="D127" s="812">
        <v>31.014285712</v>
      </c>
      <c r="E127" s="813">
        <f t="shared" si="36"/>
        <v>31014</v>
      </c>
      <c r="F127" s="813">
        <f t="shared" si="37"/>
        <v>8064</v>
      </c>
      <c r="G127" s="814">
        <f t="shared" si="38"/>
        <v>39078</v>
      </c>
      <c r="H127" s="812">
        <v>62.124542120000001</v>
      </c>
      <c r="I127" s="813">
        <f t="shared" si="39"/>
        <v>31062</v>
      </c>
      <c r="J127" s="813">
        <f t="shared" si="40"/>
        <v>9132</v>
      </c>
      <c r="K127" s="815">
        <f t="shared" si="41"/>
        <v>40194</v>
      </c>
      <c r="L127" s="812">
        <f t="shared" si="42"/>
        <v>93.138827832000004</v>
      </c>
      <c r="M127" s="813">
        <f t="shared" si="42"/>
        <v>62076</v>
      </c>
      <c r="N127" s="813">
        <f t="shared" si="42"/>
        <v>17196</v>
      </c>
      <c r="O127" s="816">
        <f t="shared" si="42"/>
        <v>79272</v>
      </c>
    </row>
    <row r="128" spans="1:15" ht="15.75" customHeight="1" x14ac:dyDescent="0.2">
      <c r="A128" s="810" t="s">
        <v>268</v>
      </c>
      <c r="B128" s="510" t="s">
        <v>268</v>
      </c>
      <c r="C128" s="811" t="s">
        <v>128</v>
      </c>
      <c r="D128" s="812">
        <v>42</v>
      </c>
      <c r="E128" s="813">
        <f t="shared" si="36"/>
        <v>42000</v>
      </c>
      <c r="F128" s="813">
        <f t="shared" si="37"/>
        <v>10920</v>
      </c>
      <c r="G128" s="814">
        <f t="shared" si="38"/>
        <v>52920</v>
      </c>
      <c r="H128" s="812">
        <v>18</v>
      </c>
      <c r="I128" s="813">
        <f t="shared" si="39"/>
        <v>9000</v>
      </c>
      <c r="J128" s="813">
        <f t="shared" si="40"/>
        <v>2646</v>
      </c>
      <c r="K128" s="815">
        <f t="shared" si="41"/>
        <v>11646</v>
      </c>
      <c r="L128" s="812">
        <f t="shared" si="42"/>
        <v>60</v>
      </c>
      <c r="M128" s="813">
        <f t="shared" si="42"/>
        <v>51000</v>
      </c>
      <c r="N128" s="813">
        <f t="shared" si="42"/>
        <v>13566</v>
      </c>
      <c r="O128" s="816">
        <f t="shared" si="42"/>
        <v>64566</v>
      </c>
    </row>
    <row r="129" spans="1:15" ht="15.75" customHeight="1" thickBot="1" x14ac:dyDescent="0.25">
      <c r="A129" s="1358" t="s">
        <v>1110</v>
      </c>
      <c r="B129" s="1359"/>
      <c r="C129" s="1360"/>
      <c r="D129" s="829">
        <f t="shared" ref="D129:O129" si="43">SUM(D123:D128)</f>
        <v>299.63566419699998</v>
      </c>
      <c r="E129" s="830">
        <f t="shared" si="43"/>
        <v>299635</v>
      </c>
      <c r="F129" s="830">
        <f t="shared" si="43"/>
        <v>77906</v>
      </c>
      <c r="G129" s="831">
        <f t="shared" si="43"/>
        <v>377541</v>
      </c>
      <c r="H129" s="829">
        <f>SUM(H123:H128)</f>
        <v>142.25819596400001</v>
      </c>
      <c r="I129" s="830">
        <f t="shared" si="43"/>
        <v>71130</v>
      </c>
      <c r="J129" s="830">
        <f t="shared" si="43"/>
        <v>20912</v>
      </c>
      <c r="K129" s="832">
        <f t="shared" si="43"/>
        <v>92042</v>
      </c>
      <c r="L129" s="829">
        <f t="shared" si="43"/>
        <v>441.89386016099996</v>
      </c>
      <c r="M129" s="830">
        <f t="shared" si="43"/>
        <v>370765</v>
      </c>
      <c r="N129" s="830">
        <f t="shared" si="43"/>
        <v>98818</v>
      </c>
      <c r="O129" s="833">
        <f t="shared" si="43"/>
        <v>469583</v>
      </c>
    </row>
    <row r="130" spans="1:15" ht="9" customHeight="1" thickTop="1" x14ac:dyDescent="0.2">
      <c r="A130" s="636"/>
      <c r="B130" s="637"/>
      <c r="C130" s="638"/>
      <c r="D130" s="836"/>
      <c r="E130" s="836"/>
      <c r="F130" s="836"/>
      <c r="G130" s="836"/>
      <c r="H130" s="836"/>
      <c r="I130" s="836"/>
      <c r="J130" s="836"/>
      <c r="K130" s="836"/>
      <c r="L130" s="836"/>
      <c r="M130" s="836"/>
      <c r="N130" s="836"/>
      <c r="O130" s="836"/>
    </row>
    <row r="131" spans="1:15" ht="15.75" customHeight="1" x14ac:dyDescent="0.2">
      <c r="A131" s="835">
        <v>321001</v>
      </c>
      <c r="B131" s="800">
        <v>321001</v>
      </c>
      <c r="C131" s="801" t="s">
        <v>313</v>
      </c>
      <c r="D131" s="802">
        <v>17</v>
      </c>
      <c r="E131" s="782">
        <f t="shared" ref="E131:E137" si="44">ROUND(D131*$E$4,0)</f>
        <v>17000</v>
      </c>
      <c r="F131" s="782">
        <f t="shared" ref="F131:F137" si="45">ROUND(E131*$F$4,0)</f>
        <v>4420</v>
      </c>
      <c r="G131" s="803">
        <f t="shared" ref="G131:G137" si="46">E131+F131</f>
        <v>21420</v>
      </c>
      <c r="H131" s="802">
        <v>6.961538461</v>
      </c>
      <c r="I131" s="782">
        <f t="shared" ref="I131:I137" si="47">ROUND(H131*$I$4,0)</f>
        <v>3481</v>
      </c>
      <c r="J131" s="782">
        <f t="shared" ref="J131:J137" si="48">ROUND(I131*$J$4,0)</f>
        <v>1023</v>
      </c>
      <c r="K131" s="804">
        <f t="shared" ref="K131:K137" si="49">I131+J131</f>
        <v>4504</v>
      </c>
      <c r="L131" s="802">
        <f t="shared" ref="L131:O137" si="50">D131+H131</f>
        <v>23.961538461</v>
      </c>
      <c r="M131" s="782">
        <f t="shared" si="50"/>
        <v>20481</v>
      </c>
      <c r="N131" s="782">
        <f t="shared" si="50"/>
        <v>5443</v>
      </c>
      <c r="O131" s="805">
        <f t="shared" si="50"/>
        <v>25924</v>
      </c>
    </row>
    <row r="132" spans="1:15" ht="15.75" customHeight="1" x14ac:dyDescent="0.2">
      <c r="A132" s="508">
        <v>329001</v>
      </c>
      <c r="B132" s="226">
        <v>329001</v>
      </c>
      <c r="C132" s="506" t="s">
        <v>314</v>
      </c>
      <c r="D132" s="806">
        <v>31.91</v>
      </c>
      <c r="E132" s="783">
        <f t="shared" si="44"/>
        <v>31910</v>
      </c>
      <c r="F132" s="783">
        <f t="shared" si="45"/>
        <v>8297</v>
      </c>
      <c r="G132" s="807">
        <f t="shared" si="46"/>
        <v>40207</v>
      </c>
      <c r="H132" s="806">
        <v>18.941615427995998</v>
      </c>
      <c r="I132" s="783">
        <f t="shared" si="47"/>
        <v>9471</v>
      </c>
      <c r="J132" s="783">
        <f t="shared" si="48"/>
        <v>2784</v>
      </c>
      <c r="K132" s="808">
        <f t="shared" si="49"/>
        <v>12255</v>
      </c>
      <c r="L132" s="806">
        <f t="shared" si="50"/>
        <v>50.851615427995995</v>
      </c>
      <c r="M132" s="783">
        <f t="shared" si="50"/>
        <v>41381</v>
      </c>
      <c r="N132" s="783">
        <f t="shared" si="50"/>
        <v>11081</v>
      </c>
      <c r="O132" s="809">
        <f t="shared" si="50"/>
        <v>52462</v>
      </c>
    </row>
    <row r="133" spans="1:15" ht="15.75" customHeight="1" x14ac:dyDescent="0.2">
      <c r="A133" s="508">
        <v>331001</v>
      </c>
      <c r="B133" s="226">
        <v>331001</v>
      </c>
      <c r="C133" s="506" t="s">
        <v>315</v>
      </c>
      <c r="D133" s="806">
        <v>128.40825869161898</v>
      </c>
      <c r="E133" s="783">
        <f t="shared" si="44"/>
        <v>128408</v>
      </c>
      <c r="F133" s="783">
        <f t="shared" si="45"/>
        <v>33386</v>
      </c>
      <c r="G133" s="807">
        <f t="shared" si="46"/>
        <v>161794</v>
      </c>
      <c r="H133" s="806">
        <v>83.850167520379983</v>
      </c>
      <c r="I133" s="783">
        <f t="shared" si="47"/>
        <v>41925</v>
      </c>
      <c r="J133" s="783">
        <f t="shared" si="48"/>
        <v>12326</v>
      </c>
      <c r="K133" s="808">
        <f t="shared" si="49"/>
        <v>54251</v>
      </c>
      <c r="L133" s="806">
        <f t="shared" si="50"/>
        <v>212.25842621199897</v>
      </c>
      <c r="M133" s="783">
        <f t="shared" si="50"/>
        <v>170333</v>
      </c>
      <c r="N133" s="783">
        <f t="shared" si="50"/>
        <v>45712</v>
      </c>
      <c r="O133" s="809">
        <f t="shared" si="50"/>
        <v>216045</v>
      </c>
    </row>
    <row r="134" spans="1:15" ht="15.75" customHeight="1" x14ac:dyDescent="0.2">
      <c r="A134" s="508">
        <v>333001</v>
      </c>
      <c r="B134" s="226">
        <v>333001</v>
      </c>
      <c r="C134" s="506" t="s">
        <v>307</v>
      </c>
      <c r="D134" s="806">
        <v>39.950000000000003</v>
      </c>
      <c r="E134" s="783">
        <f t="shared" si="44"/>
        <v>39950</v>
      </c>
      <c r="F134" s="783">
        <f t="shared" si="45"/>
        <v>10387</v>
      </c>
      <c r="G134" s="807">
        <f t="shared" si="46"/>
        <v>50337</v>
      </c>
      <c r="H134" s="806">
        <v>25.1</v>
      </c>
      <c r="I134" s="783">
        <f t="shared" si="47"/>
        <v>12550</v>
      </c>
      <c r="J134" s="783">
        <f t="shared" si="48"/>
        <v>3690</v>
      </c>
      <c r="K134" s="808">
        <f t="shared" si="49"/>
        <v>16240</v>
      </c>
      <c r="L134" s="806">
        <f t="shared" si="50"/>
        <v>65.050000000000011</v>
      </c>
      <c r="M134" s="783">
        <f t="shared" si="50"/>
        <v>52500</v>
      </c>
      <c r="N134" s="783">
        <f t="shared" si="50"/>
        <v>14077</v>
      </c>
      <c r="O134" s="809">
        <f t="shared" si="50"/>
        <v>66577</v>
      </c>
    </row>
    <row r="135" spans="1:15" ht="15.75" customHeight="1" x14ac:dyDescent="0.2">
      <c r="A135" s="749">
        <v>336001</v>
      </c>
      <c r="B135" s="510">
        <v>336001</v>
      </c>
      <c r="C135" s="811" t="s">
        <v>309</v>
      </c>
      <c r="D135" s="812">
        <v>52.999999999985</v>
      </c>
      <c r="E135" s="813">
        <f t="shared" si="44"/>
        <v>53000</v>
      </c>
      <c r="F135" s="813">
        <f t="shared" si="45"/>
        <v>13780</v>
      </c>
      <c r="G135" s="814">
        <f t="shared" si="46"/>
        <v>66780</v>
      </c>
      <c r="H135" s="812">
        <v>55.999999999997996</v>
      </c>
      <c r="I135" s="813">
        <f t="shared" si="47"/>
        <v>28000</v>
      </c>
      <c r="J135" s="813">
        <f t="shared" si="48"/>
        <v>8232</v>
      </c>
      <c r="K135" s="815">
        <f t="shared" si="49"/>
        <v>36232</v>
      </c>
      <c r="L135" s="812">
        <f t="shared" si="50"/>
        <v>108.999999999983</v>
      </c>
      <c r="M135" s="813">
        <f t="shared" si="50"/>
        <v>81000</v>
      </c>
      <c r="N135" s="813">
        <f t="shared" si="50"/>
        <v>22012</v>
      </c>
      <c r="O135" s="816">
        <f t="shared" si="50"/>
        <v>103012</v>
      </c>
    </row>
    <row r="136" spans="1:15" ht="15.75" customHeight="1" x14ac:dyDescent="0.2">
      <c r="A136" s="508">
        <v>337001</v>
      </c>
      <c r="B136" s="226">
        <v>337001</v>
      </c>
      <c r="C136" s="506" t="s">
        <v>316</v>
      </c>
      <c r="D136" s="806">
        <v>77</v>
      </c>
      <c r="E136" s="783">
        <f t="shared" si="44"/>
        <v>77000</v>
      </c>
      <c r="F136" s="783">
        <f t="shared" si="45"/>
        <v>20020</v>
      </c>
      <c r="G136" s="807">
        <f t="shared" si="46"/>
        <v>97020</v>
      </c>
      <c r="H136" s="806">
        <v>108.5</v>
      </c>
      <c r="I136" s="783">
        <f t="shared" si="47"/>
        <v>54250</v>
      </c>
      <c r="J136" s="783">
        <f t="shared" si="48"/>
        <v>15950</v>
      </c>
      <c r="K136" s="808">
        <f t="shared" si="49"/>
        <v>70200</v>
      </c>
      <c r="L136" s="806">
        <f t="shared" si="50"/>
        <v>185.5</v>
      </c>
      <c r="M136" s="783">
        <f t="shared" si="50"/>
        <v>131250</v>
      </c>
      <c r="N136" s="783">
        <f t="shared" si="50"/>
        <v>35970</v>
      </c>
      <c r="O136" s="809">
        <f t="shared" si="50"/>
        <v>167220</v>
      </c>
    </row>
    <row r="137" spans="1:15" ht="15.75" customHeight="1" x14ac:dyDescent="0.2">
      <c r="A137" s="749">
        <v>340001</v>
      </c>
      <c r="B137" s="510">
        <v>340001</v>
      </c>
      <c r="C137" s="811" t="s">
        <v>310</v>
      </c>
      <c r="D137" s="812">
        <v>12</v>
      </c>
      <c r="E137" s="813">
        <f t="shared" si="44"/>
        <v>12000</v>
      </c>
      <c r="F137" s="813">
        <f t="shared" si="45"/>
        <v>3120</v>
      </c>
      <c r="G137" s="814">
        <f t="shared" si="46"/>
        <v>15120</v>
      </c>
      <c r="H137" s="812">
        <v>12.571428571</v>
      </c>
      <c r="I137" s="813">
        <f t="shared" si="47"/>
        <v>6286</v>
      </c>
      <c r="J137" s="813">
        <f t="shared" si="48"/>
        <v>1848</v>
      </c>
      <c r="K137" s="815">
        <f t="shared" si="49"/>
        <v>8134</v>
      </c>
      <c r="L137" s="812">
        <f t="shared" si="50"/>
        <v>24.571428570999998</v>
      </c>
      <c r="M137" s="813">
        <f t="shared" si="50"/>
        <v>18286</v>
      </c>
      <c r="N137" s="813">
        <f t="shared" si="50"/>
        <v>4968</v>
      </c>
      <c r="O137" s="816">
        <f t="shared" si="50"/>
        <v>23254</v>
      </c>
    </row>
    <row r="138" spans="1:15" ht="15.75" customHeight="1" thickBot="1" x14ac:dyDescent="0.25">
      <c r="A138" s="1358" t="s">
        <v>237</v>
      </c>
      <c r="B138" s="1359"/>
      <c r="C138" s="1360"/>
      <c r="D138" s="829">
        <f t="shared" ref="D138:O138" si="51">SUM(D131:D137)</f>
        <v>359.26825869160399</v>
      </c>
      <c r="E138" s="830">
        <f t="shared" si="51"/>
        <v>359268</v>
      </c>
      <c r="F138" s="830">
        <f t="shared" si="51"/>
        <v>93410</v>
      </c>
      <c r="G138" s="831">
        <f t="shared" si="51"/>
        <v>452678</v>
      </c>
      <c r="H138" s="829">
        <f>SUM(H131:H137)</f>
        <v>311.92474998037397</v>
      </c>
      <c r="I138" s="830">
        <f t="shared" si="51"/>
        <v>155963</v>
      </c>
      <c r="J138" s="830">
        <f t="shared" si="51"/>
        <v>45853</v>
      </c>
      <c r="K138" s="832">
        <f t="shared" si="51"/>
        <v>201816</v>
      </c>
      <c r="L138" s="829">
        <f t="shared" si="51"/>
        <v>671.19300867197796</v>
      </c>
      <c r="M138" s="830">
        <f t="shared" si="51"/>
        <v>515231</v>
      </c>
      <c r="N138" s="830">
        <f t="shared" si="51"/>
        <v>139263</v>
      </c>
      <c r="O138" s="833">
        <f t="shared" si="51"/>
        <v>654494</v>
      </c>
    </row>
    <row r="139" spans="1:15" ht="9" customHeight="1" thickTop="1" x14ac:dyDescent="0.2">
      <c r="A139" s="636"/>
      <c r="B139" s="637"/>
      <c r="C139" s="638"/>
      <c r="D139" s="836"/>
      <c r="E139" s="836"/>
      <c r="F139" s="836"/>
      <c r="G139" s="836"/>
      <c r="H139" s="836"/>
      <c r="I139" s="836"/>
      <c r="J139" s="836"/>
      <c r="K139" s="836"/>
      <c r="L139" s="836"/>
      <c r="M139" s="836"/>
      <c r="N139" s="836"/>
      <c r="O139" s="836"/>
    </row>
    <row r="140" spans="1:15" ht="27" customHeight="1" thickBot="1" x14ac:dyDescent="0.25">
      <c r="A140" s="1355" t="s">
        <v>1111</v>
      </c>
      <c r="B140" s="1356"/>
      <c r="C140" s="1357"/>
      <c r="D140" s="829">
        <f>D129+D138</f>
        <v>658.90392288860403</v>
      </c>
      <c r="E140" s="830">
        <f t="shared" ref="E140:O140" si="52">E129+E138</f>
        <v>658903</v>
      </c>
      <c r="F140" s="830">
        <f t="shared" si="52"/>
        <v>171316</v>
      </c>
      <c r="G140" s="831">
        <f t="shared" si="52"/>
        <v>830219</v>
      </c>
      <c r="H140" s="829">
        <f t="shared" si="52"/>
        <v>454.18294594437396</v>
      </c>
      <c r="I140" s="830">
        <f t="shared" si="52"/>
        <v>227093</v>
      </c>
      <c r="J140" s="830">
        <f t="shared" si="52"/>
        <v>66765</v>
      </c>
      <c r="K140" s="832">
        <f t="shared" si="52"/>
        <v>293858</v>
      </c>
      <c r="L140" s="829">
        <f t="shared" si="52"/>
        <v>1113.0868688329779</v>
      </c>
      <c r="M140" s="830">
        <f t="shared" si="52"/>
        <v>885996</v>
      </c>
      <c r="N140" s="830">
        <f t="shared" si="52"/>
        <v>238081</v>
      </c>
      <c r="O140" s="833">
        <f t="shared" si="52"/>
        <v>1124077</v>
      </c>
    </row>
    <row r="141" spans="1:15" ht="9" customHeight="1" thickTop="1" x14ac:dyDescent="0.2">
      <c r="A141" s="627"/>
      <c r="B141" s="628"/>
      <c r="C141" s="639"/>
      <c r="D141" s="834"/>
      <c r="E141" s="834"/>
      <c r="F141" s="834"/>
      <c r="G141" s="834"/>
      <c r="H141" s="834"/>
      <c r="I141" s="834"/>
      <c r="J141" s="834"/>
      <c r="K141" s="834"/>
      <c r="L141" s="834"/>
      <c r="M141" s="834"/>
      <c r="N141" s="834"/>
      <c r="O141" s="834"/>
    </row>
    <row r="142" spans="1:15" ht="26.25" customHeight="1" thickBot="1" x14ac:dyDescent="0.25">
      <c r="A142" s="1358" t="s">
        <v>238</v>
      </c>
      <c r="B142" s="1359"/>
      <c r="C142" s="1360"/>
      <c r="D142" s="829">
        <f>D121+D140</f>
        <v>59748.829938783791</v>
      </c>
      <c r="E142" s="830">
        <f t="shared" ref="E142:O142" si="53">E121+E140</f>
        <v>59748831</v>
      </c>
      <c r="F142" s="830">
        <f t="shared" si="53"/>
        <v>15534695</v>
      </c>
      <c r="G142" s="831">
        <f t="shared" si="53"/>
        <v>75283526</v>
      </c>
      <c r="H142" s="829">
        <f t="shared" si="53"/>
        <v>38228.231265322058</v>
      </c>
      <c r="I142" s="830">
        <f t="shared" si="53"/>
        <v>19114114</v>
      </c>
      <c r="J142" s="830">
        <f t="shared" si="53"/>
        <v>5619550</v>
      </c>
      <c r="K142" s="832">
        <f t="shared" si="53"/>
        <v>24733664</v>
      </c>
      <c r="L142" s="829">
        <f t="shared" si="53"/>
        <v>97977.061204105834</v>
      </c>
      <c r="M142" s="830">
        <f t="shared" si="53"/>
        <v>78862945</v>
      </c>
      <c r="N142" s="830">
        <f t="shared" si="53"/>
        <v>21154245</v>
      </c>
      <c r="O142" s="833">
        <f t="shared" si="53"/>
        <v>100017190</v>
      </c>
    </row>
    <row r="143" spans="1:15" ht="13.5" thickTop="1" x14ac:dyDescent="0.2"/>
  </sheetData>
  <sheetProtection password="D893" sheet="1" objects="1" scenarios="1"/>
  <sortState ref="A91:O110">
    <sortCondition sortBy="cellColor" ref="A91:A110" dxfId="70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4">
    <mergeCell ref="N1:N4"/>
    <mergeCell ref="O1:O4"/>
    <mergeCell ref="A121:C121"/>
    <mergeCell ref="A140:C140"/>
    <mergeCell ref="A142:C142"/>
    <mergeCell ref="A1:C4"/>
    <mergeCell ref="G1:G4"/>
    <mergeCell ref="K1:K4"/>
    <mergeCell ref="M1:M4"/>
    <mergeCell ref="A76:C76"/>
    <mergeCell ref="A129:C129"/>
    <mergeCell ref="A138:C138"/>
    <mergeCell ref="A110:C110"/>
    <mergeCell ref="A119:C119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FY2020-21 Budget Letter&amp;K000000
FY2019-20 Certificated and Non-Certificated Pay Raises</oddHeader>
    <oddFooter>&amp;L*Final Pay Raises based on Profile of Educational Personnel (PEP) data as of October 1, 2020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141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ColWidth="9.140625" defaultRowHeight="12.75" x14ac:dyDescent="0.2"/>
  <cols>
    <col min="1" max="1" width="9" style="24" bestFit="1" customWidth="1"/>
    <col min="2" max="2" width="9" style="24" hidden="1" customWidth="1"/>
    <col min="3" max="3" width="36.28515625" style="23" customWidth="1"/>
    <col min="4" max="4" width="14.140625" style="21" customWidth="1"/>
    <col min="5" max="5" width="14.42578125" style="21" customWidth="1"/>
    <col min="6" max="7" width="12.7109375" style="23" customWidth="1"/>
    <col min="8" max="10" width="12.7109375" style="21" customWidth="1"/>
    <col min="11" max="11" width="12.5703125" style="21" customWidth="1"/>
    <col min="12" max="12" width="12.7109375" style="23" bestFit="1" customWidth="1"/>
    <col min="13" max="13" width="12.85546875" style="23" customWidth="1"/>
    <col min="14" max="14" width="12" style="23" customWidth="1"/>
    <col min="15" max="15" width="12.85546875" style="23" customWidth="1"/>
    <col min="16" max="16" width="12.42578125" style="23" bestFit="1" customWidth="1"/>
    <col min="17" max="17" width="12.85546875" style="23" customWidth="1"/>
    <col min="18" max="18" width="13" style="21" customWidth="1"/>
    <col min="19" max="19" width="0" style="21" hidden="1" customWidth="1"/>
    <col min="20" max="16384" width="9.140625" style="21"/>
  </cols>
  <sheetData>
    <row r="1" spans="1:19" ht="32.25" customHeight="1" x14ac:dyDescent="0.2">
      <c r="A1" s="1365" t="s">
        <v>1297</v>
      </c>
      <c r="B1" s="1365"/>
      <c r="C1" s="1365"/>
      <c r="D1" s="1370" t="s">
        <v>884</v>
      </c>
      <c r="E1" s="1370"/>
      <c r="F1" s="1371" t="s">
        <v>1371</v>
      </c>
      <c r="G1" s="1371"/>
      <c r="H1" s="1371"/>
      <c r="I1" s="1371"/>
      <c r="J1" s="1371"/>
      <c r="K1" s="1373" t="s">
        <v>321</v>
      </c>
      <c r="L1" s="1373"/>
      <c r="M1" s="1375" t="s">
        <v>339</v>
      </c>
      <c r="N1" s="1369" t="s">
        <v>292</v>
      </c>
      <c r="O1" s="1369"/>
      <c r="P1" s="1369"/>
      <c r="Q1" s="1369"/>
      <c r="R1" s="1366" t="s">
        <v>836</v>
      </c>
    </row>
    <row r="2" spans="1:19" ht="95.25" customHeight="1" x14ac:dyDescent="0.2">
      <c r="A2" s="1365"/>
      <c r="B2" s="1365"/>
      <c r="C2" s="1365"/>
      <c r="D2" s="1374" t="s">
        <v>1251</v>
      </c>
      <c r="E2" s="588" t="s">
        <v>508</v>
      </c>
      <c r="F2" s="1367" t="s">
        <v>1408</v>
      </c>
      <c r="G2" s="589" t="s">
        <v>506</v>
      </c>
      <c r="H2" s="1367" t="s">
        <v>1347</v>
      </c>
      <c r="I2" s="589" t="s">
        <v>837</v>
      </c>
      <c r="J2" s="1367" t="s">
        <v>507</v>
      </c>
      <c r="K2" s="1372" t="s">
        <v>1414</v>
      </c>
      <c r="L2" s="748" t="s">
        <v>350</v>
      </c>
      <c r="M2" s="1375"/>
      <c r="N2" s="1368" t="s">
        <v>1348</v>
      </c>
      <c r="O2" s="590" t="s">
        <v>349</v>
      </c>
      <c r="P2" s="1368" t="s">
        <v>1349</v>
      </c>
      <c r="Q2" s="1368" t="s">
        <v>349</v>
      </c>
      <c r="R2" s="1366"/>
      <c r="S2" s="1376" t="s">
        <v>1410</v>
      </c>
    </row>
    <row r="3" spans="1:19" ht="17.25" customHeight="1" x14ac:dyDescent="0.2">
      <c r="A3" s="1365"/>
      <c r="B3" s="1365"/>
      <c r="C3" s="1365"/>
      <c r="D3" s="1374"/>
      <c r="E3" s="497">
        <v>21000</v>
      </c>
      <c r="F3" s="1367"/>
      <c r="G3" s="498">
        <v>6000</v>
      </c>
      <c r="H3" s="1367"/>
      <c r="I3" s="498">
        <v>4000</v>
      </c>
      <c r="J3" s="1367"/>
      <c r="K3" s="1372"/>
      <c r="L3" s="499">
        <f>ROUND(0.06*'3_Levels 1&amp;2'!$Q$1,0)</f>
        <v>241</v>
      </c>
      <c r="M3" s="500">
        <v>12000000</v>
      </c>
      <c r="N3" s="1368"/>
      <c r="O3" s="591">
        <v>59</v>
      </c>
      <c r="P3" s="1368"/>
      <c r="Q3" s="1368"/>
      <c r="R3" s="1366"/>
      <c r="S3" s="1377"/>
    </row>
    <row r="4" spans="1:19" ht="13.35" customHeight="1" x14ac:dyDescent="0.2">
      <c r="A4" s="727"/>
      <c r="B4" s="729"/>
      <c r="C4" s="728"/>
      <c r="D4" s="501">
        <v>1</v>
      </c>
      <c r="E4" s="501">
        <f>D4+1</f>
        <v>2</v>
      </c>
      <c r="F4" s="501">
        <f t="shared" ref="F4:R4" si="0">E4+1</f>
        <v>3</v>
      </c>
      <c r="G4" s="501">
        <f t="shared" si="0"/>
        <v>4</v>
      </c>
      <c r="H4" s="501">
        <f t="shared" si="0"/>
        <v>5</v>
      </c>
      <c r="I4" s="501">
        <f t="shared" si="0"/>
        <v>6</v>
      </c>
      <c r="J4" s="501">
        <f>I4+1</f>
        <v>7</v>
      </c>
      <c r="K4" s="501">
        <f>J4+1</f>
        <v>8</v>
      </c>
      <c r="L4" s="501">
        <f>$K4+1</f>
        <v>9</v>
      </c>
      <c r="M4" s="501">
        <f>L4+1</f>
        <v>10</v>
      </c>
      <c r="N4" s="501">
        <f>M4+1</f>
        <v>11</v>
      </c>
      <c r="O4" s="501">
        <f>N4+1</f>
        <v>12</v>
      </c>
      <c r="P4" s="501">
        <f t="shared" si="0"/>
        <v>13</v>
      </c>
      <c r="Q4" s="501">
        <f t="shared" si="0"/>
        <v>14</v>
      </c>
      <c r="R4" s="501">
        <f t="shared" si="0"/>
        <v>15</v>
      </c>
      <c r="S4" s="501"/>
    </row>
    <row r="5" spans="1:19" s="643" customFormat="1" ht="24.75" customHeight="1" x14ac:dyDescent="0.2">
      <c r="A5" s="641"/>
      <c r="B5" s="642"/>
      <c r="C5" s="645"/>
      <c r="D5" s="646" t="s">
        <v>1230</v>
      </c>
      <c r="E5" s="644" t="s">
        <v>1014</v>
      </c>
      <c r="F5" s="646" t="s">
        <v>747</v>
      </c>
      <c r="G5" s="644" t="s">
        <v>1015</v>
      </c>
      <c r="H5" s="646" t="s">
        <v>748</v>
      </c>
      <c r="I5" s="644" t="s">
        <v>1016</v>
      </c>
      <c r="J5" s="646" t="s">
        <v>749</v>
      </c>
      <c r="K5" s="646" t="s">
        <v>750</v>
      </c>
      <c r="L5" s="644" t="s">
        <v>1426</v>
      </c>
      <c r="M5" s="646" t="s">
        <v>751</v>
      </c>
      <c r="N5" s="646" t="s">
        <v>1230</v>
      </c>
      <c r="O5" s="644" t="s">
        <v>1017</v>
      </c>
      <c r="P5" s="646" t="s">
        <v>1215</v>
      </c>
      <c r="Q5" s="646" t="s">
        <v>752</v>
      </c>
      <c r="R5" s="646" t="s">
        <v>753</v>
      </c>
      <c r="S5" s="647"/>
    </row>
    <row r="6" spans="1:19" s="643" customFormat="1" ht="24.75" hidden="1" customHeight="1" x14ac:dyDescent="0.2">
      <c r="A6" s="641"/>
      <c r="B6" s="642"/>
      <c r="C6" s="645"/>
      <c r="D6" s="646" t="s">
        <v>758</v>
      </c>
      <c r="E6" s="644" t="s">
        <v>754</v>
      </c>
      <c r="F6" s="646" t="s">
        <v>758</v>
      </c>
      <c r="G6" s="644" t="s">
        <v>755</v>
      </c>
      <c r="H6" s="646" t="s">
        <v>758</v>
      </c>
      <c r="I6" s="644" t="s">
        <v>756</v>
      </c>
      <c r="J6" s="646" t="s">
        <v>555</v>
      </c>
      <c r="K6" s="646" t="s">
        <v>758</v>
      </c>
      <c r="L6" s="644" t="s">
        <v>757</v>
      </c>
      <c r="M6" s="646" t="s">
        <v>758</v>
      </c>
      <c r="N6" s="646" t="s">
        <v>885</v>
      </c>
      <c r="O6" s="644" t="s">
        <v>759</v>
      </c>
      <c r="P6" s="646" t="s">
        <v>758</v>
      </c>
      <c r="Q6" s="646" t="s">
        <v>555</v>
      </c>
      <c r="R6" s="646" t="s">
        <v>555</v>
      </c>
      <c r="S6" s="647"/>
    </row>
    <row r="7" spans="1:19" ht="15" customHeight="1" x14ac:dyDescent="0.2">
      <c r="A7" s="502">
        <v>1</v>
      </c>
      <c r="B7" s="503">
        <v>1</v>
      </c>
      <c r="C7" s="504" t="s">
        <v>4</v>
      </c>
      <c r="D7" s="515">
        <v>0</v>
      </c>
      <c r="E7" s="553">
        <f t="shared" ref="E7:E70" si="1">ROUND($E$3*D7,0)</f>
        <v>0</v>
      </c>
      <c r="F7" s="515">
        <v>0</v>
      </c>
      <c r="G7" s="557">
        <f>ROUND($G$3*F7,0)</f>
        <v>0</v>
      </c>
      <c r="H7" s="515"/>
      <c r="I7" s="557">
        <f>ROUND($I$3*H7,0)</f>
        <v>0</v>
      </c>
      <c r="J7" s="557">
        <f>G7+I7</f>
        <v>0</v>
      </c>
      <c r="K7" s="1231">
        <v>1053</v>
      </c>
      <c r="L7" s="566">
        <f t="shared" ref="L7:L41" si="2">ROUND(IF(AND(L$3*K7&lt;25000,$S7&gt;0),25000,L$3*K7),0)</f>
        <v>253773</v>
      </c>
      <c r="M7" s="567">
        <v>0</v>
      </c>
      <c r="N7" s="515">
        <v>3978</v>
      </c>
      <c r="O7" s="572">
        <f>N7*$O$3</f>
        <v>234702</v>
      </c>
      <c r="P7" s="557"/>
      <c r="Q7" s="1234">
        <f>O7+P7</f>
        <v>234702</v>
      </c>
      <c r="R7" s="573">
        <f t="shared" ref="R7:R38" si="3">L7+J7+E7+M7+Q7</f>
        <v>488475</v>
      </c>
      <c r="S7" s="505">
        <v>2575</v>
      </c>
    </row>
    <row r="8" spans="1:19" ht="15" customHeight="1" x14ac:dyDescent="0.2">
      <c r="A8" s="44">
        <v>2</v>
      </c>
      <c r="B8" s="226">
        <v>2</v>
      </c>
      <c r="C8" s="506" t="s">
        <v>5</v>
      </c>
      <c r="D8" s="513">
        <v>0</v>
      </c>
      <c r="E8" s="554">
        <f t="shared" si="1"/>
        <v>0</v>
      </c>
      <c r="F8" s="513">
        <v>0</v>
      </c>
      <c r="G8" s="558">
        <f t="shared" ref="G8:G71" si="4">ROUND($G$3*F8,0)</f>
        <v>0</v>
      </c>
      <c r="H8" s="513"/>
      <c r="I8" s="558">
        <f t="shared" ref="I8:I71" si="5">ROUND($I$3*H8,0)</f>
        <v>0</v>
      </c>
      <c r="J8" s="558">
        <f t="shared" ref="J8:J71" si="6">G8+I8</f>
        <v>0</v>
      </c>
      <c r="K8" s="1068">
        <v>352</v>
      </c>
      <c r="L8" s="562">
        <f t="shared" si="2"/>
        <v>84832</v>
      </c>
      <c r="M8" s="563">
        <v>0</v>
      </c>
      <c r="N8" s="513">
        <v>1744</v>
      </c>
      <c r="O8" s="574">
        <f t="shared" ref="O8:O71" si="7">N8*$O$3</f>
        <v>102896</v>
      </c>
      <c r="P8" s="558"/>
      <c r="Q8" s="1235">
        <f t="shared" ref="Q8:Q71" si="8">O8+P8</f>
        <v>102896</v>
      </c>
      <c r="R8" s="575">
        <f t="shared" si="3"/>
        <v>187728</v>
      </c>
      <c r="S8" s="507">
        <v>1154</v>
      </c>
    </row>
    <row r="9" spans="1:19" ht="15" customHeight="1" x14ac:dyDescent="0.2">
      <c r="A9" s="508">
        <v>3</v>
      </c>
      <c r="B9" s="226">
        <v>3</v>
      </c>
      <c r="C9" s="506" t="s">
        <v>6</v>
      </c>
      <c r="D9" s="513">
        <v>0</v>
      </c>
      <c r="E9" s="554">
        <f t="shared" si="1"/>
        <v>0</v>
      </c>
      <c r="F9" s="513">
        <v>0</v>
      </c>
      <c r="G9" s="558">
        <f t="shared" si="4"/>
        <v>0</v>
      </c>
      <c r="H9" s="513"/>
      <c r="I9" s="558">
        <f t="shared" si="5"/>
        <v>0</v>
      </c>
      <c r="J9" s="558">
        <f t="shared" si="6"/>
        <v>0</v>
      </c>
      <c r="K9" s="1068">
        <v>4421</v>
      </c>
      <c r="L9" s="562">
        <f t="shared" si="2"/>
        <v>1065461</v>
      </c>
      <c r="M9" s="563">
        <v>368845</v>
      </c>
      <c r="N9" s="513">
        <v>10255</v>
      </c>
      <c r="O9" s="574">
        <f t="shared" si="7"/>
        <v>605045</v>
      </c>
      <c r="P9" s="558"/>
      <c r="Q9" s="1235">
        <f t="shared" si="8"/>
        <v>605045</v>
      </c>
      <c r="R9" s="575">
        <f t="shared" si="3"/>
        <v>2039351</v>
      </c>
      <c r="S9" s="507">
        <v>6997</v>
      </c>
    </row>
    <row r="10" spans="1:19" ht="15" customHeight="1" x14ac:dyDescent="0.2">
      <c r="A10" s="508">
        <v>4</v>
      </c>
      <c r="B10" s="226">
        <v>4</v>
      </c>
      <c r="C10" s="506" t="s">
        <v>7</v>
      </c>
      <c r="D10" s="513">
        <v>2</v>
      </c>
      <c r="E10" s="554">
        <f t="shared" si="1"/>
        <v>42000</v>
      </c>
      <c r="F10" s="513">
        <v>0</v>
      </c>
      <c r="G10" s="558">
        <f t="shared" si="4"/>
        <v>0</v>
      </c>
      <c r="H10" s="513"/>
      <c r="I10" s="558">
        <f t="shared" si="5"/>
        <v>0</v>
      </c>
      <c r="J10" s="558">
        <f t="shared" si="6"/>
        <v>0</v>
      </c>
      <c r="K10" s="1068">
        <v>228</v>
      </c>
      <c r="L10" s="562">
        <f t="shared" si="2"/>
        <v>54948</v>
      </c>
      <c r="M10" s="563">
        <v>571383</v>
      </c>
      <c r="N10" s="513">
        <v>1425</v>
      </c>
      <c r="O10" s="574">
        <f t="shared" si="7"/>
        <v>84075</v>
      </c>
      <c r="P10" s="558"/>
      <c r="Q10" s="1235">
        <f t="shared" si="8"/>
        <v>84075</v>
      </c>
      <c r="R10" s="575">
        <f t="shared" si="3"/>
        <v>752406</v>
      </c>
      <c r="S10" s="507">
        <v>926</v>
      </c>
    </row>
    <row r="11" spans="1:19" ht="15" customHeight="1" x14ac:dyDescent="0.2">
      <c r="A11" s="509">
        <v>5</v>
      </c>
      <c r="B11" s="510">
        <v>5</v>
      </c>
      <c r="C11" s="511" t="s">
        <v>8</v>
      </c>
      <c r="D11" s="514">
        <v>0</v>
      </c>
      <c r="E11" s="555">
        <f t="shared" si="1"/>
        <v>0</v>
      </c>
      <c r="F11" s="514">
        <v>0</v>
      </c>
      <c r="G11" s="559">
        <f t="shared" si="4"/>
        <v>0</v>
      </c>
      <c r="H11" s="514"/>
      <c r="I11" s="559">
        <f t="shared" si="5"/>
        <v>0</v>
      </c>
      <c r="J11" s="559">
        <f t="shared" si="6"/>
        <v>0</v>
      </c>
      <c r="K11" s="1232">
        <v>843</v>
      </c>
      <c r="L11" s="564">
        <f t="shared" si="2"/>
        <v>203163</v>
      </c>
      <c r="M11" s="565">
        <v>102834</v>
      </c>
      <c r="N11" s="514">
        <v>2216</v>
      </c>
      <c r="O11" s="576">
        <f t="shared" si="7"/>
        <v>130744</v>
      </c>
      <c r="P11" s="559"/>
      <c r="Q11" s="1236">
        <f t="shared" si="8"/>
        <v>130744</v>
      </c>
      <c r="R11" s="577">
        <f t="shared" si="3"/>
        <v>436741</v>
      </c>
      <c r="S11" s="512">
        <v>1552</v>
      </c>
    </row>
    <row r="12" spans="1:19" ht="15" customHeight="1" x14ac:dyDescent="0.2">
      <c r="A12" s="502">
        <v>6</v>
      </c>
      <c r="B12" s="503">
        <v>6</v>
      </c>
      <c r="C12" s="504" t="s">
        <v>9</v>
      </c>
      <c r="D12" s="515">
        <v>0</v>
      </c>
      <c r="E12" s="553">
        <f t="shared" si="1"/>
        <v>0</v>
      </c>
      <c r="F12" s="515">
        <v>0</v>
      </c>
      <c r="G12" s="557">
        <f t="shared" si="4"/>
        <v>0</v>
      </c>
      <c r="H12" s="515"/>
      <c r="I12" s="557">
        <f t="shared" si="5"/>
        <v>0</v>
      </c>
      <c r="J12" s="557">
        <f t="shared" si="6"/>
        <v>0</v>
      </c>
      <c r="K12" s="1231">
        <v>406</v>
      </c>
      <c r="L12" s="566">
        <f t="shared" si="2"/>
        <v>97846</v>
      </c>
      <c r="M12" s="567">
        <v>0</v>
      </c>
      <c r="N12" s="515">
        <v>2547</v>
      </c>
      <c r="O12" s="572">
        <f t="shared" si="7"/>
        <v>150273</v>
      </c>
      <c r="P12" s="557"/>
      <c r="Q12" s="1234">
        <f t="shared" si="8"/>
        <v>150273</v>
      </c>
      <c r="R12" s="573">
        <f t="shared" si="3"/>
        <v>248119</v>
      </c>
      <c r="S12" s="505">
        <v>1644</v>
      </c>
    </row>
    <row r="13" spans="1:19" ht="15" customHeight="1" x14ac:dyDescent="0.2">
      <c r="A13" s="508">
        <v>7</v>
      </c>
      <c r="B13" s="226">
        <v>7</v>
      </c>
      <c r="C13" s="506" t="s">
        <v>10</v>
      </c>
      <c r="D13" s="513">
        <v>0</v>
      </c>
      <c r="E13" s="554">
        <f t="shared" si="1"/>
        <v>0</v>
      </c>
      <c r="F13" s="513">
        <v>0</v>
      </c>
      <c r="G13" s="558">
        <f t="shared" si="4"/>
        <v>0</v>
      </c>
      <c r="H13" s="513"/>
      <c r="I13" s="558">
        <f t="shared" si="5"/>
        <v>0</v>
      </c>
      <c r="J13" s="558">
        <f t="shared" si="6"/>
        <v>0</v>
      </c>
      <c r="K13" s="1068">
        <v>183</v>
      </c>
      <c r="L13" s="562">
        <f t="shared" si="2"/>
        <v>44103</v>
      </c>
      <c r="M13" s="563">
        <v>0</v>
      </c>
      <c r="N13" s="513">
        <v>915</v>
      </c>
      <c r="O13" s="574">
        <f t="shared" si="7"/>
        <v>53985</v>
      </c>
      <c r="P13" s="558"/>
      <c r="Q13" s="1235">
        <f t="shared" si="8"/>
        <v>53985</v>
      </c>
      <c r="R13" s="575">
        <f t="shared" si="3"/>
        <v>98088</v>
      </c>
      <c r="S13" s="507">
        <v>595</v>
      </c>
    </row>
    <row r="14" spans="1:19" ht="15" customHeight="1" x14ac:dyDescent="0.2">
      <c r="A14" s="508">
        <v>8</v>
      </c>
      <c r="B14" s="226">
        <v>8</v>
      </c>
      <c r="C14" s="506" t="s">
        <v>11</v>
      </c>
      <c r="D14" s="513">
        <v>3</v>
      </c>
      <c r="E14" s="554">
        <f t="shared" si="1"/>
        <v>63000</v>
      </c>
      <c r="F14" s="513">
        <v>4</v>
      </c>
      <c r="G14" s="558">
        <f t="shared" si="4"/>
        <v>24000</v>
      </c>
      <c r="H14" s="513"/>
      <c r="I14" s="558">
        <f t="shared" si="5"/>
        <v>0</v>
      </c>
      <c r="J14" s="558">
        <f t="shared" si="6"/>
        <v>24000</v>
      </c>
      <c r="K14" s="1068">
        <v>1233</v>
      </c>
      <c r="L14" s="562">
        <f t="shared" si="2"/>
        <v>297153</v>
      </c>
      <c r="M14" s="563">
        <v>0</v>
      </c>
      <c r="N14" s="513">
        <v>9769</v>
      </c>
      <c r="O14" s="574">
        <f t="shared" si="7"/>
        <v>576371</v>
      </c>
      <c r="P14" s="558"/>
      <c r="Q14" s="1235">
        <f t="shared" si="8"/>
        <v>576371</v>
      </c>
      <c r="R14" s="575">
        <f t="shared" si="3"/>
        <v>960524</v>
      </c>
      <c r="S14" s="507">
        <v>6564</v>
      </c>
    </row>
    <row r="15" spans="1:19" ht="15" customHeight="1" x14ac:dyDescent="0.2">
      <c r="A15" s="508">
        <v>9</v>
      </c>
      <c r="B15" s="226">
        <v>9</v>
      </c>
      <c r="C15" s="506" t="s">
        <v>12</v>
      </c>
      <c r="D15" s="513">
        <v>10</v>
      </c>
      <c r="E15" s="554">
        <f t="shared" si="1"/>
        <v>210000</v>
      </c>
      <c r="F15" s="513">
        <v>0</v>
      </c>
      <c r="G15" s="558">
        <f t="shared" si="4"/>
        <v>0</v>
      </c>
      <c r="H15" s="513"/>
      <c r="I15" s="558">
        <f t="shared" si="5"/>
        <v>0</v>
      </c>
      <c r="J15" s="558">
        <f t="shared" si="6"/>
        <v>0</v>
      </c>
      <c r="K15" s="1068">
        <v>4107</v>
      </c>
      <c r="L15" s="562">
        <f t="shared" si="2"/>
        <v>989787</v>
      </c>
      <c r="M15" s="563">
        <v>0</v>
      </c>
      <c r="N15" s="513">
        <v>16555</v>
      </c>
      <c r="O15" s="574">
        <f t="shared" si="7"/>
        <v>976745</v>
      </c>
      <c r="P15" s="558"/>
      <c r="Q15" s="1235">
        <f t="shared" si="8"/>
        <v>976745</v>
      </c>
      <c r="R15" s="575">
        <f t="shared" si="3"/>
        <v>2176532</v>
      </c>
      <c r="S15" s="507">
        <v>11108</v>
      </c>
    </row>
    <row r="16" spans="1:19" ht="15" customHeight="1" x14ac:dyDescent="0.2">
      <c r="A16" s="509">
        <v>10</v>
      </c>
      <c r="B16" s="510">
        <v>10</v>
      </c>
      <c r="C16" s="511" t="s">
        <v>13</v>
      </c>
      <c r="D16" s="514">
        <v>37</v>
      </c>
      <c r="E16" s="555">
        <f t="shared" si="1"/>
        <v>777000</v>
      </c>
      <c r="F16" s="514">
        <v>0</v>
      </c>
      <c r="G16" s="559">
        <f t="shared" si="4"/>
        <v>0</v>
      </c>
      <c r="H16" s="514"/>
      <c r="I16" s="559">
        <f t="shared" si="5"/>
        <v>0</v>
      </c>
      <c r="J16" s="559">
        <f t="shared" si="6"/>
        <v>0</v>
      </c>
      <c r="K16" s="1232">
        <v>2676</v>
      </c>
      <c r="L16" s="564">
        <f t="shared" si="2"/>
        <v>644916</v>
      </c>
      <c r="M16" s="565">
        <v>1511907</v>
      </c>
      <c r="N16" s="514">
        <v>13498</v>
      </c>
      <c r="O16" s="576">
        <f t="shared" si="7"/>
        <v>796382</v>
      </c>
      <c r="P16" s="559"/>
      <c r="Q16" s="1236">
        <f t="shared" si="8"/>
        <v>796382</v>
      </c>
      <c r="R16" s="577">
        <f t="shared" si="3"/>
        <v>3730205</v>
      </c>
      <c r="S16" s="512">
        <v>8387</v>
      </c>
    </row>
    <row r="17" spans="1:19" ht="15" customHeight="1" x14ac:dyDescent="0.2">
      <c r="A17" s="502">
        <v>11</v>
      </c>
      <c r="B17" s="503">
        <v>11</v>
      </c>
      <c r="C17" s="504" t="s">
        <v>14</v>
      </c>
      <c r="D17" s="515">
        <v>0</v>
      </c>
      <c r="E17" s="553">
        <f t="shared" si="1"/>
        <v>0</v>
      </c>
      <c r="F17" s="515">
        <v>0</v>
      </c>
      <c r="G17" s="557">
        <f t="shared" si="4"/>
        <v>0</v>
      </c>
      <c r="H17" s="515"/>
      <c r="I17" s="557">
        <f t="shared" si="5"/>
        <v>0</v>
      </c>
      <c r="J17" s="557">
        <f t="shared" si="6"/>
        <v>0</v>
      </c>
      <c r="K17" s="1231">
        <v>298</v>
      </c>
      <c r="L17" s="566">
        <f t="shared" si="2"/>
        <v>71818</v>
      </c>
      <c r="M17" s="567">
        <v>0</v>
      </c>
      <c r="N17" s="515">
        <v>677</v>
      </c>
      <c r="O17" s="572">
        <f t="shared" si="7"/>
        <v>39943</v>
      </c>
      <c r="P17" s="557"/>
      <c r="Q17" s="1234">
        <f t="shared" si="8"/>
        <v>39943</v>
      </c>
      <c r="R17" s="573">
        <f t="shared" si="3"/>
        <v>111761</v>
      </c>
      <c r="S17" s="505">
        <v>440</v>
      </c>
    </row>
    <row r="18" spans="1:19" ht="15" customHeight="1" x14ac:dyDescent="0.2">
      <c r="A18" s="508">
        <v>12</v>
      </c>
      <c r="B18" s="226">
        <v>12</v>
      </c>
      <c r="C18" s="506" t="s">
        <v>15</v>
      </c>
      <c r="D18" s="513">
        <v>0</v>
      </c>
      <c r="E18" s="554">
        <f t="shared" si="1"/>
        <v>0</v>
      </c>
      <c r="F18" s="513">
        <v>0</v>
      </c>
      <c r="G18" s="558">
        <f t="shared" si="4"/>
        <v>0</v>
      </c>
      <c r="H18" s="513"/>
      <c r="I18" s="558">
        <f t="shared" si="5"/>
        <v>0</v>
      </c>
      <c r="J18" s="558">
        <f t="shared" si="6"/>
        <v>0</v>
      </c>
      <c r="K18" s="1068">
        <v>80</v>
      </c>
      <c r="L18" s="562">
        <f t="shared" si="2"/>
        <v>25000</v>
      </c>
      <c r="M18" s="563">
        <v>0</v>
      </c>
      <c r="N18" s="513">
        <v>567</v>
      </c>
      <c r="O18" s="574">
        <f t="shared" si="7"/>
        <v>33453</v>
      </c>
      <c r="P18" s="558"/>
      <c r="Q18" s="1235">
        <f t="shared" si="8"/>
        <v>33453</v>
      </c>
      <c r="R18" s="575">
        <f t="shared" si="3"/>
        <v>58453</v>
      </c>
      <c r="S18" s="507">
        <v>351</v>
      </c>
    </row>
    <row r="19" spans="1:19" ht="15" customHeight="1" x14ac:dyDescent="0.2">
      <c r="A19" s="508">
        <v>13</v>
      </c>
      <c r="B19" s="226">
        <v>13</v>
      </c>
      <c r="C19" s="506" t="s">
        <v>16</v>
      </c>
      <c r="D19" s="513">
        <v>0</v>
      </c>
      <c r="E19" s="554">
        <f t="shared" si="1"/>
        <v>0</v>
      </c>
      <c r="F19" s="513">
        <v>0</v>
      </c>
      <c r="G19" s="558">
        <f t="shared" si="4"/>
        <v>0</v>
      </c>
      <c r="H19" s="513"/>
      <c r="I19" s="558">
        <f t="shared" si="5"/>
        <v>0</v>
      </c>
      <c r="J19" s="558">
        <f t="shared" si="6"/>
        <v>0</v>
      </c>
      <c r="K19" s="1068">
        <v>147</v>
      </c>
      <c r="L19" s="562">
        <f t="shared" si="2"/>
        <v>35427</v>
      </c>
      <c r="M19" s="563">
        <v>0</v>
      </c>
      <c r="N19" s="513">
        <v>475</v>
      </c>
      <c r="O19" s="574">
        <f t="shared" si="7"/>
        <v>28025</v>
      </c>
      <c r="P19" s="558"/>
      <c r="Q19" s="1235">
        <f t="shared" si="8"/>
        <v>28025</v>
      </c>
      <c r="R19" s="575">
        <f t="shared" si="3"/>
        <v>63452</v>
      </c>
      <c r="S19" s="507">
        <v>308</v>
      </c>
    </row>
    <row r="20" spans="1:19" ht="15" customHeight="1" x14ac:dyDescent="0.2">
      <c r="A20" s="508">
        <v>14</v>
      </c>
      <c r="B20" s="226">
        <v>14</v>
      </c>
      <c r="C20" s="506" t="s">
        <v>17</v>
      </c>
      <c r="D20" s="513">
        <v>0</v>
      </c>
      <c r="E20" s="554">
        <f t="shared" si="1"/>
        <v>0</v>
      </c>
      <c r="F20" s="513">
        <v>0</v>
      </c>
      <c r="G20" s="558">
        <f t="shared" si="4"/>
        <v>0</v>
      </c>
      <c r="H20" s="513"/>
      <c r="I20" s="558">
        <f t="shared" si="5"/>
        <v>0</v>
      </c>
      <c r="J20" s="558">
        <f t="shared" si="6"/>
        <v>0</v>
      </c>
      <c r="K20" s="1068">
        <v>310</v>
      </c>
      <c r="L20" s="562">
        <f t="shared" si="2"/>
        <v>74710</v>
      </c>
      <c r="M20" s="563">
        <v>0</v>
      </c>
      <c r="N20" s="513">
        <v>664</v>
      </c>
      <c r="O20" s="574">
        <f t="shared" si="7"/>
        <v>39176</v>
      </c>
      <c r="P20" s="558"/>
      <c r="Q20" s="1235">
        <f t="shared" si="8"/>
        <v>39176</v>
      </c>
      <c r="R20" s="575">
        <f t="shared" si="3"/>
        <v>113886</v>
      </c>
      <c r="S20" s="507">
        <v>412</v>
      </c>
    </row>
    <row r="21" spans="1:19" ht="15" customHeight="1" x14ac:dyDescent="0.2">
      <c r="A21" s="509">
        <v>15</v>
      </c>
      <c r="B21" s="510">
        <v>15</v>
      </c>
      <c r="C21" s="511" t="s">
        <v>18</v>
      </c>
      <c r="D21" s="514">
        <v>2</v>
      </c>
      <c r="E21" s="555">
        <f t="shared" si="1"/>
        <v>42000</v>
      </c>
      <c r="F21" s="514">
        <v>0</v>
      </c>
      <c r="G21" s="559">
        <f t="shared" si="4"/>
        <v>0</v>
      </c>
      <c r="H21" s="514"/>
      <c r="I21" s="559">
        <f t="shared" si="5"/>
        <v>0</v>
      </c>
      <c r="J21" s="559">
        <f t="shared" si="6"/>
        <v>0</v>
      </c>
      <c r="K21" s="1232">
        <v>434</v>
      </c>
      <c r="L21" s="564">
        <f t="shared" si="2"/>
        <v>104594</v>
      </c>
      <c r="M21" s="565">
        <v>0</v>
      </c>
      <c r="N21" s="514">
        <v>1392</v>
      </c>
      <c r="O21" s="576">
        <f t="shared" si="7"/>
        <v>82128</v>
      </c>
      <c r="P21" s="559"/>
      <c r="Q21" s="1236">
        <f t="shared" si="8"/>
        <v>82128</v>
      </c>
      <c r="R21" s="577">
        <f t="shared" si="3"/>
        <v>228722</v>
      </c>
      <c r="S21" s="512">
        <v>913</v>
      </c>
    </row>
    <row r="22" spans="1:19" ht="15" customHeight="1" x14ac:dyDescent="0.2">
      <c r="A22" s="502">
        <v>16</v>
      </c>
      <c r="B22" s="503">
        <v>16</v>
      </c>
      <c r="C22" s="504" t="s">
        <v>19</v>
      </c>
      <c r="D22" s="515">
        <v>0</v>
      </c>
      <c r="E22" s="553">
        <f t="shared" si="1"/>
        <v>0</v>
      </c>
      <c r="F22" s="515">
        <v>0</v>
      </c>
      <c r="G22" s="557">
        <f t="shared" si="4"/>
        <v>0</v>
      </c>
      <c r="H22" s="515"/>
      <c r="I22" s="557">
        <f t="shared" si="5"/>
        <v>0</v>
      </c>
      <c r="J22" s="557">
        <f t="shared" si="6"/>
        <v>0</v>
      </c>
      <c r="K22" s="1231">
        <v>1079</v>
      </c>
      <c r="L22" s="566">
        <f t="shared" si="2"/>
        <v>260039</v>
      </c>
      <c r="M22" s="567">
        <v>617017</v>
      </c>
      <c r="N22" s="515">
        <v>2179</v>
      </c>
      <c r="O22" s="572">
        <f t="shared" si="7"/>
        <v>128561</v>
      </c>
      <c r="P22" s="557"/>
      <c r="Q22" s="1234">
        <f t="shared" si="8"/>
        <v>128561</v>
      </c>
      <c r="R22" s="573">
        <f t="shared" si="3"/>
        <v>1005617</v>
      </c>
      <c r="S22" s="505">
        <v>1425</v>
      </c>
    </row>
    <row r="23" spans="1:19" ht="15" customHeight="1" x14ac:dyDescent="0.2">
      <c r="A23" s="508">
        <v>17</v>
      </c>
      <c r="B23" s="226">
        <v>17</v>
      </c>
      <c r="C23" s="506" t="s">
        <v>20</v>
      </c>
      <c r="D23" s="513">
        <v>21</v>
      </c>
      <c r="E23" s="554">
        <f t="shared" si="1"/>
        <v>441000</v>
      </c>
      <c r="F23" s="513">
        <v>7</v>
      </c>
      <c r="G23" s="558">
        <f t="shared" si="4"/>
        <v>42000</v>
      </c>
      <c r="H23" s="513"/>
      <c r="I23" s="558">
        <f t="shared" si="5"/>
        <v>0</v>
      </c>
      <c r="J23" s="558">
        <f t="shared" si="6"/>
        <v>42000</v>
      </c>
      <c r="K23" s="1068">
        <v>4337</v>
      </c>
      <c r="L23" s="562">
        <f t="shared" si="2"/>
        <v>1045217</v>
      </c>
      <c r="M23" s="563">
        <v>29576</v>
      </c>
      <c r="N23" s="513">
        <v>16436</v>
      </c>
      <c r="O23" s="574">
        <f t="shared" si="7"/>
        <v>969724</v>
      </c>
      <c r="P23" s="558"/>
      <c r="Q23" s="1235">
        <f t="shared" si="8"/>
        <v>969724</v>
      </c>
      <c r="R23" s="575">
        <f t="shared" si="3"/>
        <v>2527517</v>
      </c>
      <c r="S23" s="507">
        <v>10765</v>
      </c>
    </row>
    <row r="24" spans="1:19" ht="15" customHeight="1" x14ac:dyDescent="0.2">
      <c r="A24" s="508">
        <v>18</v>
      </c>
      <c r="B24" s="226">
        <v>18</v>
      </c>
      <c r="C24" s="506" t="s">
        <v>21</v>
      </c>
      <c r="D24" s="513">
        <v>2</v>
      </c>
      <c r="E24" s="554">
        <f t="shared" si="1"/>
        <v>42000</v>
      </c>
      <c r="F24" s="513">
        <v>0</v>
      </c>
      <c r="G24" s="558">
        <f t="shared" si="4"/>
        <v>0</v>
      </c>
      <c r="H24" s="513"/>
      <c r="I24" s="558">
        <f t="shared" si="5"/>
        <v>0</v>
      </c>
      <c r="J24" s="558">
        <f t="shared" si="6"/>
        <v>0</v>
      </c>
      <c r="K24" s="1068">
        <v>200</v>
      </c>
      <c r="L24" s="562">
        <f t="shared" si="2"/>
        <v>48200</v>
      </c>
      <c r="M24" s="563">
        <v>0</v>
      </c>
      <c r="N24" s="513">
        <v>407</v>
      </c>
      <c r="O24" s="574">
        <f t="shared" si="7"/>
        <v>24013</v>
      </c>
      <c r="P24" s="558"/>
      <c r="Q24" s="1235">
        <f t="shared" si="8"/>
        <v>24013</v>
      </c>
      <c r="R24" s="575">
        <f t="shared" si="3"/>
        <v>114213</v>
      </c>
      <c r="S24" s="507">
        <v>237</v>
      </c>
    </row>
    <row r="25" spans="1:19" ht="15" customHeight="1" x14ac:dyDescent="0.2">
      <c r="A25" s="508">
        <v>19</v>
      </c>
      <c r="B25" s="226">
        <v>19</v>
      </c>
      <c r="C25" s="506" t="s">
        <v>22</v>
      </c>
      <c r="D25" s="513">
        <v>0</v>
      </c>
      <c r="E25" s="554">
        <f t="shared" si="1"/>
        <v>0</v>
      </c>
      <c r="F25" s="513">
        <v>0</v>
      </c>
      <c r="G25" s="558">
        <f t="shared" si="4"/>
        <v>0</v>
      </c>
      <c r="H25" s="513"/>
      <c r="I25" s="558">
        <f t="shared" si="5"/>
        <v>0</v>
      </c>
      <c r="J25" s="558">
        <f t="shared" si="6"/>
        <v>0</v>
      </c>
      <c r="K25" s="1068">
        <v>89</v>
      </c>
      <c r="L25" s="562">
        <f t="shared" si="2"/>
        <v>25000</v>
      </c>
      <c r="M25" s="563">
        <v>0</v>
      </c>
      <c r="N25" s="513">
        <v>796</v>
      </c>
      <c r="O25" s="574">
        <f t="shared" si="7"/>
        <v>46964</v>
      </c>
      <c r="P25" s="558"/>
      <c r="Q25" s="1235">
        <f t="shared" si="8"/>
        <v>46964</v>
      </c>
      <c r="R25" s="575">
        <f t="shared" si="3"/>
        <v>71964</v>
      </c>
      <c r="S25" s="507">
        <v>507</v>
      </c>
    </row>
    <row r="26" spans="1:19" ht="15" customHeight="1" x14ac:dyDescent="0.2">
      <c r="A26" s="509">
        <v>20</v>
      </c>
      <c r="B26" s="510">
        <v>20</v>
      </c>
      <c r="C26" s="511" t="s">
        <v>23</v>
      </c>
      <c r="D26" s="514">
        <v>6</v>
      </c>
      <c r="E26" s="555">
        <f t="shared" si="1"/>
        <v>126000</v>
      </c>
      <c r="F26" s="514">
        <v>7</v>
      </c>
      <c r="G26" s="559">
        <f t="shared" si="4"/>
        <v>42000</v>
      </c>
      <c r="H26" s="514"/>
      <c r="I26" s="559">
        <f t="shared" si="5"/>
        <v>0</v>
      </c>
      <c r="J26" s="559">
        <f t="shared" si="6"/>
        <v>42000</v>
      </c>
      <c r="K26" s="1232">
        <v>979</v>
      </c>
      <c r="L26" s="564">
        <f t="shared" si="2"/>
        <v>235939</v>
      </c>
      <c r="M26" s="565">
        <v>443748</v>
      </c>
      <c r="N26" s="514">
        <v>2351</v>
      </c>
      <c r="O26" s="576">
        <f t="shared" si="7"/>
        <v>138709</v>
      </c>
      <c r="P26" s="559"/>
      <c r="Q26" s="1236">
        <f t="shared" si="8"/>
        <v>138709</v>
      </c>
      <c r="R26" s="577">
        <f t="shared" si="3"/>
        <v>986396</v>
      </c>
      <c r="S26" s="512">
        <v>1574</v>
      </c>
    </row>
    <row r="27" spans="1:19" ht="15" customHeight="1" x14ac:dyDescent="0.2">
      <c r="A27" s="502">
        <v>21</v>
      </c>
      <c r="B27" s="503">
        <v>21</v>
      </c>
      <c r="C27" s="504" t="s">
        <v>24</v>
      </c>
      <c r="D27" s="515">
        <v>0</v>
      </c>
      <c r="E27" s="553">
        <f t="shared" si="1"/>
        <v>0</v>
      </c>
      <c r="F27" s="515">
        <v>0</v>
      </c>
      <c r="G27" s="557">
        <f t="shared" si="4"/>
        <v>0</v>
      </c>
      <c r="H27" s="515"/>
      <c r="I27" s="557">
        <f t="shared" si="5"/>
        <v>0</v>
      </c>
      <c r="J27" s="557">
        <f t="shared" si="6"/>
        <v>0</v>
      </c>
      <c r="K27" s="1231">
        <v>96</v>
      </c>
      <c r="L27" s="566">
        <f t="shared" si="2"/>
        <v>25000</v>
      </c>
      <c r="M27" s="567">
        <v>0</v>
      </c>
      <c r="N27" s="515">
        <v>1192</v>
      </c>
      <c r="O27" s="572">
        <f t="shared" si="7"/>
        <v>70328</v>
      </c>
      <c r="P27" s="557"/>
      <c r="Q27" s="1234">
        <f t="shared" si="8"/>
        <v>70328</v>
      </c>
      <c r="R27" s="573">
        <f t="shared" si="3"/>
        <v>95328</v>
      </c>
      <c r="S27" s="505">
        <v>788</v>
      </c>
    </row>
    <row r="28" spans="1:19" ht="15" customHeight="1" x14ac:dyDescent="0.2">
      <c r="A28" s="508">
        <v>22</v>
      </c>
      <c r="B28" s="226">
        <v>22</v>
      </c>
      <c r="C28" s="506" t="s">
        <v>25</v>
      </c>
      <c r="D28" s="513">
        <v>0</v>
      </c>
      <c r="E28" s="554">
        <f t="shared" si="1"/>
        <v>0</v>
      </c>
      <c r="F28" s="513">
        <v>0</v>
      </c>
      <c r="G28" s="558">
        <f t="shared" si="4"/>
        <v>0</v>
      </c>
      <c r="H28" s="513"/>
      <c r="I28" s="558">
        <f t="shared" si="5"/>
        <v>0</v>
      </c>
      <c r="J28" s="558">
        <f t="shared" si="6"/>
        <v>0</v>
      </c>
      <c r="K28" s="1068">
        <v>475</v>
      </c>
      <c r="L28" s="562">
        <f t="shared" si="2"/>
        <v>114475</v>
      </c>
      <c r="M28" s="563">
        <v>0</v>
      </c>
      <c r="N28" s="513">
        <v>1221</v>
      </c>
      <c r="O28" s="574">
        <f t="shared" si="7"/>
        <v>72039</v>
      </c>
      <c r="P28" s="558"/>
      <c r="Q28" s="1235">
        <f t="shared" si="8"/>
        <v>72039</v>
      </c>
      <c r="R28" s="575">
        <f t="shared" si="3"/>
        <v>186514</v>
      </c>
      <c r="S28" s="507">
        <v>827</v>
      </c>
    </row>
    <row r="29" spans="1:19" ht="15" customHeight="1" x14ac:dyDescent="0.2">
      <c r="A29" s="508">
        <v>23</v>
      </c>
      <c r="B29" s="226">
        <v>23</v>
      </c>
      <c r="C29" s="506" t="s">
        <v>26</v>
      </c>
      <c r="D29" s="513">
        <v>13</v>
      </c>
      <c r="E29" s="554">
        <f t="shared" si="1"/>
        <v>273000</v>
      </c>
      <c r="F29" s="513">
        <v>3</v>
      </c>
      <c r="G29" s="558">
        <f t="shared" si="4"/>
        <v>18000</v>
      </c>
      <c r="H29" s="513"/>
      <c r="I29" s="558">
        <f t="shared" si="5"/>
        <v>0</v>
      </c>
      <c r="J29" s="558">
        <f t="shared" si="6"/>
        <v>18000</v>
      </c>
      <c r="K29" s="1068">
        <v>1740</v>
      </c>
      <c r="L29" s="562">
        <f t="shared" si="2"/>
        <v>419340</v>
      </c>
      <c r="M29" s="563">
        <v>173550</v>
      </c>
      <c r="N29" s="513">
        <v>5174</v>
      </c>
      <c r="O29" s="574">
        <f t="shared" si="7"/>
        <v>305266</v>
      </c>
      <c r="P29" s="558"/>
      <c r="Q29" s="1235">
        <f t="shared" si="8"/>
        <v>305266</v>
      </c>
      <c r="R29" s="575">
        <f t="shared" si="3"/>
        <v>1189156</v>
      </c>
      <c r="S29" s="507">
        <v>3354</v>
      </c>
    </row>
    <row r="30" spans="1:19" ht="15" customHeight="1" x14ac:dyDescent="0.2">
      <c r="A30" s="508">
        <v>24</v>
      </c>
      <c r="B30" s="226">
        <v>24</v>
      </c>
      <c r="C30" s="506" t="s">
        <v>27</v>
      </c>
      <c r="D30" s="513">
        <v>0</v>
      </c>
      <c r="E30" s="554">
        <f t="shared" si="1"/>
        <v>0</v>
      </c>
      <c r="F30" s="513">
        <v>0</v>
      </c>
      <c r="G30" s="558">
        <f t="shared" si="4"/>
        <v>0</v>
      </c>
      <c r="H30" s="513"/>
      <c r="I30" s="558">
        <f t="shared" si="5"/>
        <v>0</v>
      </c>
      <c r="J30" s="558">
        <f t="shared" si="6"/>
        <v>0</v>
      </c>
      <c r="K30" s="1068">
        <v>565</v>
      </c>
      <c r="L30" s="562">
        <f t="shared" si="2"/>
        <v>136165</v>
      </c>
      <c r="M30" s="563">
        <v>192464</v>
      </c>
      <c r="N30" s="513">
        <v>1875</v>
      </c>
      <c r="O30" s="574">
        <f t="shared" si="7"/>
        <v>110625</v>
      </c>
      <c r="P30" s="558"/>
      <c r="Q30" s="1235">
        <f t="shared" si="8"/>
        <v>110625</v>
      </c>
      <c r="R30" s="575">
        <f t="shared" si="3"/>
        <v>439254</v>
      </c>
      <c r="S30" s="507">
        <v>1287</v>
      </c>
    </row>
    <row r="31" spans="1:19" ht="15" customHeight="1" x14ac:dyDescent="0.2">
      <c r="A31" s="509">
        <v>25</v>
      </c>
      <c r="B31" s="510">
        <v>25</v>
      </c>
      <c r="C31" s="511" t="s">
        <v>28</v>
      </c>
      <c r="D31" s="514">
        <v>0</v>
      </c>
      <c r="E31" s="555">
        <f t="shared" si="1"/>
        <v>0</v>
      </c>
      <c r="F31" s="514">
        <v>0</v>
      </c>
      <c r="G31" s="559">
        <f t="shared" si="4"/>
        <v>0</v>
      </c>
      <c r="H31" s="514"/>
      <c r="I31" s="559">
        <f t="shared" si="5"/>
        <v>0</v>
      </c>
      <c r="J31" s="559">
        <f t="shared" si="6"/>
        <v>0</v>
      </c>
      <c r="K31" s="1232">
        <v>347</v>
      </c>
      <c r="L31" s="564">
        <f t="shared" si="2"/>
        <v>83627</v>
      </c>
      <c r="M31" s="565">
        <v>0</v>
      </c>
      <c r="N31" s="514">
        <v>969</v>
      </c>
      <c r="O31" s="576">
        <f t="shared" si="7"/>
        <v>57171</v>
      </c>
      <c r="P31" s="559"/>
      <c r="Q31" s="1236">
        <f t="shared" si="8"/>
        <v>57171</v>
      </c>
      <c r="R31" s="577">
        <f t="shared" si="3"/>
        <v>140798</v>
      </c>
      <c r="S31" s="512">
        <v>629</v>
      </c>
    </row>
    <row r="32" spans="1:19" ht="15" customHeight="1" x14ac:dyDescent="0.2">
      <c r="A32" s="502">
        <v>26</v>
      </c>
      <c r="B32" s="503">
        <v>26</v>
      </c>
      <c r="C32" s="504" t="s">
        <v>29</v>
      </c>
      <c r="D32" s="515">
        <v>23</v>
      </c>
      <c r="E32" s="553">
        <f t="shared" si="1"/>
        <v>483000</v>
      </c>
      <c r="F32" s="515">
        <v>4</v>
      </c>
      <c r="G32" s="557">
        <f t="shared" si="4"/>
        <v>24000</v>
      </c>
      <c r="H32" s="515"/>
      <c r="I32" s="557">
        <f t="shared" si="5"/>
        <v>0</v>
      </c>
      <c r="J32" s="557">
        <f t="shared" si="6"/>
        <v>24000</v>
      </c>
      <c r="K32" s="1231">
        <v>5267</v>
      </c>
      <c r="L32" s="566">
        <f t="shared" si="2"/>
        <v>1269347</v>
      </c>
      <c r="M32" s="567">
        <v>301384</v>
      </c>
      <c r="N32" s="515">
        <v>20250</v>
      </c>
      <c r="O32" s="572">
        <f t="shared" si="7"/>
        <v>1194750</v>
      </c>
      <c r="P32" s="557"/>
      <c r="Q32" s="1234">
        <f t="shared" si="8"/>
        <v>1194750</v>
      </c>
      <c r="R32" s="573">
        <f t="shared" si="3"/>
        <v>3272481</v>
      </c>
      <c r="S32" s="505">
        <v>13063</v>
      </c>
    </row>
    <row r="33" spans="1:19" ht="15" customHeight="1" x14ac:dyDescent="0.2">
      <c r="A33" s="508">
        <v>27</v>
      </c>
      <c r="B33" s="226">
        <v>27</v>
      </c>
      <c r="C33" s="506" t="s">
        <v>30</v>
      </c>
      <c r="D33" s="513">
        <v>0</v>
      </c>
      <c r="E33" s="554">
        <f t="shared" si="1"/>
        <v>0</v>
      </c>
      <c r="F33" s="513">
        <v>0</v>
      </c>
      <c r="G33" s="558">
        <f t="shared" si="4"/>
        <v>0</v>
      </c>
      <c r="H33" s="513"/>
      <c r="I33" s="558">
        <f t="shared" si="5"/>
        <v>0</v>
      </c>
      <c r="J33" s="558">
        <f t="shared" si="6"/>
        <v>0</v>
      </c>
      <c r="K33" s="1068">
        <v>650</v>
      </c>
      <c r="L33" s="562">
        <f t="shared" si="2"/>
        <v>156650</v>
      </c>
      <c r="M33" s="563">
        <v>0</v>
      </c>
      <c r="N33" s="513">
        <v>2479</v>
      </c>
      <c r="O33" s="574">
        <f t="shared" si="7"/>
        <v>146261</v>
      </c>
      <c r="P33" s="558"/>
      <c r="Q33" s="1235">
        <f t="shared" si="8"/>
        <v>146261</v>
      </c>
      <c r="R33" s="575">
        <f t="shared" si="3"/>
        <v>302911</v>
      </c>
      <c r="S33" s="507">
        <v>1676</v>
      </c>
    </row>
    <row r="34" spans="1:19" ht="15" customHeight="1" x14ac:dyDescent="0.2">
      <c r="A34" s="508">
        <v>28</v>
      </c>
      <c r="B34" s="226">
        <v>28</v>
      </c>
      <c r="C34" s="506" t="s">
        <v>31</v>
      </c>
      <c r="D34" s="513">
        <v>40</v>
      </c>
      <c r="E34" s="554">
        <f t="shared" si="1"/>
        <v>840000</v>
      </c>
      <c r="F34" s="513">
        <v>3</v>
      </c>
      <c r="G34" s="558">
        <f t="shared" si="4"/>
        <v>18000</v>
      </c>
      <c r="H34" s="513"/>
      <c r="I34" s="558">
        <f t="shared" si="5"/>
        <v>0</v>
      </c>
      <c r="J34" s="558">
        <f t="shared" si="6"/>
        <v>18000</v>
      </c>
      <c r="K34" s="1068">
        <v>3473</v>
      </c>
      <c r="L34" s="562">
        <f t="shared" si="2"/>
        <v>836993</v>
      </c>
      <c r="M34" s="563">
        <v>0</v>
      </c>
      <c r="N34" s="513">
        <v>13916</v>
      </c>
      <c r="O34" s="574">
        <f t="shared" si="7"/>
        <v>821044</v>
      </c>
      <c r="P34" s="558"/>
      <c r="Q34" s="1235">
        <f t="shared" si="8"/>
        <v>821044</v>
      </c>
      <c r="R34" s="575">
        <f t="shared" si="3"/>
        <v>2516037</v>
      </c>
      <c r="S34" s="507">
        <v>9631</v>
      </c>
    </row>
    <row r="35" spans="1:19" ht="15" customHeight="1" x14ac:dyDescent="0.2">
      <c r="A35" s="508">
        <v>29</v>
      </c>
      <c r="B35" s="226">
        <v>29</v>
      </c>
      <c r="C35" s="506" t="s">
        <v>32</v>
      </c>
      <c r="D35" s="513">
        <v>13</v>
      </c>
      <c r="E35" s="554">
        <f t="shared" si="1"/>
        <v>273000</v>
      </c>
      <c r="F35" s="513">
        <v>3</v>
      </c>
      <c r="G35" s="558">
        <f t="shared" si="4"/>
        <v>18000</v>
      </c>
      <c r="H35" s="513"/>
      <c r="I35" s="558">
        <f t="shared" si="5"/>
        <v>0</v>
      </c>
      <c r="J35" s="558">
        <f t="shared" si="6"/>
        <v>18000</v>
      </c>
      <c r="K35" s="1068">
        <v>2563</v>
      </c>
      <c r="L35" s="562">
        <f t="shared" si="2"/>
        <v>617683</v>
      </c>
      <c r="M35" s="563">
        <v>61702</v>
      </c>
      <c r="N35" s="513">
        <v>6139</v>
      </c>
      <c r="O35" s="574">
        <f t="shared" si="7"/>
        <v>362201</v>
      </c>
      <c r="P35" s="558"/>
      <c r="Q35" s="1235">
        <f t="shared" si="8"/>
        <v>362201</v>
      </c>
      <c r="R35" s="575">
        <f t="shared" si="3"/>
        <v>1332586</v>
      </c>
      <c r="S35" s="507">
        <v>4004</v>
      </c>
    </row>
    <row r="36" spans="1:19" ht="15" customHeight="1" x14ac:dyDescent="0.2">
      <c r="A36" s="509">
        <v>30</v>
      </c>
      <c r="B36" s="510">
        <v>30</v>
      </c>
      <c r="C36" s="511" t="s">
        <v>33</v>
      </c>
      <c r="D36" s="514">
        <v>0</v>
      </c>
      <c r="E36" s="555">
        <f t="shared" si="1"/>
        <v>0</v>
      </c>
      <c r="F36" s="514">
        <v>0</v>
      </c>
      <c r="G36" s="559">
        <f t="shared" si="4"/>
        <v>0</v>
      </c>
      <c r="H36" s="514"/>
      <c r="I36" s="559">
        <f t="shared" si="5"/>
        <v>0</v>
      </c>
      <c r="J36" s="559">
        <f t="shared" si="6"/>
        <v>0</v>
      </c>
      <c r="K36" s="1232">
        <v>321</v>
      </c>
      <c r="L36" s="564">
        <f t="shared" si="2"/>
        <v>77361</v>
      </c>
      <c r="M36" s="565">
        <v>0</v>
      </c>
      <c r="N36" s="514">
        <v>1115</v>
      </c>
      <c r="O36" s="576">
        <f t="shared" si="7"/>
        <v>65785</v>
      </c>
      <c r="P36" s="559"/>
      <c r="Q36" s="1236">
        <f t="shared" si="8"/>
        <v>65785</v>
      </c>
      <c r="R36" s="577">
        <f t="shared" si="3"/>
        <v>143146</v>
      </c>
      <c r="S36" s="512">
        <v>752</v>
      </c>
    </row>
    <row r="37" spans="1:19" ht="15" customHeight="1" x14ac:dyDescent="0.2">
      <c r="A37" s="502">
        <v>31</v>
      </c>
      <c r="B37" s="503">
        <v>31</v>
      </c>
      <c r="C37" s="504" t="s">
        <v>34</v>
      </c>
      <c r="D37" s="515">
        <v>4</v>
      </c>
      <c r="E37" s="553">
        <f t="shared" si="1"/>
        <v>84000</v>
      </c>
      <c r="F37" s="515">
        <v>0</v>
      </c>
      <c r="G37" s="557">
        <f t="shared" si="4"/>
        <v>0</v>
      </c>
      <c r="H37" s="515"/>
      <c r="I37" s="557">
        <f t="shared" si="5"/>
        <v>0</v>
      </c>
      <c r="J37" s="557">
        <f t="shared" si="6"/>
        <v>0</v>
      </c>
      <c r="K37" s="1231">
        <v>563</v>
      </c>
      <c r="L37" s="566">
        <f t="shared" si="2"/>
        <v>135683</v>
      </c>
      <c r="M37" s="567">
        <v>0</v>
      </c>
      <c r="N37" s="515">
        <v>2584</v>
      </c>
      <c r="O37" s="572">
        <f t="shared" si="7"/>
        <v>152456</v>
      </c>
      <c r="P37" s="557"/>
      <c r="Q37" s="1234">
        <f t="shared" si="8"/>
        <v>152456</v>
      </c>
      <c r="R37" s="573">
        <f t="shared" si="3"/>
        <v>372139</v>
      </c>
      <c r="S37" s="505">
        <v>1713</v>
      </c>
    </row>
    <row r="38" spans="1:19" ht="15" customHeight="1" x14ac:dyDescent="0.2">
      <c r="A38" s="508">
        <v>32</v>
      </c>
      <c r="B38" s="226">
        <v>32</v>
      </c>
      <c r="C38" s="506" t="s">
        <v>35</v>
      </c>
      <c r="D38" s="513">
        <v>0</v>
      </c>
      <c r="E38" s="554">
        <f t="shared" si="1"/>
        <v>0</v>
      </c>
      <c r="F38" s="513">
        <v>0</v>
      </c>
      <c r="G38" s="558">
        <f t="shared" si="4"/>
        <v>0</v>
      </c>
      <c r="H38" s="513"/>
      <c r="I38" s="558">
        <f t="shared" si="5"/>
        <v>0</v>
      </c>
      <c r="J38" s="558">
        <f t="shared" si="6"/>
        <v>0</v>
      </c>
      <c r="K38" s="1068">
        <v>5468</v>
      </c>
      <c r="L38" s="562">
        <f t="shared" si="2"/>
        <v>1317788</v>
      </c>
      <c r="M38" s="563">
        <v>107430</v>
      </c>
      <c r="N38" s="513">
        <v>11237</v>
      </c>
      <c r="O38" s="574">
        <f t="shared" si="7"/>
        <v>662983</v>
      </c>
      <c r="P38" s="558"/>
      <c r="Q38" s="1235">
        <f t="shared" si="8"/>
        <v>662983</v>
      </c>
      <c r="R38" s="575">
        <f t="shared" si="3"/>
        <v>2088201</v>
      </c>
      <c r="S38" s="507">
        <v>7537</v>
      </c>
    </row>
    <row r="39" spans="1:19" ht="15" customHeight="1" x14ac:dyDescent="0.2">
      <c r="A39" s="508">
        <v>33</v>
      </c>
      <c r="B39" s="226">
        <v>33</v>
      </c>
      <c r="C39" s="506" t="s">
        <v>36</v>
      </c>
      <c r="D39" s="513">
        <v>0</v>
      </c>
      <c r="E39" s="554">
        <f t="shared" si="1"/>
        <v>0</v>
      </c>
      <c r="F39" s="513">
        <v>0</v>
      </c>
      <c r="G39" s="558">
        <f t="shared" si="4"/>
        <v>0</v>
      </c>
      <c r="H39" s="513"/>
      <c r="I39" s="558">
        <f t="shared" si="5"/>
        <v>0</v>
      </c>
      <c r="J39" s="558">
        <f t="shared" si="6"/>
        <v>0</v>
      </c>
      <c r="K39" s="1068">
        <v>215</v>
      </c>
      <c r="L39" s="562">
        <f t="shared" si="2"/>
        <v>51815</v>
      </c>
      <c r="M39" s="563">
        <v>0</v>
      </c>
      <c r="N39" s="513">
        <v>544</v>
      </c>
      <c r="O39" s="574">
        <f t="shared" si="7"/>
        <v>32096</v>
      </c>
      <c r="P39" s="558"/>
      <c r="Q39" s="1235">
        <f t="shared" si="8"/>
        <v>32096</v>
      </c>
      <c r="R39" s="575">
        <f t="shared" ref="R39:R70" si="9">L39+J39+E39+M39+Q39</f>
        <v>83911</v>
      </c>
      <c r="S39" s="507">
        <v>368</v>
      </c>
    </row>
    <row r="40" spans="1:19" ht="15" customHeight="1" x14ac:dyDescent="0.2">
      <c r="A40" s="508">
        <v>34</v>
      </c>
      <c r="B40" s="226">
        <v>34</v>
      </c>
      <c r="C40" s="506" t="s">
        <v>37</v>
      </c>
      <c r="D40" s="513">
        <v>0</v>
      </c>
      <c r="E40" s="554">
        <f t="shared" si="1"/>
        <v>0</v>
      </c>
      <c r="F40" s="513">
        <v>0</v>
      </c>
      <c r="G40" s="558">
        <f t="shared" si="4"/>
        <v>0</v>
      </c>
      <c r="H40" s="513"/>
      <c r="I40" s="558">
        <f t="shared" si="5"/>
        <v>0</v>
      </c>
      <c r="J40" s="558">
        <f t="shared" si="6"/>
        <v>0</v>
      </c>
      <c r="K40" s="1068">
        <v>684</v>
      </c>
      <c r="L40" s="562">
        <f t="shared" si="2"/>
        <v>164844</v>
      </c>
      <c r="M40" s="563">
        <v>0</v>
      </c>
      <c r="N40" s="513">
        <v>1578</v>
      </c>
      <c r="O40" s="574">
        <f t="shared" si="7"/>
        <v>93102</v>
      </c>
      <c r="P40" s="558"/>
      <c r="Q40" s="1235">
        <f t="shared" si="8"/>
        <v>93102</v>
      </c>
      <c r="R40" s="575">
        <f t="shared" si="9"/>
        <v>257946</v>
      </c>
      <c r="S40" s="507">
        <v>947</v>
      </c>
    </row>
    <row r="41" spans="1:19" ht="15" customHeight="1" x14ac:dyDescent="0.2">
      <c r="A41" s="509">
        <v>35</v>
      </c>
      <c r="B41" s="510">
        <v>35</v>
      </c>
      <c r="C41" s="511" t="s">
        <v>38</v>
      </c>
      <c r="D41" s="514">
        <v>0</v>
      </c>
      <c r="E41" s="555">
        <f t="shared" si="1"/>
        <v>0</v>
      </c>
      <c r="F41" s="514">
        <v>0</v>
      </c>
      <c r="G41" s="559">
        <f t="shared" si="4"/>
        <v>0</v>
      </c>
      <c r="H41" s="514"/>
      <c r="I41" s="559">
        <f t="shared" si="5"/>
        <v>0</v>
      </c>
      <c r="J41" s="559">
        <f t="shared" si="6"/>
        <v>0</v>
      </c>
      <c r="K41" s="1232">
        <v>777</v>
      </c>
      <c r="L41" s="564">
        <f t="shared" si="2"/>
        <v>187257</v>
      </c>
      <c r="M41" s="565">
        <v>0</v>
      </c>
      <c r="N41" s="514">
        <v>2579</v>
      </c>
      <c r="O41" s="576">
        <f t="shared" si="7"/>
        <v>152161</v>
      </c>
      <c r="P41" s="559"/>
      <c r="Q41" s="1236">
        <f t="shared" si="8"/>
        <v>152161</v>
      </c>
      <c r="R41" s="577">
        <f t="shared" si="9"/>
        <v>339418</v>
      </c>
      <c r="S41" s="512">
        <v>1689</v>
      </c>
    </row>
    <row r="42" spans="1:19" ht="15" customHeight="1" x14ac:dyDescent="0.2">
      <c r="A42" s="502">
        <v>36</v>
      </c>
      <c r="B42" s="503">
        <v>36</v>
      </c>
      <c r="C42" s="504" t="s">
        <v>39</v>
      </c>
      <c r="D42" s="515">
        <v>26</v>
      </c>
      <c r="E42" s="553">
        <f t="shared" si="1"/>
        <v>546000</v>
      </c>
      <c r="F42" s="515">
        <v>4</v>
      </c>
      <c r="G42" s="557">
        <f t="shared" si="4"/>
        <v>24000</v>
      </c>
      <c r="H42" s="515"/>
      <c r="I42" s="557">
        <f t="shared" si="5"/>
        <v>0</v>
      </c>
      <c r="J42" s="557">
        <f t="shared" si="6"/>
        <v>24000</v>
      </c>
      <c r="K42" s="1231">
        <v>4445</v>
      </c>
      <c r="L42" s="566">
        <v>1120760</v>
      </c>
      <c r="M42" s="567">
        <v>4395210</v>
      </c>
      <c r="N42" s="515">
        <v>19952</v>
      </c>
      <c r="O42" s="572">
        <f t="shared" si="7"/>
        <v>1177168</v>
      </c>
      <c r="P42" s="557"/>
      <c r="Q42" s="1234">
        <f t="shared" si="8"/>
        <v>1177168</v>
      </c>
      <c r="R42" s="573">
        <f t="shared" si="9"/>
        <v>7263138</v>
      </c>
      <c r="S42" s="505">
        <v>13214</v>
      </c>
    </row>
    <row r="43" spans="1:19" ht="15" customHeight="1" x14ac:dyDescent="0.2">
      <c r="A43" s="508">
        <v>37</v>
      </c>
      <c r="B43" s="226">
        <v>37</v>
      </c>
      <c r="C43" s="506" t="s">
        <v>40</v>
      </c>
      <c r="D43" s="513">
        <v>0</v>
      </c>
      <c r="E43" s="554">
        <f t="shared" si="1"/>
        <v>0</v>
      </c>
      <c r="F43" s="513">
        <v>0</v>
      </c>
      <c r="G43" s="558">
        <f t="shared" si="4"/>
        <v>0</v>
      </c>
      <c r="H43" s="513"/>
      <c r="I43" s="558">
        <f t="shared" si="5"/>
        <v>0</v>
      </c>
      <c r="J43" s="558">
        <f t="shared" si="6"/>
        <v>0</v>
      </c>
      <c r="K43" s="1068">
        <v>1569</v>
      </c>
      <c r="L43" s="562">
        <f t="shared" ref="L43:L75" si="10">ROUND(IF(AND(L$3*K43&lt;25000,$S43&gt;0),25000,L$3*K43),0)</f>
        <v>378129</v>
      </c>
      <c r="M43" s="563">
        <v>0</v>
      </c>
      <c r="N43" s="513">
        <v>8299</v>
      </c>
      <c r="O43" s="574">
        <f t="shared" si="7"/>
        <v>489641</v>
      </c>
      <c r="P43" s="558"/>
      <c r="Q43" s="1235">
        <f t="shared" si="8"/>
        <v>489641</v>
      </c>
      <c r="R43" s="575">
        <f t="shared" si="9"/>
        <v>867770</v>
      </c>
      <c r="S43" s="507">
        <v>5344</v>
      </c>
    </row>
    <row r="44" spans="1:19" ht="15" customHeight="1" x14ac:dyDescent="0.2">
      <c r="A44" s="508">
        <v>38</v>
      </c>
      <c r="B44" s="226">
        <v>38</v>
      </c>
      <c r="C44" s="506" t="s">
        <v>41</v>
      </c>
      <c r="D44" s="513">
        <v>0</v>
      </c>
      <c r="E44" s="554">
        <f t="shared" si="1"/>
        <v>0</v>
      </c>
      <c r="F44" s="513">
        <v>0</v>
      </c>
      <c r="G44" s="558">
        <f t="shared" si="4"/>
        <v>0</v>
      </c>
      <c r="H44" s="513"/>
      <c r="I44" s="558">
        <f t="shared" si="5"/>
        <v>0</v>
      </c>
      <c r="J44" s="558">
        <f t="shared" si="6"/>
        <v>0</v>
      </c>
      <c r="K44" s="1068">
        <v>299</v>
      </c>
      <c r="L44" s="562">
        <f t="shared" si="10"/>
        <v>72059</v>
      </c>
      <c r="M44" s="563">
        <v>63737</v>
      </c>
      <c r="N44" s="513">
        <v>1873</v>
      </c>
      <c r="O44" s="574">
        <f t="shared" si="7"/>
        <v>110507</v>
      </c>
      <c r="P44" s="558"/>
      <c r="Q44" s="1235">
        <f t="shared" si="8"/>
        <v>110507</v>
      </c>
      <c r="R44" s="575">
        <f t="shared" si="9"/>
        <v>246303</v>
      </c>
      <c r="S44" s="507">
        <v>1309</v>
      </c>
    </row>
    <row r="45" spans="1:19" ht="15" customHeight="1" x14ac:dyDescent="0.2">
      <c r="A45" s="508">
        <v>39</v>
      </c>
      <c r="B45" s="226">
        <v>39</v>
      </c>
      <c r="C45" s="506" t="s">
        <v>42</v>
      </c>
      <c r="D45" s="513">
        <v>4</v>
      </c>
      <c r="E45" s="554">
        <f t="shared" si="1"/>
        <v>84000</v>
      </c>
      <c r="F45" s="513">
        <v>1</v>
      </c>
      <c r="G45" s="558">
        <f t="shared" si="4"/>
        <v>6000</v>
      </c>
      <c r="H45" s="513"/>
      <c r="I45" s="558">
        <f t="shared" si="5"/>
        <v>0</v>
      </c>
      <c r="J45" s="558">
        <f t="shared" si="6"/>
        <v>6000</v>
      </c>
      <c r="K45" s="1068">
        <v>708</v>
      </c>
      <c r="L45" s="562">
        <f t="shared" si="10"/>
        <v>170628</v>
      </c>
      <c r="M45" s="563">
        <v>0</v>
      </c>
      <c r="N45" s="513">
        <v>1116</v>
      </c>
      <c r="O45" s="574">
        <f t="shared" si="7"/>
        <v>65844</v>
      </c>
      <c r="P45" s="558"/>
      <c r="Q45" s="1235">
        <f t="shared" si="8"/>
        <v>65844</v>
      </c>
      <c r="R45" s="575">
        <f t="shared" si="9"/>
        <v>326472</v>
      </c>
      <c r="S45" s="507">
        <v>713</v>
      </c>
    </row>
    <row r="46" spans="1:19" ht="15" customHeight="1" x14ac:dyDescent="0.2">
      <c r="A46" s="509">
        <v>40</v>
      </c>
      <c r="B46" s="510">
        <v>40</v>
      </c>
      <c r="C46" s="511" t="s">
        <v>43</v>
      </c>
      <c r="D46" s="514">
        <v>0</v>
      </c>
      <c r="E46" s="555">
        <f t="shared" si="1"/>
        <v>0</v>
      </c>
      <c r="F46" s="514">
        <v>0</v>
      </c>
      <c r="G46" s="559">
        <f t="shared" si="4"/>
        <v>0</v>
      </c>
      <c r="H46" s="514"/>
      <c r="I46" s="559">
        <f t="shared" si="5"/>
        <v>0</v>
      </c>
      <c r="J46" s="559">
        <f t="shared" si="6"/>
        <v>0</v>
      </c>
      <c r="K46" s="1232">
        <v>3315</v>
      </c>
      <c r="L46" s="564">
        <f t="shared" si="10"/>
        <v>798915</v>
      </c>
      <c r="M46" s="565">
        <v>218094</v>
      </c>
      <c r="N46" s="514">
        <v>9926</v>
      </c>
      <c r="O46" s="576">
        <f t="shared" si="7"/>
        <v>585634</v>
      </c>
      <c r="P46" s="559"/>
      <c r="Q46" s="1236">
        <f t="shared" si="8"/>
        <v>585634</v>
      </c>
      <c r="R46" s="577">
        <f t="shared" si="9"/>
        <v>1602643</v>
      </c>
      <c r="S46" s="512">
        <v>6642</v>
      </c>
    </row>
    <row r="47" spans="1:19" ht="15" customHeight="1" x14ac:dyDescent="0.2">
      <c r="A47" s="502">
        <v>41</v>
      </c>
      <c r="B47" s="503">
        <v>41</v>
      </c>
      <c r="C47" s="504" t="s">
        <v>44</v>
      </c>
      <c r="D47" s="515">
        <v>0</v>
      </c>
      <c r="E47" s="553">
        <f t="shared" si="1"/>
        <v>0</v>
      </c>
      <c r="F47" s="515">
        <v>0</v>
      </c>
      <c r="G47" s="557">
        <f t="shared" si="4"/>
        <v>0</v>
      </c>
      <c r="H47" s="515"/>
      <c r="I47" s="557">
        <f t="shared" si="5"/>
        <v>0</v>
      </c>
      <c r="J47" s="557">
        <f t="shared" si="6"/>
        <v>0</v>
      </c>
      <c r="K47" s="1231">
        <v>151</v>
      </c>
      <c r="L47" s="566">
        <f t="shared" si="10"/>
        <v>36391</v>
      </c>
      <c r="M47" s="567">
        <v>0</v>
      </c>
      <c r="N47" s="515">
        <v>597</v>
      </c>
      <c r="O47" s="572">
        <f t="shared" si="7"/>
        <v>35223</v>
      </c>
      <c r="P47" s="557"/>
      <c r="Q47" s="1234">
        <f t="shared" si="8"/>
        <v>35223</v>
      </c>
      <c r="R47" s="573">
        <f t="shared" si="9"/>
        <v>71614</v>
      </c>
      <c r="S47" s="505">
        <v>388</v>
      </c>
    </row>
    <row r="48" spans="1:19" ht="15" customHeight="1" x14ac:dyDescent="0.2">
      <c r="A48" s="508">
        <v>42</v>
      </c>
      <c r="B48" s="226">
        <v>42</v>
      </c>
      <c r="C48" s="506" t="s">
        <v>45</v>
      </c>
      <c r="D48" s="513">
        <v>0</v>
      </c>
      <c r="E48" s="554">
        <f t="shared" si="1"/>
        <v>0</v>
      </c>
      <c r="F48" s="513">
        <v>0</v>
      </c>
      <c r="G48" s="558">
        <f t="shared" si="4"/>
        <v>0</v>
      </c>
      <c r="H48" s="513"/>
      <c r="I48" s="558">
        <f t="shared" si="5"/>
        <v>0</v>
      </c>
      <c r="J48" s="558">
        <f t="shared" si="6"/>
        <v>0</v>
      </c>
      <c r="K48" s="1068">
        <v>373</v>
      </c>
      <c r="L48" s="562">
        <f t="shared" si="10"/>
        <v>89893</v>
      </c>
      <c r="M48" s="563">
        <v>0</v>
      </c>
      <c r="N48" s="513">
        <v>1206</v>
      </c>
      <c r="O48" s="574">
        <f t="shared" si="7"/>
        <v>71154</v>
      </c>
      <c r="P48" s="558"/>
      <c r="Q48" s="1235">
        <f t="shared" si="8"/>
        <v>71154</v>
      </c>
      <c r="R48" s="575">
        <f t="shared" si="9"/>
        <v>161047</v>
      </c>
      <c r="S48" s="507">
        <v>770</v>
      </c>
    </row>
    <row r="49" spans="1:19" ht="15" customHeight="1" x14ac:dyDescent="0.2">
      <c r="A49" s="508">
        <v>43</v>
      </c>
      <c r="B49" s="226">
        <v>43</v>
      </c>
      <c r="C49" s="506" t="s">
        <v>46</v>
      </c>
      <c r="D49" s="513">
        <v>0</v>
      </c>
      <c r="E49" s="554">
        <f t="shared" si="1"/>
        <v>0</v>
      </c>
      <c r="F49" s="513">
        <v>0</v>
      </c>
      <c r="G49" s="558">
        <f t="shared" si="4"/>
        <v>0</v>
      </c>
      <c r="H49" s="513"/>
      <c r="I49" s="558">
        <f t="shared" si="5"/>
        <v>0</v>
      </c>
      <c r="J49" s="558">
        <f t="shared" si="6"/>
        <v>0</v>
      </c>
      <c r="K49" s="1068">
        <v>534</v>
      </c>
      <c r="L49" s="562">
        <f t="shared" si="10"/>
        <v>128694</v>
      </c>
      <c r="M49" s="563">
        <v>95854</v>
      </c>
      <c r="N49" s="513">
        <v>1817</v>
      </c>
      <c r="O49" s="574">
        <f t="shared" si="7"/>
        <v>107203</v>
      </c>
      <c r="P49" s="558"/>
      <c r="Q49" s="1235">
        <f t="shared" si="8"/>
        <v>107203</v>
      </c>
      <c r="R49" s="575">
        <f t="shared" si="9"/>
        <v>331751</v>
      </c>
      <c r="S49" s="507">
        <v>1234</v>
      </c>
    </row>
    <row r="50" spans="1:19" ht="15" customHeight="1" x14ac:dyDescent="0.2">
      <c r="A50" s="508">
        <v>44</v>
      </c>
      <c r="B50" s="226">
        <v>44</v>
      </c>
      <c r="C50" s="506" t="s">
        <v>47</v>
      </c>
      <c r="D50" s="513">
        <v>0</v>
      </c>
      <c r="E50" s="554">
        <f t="shared" si="1"/>
        <v>0</v>
      </c>
      <c r="F50" s="513">
        <v>0</v>
      </c>
      <c r="G50" s="558">
        <f t="shared" si="4"/>
        <v>0</v>
      </c>
      <c r="H50" s="513"/>
      <c r="I50" s="558">
        <f t="shared" si="5"/>
        <v>0</v>
      </c>
      <c r="J50" s="558">
        <f t="shared" si="6"/>
        <v>0</v>
      </c>
      <c r="K50" s="1068">
        <v>821</v>
      </c>
      <c r="L50" s="562">
        <f t="shared" si="10"/>
        <v>197861</v>
      </c>
      <c r="M50" s="563">
        <v>482878</v>
      </c>
      <c r="N50" s="513">
        <v>3216</v>
      </c>
      <c r="O50" s="574">
        <f t="shared" si="7"/>
        <v>189744</v>
      </c>
      <c r="P50" s="558"/>
      <c r="Q50" s="1235">
        <f t="shared" si="8"/>
        <v>189744</v>
      </c>
      <c r="R50" s="575">
        <f t="shared" si="9"/>
        <v>870483</v>
      </c>
      <c r="S50" s="507">
        <v>2130</v>
      </c>
    </row>
    <row r="51" spans="1:19" ht="15" customHeight="1" x14ac:dyDescent="0.2">
      <c r="A51" s="509">
        <v>45</v>
      </c>
      <c r="B51" s="510">
        <v>45</v>
      </c>
      <c r="C51" s="511" t="s">
        <v>48</v>
      </c>
      <c r="D51" s="514">
        <v>0</v>
      </c>
      <c r="E51" s="555">
        <f t="shared" si="1"/>
        <v>0</v>
      </c>
      <c r="F51" s="514">
        <v>0</v>
      </c>
      <c r="G51" s="559">
        <f t="shared" si="4"/>
        <v>0</v>
      </c>
      <c r="H51" s="514"/>
      <c r="I51" s="559">
        <f t="shared" si="5"/>
        <v>0</v>
      </c>
      <c r="J51" s="559">
        <f t="shared" si="6"/>
        <v>0</v>
      </c>
      <c r="K51" s="1232">
        <v>966</v>
      </c>
      <c r="L51" s="564">
        <f t="shared" si="10"/>
        <v>232806</v>
      </c>
      <c r="M51" s="565">
        <v>0</v>
      </c>
      <c r="N51" s="514">
        <v>4249</v>
      </c>
      <c r="O51" s="576">
        <f t="shared" si="7"/>
        <v>250691</v>
      </c>
      <c r="P51" s="559"/>
      <c r="Q51" s="1236">
        <f t="shared" si="8"/>
        <v>250691</v>
      </c>
      <c r="R51" s="577">
        <f t="shared" si="9"/>
        <v>483497</v>
      </c>
      <c r="S51" s="512">
        <v>2862</v>
      </c>
    </row>
    <row r="52" spans="1:19" ht="15" customHeight="1" x14ac:dyDescent="0.2">
      <c r="A52" s="502">
        <v>46</v>
      </c>
      <c r="B52" s="503">
        <v>46</v>
      </c>
      <c r="C52" s="504" t="s">
        <v>49</v>
      </c>
      <c r="D52" s="515">
        <v>0</v>
      </c>
      <c r="E52" s="553">
        <f t="shared" si="1"/>
        <v>0</v>
      </c>
      <c r="F52" s="515">
        <v>0</v>
      </c>
      <c r="G52" s="557">
        <f t="shared" si="4"/>
        <v>0</v>
      </c>
      <c r="H52" s="515"/>
      <c r="I52" s="557">
        <f t="shared" si="5"/>
        <v>0</v>
      </c>
      <c r="J52" s="557">
        <f t="shared" si="6"/>
        <v>0</v>
      </c>
      <c r="K52" s="1231">
        <v>126</v>
      </c>
      <c r="L52" s="566">
        <f t="shared" si="10"/>
        <v>30366</v>
      </c>
      <c r="M52" s="567">
        <v>0</v>
      </c>
      <c r="N52" s="515">
        <v>510</v>
      </c>
      <c r="O52" s="572">
        <f t="shared" si="7"/>
        <v>30090</v>
      </c>
      <c r="P52" s="557"/>
      <c r="Q52" s="1234">
        <f t="shared" si="8"/>
        <v>30090</v>
      </c>
      <c r="R52" s="573">
        <f t="shared" si="9"/>
        <v>60456</v>
      </c>
      <c r="S52" s="505">
        <v>358</v>
      </c>
    </row>
    <row r="53" spans="1:19" ht="15" customHeight="1" x14ac:dyDescent="0.2">
      <c r="A53" s="508">
        <v>47</v>
      </c>
      <c r="B53" s="226">
        <v>47</v>
      </c>
      <c r="C53" s="506" t="s">
        <v>50</v>
      </c>
      <c r="D53" s="513">
        <v>0</v>
      </c>
      <c r="E53" s="554">
        <f t="shared" si="1"/>
        <v>0</v>
      </c>
      <c r="F53" s="513">
        <v>0</v>
      </c>
      <c r="G53" s="558">
        <f t="shared" si="4"/>
        <v>0</v>
      </c>
      <c r="H53" s="513"/>
      <c r="I53" s="558">
        <f t="shared" si="5"/>
        <v>0</v>
      </c>
      <c r="J53" s="558">
        <f t="shared" si="6"/>
        <v>0</v>
      </c>
      <c r="K53" s="1068">
        <v>688</v>
      </c>
      <c r="L53" s="562">
        <f t="shared" si="10"/>
        <v>165808</v>
      </c>
      <c r="M53" s="563">
        <v>0</v>
      </c>
      <c r="N53" s="513">
        <v>1576</v>
      </c>
      <c r="O53" s="574">
        <f t="shared" si="7"/>
        <v>92984</v>
      </c>
      <c r="P53" s="558"/>
      <c r="Q53" s="1235">
        <f t="shared" si="8"/>
        <v>92984</v>
      </c>
      <c r="R53" s="575">
        <f t="shared" si="9"/>
        <v>258792</v>
      </c>
      <c r="S53" s="507">
        <v>1057</v>
      </c>
    </row>
    <row r="54" spans="1:19" ht="15" customHeight="1" x14ac:dyDescent="0.2">
      <c r="A54" s="508">
        <v>48</v>
      </c>
      <c r="B54" s="226">
        <v>48</v>
      </c>
      <c r="C54" s="506" t="s">
        <v>73</v>
      </c>
      <c r="D54" s="513">
        <v>0</v>
      </c>
      <c r="E54" s="554">
        <f t="shared" si="1"/>
        <v>0</v>
      </c>
      <c r="F54" s="513">
        <v>0</v>
      </c>
      <c r="G54" s="558">
        <f t="shared" si="4"/>
        <v>0</v>
      </c>
      <c r="H54" s="513"/>
      <c r="I54" s="558">
        <f t="shared" si="5"/>
        <v>0</v>
      </c>
      <c r="J54" s="558">
        <f t="shared" si="6"/>
        <v>0</v>
      </c>
      <c r="K54" s="1068">
        <v>712</v>
      </c>
      <c r="L54" s="562">
        <f t="shared" si="10"/>
        <v>171592</v>
      </c>
      <c r="M54" s="563">
        <v>0</v>
      </c>
      <c r="N54" s="513">
        <v>2530</v>
      </c>
      <c r="O54" s="574">
        <f t="shared" si="7"/>
        <v>149270</v>
      </c>
      <c r="P54" s="558"/>
      <c r="Q54" s="1235">
        <f t="shared" si="8"/>
        <v>149270</v>
      </c>
      <c r="R54" s="575">
        <f t="shared" si="9"/>
        <v>320862</v>
      </c>
      <c r="S54" s="507">
        <v>1593</v>
      </c>
    </row>
    <row r="55" spans="1:19" ht="15" customHeight="1" x14ac:dyDescent="0.2">
      <c r="A55" s="508">
        <v>49</v>
      </c>
      <c r="B55" s="226">
        <v>49</v>
      </c>
      <c r="C55" s="506" t="s">
        <v>51</v>
      </c>
      <c r="D55" s="513">
        <v>0</v>
      </c>
      <c r="E55" s="554">
        <f t="shared" si="1"/>
        <v>0</v>
      </c>
      <c r="F55" s="513">
        <v>0</v>
      </c>
      <c r="G55" s="558">
        <f t="shared" si="4"/>
        <v>0</v>
      </c>
      <c r="H55" s="513"/>
      <c r="I55" s="558">
        <f t="shared" si="5"/>
        <v>0</v>
      </c>
      <c r="J55" s="558">
        <f t="shared" si="6"/>
        <v>0</v>
      </c>
      <c r="K55" s="1068">
        <v>2863</v>
      </c>
      <c r="L55" s="562">
        <f t="shared" si="10"/>
        <v>689983</v>
      </c>
      <c r="M55" s="563">
        <v>147142</v>
      </c>
      <c r="N55" s="513">
        <v>5352</v>
      </c>
      <c r="O55" s="574">
        <f t="shared" si="7"/>
        <v>315768</v>
      </c>
      <c r="P55" s="558"/>
      <c r="Q55" s="1235">
        <f t="shared" si="8"/>
        <v>315768</v>
      </c>
      <c r="R55" s="575">
        <f t="shared" si="9"/>
        <v>1152893</v>
      </c>
      <c r="S55" s="507">
        <v>3614</v>
      </c>
    </row>
    <row r="56" spans="1:19" ht="15" customHeight="1" x14ac:dyDescent="0.2">
      <c r="A56" s="509">
        <v>50</v>
      </c>
      <c r="B56" s="510">
        <v>50</v>
      </c>
      <c r="C56" s="511" t="s">
        <v>52</v>
      </c>
      <c r="D56" s="514">
        <v>8</v>
      </c>
      <c r="E56" s="555">
        <f t="shared" si="1"/>
        <v>168000</v>
      </c>
      <c r="F56" s="514">
        <v>4</v>
      </c>
      <c r="G56" s="559">
        <f t="shared" si="4"/>
        <v>24000</v>
      </c>
      <c r="H56" s="514"/>
      <c r="I56" s="559">
        <f t="shared" si="5"/>
        <v>0</v>
      </c>
      <c r="J56" s="559">
        <f t="shared" si="6"/>
        <v>24000</v>
      </c>
      <c r="K56" s="1232">
        <v>1009</v>
      </c>
      <c r="L56" s="564">
        <f t="shared" si="10"/>
        <v>243169</v>
      </c>
      <c r="M56" s="565">
        <v>0</v>
      </c>
      <c r="N56" s="514">
        <v>3215</v>
      </c>
      <c r="O56" s="576">
        <f t="shared" si="7"/>
        <v>189685</v>
      </c>
      <c r="P56" s="559"/>
      <c r="Q56" s="1236">
        <f t="shared" si="8"/>
        <v>189685</v>
      </c>
      <c r="R56" s="577">
        <f t="shared" si="9"/>
        <v>624854</v>
      </c>
      <c r="S56" s="512">
        <v>2061</v>
      </c>
    </row>
    <row r="57" spans="1:19" ht="15" customHeight="1" x14ac:dyDescent="0.2">
      <c r="A57" s="502">
        <v>51</v>
      </c>
      <c r="B57" s="503">
        <v>51</v>
      </c>
      <c r="C57" s="504" t="s">
        <v>53</v>
      </c>
      <c r="D57" s="515">
        <v>0</v>
      </c>
      <c r="E57" s="553">
        <f t="shared" si="1"/>
        <v>0</v>
      </c>
      <c r="F57" s="515">
        <v>0</v>
      </c>
      <c r="G57" s="557">
        <f t="shared" si="4"/>
        <v>0</v>
      </c>
      <c r="H57" s="515"/>
      <c r="I57" s="557">
        <f t="shared" si="5"/>
        <v>0</v>
      </c>
      <c r="J57" s="557">
        <f t="shared" si="6"/>
        <v>0</v>
      </c>
      <c r="K57" s="1231">
        <v>2141</v>
      </c>
      <c r="L57" s="566">
        <f t="shared" si="10"/>
        <v>515981</v>
      </c>
      <c r="M57" s="567">
        <v>24380</v>
      </c>
      <c r="N57" s="515">
        <v>3742</v>
      </c>
      <c r="O57" s="572">
        <f t="shared" si="7"/>
        <v>220778</v>
      </c>
      <c r="P57" s="557"/>
      <c r="Q57" s="1234">
        <f t="shared" si="8"/>
        <v>220778</v>
      </c>
      <c r="R57" s="573">
        <f t="shared" si="9"/>
        <v>761139</v>
      </c>
      <c r="S57" s="505">
        <v>2422</v>
      </c>
    </row>
    <row r="58" spans="1:19" ht="15" customHeight="1" x14ac:dyDescent="0.2">
      <c r="A58" s="508">
        <v>52</v>
      </c>
      <c r="B58" s="226">
        <v>52</v>
      </c>
      <c r="C58" s="506" t="s">
        <v>54</v>
      </c>
      <c r="D58" s="513">
        <v>0</v>
      </c>
      <c r="E58" s="554">
        <f t="shared" si="1"/>
        <v>0</v>
      </c>
      <c r="F58" s="513">
        <v>0</v>
      </c>
      <c r="G58" s="558">
        <f t="shared" si="4"/>
        <v>0</v>
      </c>
      <c r="H58" s="513"/>
      <c r="I58" s="558">
        <f t="shared" si="5"/>
        <v>0</v>
      </c>
      <c r="J58" s="558">
        <f t="shared" si="6"/>
        <v>0</v>
      </c>
      <c r="K58" s="1068">
        <v>3729</v>
      </c>
      <c r="L58" s="562">
        <f t="shared" si="10"/>
        <v>898689</v>
      </c>
      <c r="M58" s="563">
        <v>610688</v>
      </c>
      <c r="N58" s="513">
        <v>17108</v>
      </c>
      <c r="O58" s="574">
        <f t="shared" si="7"/>
        <v>1009372</v>
      </c>
      <c r="P58" s="558"/>
      <c r="Q58" s="1235">
        <f t="shared" si="8"/>
        <v>1009372</v>
      </c>
      <c r="R58" s="575">
        <f t="shared" si="9"/>
        <v>2518749</v>
      </c>
      <c r="S58" s="507">
        <v>11286</v>
      </c>
    </row>
    <row r="59" spans="1:19" ht="15" customHeight="1" x14ac:dyDescent="0.2">
      <c r="A59" s="508">
        <v>53</v>
      </c>
      <c r="B59" s="226">
        <v>53</v>
      </c>
      <c r="C59" s="506" t="s">
        <v>55</v>
      </c>
      <c r="D59" s="513">
        <v>0</v>
      </c>
      <c r="E59" s="554">
        <f t="shared" si="1"/>
        <v>0</v>
      </c>
      <c r="F59" s="513">
        <v>0</v>
      </c>
      <c r="G59" s="558">
        <f t="shared" si="4"/>
        <v>0</v>
      </c>
      <c r="H59" s="513"/>
      <c r="I59" s="558">
        <f t="shared" si="5"/>
        <v>0</v>
      </c>
      <c r="J59" s="558">
        <f t="shared" si="6"/>
        <v>0</v>
      </c>
      <c r="K59" s="1068">
        <v>3231</v>
      </c>
      <c r="L59" s="562">
        <f t="shared" si="10"/>
        <v>778671</v>
      </c>
      <c r="M59" s="563">
        <v>62320</v>
      </c>
      <c r="N59" s="513">
        <v>8556</v>
      </c>
      <c r="O59" s="574">
        <f t="shared" si="7"/>
        <v>504804</v>
      </c>
      <c r="P59" s="558"/>
      <c r="Q59" s="1235">
        <f t="shared" si="8"/>
        <v>504804</v>
      </c>
      <c r="R59" s="575">
        <f t="shared" si="9"/>
        <v>1345795</v>
      </c>
      <c r="S59" s="507">
        <v>5753</v>
      </c>
    </row>
    <row r="60" spans="1:19" ht="15" customHeight="1" x14ac:dyDescent="0.2">
      <c r="A60" s="508">
        <v>54</v>
      </c>
      <c r="B60" s="226">
        <v>54</v>
      </c>
      <c r="C60" s="506" t="s">
        <v>56</v>
      </c>
      <c r="D60" s="513">
        <v>0</v>
      </c>
      <c r="E60" s="554">
        <f t="shared" si="1"/>
        <v>0</v>
      </c>
      <c r="F60" s="513">
        <v>0</v>
      </c>
      <c r="G60" s="558">
        <f t="shared" si="4"/>
        <v>0</v>
      </c>
      <c r="H60" s="513"/>
      <c r="I60" s="558">
        <f t="shared" si="5"/>
        <v>0</v>
      </c>
      <c r="J60" s="558">
        <f t="shared" si="6"/>
        <v>0</v>
      </c>
      <c r="K60" s="1068">
        <v>46</v>
      </c>
      <c r="L60" s="562">
        <f t="shared" si="10"/>
        <v>25000</v>
      </c>
      <c r="M60" s="563">
        <v>0</v>
      </c>
      <c r="N60" s="513">
        <v>184</v>
      </c>
      <c r="O60" s="574">
        <f t="shared" si="7"/>
        <v>10856</v>
      </c>
      <c r="P60" s="558"/>
      <c r="Q60" s="1235">
        <f t="shared" si="8"/>
        <v>10856</v>
      </c>
      <c r="R60" s="575">
        <f t="shared" si="9"/>
        <v>35856</v>
      </c>
      <c r="S60" s="507">
        <v>111</v>
      </c>
    </row>
    <row r="61" spans="1:19" ht="15" customHeight="1" x14ac:dyDescent="0.2">
      <c r="A61" s="509">
        <v>55</v>
      </c>
      <c r="B61" s="510">
        <v>55</v>
      </c>
      <c r="C61" s="511" t="s">
        <v>57</v>
      </c>
      <c r="D61" s="514">
        <v>0</v>
      </c>
      <c r="E61" s="555">
        <f t="shared" si="1"/>
        <v>0</v>
      </c>
      <c r="F61" s="514">
        <v>0</v>
      </c>
      <c r="G61" s="559">
        <f t="shared" si="4"/>
        <v>0</v>
      </c>
      <c r="H61" s="514"/>
      <c r="I61" s="559">
        <f t="shared" si="5"/>
        <v>0</v>
      </c>
      <c r="J61" s="559">
        <f t="shared" si="6"/>
        <v>0</v>
      </c>
      <c r="K61" s="1232">
        <v>1914</v>
      </c>
      <c r="L61" s="564">
        <f t="shared" si="10"/>
        <v>461274</v>
      </c>
      <c r="M61" s="565">
        <v>634328</v>
      </c>
      <c r="N61" s="514">
        <v>7074</v>
      </c>
      <c r="O61" s="576">
        <f t="shared" si="7"/>
        <v>417366</v>
      </c>
      <c r="P61" s="559"/>
      <c r="Q61" s="1236">
        <f t="shared" si="8"/>
        <v>417366</v>
      </c>
      <c r="R61" s="577">
        <f t="shared" si="9"/>
        <v>1512968</v>
      </c>
      <c r="S61" s="512">
        <v>4682</v>
      </c>
    </row>
    <row r="62" spans="1:19" ht="15" customHeight="1" x14ac:dyDescent="0.2">
      <c r="A62" s="502">
        <v>56</v>
      </c>
      <c r="B62" s="503">
        <v>56</v>
      </c>
      <c r="C62" s="504" t="s">
        <v>58</v>
      </c>
      <c r="D62" s="515">
        <v>0</v>
      </c>
      <c r="E62" s="553">
        <f t="shared" si="1"/>
        <v>0</v>
      </c>
      <c r="F62" s="515">
        <v>0</v>
      </c>
      <c r="G62" s="557">
        <f t="shared" si="4"/>
        <v>0</v>
      </c>
      <c r="H62" s="515"/>
      <c r="I62" s="557">
        <f t="shared" si="5"/>
        <v>0</v>
      </c>
      <c r="J62" s="557">
        <f t="shared" si="6"/>
        <v>0</v>
      </c>
      <c r="K62" s="1231">
        <v>248</v>
      </c>
      <c r="L62" s="566">
        <f t="shared" si="10"/>
        <v>59768</v>
      </c>
      <c r="M62" s="567">
        <v>0</v>
      </c>
      <c r="N62" s="515">
        <v>902</v>
      </c>
      <c r="O62" s="572">
        <f t="shared" si="7"/>
        <v>53218</v>
      </c>
      <c r="P62" s="557"/>
      <c r="Q62" s="1234">
        <f t="shared" si="8"/>
        <v>53218</v>
      </c>
      <c r="R62" s="573">
        <f t="shared" si="9"/>
        <v>112986</v>
      </c>
      <c r="S62" s="505">
        <v>578</v>
      </c>
    </row>
    <row r="63" spans="1:19" ht="15" customHeight="1" x14ac:dyDescent="0.2">
      <c r="A63" s="508">
        <v>57</v>
      </c>
      <c r="B63" s="226">
        <v>57</v>
      </c>
      <c r="C63" s="506" t="s">
        <v>59</v>
      </c>
      <c r="D63" s="513">
        <v>1</v>
      </c>
      <c r="E63" s="554">
        <f t="shared" si="1"/>
        <v>21000</v>
      </c>
      <c r="F63" s="513">
        <v>1</v>
      </c>
      <c r="G63" s="558">
        <f t="shared" si="4"/>
        <v>6000</v>
      </c>
      <c r="H63" s="513"/>
      <c r="I63" s="558">
        <f t="shared" si="5"/>
        <v>0</v>
      </c>
      <c r="J63" s="558">
        <f t="shared" si="6"/>
        <v>6000</v>
      </c>
      <c r="K63" s="1068">
        <v>828.5</v>
      </c>
      <c r="L63" s="562">
        <f t="shared" si="10"/>
        <v>199669</v>
      </c>
      <c r="M63" s="563">
        <v>205557</v>
      </c>
      <c r="N63" s="513">
        <v>3973</v>
      </c>
      <c r="O63" s="574">
        <f t="shared" si="7"/>
        <v>234407</v>
      </c>
      <c r="P63" s="558"/>
      <c r="Q63" s="1235">
        <f t="shared" si="8"/>
        <v>234407</v>
      </c>
      <c r="R63" s="575">
        <f t="shared" si="9"/>
        <v>666633</v>
      </c>
      <c r="S63" s="507">
        <v>2589</v>
      </c>
    </row>
    <row r="64" spans="1:19" ht="15" customHeight="1" x14ac:dyDescent="0.2">
      <c r="A64" s="508">
        <v>58</v>
      </c>
      <c r="B64" s="226">
        <v>58</v>
      </c>
      <c r="C64" s="506" t="s">
        <v>60</v>
      </c>
      <c r="D64" s="513">
        <v>0</v>
      </c>
      <c r="E64" s="554">
        <f t="shared" si="1"/>
        <v>0</v>
      </c>
      <c r="F64" s="513">
        <v>0</v>
      </c>
      <c r="G64" s="558">
        <f t="shared" si="4"/>
        <v>0</v>
      </c>
      <c r="H64" s="513"/>
      <c r="I64" s="558">
        <f t="shared" si="5"/>
        <v>0</v>
      </c>
      <c r="J64" s="558">
        <f t="shared" si="6"/>
        <v>0</v>
      </c>
      <c r="K64" s="1068">
        <v>683</v>
      </c>
      <c r="L64" s="562">
        <f t="shared" si="10"/>
        <v>164603</v>
      </c>
      <c r="M64" s="563">
        <v>0</v>
      </c>
      <c r="N64" s="513">
        <v>3181</v>
      </c>
      <c r="O64" s="574">
        <f t="shared" si="7"/>
        <v>187679</v>
      </c>
      <c r="P64" s="558"/>
      <c r="Q64" s="1235">
        <f t="shared" si="8"/>
        <v>187679</v>
      </c>
      <c r="R64" s="575">
        <f t="shared" si="9"/>
        <v>352282</v>
      </c>
      <c r="S64" s="507">
        <v>2021</v>
      </c>
    </row>
    <row r="65" spans="1:19" ht="15" customHeight="1" x14ac:dyDescent="0.2">
      <c r="A65" s="508">
        <v>59</v>
      </c>
      <c r="B65" s="226">
        <v>59</v>
      </c>
      <c r="C65" s="506" t="s">
        <v>61</v>
      </c>
      <c r="D65" s="513">
        <v>0</v>
      </c>
      <c r="E65" s="554">
        <f t="shared" si="1"/>
        <v>0</v>
      </c>
      <c r="F65" s="513">
        <v>0</v>
      </c>
      <c r="G65" s="558">
        <f t="shared" si="4"/>
        <v>0</v>
      </c>
      <c r="H65" s="513"/>
      <c r="I65" s="558">
        <f t="shared" si="5"/>
        <v>0</v>
      </c>
      <c r="J65" s="558">
        <f t="shared" si="6"/>
        <v>0</v>
      </c>
      <c r="K65" s="1068">
        <v>913</v>
      </c>
      <c r="L65" s="562">
        <f t="shared" si="10"/>
        <v>220033</v>
      </c>
      <c r="M65" s="563">
        <v>0</v>
      </c>
      <c r="N65" s="513">
        <v>2354</v>
      </c>
      <c r="O65" s="574">
        <f t="shared" si="7"/>
        <v>138886</v>
      </c>
      <c r="P65" s="558"/>
      <c r="Q65" s="1235">
        <f t="shared" si="8"/>
        <v>138886</v>
      </c>
      <c r="R65" s="575">
        <f t="shared" si="9"/>
        <v>358919</v>
      </c>
      <c r="S65" s="507">
        <v>1551</v>
      </c>
    </row>
    <row r="66" spans="1:19" ht="15" customHeight="1" x14ac:dyDescent="0.2">
      <c r="A66" s="509">
        <v>60</v>
      </c>
      <c r="B66" s="510">
        <v>60</v>
      </c>
      <c r="C66" s="511" t="s">
        <v>62</v>
      </c>
      <c r="D66" s="514">
        <v>0</v>
      </c>
      <c r="E66" s="555">
        <f t="shared" si="1"/>
        <v>0</v>
      </c>
      <c r="F66" s="514">
        <v>0</v>
      </c>
      <c r="G66" s="559">
        <f t="shared" si="4"/>
        <v>0</v>
      </c>
      <c r="H66" s="514"/>
      <c r="I66" s="559">
        <f t="shared" si="5"/>
        <v>0</v>
      </c>
      <c r="J66" s="559">
        <f t="shared" si="6"/>
        <v>0</v>
      </c>
      <c r="K66" s="1232">
        <v>775</v>
      </c>
      <c r="L66" s="564">
        <f t="shared" si="10"/>
        <v>186775</v>
      </c>
      <c r="M66" s="565">
        <v>0</v>
      </c>
      <c r="N66" s="514">
        <v>2644</v>
      </c>
      <c r="O66" s="576">
        <f t="shared" si="7"/>
        <v>155996</v>
      </c>
      <c r="P66" s="559"/>
      <c r="Q66" s="1236">
        <f t="shared" si="8"/>
        <v>155996</v>
      </c>
      <c r="R66" s="577">
        <f t="shared" si="9"/>
        <v>342771</v>
      </c>
      <c r="S66" s="512">
        <v>1716</v>
      </c>
    </row>
    <row r="67" spans="1:19" ht="15" customHeight="1" x14ac:dyDescent="0.2">
      <c r="A67" s="502">
        <v>61</v>
      </c>
      <c r="B67" s="503">
        <v>61</v>
      </c>
      <c r="C67" s="504" t="s">
        <v>63</v>
      </c>
      <c r="D67" s="515">
        <v>0</v>
      </c>
      <c r="E67" s="553">
        <f t="shared" si="1"/>
        <v>0</v>
      </c>
      <c r="F67" s="515">
        <v>0</v>
      </c>
      <c r="G67" s="557">
        <f t="shared" si="4"/>
        <v>0</v>
      </c>
      <c r="H67" s="515"/>
      <c r="I67" s="557">
        <f t="shared" si="5"/>
        <v>0</v>
      </c>
      <c r="J67" s="557">
        <f t="shared" si="6"/>
        <v>0</v>
      </c>
      <c r="K67" s="1231">
        <v>494</v>
      </c>
      <c r="L67" s="566">
        <f t="shared" si="10"/>
        <v>119054</v>
      </c>
      <c r="M67" s="567">
        <v>146574</v>
      </c>
      <c r="N67" s="515">
        <v>1544</v>
      </c>
      <c r="O67" s="572">
        <f t="shared" si="7"/>
        <v>91096</v>
      </c>
      <c r="P67" s="557"/>
      <c r="Q67" s="1234">
        <f t="shared" si="8"/>
        <v>91096</v>
      </c>
      <c r="R67" s="573">
        <f t="shared" si="9"/>
        <v>356724</v>
      </c>
      <c r="S67" s="505">
        <v>1083</v>
      </c>
    </row>
    <row r="68" spans="1:19" ht="15" customHeight="1" x14ac:dyDescent="0.2">
      <c r="A68" s="508">
        <v>62</v>
      </c>
      <c r="B68" s="226">
        <v>62</v>
      </c>
      <c r="C68" s="506" t="s">
        <v>64</v>
      </c>
      <c r="D68" s="513">
        <v>0</v>
      </c>
      <c r="E68" s="554">
        <f t="shared" si="1"/>
        <v>0</v>
      </c>
      <c r="F68" s="513">
        <v>0</v>
      </c>
      <c r="G68" s="558">
        <f t="shared" si="4"/>
        <v>0</v>
      </c>
      <c r="H68" s="513"/>
      <c r="I68" s="558">
        <f t="shared" si="5"/>
        <v>0</v>
      </c>
      <c r="J68" s="558">
        <f t="shared" si="6"/>
        <v>0</v>
      </c>
      <c r="K68" s="1068">
        <v>214</v>
      </c>
      <c r="L68" s="562">
        <f t="shared" si="10"/>
        <v>51574</v>
      </c>
      <c r="M68" s="563">
        <v>0</v>
      </c>
      <c r="N68" s="513">
        <v>847</v>
      </c>
      <c r="O68" s="574">
        <f t="shared" si="7"/>
        <v>49973</v>
      </c>
      <c r="P68" s="558"/>
      <c r="Q68" s="1235">
        <f t="shared" si="8"/>
        <v>49973</v>
      </c>
      <c r="R68" s="575">
        <f t="shared" si="9"/>
        <v>101547</v>
      </c>
      <c r="S68" s="507">
        <v>565</v>
      </c>
    </row>
    <row r="69" spans="1:19" ht="15" customHeight="1" x14ac:dyDescent="0.2">
      <c r="A69" s="508">
        <v>63</v>
      </c>
      <c r="B69" s="226">
        <v>63</v>
      </c>
      <c r="C69" s="506" t="s">
        <v>65</v>
      </c>
      <c r="D69" s="513">
        <v>0</v>
      </c>
      <c r="E69" s="554">
        <f t="shared" si="1"/>
        <v>0</v>
      </c>
      <c r="F69" s="513">
        <v>0</v>
      </c>
      <c r="G69" s="558">
        <f t="shared" si="4"/>
        <v>0</v>
      </c>
      <c r="H69" s="513"/>
      <c r="I69" s="558">
        <f t="shared" si="5"/>
        <v>0</v>
      </c>
      <c r="J69" s="558">
        <f t="shared" si="6"/>
        <v>0</v>
      </c>
      <c r="K69" s="1068">
        <v>420</v>
      </c>
      <c r="L69" s="562">
        <f t="shared" si="10"/>
        <v>101220</v>
      </c>
      <c r="M69" s="563">
        <v>0</v>
      </c>
      <c r="N69" s="513">
        <v>947</v>
      </c>
      <c r="O69" s="574">
        <f t="shared" si="7"/>
        <v>55873</v>
      </c>
      <c r="P69" s="558"/>
      <c r="Q69" s="1235">
        <f t="shared" si="8"/>
        <v>55873</v>
      </c>
      <c r="R69" s="575">
        <f t="shared" si="9"/>
        <v>157093</v>
      </c>
      <c r="S69" s="507">
        <v>640</v>
      </c>
    </row>
    <row r="70" spans="1:19" ht="15" customHeight="1" x14ac:dyDescent="0.2">
      <c r="A70" s="508">
        <v>64</v>
      </c>
      <c r="B70" s="226">
        <v>64</v>
      </c>
      <c r="C70" s="506" t="s">
        <v>66</v>
      </c>
      <c r="D70" s="513">
        <v>0</v>
      </c>
      <c r="E70" s="554">
        <f t="shared" si="1"/>
        <v>0</v>
      </c>
      <c r="F70" s="513">
        <v>0</v>
      </c>
      <c r="G70" s="558">
        <f t="shared" si="4"/>
        <v>0</v>
      </c>
      <c r="H70" s="513"/>
      <c r="I70" s="558">
        <f t="shared" si="5"/>
        <v>0</v>
      </c>
      <c r="J70" s="558">
        <f t="shared" si="6"/>
        <v>0</v>
      </c>
      <c r="K70" s="1068">
        <v>533</v>
      </c>
      <c r="L70" s="562">
        <f t="shared" si="10"/>
        <v>128453</v>
      </c>
      <c r="M70" s="563">
        <v>0</v>
      </c>
      <c r="N70" s="513">
        <v>933</v>
      </c>
      <c r="O70" s="574">
        <f t="shared" si="7"/>
        <v>55047</v>
      </c>
      <c r="P70" s="558"/>
      <c r="Q70" s="1235">
        <f t="shared" si="8"/>
        <v>55047</v>
      </c>
      <c r="R70" s="575">
        <f t="shared" si="9"/>
        <v>183500</v>
      </c>
      <c r="S70" s="507">
        <v>599</v>
      </c>
    </row>
    <row r="71" spans="1:19" ht="15" customHeight="1" x14ac:dyDescent="0.2">
      <c r="A71" s="509">
        <v>65</v>
      </c>
      <c r="B71" s="510">
        <v>65</v>
      </c>
      <c r="C71" s="511" t="s">
        <v>67</v>
      </c>
      <c r="D71" s="514">
        <v>0</v>
      </c>
      <c r="E71" s="555">
        <f>ROUND($E$3*D71,0)</f>
        <v>0</v>
      </c>
      <c r="F71" s="514">
        <v>0</v>
      </c>
      <c r="G71" s="559">
        <f t="shared" si="4"/>
        <v>0</v>
      </c>
      <c r="H71" s="514"/>
      <c r="I71" s="559">
        <f t="shared" si="5"/>
        <v>0</v>
      </c>
      <c r="J71" s="559">
        <f t="shared" si="6"/>
        <v>0</v>
      </c>
      <c r="K71" s="1232">
        <v>1241</v>
      </c>
      <c r="L71" s="564">
        <f t="shared" si="10"/>
        <v>299081</v>
      </c>
      <c r="M71" s="565">
        <v>41394</v>
      </c>
      <c r="N71" s="514">
        <v>3339</v>
      </c>
      <c r="O71" s="576">
        <f t="shared" si="7"/>
        <v>197001</v>
      </c>
      <c r="P71" s="559"/>
      <c r="Q71" s="1236">
        <f t="shared" si="8"/>
        <v>197001</v>
      </c>
      <c r="R71" s="577">
        <f>L71+J71+E71+M71+Q71</f>
        <v>537476</v>
      </c>
      <c r="S71" s="512">
        <v>2261</v>
      </c>
    </row>
    <row r="72" spans="1:19" ht="15" customHeight="1" x14ac:dyDescent="0.2">
      <c r="A72" s="502">
        <v>66</v>
      </c>
      <c r="B72" s="503">
        <v>66</v>
      </c>
      <c r="C72" s="504" t="s">
        <v>68</v>
      </c>
      <c r="D72" s="515">
        <v>0</v>
      </c>
      <c r="E72" s="516">
        <f>ROUND($E$3*D72,0)</f>
        <v>0</v>
      </c>
      <c r="F72" s="515">
        <v>0</v>
      </c>
      <c r="G72" s="557">
        <f>ROUND($G$3*F72,0)</f>
        <v>0</v>
      </c>
      <c r="H72" s="515"/>
      <c r="I72" s="557">
        <f>ROUND($I$3*H72,0)</f>
        <v>0</v>
      </c>
      <c r="J72" s="557">
        <f>G72+I72</f>
        <v>0</v>
      </c>
      <c r="K72" s="1231">
        <v>297</v>
      </c>
      <c r="L72" s="566">
        <f t="shared" si="10"/>
        <v>71577</v>
      </c>
      <c r="M72" s="567">
        <v>0</v>
      </c>
      <c r="N72" s="515">
        <v>750</v>
      </c>
      <c r="O72" s="572">
        <f>N72*$O$3</f>
        <v>44250</v>
      </c>
      <c r="P72" s="557"/>
      <c r="Q72" s="1234">
        <f>O72+P72</f>
        <v>44250</v>
      </c>
      <c r="R72" s="573">
        <f>L72+J72+E72+M72+Q72</f>
        <v>115827</v>
      </c>
      <c r="S72" s="505">
        <v>486</v>
      </c>
    </row>
    <row r="73" spans="1:19" ht="15" customHeight="1" x14ac:dyDescent="0.2">
      <c r="A73" s="45">
        <v>67</v>
      </c>
      <c r="B73" s="45">
        <v>67</v>
      </c>
      <c r="C73" s="107" t="s">
        <v>2</v>
      </c>
      <c r="D73" s="1229">
        <v>0</v>
      </c>
      <c r="E73" s="103">
        <f>ROUND($E$3*D73,0)</f>
        <v>0</v>
      </c>
      <c r="F73" s="1229">
        <v>0</v>
      </c>
      <c r="G73" s="560">
        <f>ROUND($G$3*F73,0)</f>
        <v>0</v>
      </c>
      <c r="H73" s="1229"/>
      <c r="I73" s="560">
        <f>ROUND($I$3*H73,0)</f>
        <v>0</v>
      </c>
      <c r="J73" s="560">
        <f>G73+I73</f>
        <v>0</v>
      </c>
      <c r="K73" s="1233">
        <v>367</v>
      </c>
      <c r="L73" s="568">
        <f t="shared" si="10"/>
        <v>88447</v>
      </c>
      <c r="M73" s="569">
        <v>0</v>
      </c>
      <c r="N73" s="1229">
        <v>2457</v>
      </c>
      <c r="O73" s="578">
        <f>N73*$O$3</f>
        <v>144963</v>
      </c>
      <c r="P73" s="560"/>
      <c r="Q73" s="1237">
        <f>O73+P73</f>
        <v>144963</v>
      </c>
      <c r="R73" s="579">
        <f>L73+J73+E73+M73+Q73</f>
        <v>233410</v>
      </c>
      <c r="S73" s="46">
        <v>1633</v>
      </c>
    </row>
    <row r="74" spans="1:19" ht="15" customHeight="1" x14ac:dyDescent="0.2">
      <c r="A74" s="517">
        <v>68</v>
      </c>
      <c r="B74" s="227">
        <v>68</v>
      </c>
      <c r="C74" s="506" t="s">
        <v>1</v>
      </c>
      <c r="D74" s="513">
        <v>0</v>
      </c>
      <c r="E74" s="518">
        <f>ROUND($E$3*D74,0)</f>
        <v>0</v>
      </c>
      <c r="F74" s="513">
        <v>0</v>
      </c>
      <c r="G74" s="558">
        <f>ROUND($G$3*F74,0)</f>
        <v>0</v>
      </c>
      <c r="H74" s="513"/>
      <c r="I74" s="558">
        <f>ROUND($I$3*H74,0)</f>
        <v>0</v>
      </c>
      <c r="J74" s="558">
        <f>G74+I74</f>
        <v>0</v>
      </c>
      <c r="K74" s="1068">
        <v>39</v>
      </c>
      <c r="L74" s="562">
        <f t="shared" si="10"/>
        <v>25000</v>
      </c>
      <c r="M74" s="563">
        <v>14866</v>
      </c>
      <c r="N74" s="513">
        <v>647</v>
      </c>
      <c r="O74" s="574">
        <f>N74*$O$3</f>
        <v>38173</v>
      </c>
      <c r="P74" s="558"/>
      <c r="Q74" s="1235">
        <f>O74+P74</f>
        <v>38173</v>
      </c>
      <c r="R74" s="575">
        <f>L74+J74+E74+M74+Q74</f>
        <v>78039</v>
      </c>
      <c r="S74" s="507">
        <v>450</v>
      </c>
    </row>
    <row r="75" spans="1:19" ht="15" customHeight="1" x14ac:dyDescent="0.2">
      <c r="A75" s="519">
        <v>69</v>
      </c>
      <c r="B75" s="520">
        <v>69</v>
      </c>
      <c r="C75" s="511" t="s">
        <v>74</v>
      </c>
      <c r="D75" s="514">
        <v>0</v>
      </c>
      <c r="E75" s="521">
        <f>ROUND($E$3*D75,0)</f>
        <v>0</v>
      </c>
      <c r="F75" s="514">
        <v>0</v>
      </c>
      <c r="G75" s="559">
        <f>ROUND($G$3*F75,0)</f>
        <v>0</v>
      </c>
      <c r="H75" s="514"/>
      <c r="I75" s="559">
        <f>ROUND($I$3*H75,0)</f>
        <v>0</v>
      </c>
      <c r="J75" s="559">
        <f>G75+I75</f>
        <v>0</v>
      </c>
      <c r="K75" s="1232">
        <v>887</v>
      </c>
      <c r="L75" s="564">
        <f t="shared" si="10"/>
        <v>213767</v>
      </c>
      <c r="M75" s="565">
        <v>0</v>
      </c>
      <c r="N75" s="514">
        <v>2178</v>
      </c>
      <c r="O75" s="576">
        <f>N75*$O$3</f>
        <v>128502</v>
      </c>
      <c r="P75" s="559"/>
      <c r="Q75" s="1236">
        <f>O75+P75</f>
        <v>128502</v>
      </c>
      <c r="R75" s="577">
        <f>L75+J75+E75+M75+Q75</f>
        <v>342269</v>
      </c>
      <c r="S75" s="512">
        <v>1459</v>
      </c>
    </row>
    <row r="76" spans="1:19" s="104" customFormat="1" ht="15" customHeight="1" thickBot="1" x14ac:dyDescent="0.25">
      <c r="A76" s="522"/>
      <c r="B76" s="523"/>
      <c r="C76" s="1230" t="s">
        <v>239</v>
      </c>
      <c r="D76" s="524">
        <f t="shared" ref="D76:R76" si="11">SUM(D7:D75)</f>
        <v>215</v>
      </c>
      <c r="E76" s="556">
        <f t="shared" si="11"/>
        <v>4515000</v>
      </c>
      <c r="F76" s="524">
        <f t="shared" si="11"/>
        <v>41</v>
      </c>
      <c r="G76" s="561">
        <f t="shared" si="11"/>
        <v>246000</v>
      </c>
      <c r="H76" s="524">
        <f t="shared" si="11"/>
        <v>0</v>
      </c>
      <c r="I76" s="561">
        <f t="shared" si="11"/>
        <v>0</v>
      </c>
      <c r="J76" s="561">
        <f t="shared" si="11"/>
        <v>246000</v>
      </c>
      <c r="K76" s="1065">
        <f t="shared" si="11"/>
        <v>84238.5</v>
      </c>
      <c r="L76" s="570">
        <f>SUM(L7:L75)</f>
        <v>20391644</v>
      </c>
      <c r="M76" s="571">
        <f t="shared" si="11"/>
        <v>11624862</v>
      </c>
      <c r="N76" s="524">
        <f t="shared" si="11"/>
        <v>290492</v>
      </c>
      <c r="O76" s="580">
        <f t="shared" si="11"/>
        <v>17139028</v>
      </c>
      <c r="P76" s="561">
        <f t="shared" si="11"/>
        <v>0</v>
      </c>
      <c r="Q76" s="1238">
        <f t="shared" si="11"/>
        <v>17139028</v>
      </c>
      <c r="R76" s="581">
        <f t="shared" si="11"/>
        <v>53916534</v>
      </c>
      <c r="S76" s="524">
        <f>SUM(S7:S75)</f>
        <v>191873</v>
      </c>
    </row>
    <row r="77" spans="1:19" s="22" customFormat="1" ht="6.75" customHeight="1" thickTop="1" x14ac:dyDescent="0.2">
      <c r="A77" s="627"/>
      <c r="B77" s="628"/>
      <c r="C77" s="639"/>
      <c r="D77" s="630"/>
      <c r="E77" s="634"/>
      <c r="F77" s="630"/>
      <c r="G77" s="631"/>
      <c r="H77" s="640"/>
      <c r="I77" s="631"/>
      <c r="J77" s="631"/>
      <c r="K77" s="1066"/>
      <c r="L77" s="634"/>
      <c r="M77" s="634"/>
      <c r="N77" s="630"/>
      <c r="O77" s="634"/>
      <c r="P77" s="631"/>
      <c r="Q77" s="635"/>
      <c r="R77" s="634"/>
      <c r="S77" s="630"/>
    </row>
    <row r="78" spans="1:19" s="22" customFormat="1" ht="15" customHeight="1" x14ac:dyDescent="0.2">
      <c r="A78" s="502">
        <v>318</v>
      </c>
      <c r="B78" s="503">
        <v>318001</v>
      </c>
      <c r="C78" s="504" t="s">
        <v>235</v>
      </c>
      <c r="D78" s="515">
        <v>0</v>
      </c>
      <c r="E78" s="553">
        <f t="shared" ref="E78:E83" si="12">ROUND($E$3*D78,0)</f>
        <v>0</v>
      </c>
      <c r="F78" s="515">
        <v>0</v>
      </c>
      <c r="G78" s="557">
        <f t="shared" ref="G78:G83" si="13">ROUND($G$3*F78,0)</f>
        <v>0</v>
      </c>
      <c r="H78" s="515"/>
      <c r="I78" s="557">
        <f t="shared" ref="I78:I83" si="14">ROUND($I$3*H78,0)</f>
        <v>0</v>
      </c>
      <c r="J78" s="557">
        <f t="shared" ref="J78:J83" si="15">G78+I78</f>
        <v>0</v>
      </c>
      <c r="K78" s="1231">
        <v>51</v>
      </c>
      <c r="L78" s="566">
        <f t="shared" ref="L78:L83" si="16">ROUND(IF(AND(L$3*K78&lt;10000,$S78&gt;0),10000,L$3*K78),0)</f>
        <v>12291</v>
      </c>
      <c r="M78" s="567">
        <v>0</v>
      </c>
      <c r="N78" s="515">
        <v>678</v>
      </c>
      <c r="O78" s="572">
        <f t="shared" ref="O78:O83" si="17">N78*$O$3</f>
        <v>40002</v>
      </c>
      <c r="P78" s="557"/>
      <c r="Q78" s="1234">
        <f t="shared" ref="Q78:Q83" si="18">O78+P78</f>
        <v>40002</v>
      </c>
      <c r="R78" s="573">
        <f t="shared" ref="R78:R83" si="19">L78+J78+E78+M78+Q78</f>
        <v>52293</v>
      </c>
      <c r="S78" s="505">
        <v>457</v>
      </c>
    </row>
    <row r="79" spans="1:19" s="22" customFormat="1" ht="15" customHeight="1" x14ac:dyDescent="0.2">
      <c r="A79" s="508">
        <v>319</v>
      </c>
      <c r="B79" s="226">
        <v>319001</v>
      </c>
      <c r="C79" s="506" t="s">
        <v>236</v>
      </c>
      <c r="D79" s="513">
        <v>0</v>
      </c>
      <c r="E79" s="554">
        <f t="shared" si="12"/>
        <v>0</v>
      </c>
      <c r="F79" s="513">
        <v>0</v>
      </c>
      <c r="G79" s="558">
        <f t="shared" si="13"/>
        <v>0</v>
      </c>
      <c r="H79" s="513"/>
      <c r="I79" s="558">
        <f t="shared" si="14"/>
        <v>0</v>
      </c>
      <c r="J79" s="558">
        <f t="shared" si="15"/>
        <v>0</v>
      </c>
      <c r="K79" s="1068">
        <v>1</v>
      </c>
      <c r="L79" s="562">
        <f t="shared" si="16"/>
        <v>10000</v>
      </c>
      <c r="M79" s="563">
        <v>0</v>
      </c>
      <c r="N79" s="513">
        <v>307</v>
      </c>
      <c r="O79" s="574">
        <f t="shared" si="17"/>
        <v>18113</v>
      </c>
      <c r="P79" s="558"/>
      <c r="Q79" s="1235">
        <f t="shared" si="18"/>
        <v>18113</v>
      </c>
      <c r="R79" s="575">
        <f t="shared" si="19"/>
        <v>28113</v>
      </c>
      <c r="S79" s="507">
        <v>248</v>
      </c>
    </row>
    <row r="80" spans="1:19" ht="15" customHeight="1" x14ac:dyDescent="0.2">
      <c r="A80" s="508">
        <v>302006</v>
      </c>
      <c r="B80" s="226">
        <v>302006</v>
      </c>
      <c r="C80" s="506" t="s">
        <v>312</v>
      </c>
      <c r="D80" s="513">
        <v>0</v>
      </c>
      <c r="E80" s="554">
        <f t="shared" si="12"/>
        <v>0</v>
      </c>
      <c r="F80" s="513">
        <v>0</v>
      </c>
      <c r="G80" s="558">
        <f t="shared" si="13"/>
        <v>0</v>
      </c>
      <c r="H80" s="513"/>
      <c r="I80" s="558">
        <f t="shared" si="14"/>
        <v>0</v>
      </c>
      <c r="J80" s="558">
        <f t="shared" si="15"/>
        <v>0</v>
      </c>
      <c r="K80" s="1068">
        <v>0</v>
      </c>
      <c r="L80" s="562">
        <f t="shared" si="16"/>
        <v>10000</v>
      </c>
      <c r="M80" s="563">
        <v>0</v>
      </c>
      <c r="N80" s="513">
        <v>330</v>
      </c>
      <c r="O80" s="574">
        <f t="shared" si="17"/>
        <v>19470</v>
      </c>
      <c r="P80" s="558"/>
      <c r="Q80" s="1235">
        <f t="shared" si="18"/>
        <v>19470</v>
      </c>
      <c r="R80" s="575">
        <f t="shared" si="19"/>
        <v>29470</v>
      </c>
      <c r="S80" s="507">
        <v>327</v>
      </c>
    </row>
    <row r="81" spans="1:19" ht="15" customHeight="1" x14ac:dyDescent="0.2">
      <c r="A81" s="508">
        <v>334001</v>
      </c>
      <c r="B81" s="226">
        <v>334001</v>
      </c>
      <c r="C81" s="506" t="s">
        <v>308</v>
      </c>
      <c r="D81" s="513">
        <v>0</v>
      </c>
      <c r="E81" s="554">
        <f t="shared" si="12"/>
        <v>0</v>
      </c>
      <c r="F81" s="513">
        <v>0</v>
      </c>
      <c r="G81" s="558">
        <f t="shared" si="13"/>
        <v>0</v>
      </c>
      <c r="H81" s="513"/>
      <c r="I81" s="558">
        <f t="shared" si="14"/>
        <v>0</v>
      </c>
      <c r="J81" s="558">
        <f t="shared" si="15"/>
        <v>0</v>
      </c>
      <c r="K81" s="1068">
        <v>0</v>
      </c>
      <c r="L81" s="562">
        <f t="shared" si="16"/>
        <v>10000</v>
      </c>
      <c r="M81" s="563">
        <v>0</v>
      </c>
      <c r="N81" s="513">
        <v>229</v>
      </c>
      <c r="O81" s="574">
        <f t="shared" si="17"/>
        <v>13511</v>
      </c>
      <c r="P81" s="558"/>
      <c r="Q81" s="1235">
        <f t="shared" si="18"/>
        <v>13511</v>
      </c>
      <c r="R81" s="575">
        <f t="shared" si="19"/>
        <v>23511</v>
      </c>
      <c r="S81" s="507">
        <v>241</v>
      </c>
    </row>
    <row r="82" spans="1:19" ht="15" customHeight="1" x14ac:dyDescent="0.2">
      <c r="A82" s="509" t="s">
        <v>833</v>
      </c>
      <c r="B82" s="510" t="s">
        <v>833</v>
      </c>
      <c r="C82" s="511" t="s">
        <v>522</v>
      </c>
      <c r="D82" s="514">
        <v>0</v>
      </c>
      <c r="E82" s="555">
        <f t="shared" si="12"/>
        <v>0</v>
      </c>
      <c r="F82" s="514">
        <v>0</v>
      </c>
      <c r="G82" s="559">
        <f t="shared" si="13"/>
        <v>0</v>
      </c>
      <c r="H82" s="514"/>
      <c r="I82" s="559">
        <f t="shared" si="14"/>
        <v>0</v>
      </c>
      <c r="J82" s="559">
        <f t="shared" si="15"/>
        <v>0</v>
      </c>
      <c r="K82" s="1232">
        <v>72</v>
      </c>
      <c r="L82" s="564">
        <f t="shared" si="16"/>
        <v>17352</v>
      </c>
      <c r="M82" s="565">
        <v>0</v>
      </c>
      <c r="N82" s="514">
        <v>162</v>
      </c>
      <c r="O82" s="576">
        <f t="shared" si="17"/>
        <v>9558</v>
      </c>
      <c r="P82" s="559"/>
      <c r="Q82" s="1236">
        <f t="shared" si="18"/>
        <v>9558</v>
      </c>
      <c r="R82" s="577">
        <f t="shared" si="19"/>
        <v>26910</v>
      </c>
      <c r="S82" s="512">
        <v>137</v>
      </c>
    </row>
    <row r="83" spans="1:19" s="104" customFormat="1" ht="15" customHeight="1" x14ac:dyDescent="0.2">
      <c r="A83" s="509" t="s">
        <v>268</v>
      </c>
      <c r="B83" s="510" t="s">
        <v>268</v>
      </c>
      <c r="C83" s="511" t="s">
        <v>128</v>
      </c>
      <c r="D83" s="514">
        <v>0</v>
      </c>
      <c r="E83" s="555">
        <f t="shared" si="12"/>
        <v>0</v>
      </c>
      <c r="F83" s="514">
        <v>0</v>
      </c>
      <c r="G83" s="559">
        <f t="shared" si="13"/>
        <v>0</v>
      </c>
      <c r="H83" s="514"/>
      <c r="I83" s="559">
        <f t="shared" si="14"/>
        <v>0</v>
      </c>
      <c r="J83" s="559">
        <f t="shared" si="15"/>
        <v>0</v>
      </c>
      <c r="K83" s="1232">
        <v>158</v>
      </c>
      <c r="L83" s="564">
        <f t="shared" si="16"/>
        <v>38078</v>
      </c>
      <c r="M83" s="565">
        <v>0</v>
      </c>
      <c r="N83" s="514">
        <v>179</v>
      </c>
      <c r="O83" s="576">
        <f t="shared" si="17"/>
        <v>10561</v>
      </c>
      <c r="P83" s="559"/>
      <c r="Q83" s="1236">
        <f t="shared" si="18"/>
        <v>10561</v>
      </c>
      <c r="R83" s="577">
        <f t="shared" si="19"/>
        <v>48639</v>
      </c>
      <c r="S83" s="512">
        <v>131</v>
      </c>
    </row>
    <row r="84" spans="1:19" s="104" customFormat="1" ht="15" customHeight="1" thickBot="1" x14ac:dyDescent="0.25">
      <c r="A84" s="522"/>
      <c r="B84" s="523"/>
      <c r="C84" s="1230" t="s">
        <v>351</v>
      </c>
      <c r="D84" s="524">
        <f>SUM(D78:D83)</f>
        <v>0</v>
      </c>
      <c r="E84" s="556">
        <f t="shared" ref="E84:R84" si="20">SUM(E78:E83)</f>
        <v>0</v>
      </c>
      <c r="F84" s="524">
        <f>SUM(F78:F83)</f>
        <v>0</v>
      </c>
      <c r="G84" s="561">
        <f t="shared" si="20"/>
        <v>0</v>
      </c>
      <c r="H84" s="524">
        <f>SUM(H78:H83)</f>
        <v>0</v>
      </c>
      <c r="I84" s="561">
        <f t="shared" si="20"/>
        <v>0</v>
      </c>
      <c r="J84" s="561">
        <f t="shared" si="20"/>
        <v>0</v>
      </c>
      <c r="K84" s="1065">
        <f>SUM(K78:K83)</f>
        <v>282</v>
      </c>
      <c r="L84" s="570">
        <f>SUM(L78:L83)</f>
        <v>97721</v>
      </c>
      <c r="M84" s="571">
        <f t="shared" si="20"/>
        <v>0</v>
      </c>
      <c r="N84" s="524">
        <f t="shared" si="20"/>
        <v>1885</v>
      </c>
      <c r="O84" s="580">
        <f t="shared" si="20"/>
        <v>111215</v>
      </c>
      <c r="P84" s="561">
        <f t="shared" si="20"/>
        <v>0</v>
      </c>
      <c r="Q84" s="1238">
        <f t="shared" si="20"/>
        <v>111215</v>
      </c>
      <c r="R84" s="581">
        <f t="shared" si="20"/>
        <v>208936</v>
      </c>
      <c r="S84" s="524">
        <f>SUM(S78:S83)</f>
        <v>1541</v>
      </c>
    </row>
    <row r="85" spans="1:19" ht="6.75" customHeight="1" thickTop="1" x14ac:dyDescent="0.2">
      <c r="A85" s="636"/>
      <c r="B85" s="637"/>
      <c r="C85" s="638"/>
      <c r="D85" s="630"/>
      <c r="E85" s="631"/>
      <c r="F85" s="632"/>
      <c r="G85" s="631"/>
      <c r="H85" s="633"/>
      <c r="I85" s="631"/>
      <c r="J85" s="631"/>
      <c r="K85" s="1067"/>
      <c r="L85" s="631"/>
      <c r="M85" s="631"/>
      <c r="N85" s="630"/>
      <c r="O85" s="634"/>
      <c r="P85" s="631"/>
      <c r="Q85" s="635"/>
      <c r="R85" s="634"/>
      <c r="S85" s="632"/>
    </row>
    <row r="86" spans="1:19" ht="15" customHeight="1" x14ac:dyDescent="0.2">
      <c r="A86" s="502">
        <v>321001</v>
      </c>
      <c r="B86" s="503">
        <v>321001</v>
      </c>
      <c r="C86" s="504" t="s">
        <v>313</v>
      </c>
      <c r="D86" s="515">
        <v>0</v>
      </c>
      <c r="E86" s="553">
        <f t="shared" ref="E86:E92" si="21">ROUND($E$3*D86,0)</f>
        <v>0</v>
      </c>
      <c r="F86" s="515">
        <v>0</v>
      </c>
      <c r="G86" s="557">
        <f t="shared" ref="G86:G92" si="22">ROUND($G$3*F86,0)</f>
        <v>0</v>
      </c>
      <c r="H86" s="515"/>
      <c r="I86" s="557">
        <f t="shared" ref="I86:I92" si="23">ROUND($I$3*H86,0)</f>
        <v>0</v>
      </c>
      <c r="J86" s="557">
        <f t="shared" ref="J86:J92" si="24">G86+I86</f>
        <v>0</v>
      </c>
      <c r="K86" s="1231">
        <v>0</v>
      </c>
      <c r="L86" s="566">
        <f t="shared" ref="L86:L92" si="25">ROUND(IF(AND(L$3*K86&lt;10000,$S86&gt;0),10000,L$3*K86),0)</f>
        <v>0</v>
      </c>
      <c r="M86" s="567">
        <v>0</v>
      </c>
      <c r="N86" s="515">
        <v>0</v>
      </c>
      <c r="O86" s="572">
        <f t="shared" ref="O86:O92" si="26">N86*$O$3</f>
        <v>0</v>
      </c>
      <c r="P86" s="557"/>
      <c r="Q86" s="1234">
        <f t="shared" ref="Q86:Q92" si="27">O86+P86</f>
        <v>0</v>
      </c>
      <c r="R86" s="573">
        <f t="shared" ref="R86:R92" si="28">L86+J86+E86+M86+Q86</f>
        <v>0</v>
      </c>
      <c r="S86" s="505">
        <v>0</v>
      </c>
    </row>
    <row r="87" spans="1:19" ht="15" customHeight="1" x14ac:dyDescent="0.2">
      <c r="A87" s="508">
        <v>329001</v>
      </c>
      <c r="B87" s="226">
        <v>329001</v>
      </c>
      <c r="C87" s="506" t="s">
        <v>314</v>
      </c>
      <c r="D87" s="513">
        <v>0</v>
      </c>
      <c r="E87" s="554">
        <f t="shared" si="21"/>
        <v>0</v>
      </c>
      <c r="F87" s="513">
        <v>0</v>
      </c>
      <c r="G87" s="558">
        <f t="shared" si="22"/>
        <v>0</v>
      </c>
      <c r="H87" s="513"/>
      <c r="I87" s="558">
        <f t="shared" si="23"/>
        <v>0</v>
      </c>
      <c r="J87" s="558">
        <f t="shared" si="24"/>
        <v>0</v>
      </c>
      <c r="K87" s="1068">
        <v>50</v>
      </c>
      <c r="L87" s="562">
        <f t="shared" si="25"/>
        <v>12050</v>
      </c>
      <c r="M87" s="563">
        <v>0</v>
      </c>
      <c r="N87" s="513">
        <v>74</v>
      </c>
      <c r="O87" s="574">
        <f t="shared" si="26"/>
        <v>4366</v>
      </c>
      <c r="P87" s="558"/>
      <c r="Q87" s="1235">
        <f t="shared" si="27"/>
        <v>4366</v>
      </c>
      <c r="R87" s="575">
        <f t="shared" si="28"/>
        <v>16416</v>
      </c>
      <c r="S87" s="507">
        <v>37</v>
      </c>
    </row>
    <row r="88" spans="1:19" ht="15" customHeight="1" x14ac:dyDescent="0.2">
      <c r="A88" s="508">
        <v>331001</v>
      </c>
      <c r="B88" s="226">
        <v>331001</v>
      </c>
      <c r="C88" s="506" t="s">
        <v>315</v>
      </c>
      <c r="D88" s="513">
        <v>22</v>
      </c>
      <c r="E88" s="554">
        <f t="shared" si="21"/>
        <v>462000</v>
      </c>
      <c r="F88" s="513">
        <v>3</v>
      </c>
      <c r="G88" s="558">
        <f t="shared" si="22"/>
        <v>18000</v>
      </c>
      <c r="H88" s="513"/>
      <c r="I88" s="558">
        <f t="shared" si="23"/>
        <v>0</v>
      </c>
      <c r="J88" s="558">
        <f t="shared" si="24"/>
        <v>18000</v>
      </c>
      <c r="K88" s="1068">
        <v>0</v>
      </c>
      <c r="L88" s="562">
        <f t="shared" si="25"/>
        <v>0</v>
      </c>
      <c r="M88" s="563">
        <v>0</v>
      </c>
      <c r="N88" s="513">
        <v>200</v>
      </c>
      <c r="O88" s="574">
        <f t="shared" si="26"/>
        <v>11800</v>
      </c>
      <c r="P88" s="558"/>
      <c r="Q88" s="1235">
        <f t="shared" si="27"/>
        <v>11800</v>
      </c>
      <c r="R88" s="575">
        <f t="shared" si="28"/>
        <v>491800</v>
      </c>
      <c r="S88" s="507">
        <v>0</v>
      </c>
    </row>
    <row r="89" spans="1:19" ht="15" customHeight="1" x14ac:dyDescent="0.2">
      <c r="A89" s="508">
        <v>333001</v>
      </c>
      <c r="B89" s="226">
        <v>333001</v>
      </c>
      <c r="C89" s="506" t="s">
        <v>307</v>
      </c>
      <c r="D89" s="513">
        <v>0</v>
      </c>
      <c r="E89" s="554">
        <f t="shared" si="21"/>
        <v>0</v>
      </c>
      <c r="F89" s="513">
        <v>0</v>
      </c>
      <c r="G89" s="558">
        <f t="shared" si="22"/>
        <v>0</v>
      </c>
      <c r="H89" s="513"/>
      <c r="I89" s="558">
        <f t="shared" si="23"/>
        <v>0</v>
      </c>
      <c r="J89" s="558">
        <f t="shared" si="24"/>
        <v>0</v>
      </c>
      <c r="K89" s="1068">
        <v>0</v>
      </c>
      <c r="L89" s="562">
        <f t="shared" si="25"/>
        <v>10000</v>
      </c>
      <c r="M89" s="563">
        <v>0</v>
      </c>
      <c r="N89" s="513">
        <v>320</v>
      </c>
      <c r="O89" s="574">
        <f t="shared" si="26"/>
        <v>18880</v>
      </c>
      <c r="P89" s="558"/>
      <c r="Q89" s="1235">
        <f t="shared" si="27"/>
        <v>18880</v>
      </c>
      <c r="R89" s="575">
        <f t="shared" si="28"/>
        <v>28880</v>
      </c>
      <c r="S89" s="513">
        <v>219</v>
      </c>
    </row>
    <row r="90" spans="1:19" ht="15" customHeight="1" x14ac:dyDescent="0.2">
      <c r="A90" s="509">
        <v>336001</v>
      </c>
      <c r="B90" s="510">
        <v>336001</v>
      </c>
      <c r="C90" s="511" t="s">
        <v>309</v>
      </c>
      <c r="D90" s="514">
        <v>0</v>
      </c>
      <c r="E90" s="555">
        <f t="shared" si="21"/>
        <v>0</v>
      </c>
      <c r="F90" s="514">
        <v>0</v>
      </c>
      <c r="G90" s="559">
        <f t="shared" si="22"/>
        <v>0</v>
      </c>
      <c r="H90" s="514"/>
      <c r="I90" s="559">
        <f t="shared" si="23"/>
        <v>0</v>
      </c>
      <c r="J90" s="559">
        <f t="shared" si="24"/>
        <v>0</v>
      </c>
      <c r="K90" s="1232">
        <v>228</v>
      </c>
      <c r="L90" s="564">
        <f t="shared" si="25"/>
        <v>54948</v>
      </c>
      <c r="M90" s="565">
        <v>0</v>
      </c>
      <c r="N90" s="514">
        <v>387</v>
      </c>
      <c r="O90" s="576">
        <f t="shared" si="26"/>
        <v>22833</v>
      </c>
      <c r="P90" s="559"/>
      <c r="Q90" s="1236">
        <f t="shared" si="27"/>
        <v>22833</v>
      </c>
      <c r="R90" s="577">
        <f t="shared" si="28"/>
        <v>77781</v>
      </c>
      <c r="S90" s="512">
        <v>249</v>
      </c>
    </row>
    <row r="91" spans="1:19" ht="15" customHeight="1" x14ac:dyDescent="0.2">
      <c r="A91" s="508">
        <v>337001</v>
      </c>
      <c r="B91" s="226">
        <v>337001</v>
      </c>
      <c r="C91" s="506" t="s">
        <v>316</v>
      </c>
      <c r="D91" s="513">
        <v>0</v>
      </c>
      <c r="E91" s="518">
        <f t="shared" si="21"/>
        <v>0</v>
      </c>
      <c r="F91" s="513">
        <v>0</v>
      </c>
      <c r="G91" s="558">
        <f t="shared" si="22"/>
        <v>0</v>
      </c>
      <c r="H91" s="513"/>
      <c r="I91" s="558">
        <f t="shared" si="23"/>
        <v>0</v>
      </c>
      <c r="J91" s="558">
        <f t="shared" si="24"/>
        <v>0</v>
      </c>
      <c r="K91" s="1068">
        <v>0</v>
      </c>
      <c r="L91" s="562">
        <f t="shared" si="25"/>
        <v>0</v>
      </c>
      <c r="M91" s="563">
        <v>0</v>
      </c>
      <c r="N91" s="513">
        <v>199</v>
      </c>
      <c r="O91" s="574">
        <f t="shared" si="26"/>
        <v>11741</v>
      </c>
      <c r="P91" s="558"/>
      <c r="Q91" s="1235">
        <f t="shared" si="27"/>
        <v>11741</v>
      </c>
      <c r="R91" s="575">
        <f t="shared" si="28"/>
        <v>11741</v>
      </c>
      <c r="S91" s="507">
        <v>0</v>
      </c>
    </row>
    <row r="92" spans="1:19" ht="15" customHeight="1" x14ac:dyDescent="0.2">
      <c r="A92" s="509">
        <v>340001</v>
      </c>
      <c r="B92" s="510">
        <v>340001</v>
      </c>
      <c r="C92" s="511" t="s">
        <v>310</v>
      </c>
      <c r="D92" s="514">
        <v>0</v>
      </c>
      <c r="E92" s="521">
        <f t="shared" si="21"/>
        <v>0</v>
      </c>
      <c r="F92" s="514">
        <v>0</v>
      </c>
      <c r="G92" s="559">
        <f t="shared" si="22"/>
        <v>0</v>
      </c>
      <c r="H92" s="514"/>
      <c r="I92" s="559">
        <f t="shared" si="23"/>
        <v>0</v>
      </c>
      <c r="J92" s="559">
        <f t="shared" si="24"/>
        <v>0</v>
      </c>
      <c r="K92" s="1232">
        <v>12</v>
      </c>
      <c r="L92" s="564">
        <f t="shared" si="25"/>
        <v>2892</v>
      </c>
      <c r="M92" s="565">
        <v>0</v>
      </c>
      <c r="N92" s="514">
        <v>28</v>
      </c>
      <c r="O92" s="576">
        <f t="shared" si="26"/>
        <v>1652</v>
      </c>
      <c r="P92" s="559"/>
      <c r="Q92" s="1236">
        <f t="shared" si="27"/>
        <v>1652</v>
      </c>
      <c r="R92" s="577">
        <f t="shared" si="28"/>
        <v>4544</v>
      </c>
      <c r="S92" s="512">
        <v>0</v>
      </c>
    </row>
    <row r="93" spans="1:19" s="104" customFormat="1" ht="15" customHeight="1" thickBot="1" x14ac:dyDescent="0.25">
      <c r="A93" s="522"/>
      <c r="B93" s="523"/>
      <c r="C93" s="1230" t="s">
        <v>237</v>
      </c>
      <c r="D93" s="524">
        <f>SUM(D86:D92)</f>
        <v>22</v>
      </c>
      <c r="E93" s="556">
        <f>SUM(E86:E92)</f>
        <v>462000</v>
      </c>
      <c r="F93" s="524">
        <f>SUM(F86:F92)</f>
        <v>3</v>
      </c>
      <c r="G93" s="561">
        <f>SUM(G86:G92)</f>
        <v>18000</v>
      </c>
      <c r="H93" s="524">
        <f>SUM(H86:H92)</f>
        <v>0</v>
      </c>
      <c r="I93" s="561">
        <f t="shared" ref="I93:R93" si="29">SUM(I86:I92)</f>
        <v>0</v>
      </c>
      <c r="J93" s="561">
        <f t="shared" si="29"/>
        <v>18000</v>
      </c>
      <c r="K93" s="1065">
        <f t="shared" si="29"/>
        <v>290</v>
      </c>
      <c r="L93" s="570">
        <f>SUM(L86:L92)</f>
        <v>79890</v>
      </c>
      <c r="M93" s="571">
        <f t="shared" si="29"/>
        <v>0</v>
      </c>
      <c r="N93" s="524">
        <f t="shared" si="29"/>
        <v>1208</v>
      </c>
      <c r="O93" s="580">
        <f t="shared" si="29"/>
        <v>71272</v>
      </c>
      <c r="P93" s="561">
        <f t="shared" si="29"/>
        <v>0</v>
      </c>
      <c r="Q93" s="1238">
        <f t="shared" si="29"/>
        <v>71272</v>
      </c>
      <c r="R93" s="581">
        <f t="shared" si="29"/>
        <v>631162</v>
      </c>
      <c r="S93" s="524">
        <f>SUM(S86:S92)</f>
        <v>505</v>
      </c>
    </row>
    <row r="94" spans="1:19" ht="6.75" customHeight="1" thickTop="1" x14ac:dyDescent="0.2">
      <c r="A94" s="636"/>
      <c r="B94" s="637"/>
      <c r="C94" s="638"/>
      <c r="D94" s="630"/>
      <c r="E94" s="631"/>
      <c r="F94" s="632"/>
      <c r="G94" s="631"/>
      <c r="H94" s="633"/>
      <c r="I94" s="631"/>
      <c r="J94" s="631"/>
      <c r="K94" s="1067"/>
      <c r="L94" s="631"/>
      <c r="M94" s="631"/>
      <c r="N94" s="630"/>
      <c r="O94" s="634"/>
      <c r="P94" s="631"/>
      <c r="Q94" s="635"/>
      <c r="R94" s="634"/>
      <c r="S94" s="632"/>
    </row>
    <row r="95" spans="1:19" ht="15" customHeight="1" x14ac:dyDescent="0.2">
      <c r="A95" s="502">
        <v>341001</v>
      </c>
      <c r="B95" s="503">
        <v>341001</v>
      </c>
      <c r="C95" s="504" t="s">
        <v>244</v>
      </c>
      <c r="D95" s="515">
        <v>0</v>
      </c>
      <c r="E95" s="553">
        <f t="shared" ref="E95:E106" si="30">ROUND($E$3*D95,0)</f>
        <v>0</v>
      </c>
      <c r="F95" s="515">
        <v>0</v>
      </c>
      <c r="G95" s="557">
        <f t="shared" ref="G95:G106" si="31">ROUND($G$3*F95,0)</f>
        <v>0</v>
      </c>
      <c r="H95" s="515"/>
      <c r="I95" s="557">
        <f t="shared" ref="I95:I106" si="32">ROUND($I$3*H95,0)</f>
        <v>0</v>
      </c>
      <c r="J95" s="557">
        <f t="shared" ref="J95:J106" si="33">G95+I95</f>
        <v>0</v>
      </c>
      <c r="K95" s="1231">
        <v>200</v>
      </c>
      <c r="L95" s="566">
        <f t="shared" ref="L95:L126" si="34">ROUND(IF(AND(L$3*K95&lt;10000,$S95&gt;0),10000,L$3*K95),0)</f>
        <v>48200</v>
      </c>
      <c r="M95" s="567">
        <v>0</v>
      </c>
      <c r="N95" s="515">
        <v>416</v>
      </c>
      <c r="O95" s="572">
        <f t="shared" ref="O95:O106" si="35">N95*$O$3</f>
        <v>24544</v>
      </c>
      <c r="P95" s="557"/>
      <c r="Q95" s="1234">
        <f t="shared" ref="Q95:Q106" si="36">O95+P95</f>
        <v>24544</v>
      </c>
      <c r="R95" s="573">
        <f t="shared" ref="R95:R106" si="37">L95+J95+E95+M95+Q95</f>
        <v>72744</v>
      </c>
      <c r="S95" s="505">
        <v>277</v>
      </c>
    </row>
    <row r="96" spans="1:19" ht="15" customHeight="1" x14ac:dyDescent="0.2">
      <c r="A96" s="508">
        <v>343001</v>
      </c>
      <c r="B96" s="226">
        <v>343001</v>
      </c>
      <c r="C96" s="506" t="s">
        <v>328</v>
      </c>
      <c r="D96" s="513">
        <v>0</v>
      </c>
      <c r="E96" s="554">
        <f t="shared" si="30"/>
        <v>0</v>
      </c>
      <c r="F96" s="513">
        <v>0</v>
      </c>
      <c r="G96" s="558">
        <f t="shared" si="31"/>
        <v>0</v>
      </c>
      <c r="H96" s="513"/>
      <c r="I96" s="558">
        <f t="shared" si="32"/>
        <v>0</v>
      </c>
      <c r="J96" s="558">
        <f t="shared" si="33"/>
        <v>0</v>
      </c>
      <c r="K96" s="1068">
        <v>330</v>
      </c>
      <c r="L96" s="562">
        <f t="shared" si="34"/>
        <v>79530</v>
      </c>
      <c r="M96" s="563">
        <v>0</v>
      </c>
      <c r="N96" s="513">
        <v>569</v>
      </c>
      <c r="O96" s="574">
        <f t="shared" si="35"/>
        <v>33571</v>
      </c>
      <c r="P96" s="558"/>
      <c r="Q96" s="1235">
        <f t="shared" si="36"/>
        <v>33571</v>
      </c>
      <c r="R96" s="575">
        <f t="shared" si="37"/>
        <v>113101</v>
      </c>
      <c r="S96" s="507">
        <v>608</v>
      </c>
    </row>
    <row r="97" spans="1:19" ht="15" customHeight="1" x14ac:dyDescent="0.2">
      <c r="A97" s="508">
        <v>344001</v>
      </c>
      <c r="B97" s="226">
        <v>344001</v>
      </c>
      <c r="C97" s="506" t="s">
        <v>245</v>
      </c>
      <c r="D97" s="513">
        <v>0</v>
      </c>
      <c r="E97" s="554">
        <f t="shared" si="30"/>
        <v>0</v>
      </c>
      <c r="F97" s="513">
        <v>0</v>
      </c>
      <c r="G97" s="558">
        <f t="shared" si="31"/>
        <v>0</v>
      </c>
      <c r="H97" s="513"/>
      <c r="I97" s="558">
        <f t="shared" si="32"/>
        <v>0</v>
      </c>
      <c r="J97" s="558">
        <f t="shared" si="33"/>
        <v>0</v>
      </c>
      <c r="K97" s="1068">
        <v>0</v>
      </c>
      <c r="L97" s="562">
        <f t="shared" si="34"/>
        <v>10000</v>
      </c>
      <c r="M97" s="563">
        <v>53099</v>
      </c>
      <c r="N97" s="513">
        <v>440</v>
      </c>
      <c r="O97" s="574">
        <f t="shared" si="35"/>
        <v>25960</v>
      </c>
      <c r="P97" s="558"/>
      <c r="Q97" s="1235">
        <f t="shared" si="36"/>
        <v>25960</v>
      </c>
      <c r="R97" s="575">
        <f t="shared" si="37"/>
        <v>89059</v>
      </c>
      <c r="S97" s="507">
        <v>396</v>
      </c>
    </row>
    <row r="98" spans="1:19" ht="15" customHeight="1" x14ac:dyDescent="0.2">
      <c r="A98" s="508">
        <v>345001</v>
      </c>
      <c r="B98" s="226">
        <v>345001</v>
      </c>
      <c r="C98" s="506" t="s">
        <v>509</v>
      </c>
      <c r="D98" s="513">
        <v>0</v>
      </c>
      <c r="E98" s="554">
        <f t="shared" si="30"/>
        <v>0</v>
      </c>
      <c r="F98" s="513">
        <v>0</v>
      </c>
      <c r="G98" s="558">
        <f t="shared" si="31"/>
        <v>0</v>
      </c>
      <c r="H98" s="513"/>
      <c r="I98" s="558">
        <f t="shared" si="32"/>
        <v>0</v>
      </c>
      <c r="J98" s="558">
        <f t="shared" si="33"/>
        <v>0</v>
      </c>
      <c r="K98" s="1068">
        <v>305</v>
      </c>
      <c r="L98" s="562">
        <f t="shared" si="34"/>
        <v>73505</v>
      </c>
      <c r="M98" s="563">
        <v>0</v>
      </c>
      <c r="N98" s="513">
        <v>2169</v>
      </c>
      <c r="O98" s="574">
        <f t="shared" si="35"/>
        <v>127971</v>
      </c>
      <c r="P98" s="558"/>
      <c r="Q98" s="1235">
        <f t="shared" si="36"/>
        <v>127971</v>
      </c>
      <c r="R98" s="575">
        <f t="shared" si="37"/>
        <v>201476</v>
      </c>
      <c r="S98" s="507">
        <v>1471</v>
      </c>
    </row>
    <row r="99" spans="1:19" ht="15" customHeight="1" x14ac:dyDescent="0.2">
      <c r="A99" s="509">
        <v>346001</v>
      </c>
      <c r="B99" s="510">
        <v>346001</v>
      </c>
      <c r="C99" s="511" t="s">
        <v>246</v>
      </c>
      <c r="D99" s="514">
        <v>0</v>
      </c>
      <c r="E99" s="555">
        <f t="shared" si="30"/>
        <v>0</v>
      </c>
      <c r="F99" s="514">
        <v>0</v>
      </c>
      <c r="G99" s="559">
        <f t="shared" si="31"/>
        <v>0</v>
      </c>
      <c r="H99" s="514"/>
      <c r="I99" s="559">
        <f t="shared" si="32"/>
        <v>0</v>
      </c>
      <c r="J99" s="559">
        <f t="shared" si="33"/>
        <v>0</v>
      </c>
      <c r="K99" s="1232">
        <v>0</v>
      </c>
      <c r="L99" s="564">
        <f t="shared" si="34"/>
        <v>0</v>
      </c>
      <c r="M99" s="565">
        <v>0</v>
      </c>
      <c r="N99" s="514">
        <v>212</v>
      </c>
      <c r="O99" s="576">
        <f t="shared" si="35"/>
        <v>12508</v>
      </c>
      <c r="P99" s="559"/>
      <c r="Q99" s="1236">
        <f t="shared" si="36"/>
        <v>12508</v>
      </c>
      <c r="R99" s="577">
        <f t="shared" si="37"/>
        <v>12508</v>
      </c>
      <c r="S99" s="512">
        <v>0</v>
      </c>
    </row>
    <row r="100" spans="1:19" ht="15" customHeight="1" x14ac:dyDescent="0.2">
      <c r="A100" s="502">
        <v>347001</v>
      </c>
      <c r="B100" s="503">
        <v>347001</v>
      </c>
      <c r="C100" s="504" t="s">
        <v>247</v>
      </c>
      <c r="D100" s="515">
        <v>38</v>
      </c>
      <c r="E100" s="553">
        <f t="shared" si="30"/>
        <v>798000</v>
      </c>
      <c r="F100" s="515">
        <v>14</v>
      </c>
      <c r="G100" s="557">
        <f t="shared" si="31"/>
        <v>84000</v>
      </c>
      <c r="H100" s="515"/>
      <c r="I100" s="557">
        <f t="shared" si="32"/>
        <v>0</v>
      </c>
      <c r="J100" s="557">
        <f t="shared" si="33"/>
        <v>84000</v>
      </c>
      <c r="K100" s="1231">
        <v>0</v>
      </c>
      <c r="L100" s="566">
        <f t="shared" si="34"/>
        <v>10000</v>
      </c>
      <c r="M100" s="567">
        <v>0</v>
      </c>
      <c r="N100" s="515">
        <v>137</v>
      </c>
      <c r="O100" s="572">
        <f t="shared" si="35"/>
        <v>8083</v>
      </c>
      <c r="P100" s="557"/>
      <c r="Q100" s="1234">
        <f t="shared" si="36"/>
        <v>8083</v>
      </c>
      <c r="R100" s="573">
        <f t="shared" si="37"/>
        <v>900083</v>
      </c>
      <c r="S100" s="505">
        <v>49</v>
      </c>
    </row>
    <row r="101" spans="1:19" ht="15" customHeight="1" x14ac:dyDescent="0.2">
      <c r="A101" s="508">
        <v>348001</v>
      </c>
      <c r="B101" s="226">
        <v>348001</v>
      </c>
      <c r="C101" s="506" t="s">
        <v>399</v>
      </c>
      <c r="D101" s="513">
        <v>0</v>
      </c>
      <c r="E101" s="554">
        <f t="shared" si="30"/>
        <v>0</v>
      </c>
      <c r="F101" s="513">
        <v>0</v>
      </c>
      <c r="G101" s="558">
        <f t="shared" si="31"/>
        <v>0</v>
      </c>
      <c r="H101" s="513"/>
      <c r="I101" s="558">
        <f t="shared" si="32"/>
        <v>0</v>
      </c>
      <c r="J101" s="558">
        <f t="shared" si="33"/>
        <v>0</v>
      </c>
      <c r="K101" s="1068">
        <v>160</v>
      </c>
      <c r="L101" s="562">
        <f t="shared" si="34"/>
        <v>38560</v>
      </c>
      <c r="M101" s="563">
        <v>121808</v>
      </c>
      <c r="N101" s="513">
        <v>957</v>
      </c>
      <c r="O101" s="574">
        <f t="shared" si="35"/>
        <v>56463</v>
      </c>
      <c r="P101" s="558"/>
      <c r="Q101" s="1235">
        <f t="shared" si="36"/>
        <v>56463</v>
      </c>
      <c r="R101" s="575">
        <f t="shared" si="37"/>
        <v>216831</v>
      </c>
      <c r="S101" s="507">
        <v>830</v>
      </c>
    </row>
    <row r="102" spans="1:19" ht="15" customHeight="1" x14ac:dyDescent="0.2">
      <c r="A102" s="508" t="s">
        <v>643</v>
      </c>
      <c r="B102" s="226" t="s">
        <v>643</v>
      </c>
      <c r="C102" s="506" t="s">
        <v>1276</v>
      </c>
      <c r="D102" s="513">
        <v>0</v>
      </c>
      <c r="E102" s="554">
        <f t="shared" si="30"/>
        <v>0</v>
      </c>
      <c r="F102" s="513">
        <v>0</v>
      </c>
      <c r="G102" s="558">
        <f t="shared" si="31"/>
        <v>0</v>
      </c>
      <c r="H102" s="513"/>
      <c r="I102" s="558">
        <f t="shared" si="32"/>
        <v>0</v>
      </c>
      <c r="J102" s="558">
        <f t="shared" si="33"/>
        <v>0</v>
      </c>
      <c r="K102" s="1068">
        <v>0</v>
      </c>
      <c r="L102" s="562">
        <f t="shared" si="34"/>
        <v>0</v>
      </c>
      <c r="M102" s="563">
        <v>20808</v>
      </c>
      <c r="N102" s="513">
        <v>0</v>
      </c>
      <c r="O102" s="574">
        <f t="shared" si="35"/>
        <v>0</v>
      </c>
      <c r="P102" s="558"/>
      <c r="Q102" s="1235">
        <f t="shared" si="36"/>
        <v>0</v>
      </c>
      <c r="R102" s="575">
        <f t="shared" si="37"/>
        <v>20808</v>
      </c>
      <c r="S102" s="507">
        <v>0</v>
      </c>
    </row>
    <row r="103" spans="1:19" ht="15" customHeight="1" x14ac:dyDescent="0.2">
      <c r="A103" s="508" t="s">
        <v>412</v>
      </c>
      <c r="B103" s="226" t="s">
        <v>269</v>
      </c>
      <c r="C103" s="506" t="s">
        <v>849</v>
      </c>
      <c r="D103" s="513">
        <v>0</v>
      </c>
      <c r="E103" s="554">
        <f t="shared" si="30"/>
        <v>0</v>
      </c>
      <c r="F103" s="513">
        <v>0</v>
      </c>
      <c r="G103" s="558">
        <f t="shared" si="31"/>
        <v>0</v>
      </c>
      <c r="H103" s="513"/>
      <c r="I103" s="558">
        <f t="shared" si="32"/>
        <v>0</v>
      </c>
      <c r="J103" s="558">
        <f t="shared" si="33"/>
        <v>0</v>
      </c>
      <c r="K103" s="1068">
        <v>50</v>
      </c>
      <c r="L103" s="562">
        <f t="shared" si="34"/>
        <v>12050</v>
      </c>
      <c r="M103" s="563">
        <v>0</v>
      </c>
      <c r="N103" s="513">
        <v>217</v>
      </c>
      <c r="O103" s="574">
        <f t="shared" si="35"/>
        <v>12803</v>
      </c>
      <c r="P103" s="558"/>
      <c r="Q103" s="1235">
        <f t="shared" si="36"/>
        <v>12803</v>
      </c>
      <c r="R103" s="575">
        <f t="shared" si="37"/>
        <v>24853</v>
      </c>
      <c r="S103" s="507">
        <v>153</v>
      </c>
    </row>
    <row r="104" spans="1:19" ht="15" customHeight="1" x14ac:dyDescent="0.2">
      <c r="A104" s="509" t="s">
        <v>413</v>
      </c>
      <c r="B104" s="510" t="s">
        <v>276</v>
      </c>
      <c r="C104" s="511" t="s">
        <v>250</v>
      </c>
      <c r="D104" s="514">
        <v>0</v>
      </c>
      <c r="E104" s="555">
        <f t="shared" si="30"/>
        <v>0</v>
      </c>
      <c r="F104" s="514">
        <v>0</v>
      </c>
      <c r="G104" s="559">
        <f t="shared" si="31"/>
        <v>0</v>
      </c>
      <c r="H104" s="514"/>
      <c r="I104" s="559">
        <f t="shared" si="32"/>
        <v>0</v>
      </c>
      <c r="J104" s="559">
        <f t="shared" si="33"/>
        <v>0</v>
      </c>
      <c r="K104" s="1232">
        <v>0</v>
      </c>
      <c r="L104" s="564">
        <f t="shared" si="34"/>
        <v>0</v>
      </c>
      <c r="M104" s="565">
        <v>0</v>
      </c>
      <c r="N104" s="514">
        <v>124</v>
      </c>
      <c r="O104" s="576">
        <f t="shared" si="35"/>
        <v>7316</v>
      </c>
      <c r="P104" s="559"/>
      <c r="Q104" s="1236">
        <f t="shared" si="36"/>
        <v>7316</v>
      </c>
      <c r="R104" s="577">
        <f t="shared" si="37"/>
        <v>7316</v>
      </c>
      <c r="S104" s="512">
        <v>0</v>
      </c>
    </row>
    <row r="105" spans="1:19" ht="15" customHeight="1" x14ac:dyDescent="0.2">
      <c r="A105" s="502" t="s">
        <v>645</v>
      </c>
      <c r="B105" s="503" t="s">
        <v>645</v>
      </c>
      <c r="C105" s="504" t="s">
        <v>834</v>
      </c>
      <c r="D105" s="515">
        <v>0</v>
      </c>
      <c r="E105" s="553">
        <f t="shared" si="30"/>
        <v>0</v>
      </c>
      <c r="F105" s="515">
        <v>0</v>
      </c>
      <c r="G105" s="557">
        <f t="shared" si="31"/>
        <v>0</v>
      </c>
      <c r="H105" s="515"/>
      <c r="I105" s="557">
        <f t="shared" si="32"/>
        <v>0</v>
      </c>
      <c r="J105" s="557">
        <f t="shared" si="33"/>
        <v>0</v>
      </c>
      <c r="K105" s="1231">
        <v>7</v>
      </c>
      <c r="L105" s="566">
        <f t="shared" si="34"/>
        <v>10000</v>
      </c>
      <c r="M105" s="567">
        <v>0</v>
      </c>
      <c r="N105" s="515">
        <v>65</v>
      </c>
      <c r="O105" s="572">
        <f t="shared" si="35"/>
        <v>3835</v>
      </c>
      <c r="P105" s="557"/>
      <c r="Q105" s="1234">
        <f t="shared" si="36"/>
        <v>3835</v>
      </c>
      <c r="R105" s="573">
        <f t="shared" si="37"/>
        <v>13835</v>
      </c>
      <c r="S105" s="505">
        <v>67</v>
      </c>
    </row>
    <row r="106" spans="1:19" ht="15" customHeight="1" x14ac:dyDescent="0.2">
      <c r="A106" s="508" t="s">
        <v>414</v>
      </c>
      <c r="B106" s="226" t="s">
        <v>285</v>
      </c>
      <c r="C106" s="506" t="s">
        <v>322</v>
      </c>
      <c r="D106" s="513">
        <v>0</v>
      </c>
      <c r="E106" s="554">
        <f t="shared" si="30"/>
        <v>0</v>
      </c>
      <c r="F106" s="513">
        <v>0</v>
      </c>
      <c r="G106" s="558">
        <f t="shared" si="31"/>
        <v>0</v>
      </c>
      <c r="H106" s="513"/>
      <c r="I106" s="558">
        <f t="shared" si="32"/>
        <v>0</v>
      </c>
      <c r="J106" s="558">
        <f t="shared" si="33"/>
        <v>0</v>
      </c>
      <c r="K106" s="1068">
        <v>0</v>
      </c>
      <c r="L106" s="562">
        <f t="shared" si="34"/>
        <v>0</v>
      </c>
      <c r="M106" s="563">
        <v>0</v>
      </c>
      <c r="N106" s="513">
        <v>104</v>
      </c>
      <c r="O106" s="574">
        <f t="shared" si="35"/>
        <v>6136</v>
      </c>
      <c r="P106" s="558"/>
      <c r="Q106" s="1235">
        <f t="shared" si="36"/>
        <v>6136</v>
      </c>
      <c r="R106" s="575">
        <f t="shared" si="37"/>
        <v>6136</v>
      </c>
      <c r="S106" s="507">
        <v>0</v>
      </c>
    </row>
    <row r="107" spans="1:19" ht="15" customHeight="1" x14ac:dyDescent="0.2">
      <c r="A107" s="508" t="s">
        <v>460</v>
      </c>
      <c r="B107" s="226" t="s">
        <v>460</v>
      </c>
      <c r="C107" s="506" t="s">
        <v>461</v>
      </c>
      <c r="D107" s="513">
        <v>0</v>
      </c>
      <c r="E107" s="554">
        <f t="shared" ref="E107:E126" si="38">ROUND($E$3*D107,0)</f>
        <v>0</v>
      </c>
      <c r="F107" s="513">
        <v>0</v>
      </c>
      <c r="G107" s="558">
        <f t="shared" ref="G107:G126" si="39">ROUND($G$3*F107,0)</f>
        <v>0</v>
      </c>
      <c r="H107" s="513"/>
      <c r="I107" s="558">
        <f t="shared" ref="I107:I126" si="40">ROUND($I$3*H107,0)</f>
        <v>0</v>
      </c>
      <c r="J107" s="558">
        <f t="shared" ref="J107:J126" si="41">G107+I107</f>
        <v>0</v>
      </c>
      <c r="K107" s="1068">
        <v>7</v>
      </c>
      <c r="L107" s="562">
        <f t="shared" si="34"/>
        <v>10000</v>
      </c>
      <c r="M107" s="563">
        <v>0</v>
      </c>
      <c r="N107" s="513">
        <v>239</v>
      </c>
      <c r="O107" s="574">
        <f t="shared" ref="O107:O126" si="42">N107*$O$3</f>
        <v>14101</v>
      </c>
      <c r="P107" s="558"/>
      <c r="Q107" s="1235">
        <f t="shared" ref="Q107:Q126" si="43">O107+P107</f>
        <v>14101</v>
      </c>
      <c r="R107" s="575">
        <f t="shared" ref="R107:R126" si="44">L107+J107+E107+M107+Q107</f>
        <v>24101</v>
      </c>
      <c r="S107" s="507">
        <v>194</v>
      </c>
    </row>
    <row r="108" spans="1:19" ht="15" customHeight="1" x14ac:dyDescent="0.2">
      <c r="A108" s="508" t="s">
        <v>416</v>
      </c>
      <c r="B108" s="226" t="s">
        <v>277</v>
      </c>
      <c r="C108" s="506" t="s">
        <v>261</v>
      </c>
      <c r="D108" s="513">
        <v>0</v>
      </c>
      <c r="E108" s="554">
        <f t="shared" si="38"/>
        <v>0</v>
      </c>
      <c r="F108" s="513">
        <v>0</v>
      </c>
      <c r="G108" s="558">
        <f t="shared" si="39"/>
        <v>0</v>
      </c>
      <c r="H108" s="513"/>
      <c r="I108" s="558">
        <f t="shared" si="40"/>
        <v>0</v>
      </c>
      <c r="J108" s="558">
        <f t="shared" si="41"/>
        <v>0</v>
      </c>
      <c r="K108" s="1068">
        <v>0</v>
      </c>
      <c r="L108" s="562">
        <f t="shared" si="34"/>
        <v>0</v>
      </c>
      <c r="M108" s="563">
        <v>0</v>
      </c>
      <c r="N108" s="513">
        <v>99</v>
      </c>
      <c r="O108" s="574">
        <f t="shared" si="42"/>
        <v>5841</v>
      </c>
      <c r="P108" s="558"/>
      <c r="Q108" s="1235">
        <f t="shared" si="43"/>
        <v>5841</v>
      </c>
      <c r="R108" s="575">
        <f t="shared" si="44"/>
        <v>5841</v>
      </c>
      <c r="S108" s="507">
        <v>0</v>
      </c>
    </row>
    <row r="109" spans="1:19" ht="15" customHeight="1" x14ac:dyDescent="0.2">
      <c r="A109" s="509" t="s">
        <v>417</v>
      </c>
      <c r="B109" s="510" t="s">
        <v>270</v>
      </c>
      <c r="C109" s="511" t="s">
        <v>241</v>
      </c>
      <c r="D109" s="514">
        <v>0</v>
      </c>
      <c r="E109" s="555">
        <f t="shared" si="38"/>
        <v>0</v>
      </c>
      <c r="F109" s="514">
        <v>0</v>
      </c>
      <c r="G109" s="559">
        <f t="shared" si="39"/>
        <v>0</v>
      </c>
      <c r="H109" s="514"/>
      <c r="I109" s="559">
        <f t="shared" si="40"/>
        <v>0</v>
      </c>
      <c r="J109" s="559">
        <f t="shared" si="41"/>
        <v>0</v>
      </c>
      <c r="K109" s="1232">
        <v>21</v>
      </c>
      <c r="L109" s="564">
        <f t="shared" si="34"/>
        <v>10000</v>
      </c>
      <c r="M109" s="565">
        <v>0</v>
      </c>
      <c r="N109" s="514">
        <v>222</v>
      </c>
      <c r="O109" s="576">
        <f t="shared" si="42"/>
        <v>13098</v>
      </c>
      <c r="P109" s="559"/>
      <c r="Q109" s="1236">
        <f t="shared" si="43"/>
        <v>13098</v>
      </c>
      <c r="R109" s="577">
        <f t="shared" si="44"/>
        <v>23098</v>
      </c>
      <c r="S109" s="512">
        <v>132</v>
      </c>
    </row>
    <row r="110" spans="1:19" ht="15" customHeight="1" x14ac:dyDescent="0.2">
      <c r="A110" s="502" t="s">
        <v>418</v>
      </c>
      <c r="B110" s="503">
        <v>328002</v>
      </c>
      <c r="C110" s="504" t="s">
        <v>251</v>
      </c>
      <c r="D110" s="515">
        <v>0</v>
      </c>
      <c r="E110" s="553">
        <f t="shared" si="38"/>
        <v>0</v>
      </c>
      <c r="F110" s="515">
        <v>0</v>
      </c>
      <c r="G110" s="557">
        <f t="shared" si="39"/>
        <v>0</v>
      </c>
      <c r="H110" s="515"/>
      <c r="I110" s="557">
        <f t="shared" si="40"/>
        <v>0</v>
      </c>
      <c r="J110" s="557">
        <f t="shared" si="41"/>
        <v>0</v>
      </c>
      <c r="K110" s="1231">
        <v>178</v>
      </c>
      <c r="L110" s="566">
        <f t="shared" si="34"/>
        <v>42898</v>
      </c>
      <c r="M110" s="567">
        <v>0</v>
      </c>
      <c r="N110" s="515">
        <v>494</v>
      </c>
      <c r="O110" s="572">
        <f t="shared" si="42"/>
        <v>29146</v>
      </c>
      <c r="P110" s="557"/>
      <c r="Q110" s="1234">
        <f t="shared" si="43"/>
        <v>29146</v>
      </c>
      <c r="R110" s="573">
        <f t="shared" si="44"/>
        <v>72044</v>
      </c>
      <c r="S110" s="505">
        <v>553</v>
      </c>
    </row>
    <row r="111" spans="1:19" ht="15" customHeight="1" x14ac:dyDescent="0.2">
      <c r="A111" s="508" t="s">
        <v>419</v>
      </c>
      <c r="B111" s="226" t="s">
        <v>278</v>
      </c>
      <c r="C111" s="506" t="s">
        <v>252</v>
      </c>
      <c r="D111" s="513">
        <v>0</v>
      </c>
      <c r="E111" s="554">
        <f t="shared" si="38"/>
        <v>0</v>
      </c>
      <c r="F111" s="513">
        <v>0</v>
      </c>
      <c r="G111" s="558">
        <f t="shared" si="39"/>
        <v>0</v>
      </c>
      <c r="H111" s="513"/>
      <c r="I111" s="558">
        <f t="shared" si="40"/>
        <v>0</v>
      </c>
      <c r="J111" s="558">
        <f t="shared" si="41"/>
        <v>0</v>
      </c>
      <c r="K111" s="1068">
        <v>18</v>
      </c>
      <c r="L111" s="562">
        <f t="shared" si="34"/>
        <v>10000</v>
      </c>
      <c r="M111" s="563">
        <v>0</v>
      </c>
      <c r="N111" s="513">
        <v>79</v>
      </c>
      <c r="O111" s="574">
        <f t="shared" si="42"/>
        <v>4661</v>
      </c>
      <c r="P111" s="558"/>
      <c r="Q111" s="1235">
        <f t="shared" si="43"/>
        <v>4661</v>
      </c>
      <c r="R111" s="575">
        <f t="shared" si="44"/>
        <v>14661</v>
      </c>
      <c r="S111" s="507">
        <v>52</v>
      </c>
    </row>
    <row r="112" spans="1:19" ht="15" customHeight="1" x14ac:dyDescent="0.2">
      <c r="A112" s="508" t="s">
        <v>420</v>
      </c>
      <c r="B112" s="226" t="s">
        <v>279</v>
      </c>
      <c r="C112" s="506" t="s">
        <v>253</v>
      </c>
      <c r="D112" s="513">
        <v>0</v>
      </c>
      <c r="E112" s="554">
        <f t="shared" si="38"/>
        <v>0</v>
      </c>
      <c r="F112" s="513">
        <v>0</v>
      </c>
      <c r="G112" s="558">
        <f t="shared" si="39"/>
        <v>0</v>
      </c>
      <c r="H112" s="513"/>
      <c r="I112" s="558">
        <f t="shared" si="40"/>
        <v>0</v>
      </c>
      <c r="J112" s="558">
        <f t="shared" si="41"/>
        <v>0</v>
      </c>
      <c r="K112" s="1068">
        <v>54</v>
      </c>
      <c r="L112" s="562">
        <f t="shared" si="34"/>
        <v>13014</v>
      </c>
      <c r="M112" s="563">
        <v>0</v>
      </c>
      <c r="N112" s="513">
        <v>194</v>
      </c>
      <c r="O112" s="574">
        <f t="shared" si="42"/>
        <v>11446</v>
      </c>
      <c r="P112" s="558"/>
      <c r="Q112" s="1235">
        <f t="shared" si="43"/>
        <v>11446</v>
      </c>
      <c r="R112" s="575">
        <f t="shared" si="44"/>
        <v>24460</v>
      </c>
      <c r="S112" s="507">
        <v>148</v>
      </c>
    </row>
    <row r="113" spans="1:19" ht="15" customHeight="1" x14ac:dyDescent="0.2">
      <c r="A113" s="508" t="s">
        <v>421</v>
      </c>
      <c r="B113" s="226" t="s">
        <v>271</v>
      </c>
      <c r="C113" s="506" t="s">
        <v>240</v>
      </c>
      <c r="D113" s="513">
        <v>0</v>
      </c>
      <c r="E113" s="554">
        <f t="shared" si="38"/>
        <v>0</v>
      </c>
      <c r="F113" s="513">
        <v>0</v>
      </c>
      <c r="G113" s="558">
        <f t="shared" si="39"/>
        <v>0</v>
      </c>
      <c r="H113" s="513"/>
      <c r="I113" s="558">
        <f t="shared" si="40"/>
        <v>0</v>
      </c>
      <c r="J113" s="558">
        <f t="shared" si="41"/>
        <v>0</v>
      </c>
      <c r="K113" s="1068">
        <v>0</v>
      </c>
      <c r="L113" s="562">
        <f t="shared" si="34"/>
        <v>0</v>
      </c>
      <c r="M113" s="563">
        <v>0</v>
      </c>
      <c r="N113" s="513">
        <v>86</v>
      </c>
      <c r="O113" s="574">
        <f t="shared" si="42"/>
        <v>5074</v>
      </c>
      <c r="P113" s="558"/>
      <c r="Q113" s="1235">
        <f t="shared" si="43"/>
        <v>5074</v>
      </c>
      <c r="R113" s="575">
        <f t="shared" si="44"/>
        <v>5074</v>
      </c>
      <c r="S113" s="507">
        <v>0</v>
      </c>
    </row>
    <row r="114" spans="1:19" ht="15" customHeight="1" x14ac:dyDescent="0.2">
      <c r="A114" s="509" t="s">
        <v>422</v>
      </c>
      <c r="B114" s="510" t="s">
        <v>280</v>
      </c>
      <c r="C114" s="511" t="s">
        <v>254</v>
      </c>
      <c r="D114" s="514">
        <v>0</v>
      </c>
      <c r="E114" s="555">
        <f t="shared" si="38"/>
        <v>0</v>
      </c>
      <c r="F114" s="514">
        <v>0</v>
      </c>
      <c r="G114" s="559">
        <f t="shared" si="39"/>
        <v>0</v>
      </c>
      <c r="H114" s="514"/>
      <c r="I114" s="559">
        <f t="shared" si="40"/>
        <v>0</v>
      </c>
      <c r="J114" s="559">
        <f t="shared" si="41"/>
        <v>0</v>
      </c>
      <c r="K114" s="1232">
        <v>0</v>
      </c>
      <c r="L114" s="564">
        <f t="shared" si="34"/>
        <v>0</v>
      </c>
      <c r="M114" s="565">
        <v>0</v>
      </c>
      <c r="N114" s="514">
        <v>210</v>
      </c>
      <c r="O114" s="576">
        <f t="shared" si="42"/>
        <v>12390</v>
      </c>
      <c r="P114" s="559"/>
      <c r="Q114" s="1236">
        <f t="shared" si="43"/>
        <v>12390</v>
      </c>
      <c r="R114" s="577">
        <f t="shared" si="44"/>
        <v>12390</v>
      </c>
      <c r="S114" s="512">
        <v>0</v>
      </c>
    </row>
    <row r="115" spans="1:19" ht="15" customHeight="1" x14ac:dyDescent="0.2">
      <c r="A115" s="502" t="s">
        <v>423</v>
      </c>
      <c r="B115" s="503" t="s">
        <v>275</v>
      </c>
      <c r="C115" s="504" t="s">
        <v>249</v>
      </c>
      <c r="D115" s="515">
        <v>0</v>
      </c>
      <c r="E115" s="553">
        <f t="shared" si="38"/>
        <v>0</v>
      </c>
      <c r="F115" s="515">
        <v>0</v>
      </c>
      <c r="G115" s="557">
        <f t="shared" si="39"/>
        <v>0</v>
      </c>
      <c r="H115" s="515"/>
      <c r="I115" s="557">
        <f t="shared" si="40"/>
        <v>0</v>
      </c>
      <c r="J115" s="557">
        <f t="shared" si="41"/>
        <v>0</v>
      </c>
      <c r="K115" s="1231">
        <v>19</v>
      </c>
      <c r="L115" s="566">
        <f t="shared" si="34"/>
        <v>4579</v>
      </c>
      <c r="M115" s="567">
        <v>0</v>
      </c>
      <c r="N115" s="515">
        <v>69</v>
      </c>
      <c r="O115" s="572">
        <f t="shared" si="42"/>
        <v>4071</v>
      </c>
      <c r="P115" s="557"/>
      <c r="Q115" s="1234">
        <f t="shared" si="43"/>
        <v>4071</v>
      </c>
      <c r="R115" s="573">
        <f t="shared" si="44"/>
        <v>8650</v>
      </c>
      <c r="S115" s="505">
        <v>0</v>
      </c>
    </row>
    <row r="116" spans="1:19" ht="15" customHeight="1" x14ac:dyDescent="0.2">
      <c r="A116" s="508" t="s">
        <v>424</v>
      </c>
      <c r="B116" s="226">
        <v>343002</v>
      </c>
      <c r="C116" s="506" t="s">
        <v>311</v>
      </c>
      <c r="D116" s="513">
        <v>0</v>
      </c>
      <c r="E116" s="554">
        <f t="shared" si="38"/>
        <v>0</v>
      </c>
      <c r="F116" s="513">
        <v>0</v>
      </c>
      <c r="G116" s="558">
        <f t="shared" si="39"/>
        <v>0</v>
      </c>
      <c r="H116" s="513"/>
      <c r="I116" s="558">
        <f t="shared" si="40"/>
        <v>0</v>
      </c>
      <c r="J116" s="558">
        <f t="shared" si="41"/>
        <v>0</v>
      </c>
      <c r="K116" s="1068">
        <v>259</v>
      </c>
      <c r="L116" s="562">
        <f t="shared" si="34"/>
        <v>62419</v>
      </c>
      <c r="M116" s="563">
        <v>0</v>
      </c>
      <c r="N116" s="513">
        <v>1145</v>
      </c>
      <c r="O116" s="574">
        <f t="shared" si="42"/>
        <v>67555</v>
      </c>
      <c r="P116" s="558"/>
      <c r="Q116" s="1235">
        <f t="shared" si="43"/>
        <v>67555</v>
      </c>
      <c r="R116" s="575">
        <f t="shared" si="44"/>
        <v>129974</v>
      </c>
      <c r="S116" s="507">
        <v>670</v>
      </c>
    </row>
    <row r="117" spans="1:19" ht="15" customHeight="1" x14ac:dyDescent="0.2">
      <c r="A117" s="508" t="s">
        <v>425</v>
      </c>
      <c r="B117" s="226">
        <v>328001</v>
      </c>
      <c r="C117" s="506" t="s">
        <v>243</v>
      </c>
      <c r="D117" s="513">
        <v>0</v>
      </c>
      <c r="E117" s="554">
        <f t="shared" si="38"/>
        <v>0</v>
      </c>
      <c r="F117" s="513">
        <v>0</v>
      </c>
      <c r="G117" s="558">
        <f t="shared" si="39"/>
        <v>0</v>
      </c>
      <c r="H117" s="513"/>
      <c r="I117" s="558">
        <f t="shared" si="40"/>
        <v>0</v>
      </c>
      <c r="J117" s="558">
        <f t="shared" si="41"/>
        <v>0</v>
      </c>
      <c r="K117" s="1068">
        <v>0</v>
      </c>
      <c r="L117" s="562">
        <f t="shared" si="34"/>
        <v>0</v>
      </c>
      <c r="M117" s="563">
        <v>0</v>
      </c>
      <c r="N117" s="513">
        <v>177</v>
      </c>
      <c r="O117" s="574">
        <f t="shared" si="42"/>
        <v>10443</v>
      </c>
      <c r="P117" s="558"/>
      <c r="Q117" s="1235">
        <f t="shared" si="43"/>
        <v>10443</v>
      </c>
      <c r="R117" s="575">
        <f t="shared" si="44"/>
        <v>10443</v>
      </c>
      <c r="S117" s="507">
        <v>0</v>
      </c>
    </row>
    <row r="118" spans="1:19" ht="15" customHeight="1" x14ac:dyDescent="0.2">
      <c r="A118" s="508" t="s">
        <v>426</v>
      </c>
      <c r="B118" s="226">
        <v>349001</v>
      </c>
      <c r="C118" s="506" t="s">
        <v>248</v>
      </c>
      <c r="D118" s="513">
        <v>0</v>
      </c>
      <c r="E118" s="554">
        <f t="shared" si="38"/>
        <v>0</v>
      </c>
      <c r="F118" s="513">
        <v>0</v>
      </c>
      <c r="G118" s="558">
        <f t="shared" si="39"/>
        <v>0</v>
      </c>
      <c r="H118" s="513"/>
      <c r="I118" s="558">
        <f t="shared" si="40"/>
        <v>0</v>
      </c>
      <c r="J118" s="558">
        <f t="shared" si="41"/>
        <v>0</v>
      </c>
      <c r="K118" s="1068">
        <v>91</v>
      </c>
      <c r="L118" s="562">
        <f t="shared" si="34"/>
        <v>21931</v>
      </c>
      <c r="M118" s="563">
        <v>0</v>
      </c>
      <c r="N118" s="513">
        <v>179</v>
      </c>
      <c r="O118" s="574">
        <f t="shared" si="42"/>
        <v>10561</v>
      </c>
      <c r="P118" s="558"/>
      <c r="Q118" s="1235">
        <f t="shared" si="43"/>
        <v>10561</v>
      </c>
      <c r="R118" s="575">
        <f t="shared" si="44"/>
        <v>32492</v>
      </c>
      <c r="S118" s="507">
        <v>109</v>
      </c>
    </row>
    <row r="119" spans="1:19" ht="15" customHeight="1" x14ac:dyDescent="0.2">
      <c r="A119" s="509" t="s">
        <v>434</v>
      </c>
      <c r="B119" s="510" t="s">
        <v>284</v>
      </c>
      <c r="C119" s="511" t="s">
        <v>330</v>
      </c>
      <c r="D119" s="514">
        <v>0</v>
      </c>
      <c r="E119" s="555">
        <f t="shared" si="38"/>
        <v>0</v>
      </c>
      <c r="F119" s="514">
        <v>0</v>
      </c>
      <c r="G119" s="559">
        <f t="shared" si="39"/>
        <v>0</v>
      </c>
      <c r="H119" s="514"/>
      <c r="I119" s="559">
        <f t="shared" si="40"/>
        <v>0</v>
      </c>
      <c r="J119" s="559">
        <f t="shared" si="41"/>
        <v>0</v>
      </c>
      <c r="K119" s="1232">
        <v>0</v>
      </c>
      <c r="L119" s="564">
        <f t="shared" si="34"/>
        <v>0</v>
      </c>
      <c r="M119" s="565">
        <v>0</v>
      </c>
      <c r="N119" s="514">
        <v>0</v>
      </c>
      <c r="O119" s="576">
        <f t="shared" si="42"/>
        <v>0</v>
      </c>
      <c r="P119" s="559"/>
      <c r="Q119" s="1236">
        <f t="shared" si="43"/>
        <v>0</v>
      </c>
      <c r="R119" s="577">
        <f t="shared" si="44"/>
        <v>0</v>
      </c>
      <c r="S119" s="512">
        <v>0</v>
      </c>
    </row>
    <row r="120" spans="1:19" ht="15" customHeight="1" x14ac:dyDescent="0.2">
      <c r="A120" s="502" t="s">
        <v>343</v>
      </c>
      <c r="B120" s="503" t="s">
        <v>343</v>
      </c>
      <c r="C120" s="504" t="s">
        <v>436</v>
      </c>
      <c r="D120" s="515">
        <v>0</v>
      </c>
      <c r="E120" s="553">
        <f t="shared" si="38"/>
        <v>0</v>
      </c>
      <c r="F120" s="515">
        <v>0</v>
      </c>
      <c r="G120" s="557">
        <f t="shared" si="39"/>
        <v>0</v>
      </c>
      <c r="H120" s="515"/>
      <c r="I120" s="557">
        <f t="shared" si="40"/>
        <v>0</v>
      </c>
      <c r="J120" s="557">
        <f t="shared" si="41"/>
        <v>0</v>
      </c>
      <c r="K120" s="1231">
        <v>51</v>
      </c>
      <c r="L120" s="566">
        <f t="shared" si="34"/>
        <v>12291</v>
      </c>
      <c r="M120" s="567">
        <v>0</v>
      </c>
      <c r="N120" s="515">
        <v>64</v>
      </c>
      <c r="O120" s="572">
        <f t="shared" si="42"/>
        <v>3776</v>
      </c>
      <c r="P120" s="557"/>
      <c r="Q120" s="1234">
        <f t="shared" si="43"/>
        <v>3776</v>
      </c>
      <c r="R120" s="573">
        <f t="shared" si="44"/>
        <v>16067</v>
      </c>
      <c r="S120" s="505">
        <v>0</v>
      </c>
    </row>
    <row r="121" spans="1:19" ht="15" customHeight="1" x14ac:dyDescent="0.2">
      <c r="A121" s="508" t="s">
        <v>856</v>
      </c>
      <c r="B121" s="226" t="s">
        <v>856</v>
      </c>
      <c r="C121" s="506" t="s">
        <v>853</v>
      </c>
      <c r="D121" s="513">
        <v>0</v>
      </c>
      <c r="E121" s="554">
        <f t="shared" si="38"/>
        <v>0</v>
      </c>
      <c r="F121" s="513">
        <v>0</v>
      </c>
      <c r="G121" s="558">
        <f t="shared" si="39"/>
        <v>0</v>
      </c>
      <c r="H121" s="513"/>
      <c r="I121" s="558">
        <f t="shared" si="40"/>
        <v>0</v>
      </c>
      <c r="J121" s="558">
        <f t="shared" si="41"/>
        <v>0</v>
      </c>
      <c r="K121" s="1068">
        <v>0</v>
      </c>
      <c r="L121" s="562">
        <f t="shared" si="34"/>
        <v>10000</v>
      </c>
      <c r="M121" s="563">
        <v>31187</v>
      </c>
      <c r="N121" s="513">
        <v>103</v>
      </c>
      <c r="O121" s="574">
        <f t="shared" si="42"/>
        <v>6077</v>
      </c>
      <c r="P121" s="558"/>
      <c r="Q121" s="1235">
        <f t="shared" si="43"/>
        <v>6077</v>
      </c>
      <c r="R121" s="575">
        <f t="shared" si="44"/>
        <v>47264</v>
      </c>
      <c r="S121" s="507">
        <v>188</v>
      </c>
    </row>
    <row r="122" spans="1:19" ht="15" customHeight="1" x14ac:dyDescent="0.2">
      <c r="A122" s="508" t="s">
        <v>858</v>
      </c>
      <c r="B122" s="226" t="s">
        <v>858</v>
      </c>
      <c r="C122" s="506" t="s">
        <v>1058</v>
      </c>
      <c r="D122" s="513">
        <v>0</v>
      </c>
      <c r="E122" s="554">
        <f t="shared" si="38"/>
        <v>0</v>
      </c>
      <c r="F122" s="513">
        <v>0</v>
      </c>
      <c r="G122" s="558">
        <f t="shared" si="39"/>
        <v>0</v>
      </c>
      <c r="H122" s="513"/>
      <c r="I122" s="558">
        <f t="shared" si="40"/>
        <v>0</v>
      </c>
      <c r="J122" s="558">
        <f t="shared" si="41"/>
        <v>0</v>
      </c>
      <c r="K122" s="1068">
        <v>0</v>
      </c>
      <c r="L122" s="562">
        <f t="shared" si="34"/>
        <v>0</v>
      </c>
      <c r="M122" s="563">
        <v>45524</v>
      </c>
      <c r="N122" s="513">
        <v>128</v>
      </c>
      <c r="O122" s="574">
        <f t="shared" si="42"/>
        <v>7552</v>
      </c>
      <c r="P122" s="558"/>
      <c r="Q122" s="1235">
        <f t="shared" si="43"/>
        <v>7552</v>
      </c>
      <c r="R122" s="575">
        <f t="shared" si="44"/>
        <v>53076</v>
      </c>
      <c r="S122" s="507">
        <v>0</v>
      </c>
    </row>
    <row r="123" spans="1:19" ht="15" customHeight="1" x14ac:dyDescent="0.2">
      <c r="A123" s="508" t="s">
        <v>1198</v>
      </c>
      <c r="B123" s="226" t="s">
        <v>1198</v>
      </c>
      <c r="C123" s="506" t="s">
        <v>1199</v>
      </c>
      <c r="D123" s="513">
        <v>0</v>
      </c>
      <c r="E123" s="554">
        <f t="shared" si="38"/>
        <v>0</v>
      </c>
      <c r="F123" s="513">
        <v>0</v>
      </c>
      <c r="G123" s="558">
        <f t="shared" si="39"/>
        <v>0</v>
      </c>
      <c r="H123" s="513"/>
      <c r="I123" s="558">
        <f t="shared" si="40"/>
        <v>0</v>
      </c>
      <c r="J123" s="558">
        <f t="shared" si="41"/>
        <v>0</v>
      </c>
      <c r="K123" s="1068">
        <v>89</v>
      </c>
      <c r="L123" s="562">
        <f t="shared" si="34"/>
        <v>21449</v>
      </c>
      <c r="M123" s="563">
        <v>0</v>
      </c>
      <c r="N123" s="513">
        <v>90</v>
      </c>
      <c r="O123" s="574">
        <f t="shared" si="42"/>
        <v>5310</v>
      </c>
      <c r="P123" s="558"/>
      <c r="Q123" s="1235">
        <f t="shared" si="43"/>
        <v>5310</v>
      </c>
      <c r="R123" s="575">
        <f t="shared" si="44"/>
        <v>26759</v>
      </c>
      <c r="S123" s="507">
        <v>200</v>
      </c>
    </row>
    <row r="124" spans="1:19" ht="15" customHeight="1" x14ac:dyDescent="0.2">
      <c r="A124" s="509" t="s">
        <v>1200</v>
      </c>
      <c r="B124" s="510" t="s">
        <v>1200</v>
      </c>
      <c r="C124" s="511" t="s">
        <v>1201</v>
      </c>
      <c r="D124" s="514">
        <v>0</v>
      </c>
      <c r="E124" s="555">
        <f t="shared" si="38"/>
        <v>0</v>
      </c>
      <c r="F124" s="514">
        <v>0</v>
      </c>
      <c r="G124" s="559">
        <f t="shared" si="39"/>
        <v>0</v>
      </c>
      <c r="H124" s="514"/>
      <c r="I124" s="559">
        <f t="shared" si="40"/>
        <v>0</v>
      </c>
      <c r="J124" s="559">
        <f t="shared" si="41"/>
        <v>0</v>
      </c>
      <c r="K124" s="1232">
        <v>0</v>
      </c>
      <c r="L124" s="564">
        <f t="shared" si="34"/>
        <v>10000</v>
      </c>
      <c r="M124" s="565">
        <v>0</v>
      </c>
      <c r="N124" s="514">
        <v>139</v>
      </c>
      <c r="O124" s="576">
        <f t="shared" si="42"/>
        <v>8201</v>
      </c>
      <c r="P124" s="559"/>
      <c r="Q124" s="1236">
        <f t="shared" si="43"/>
        <v>8201</v>
      </c>
      <c r="R124" s="577">
        <f t="shared" si="44"/>
        <v>18201</v>
      </c>
      <c r="S124" s="512">
        <v>55</v>
      </c>
    </row>
    <row r="125" spans="1:19" ht="15" customHeight="1" x14ac:dyDescent="0.2">
      <c r="A125" s="502" t="s">
        <v>646</v>
      </c>
      <c r="B125" s="503" t="s">
        <v>646</v>
      </c>
      <c r="C125" s="504" t="s">
        <v>835</v>
      </c>
      <c r="D125" s="515">
        <v>0</v>
      </c>
      <c r="E125" s="553">
        <f t="shared" si="38"/>
        <v>0</v>
      </c>
      <c r="F125" s="515">
        <v>0</v>
      </c>
      <c r="G125" s="557">
        <f t="shared" si="39"/>
        <v>0</v>
      </c>
      <c r="H125" s="515"/>
      <c r="I125" s="557">
        <f t="shared" si="40"/>
        <v>0</v>
      </c>
      <c r="J125" s="557">
        <f t="shared" si="41"/>
        <v>0</v>
      </c>
      <c r="K125" s="1231">
        <v>0</v>
      </c>
      <c r="L125" s="566">
        <f t="shared" si="34"/>
        <v>10000</v>
      </c>
      <c r="M125" s="567">
        <v>94048</v>
      </c>
      <c r="N125" s="515">
        <v>399</v>
      </c>
      <c r="O125" s="572">
        <f t="shared" si="42"/>
        <v>23541</v>
      </c>
      <c r="P125" s="557"/>
      <c r="Q125" s="1234">
        <f t="shared" si="43"/>
        <v>23541</v>
      </c>
      <c r="R125" s="573">
        <f t="shared" si="44"/>
        <v>127589</v>
      </c>
      <c r="S125" s="505">
        <v>481</v>
      </c>
    </row>
    <row r="126" spans="1:19" ht="15" customHeight="1" x14ac:dyDescent="0.2">
      <c r="A126" s="508" t="s">
        <v>647</v>
      </c>
      <c r="B126" s="226" t="s">
        <v>415</v>
      </c>
      <c r="C126" s="506" t="s">
        <v>1031</v>
      </c>
      <c r="D126" s="513">
        <v>0</v>
      </c>
      <c r="E126" s="554">
        <f t="shared" si="38"/>
        <v>0</v>
      </c>
      <c r="F126" s="513">
        <v>0</v>
      </c>
      <c r="G126" s="558">
        <f t="shared" si="39"/>
        <v>0</v>
      </c>
      <c r="H126" s="513"/>
      <c r="I126" s="558">
        <f t="shared" si="40"/>
        <v>0</v>
      </c>
      <c r="J126" s="558">
        <f t="shared" si="41"/>
        <v>0</v>
      </c>
      <c r="K126" s="1068">
        <v>62</v>
      </c>
      <c r="L126" s="562">
        <f t="shared" si="34"/>
        <v>14942</v>
      </c>
      <c r="M126" s="563">
        <v>0</v>
      </c>
      <c r="N126" s="513">
        <v>152</v>
      </c>
      <c r="O126" s="574">
        <f t="shared" si="42"/>
        <v>8968</v>
      </c>
      <c r="P126" s="558"/>
      <c r="Q126" s="1235">
        <f t="shared" si="43"/>
        <v>8968</v>
      </c>
      <c r="R126" s="575">
        <f t="shared" si="44"/>
        <v>23910</v>
      </c>
      <c r="S126" s="507">
        <v>0</v>
      </c>
    </row>
    <row r="127" spans="1:19" ht="15" customHeight="1" thickBot="1" x14ac:dyDescent="0.25">
      <c r="A127" s="522"/>
      <c r="B127" s="523"/>
      <c r="C127" s="1230" t="s">
        <v>317</v>
      </c>
      <c r="D127" s="524">
        <f t="shared" ref="D127:R127" si="45">SUM(D95:D126)</f>
        <v>38</v>
      </c>
      <c r="E127" s="556">
        <f t="shared" si="45"/>
        <v>798000</v>
      </c>
      <c r="F127" s="524">
        <f t="shared" si="45"/>
        <v>14</v>
      </c>
      <c r="G127" s="561">
        <f t="shared" si="45"/>
        <v>84000</v>
      </c>
      <c r="H127" s="524">
        <f t="shared" si="45"/>
        <v>0</v>
      </c>
      <c r="I127" s="561">
        <f t="shared" si="45"/>
        <v>0</v>
      </c>
      <c r="J127" s="561">
        <f t="shared" si="45"/>
        <v>84000</v>
      </c>
      <c r="K127" s="1065">
        <f t="shared" si="45"/>
        <v>1901</v>
      </c>
      <c r="L127" s="570">
        <f t="shared" si="45"/>
        <v>535368</v>
      </c>
      <c r="M127" s="571">
        <f t="shared" si="45"/>
        <v>366474</v>
      </c>
      <c r="N127" s="524">
        <f t="shared" si="45"/>
        <v>9678</v>
      </c>
      <c r="O127" s="580">
        <f t="shared" si="45"/>
        <v>571002</v>
      </c>
      <c r="P127" s="561">
        <f t="shared" si="45"/>
        <v>0</v>
      </c>
      <c r="Q127" s="1238">
        <f t="shared" si="45"/>
        <v>571002</v>
      </c>
      <c r="R127" s="581">
        <f t="shared" si="45"/>
        <v>2354844</v>
      </c>
      <c r="S127" s="524">
        <f>SUM(S95:S126)</f>
        <v>6633</v>
      </c>
    </row>
    <row r="128" spans="1:19" s="104" customFormat="1" ht="6.75" customHeight="1" thickTop="1" x14ac:dyDescent="0.2">
      <c r="A128" s="627"/>
      <c r="B128" s="628"/>
      <c r="C128" s="629"/>
      <c r="D128" s="630"/>
      <c r="E128" s="631"/>
      <c r="F128" s="632"/>
      <c r="G128" s="631"/>
      <c r="H128" s="633"/>
      <c r="I128" s="631"/>
      <c r="J128" s="631"/>
      <c r="K128" s="1067"/>
      <c r="L128" s="631"/>
      <c r="M128" s="631"/>
      <c r="N128" s="630"/>
      <c r="O128" s="634"/>
      <c r="P128" s="631"/>
      <c r="Q128" s="635"/>
      <c r="R128" s="634"/>
      <c r="S128" s="632"/>
    </row>
    <row r="129" spans="1:19" ht="15" customHeight="1" x14ac:dyDescent="0.2">
      <c r="A129" s="502">
        <v>396211</v>
      </c>
      <c r="B129" s="503" t="s">
        <v>429</v>
      </c>
      <c r="C129" s="504" t="s">
        <v>838</v>
      </c>
      <c r="D129" s="515">
        <v>0</v>
      </c>
      <c r="E129" s="553">
        <f t="shared" ref="E129:E135" si="46">ROUND($E$3*D129,0)</f>
        <v>0</v>
      </c>
      <c r="F129" s="515">
        <v>0</v>
      </c>
      <c r="G129" s="557">
        <f t="shared" ref="G129:G135" si="47">ROUND($G$3*F129,0)</f>
        <v>0</v>
      </c>
      <c r="H129" s="515"/>
      <c r="I129" s="557">
        <f t="shared" ref="I129:I135" si="48">ROUND($I$3*H129,0)</f>
        <v>0</v>
      </c>
      <c r="J129" s="557">
        <f t="shared" ref="J129:J135" si="49">G129+I129</f>
        <v>0</v>
      </c>
      <c r="K129" s="1231">
        <v>0</v>
      </c>
      <c r="L129" s="566">
        <f t="shared" ref="L129:L135" si="50">ROUND(IF(AND(L$3*K129&lt;10000,$S129&gt;0),10000,L$3*K129),0)</f>
        <v>0</v>
      </c>
      <c r="M129" s="567">
        <v>0</v>
      </c>
      <c r="N129" s="515">
        <v>192</v>
      </c>
      <c r="O129" s="572">
        <f t="shared" ref="O129:O135" si="51">N129*$O$3</f>
        <v>11328</v>
      </c>
      <c r="P129" s="557"/>
      <c r="Q129" s="1234">
        <f t="shared" ref="Q129:Q135" si="52">O129+P129</f>
        <v>11328</v>
      </c>
      <c r="R129" s="573">
        <f t="shared" ref="R129:R135" si="53">L129+J129+E129+M129+Q129</f>
        <v>11328</v>
      </c>
      <c r="S129" s="505">
        <v>0</v>
      </c>
    </row>
    <row r="130" spans="1:19" ht="15" customHeight="1" x14ac:dyDescent="0.2">
      <c r="A130" s="508" t="s">
        <v>1202</v>
      </c>
      <c r="B130" s="226" t="s">
        <v>435</v>
      </c>
      <c r="C130" s="506" t="s">
        <v>1169</v>
      </c>
      <c r="D130" s="513">
        <v>0</v>
      </c>
      <c r="E130" s="554">
        <f t="shared" si="46"/>
        <v>0</v>
      </c>
      <c r="F130" s="513">
        <v>0</v>
      </c>
      <c r="G130" s="558">
        <f t="shared" si="47"/>
        <v>0</v>
      </c>
      <c r="H130" s="513"/>
      <c r="I130" s="558">
        <f t="shared" si="48"/>
        <v>0</v>
      </c>
      <c r="J130" s="558">
        <f t="shared" si="49"/>
        <v>0</v>
      </c>
      <c r="K130" s="1068">
        <v>230</v>
      </c>
      <c r="L130" s="562">
        <f t="shared" si="50"/>
        <v>55430</v>
      </c>
      <c r="M130" s="563">
        <v>0</v>
      </c>
      <c r="N130" s="513">
        <v>360</v>
      </c>
      <c r="O130" s="574">
        <f t="shared" si="51"/>
        <v>21240</v>
      </c>
      <c r="P130" s="558"/>
      <c r="Q130" s="1235">
        <f t="shared" si="52"/>
        <v>21240</v>
      </c>
      <c r="R130" s="575">
        <f t="shared" si="53"/>
        <v>76670</v>
      </c>
      <c r="S130" s="507">
        <v>338</v>
      </c>
    </row>
    <row r="131" spans="1:19" ht="15" customHeight="1" x14ac:dyDescent="0.2">
      <c r="A131" s="508" t="s">
        <v>433</v>
      </c>
      <c r="B131" s="226" t="s">
        <v>306</v>
      </c>
      <c r="C131" s="506" t="s">
        <v>1238</v>
      </c>
      <c r="D131" s="513">
        <v>0</v>
      </c>
      <c r="E131" s="554">
        <f t="shared" si="46"/>
        <v>0</v>
      </c>
      <c r="F131" s="513">
        <v>0</v>
      </c>
      <c r="G131" s="558">
        <f t="shared" si="47"/>
        <v>0</v>
      </c>
      <c r="H131" s="513"/>
      <c r="I131" s="558">
        <f t="shared" si="48"/>
        <v>0</v>
      </c>
      <c r="J131" s="558">
        <f t="shared" si="49"/>
        <v>0</v>
      </c>
      <c r="K131" s="1068">
        <v>0</v>
      </c>
      <c r="L131" s="562">
        <f t="shared" si="50"/>
        <v>0</v>
      </c>
      <c r="M131" s="563">
        <v>8664</v>
      </c>
      <c r="N131" s="513">
        <v>0</v>
      </c>
      <c r="O131" s="574">
        <f t="shared" si="51"/>
        <v>0</v>
      </c>
      <c r="P131" s="558"/>
      <c r="Q131" s="1235">
        <f t="shared" si="52"/>
        <v>0</v>
      </c>
      <c r="R131" s="575">
        <f t="shared" si="53"/>
        <v>8664</v>
      </c>
      <c r="S131" s="507">
        <v>0</v>
      </c>
    </row>
    <row r="132" spans="1:19" ht="15" customHeight="1" x14ac:dyDescent="0.2">
      <c r="A132" s="508" t="s">
        <v>431</v>
      </c>
      <c r="B132" s="226" t="s">
        <v>281</v>
      </c>
      <c r="C132" s="506" t="s">
        <v>1239</v>
      </c>
      <c r="D132" s="513">
        <v>0</v>
      </c>
      <c r="E132" s="554">
        <f t="shared" si="46"/>
        <v>0</v>
      </c>
      <c r="F132" s="513">
        <v>0</v>
      </c>
      <c r="G132" s="558">
        <f t="shared" si="47"/>
        <v>0</v>
      </c>
      <c r="H132" s="513"/>
      <c r="I132" s="558">
        <f t="shared" si="48"/>
        <v>0</v>
      </c>
      <c r="J132" s="558">
        <f t="shared" si="49"/>
        <v>0</v>
      </c>
      <c r="K132" s="1068">
        <v>0</v>
      </c>
      <c r="L132" s="562">
        <f t="shared" si="50"/>
        <v>0</v>
      </c>
      <c r="M132" s="563">
        <v>0</v>
      </c>
      <c r="N132" s="513">
        <v>0</v>
      </c>
      <c r="O132" s="574">
        <f t="shared" si="51"/>
        <v>0</v>
      </c>
      <c r="P132" s="558"/>
      <c r="Q132" s="1235">
        <f t="shared" si="52"/>
        <v>0</v>
      </c>
      <c r="R132" s="575">
        <f t="shared" si="53"/>
        <v>0</v>
      </c>
      <c r="S132" s="507">
        <v>0</v>
      </c>
    </row>
    <row r="133" spans="1:19" ht="15" customHeight="1" x14ac:dyDescent="0.2">
      <c r="A133" s="509" t="s">
        <v>341</v>
      </c>
      <c r="B133" s="510" t="s">
        <v>341</v>
      </c>
      <c r="C133" s="511" t="s">
        <v>331</v>
      </c>
      <c r="D133" s="514">
        <v>0</v>
      </c>
      <c r="E133" s="555">
        <f t="shared" si="46"/>
        <v>0</v>
      </c>
      <c r="F133" s="514">
        <v>0</v>
      </c>
      <c r="G133" s="559">
        <f t="shared" si="47"/>
        <v>0</v>
      </c>
      <c r="H133" s="514"/>
      <c r="I133" s="559">
        <f t="shared" si="48"/>
        <v>0</v>
      </c>
      <c r="J133" s="559">
        <f t="shared" si="49"/>
        <v>0</v>
      </c>
      <c r="K133" s="1232">
        <v>0</v>
      </c>
      <c r="L133" s="564">
        <f t="shared" si="50"/>
        <v>0</v>
      </c>
      <c r="M133" s="565">
        <v>0</v>
      </c>
      <c r="N133" s="514">
        <v>122</v>
      </c>
      <c r="O133" s="576">
        <f t="shared" si="51"/>
        <v>7198</v>
      </c>
      <c r="P133" s="559"/>
      <c r="Q133" s="1236">
        <f t="shared" si="52"/>
        <v>7198</v>
      </c>
      <c r="R133" s="577">
        <f t="shared" si="53"/>
        <v>7198</v>
      </c>
      <c r="S133" s="512">
        <v>0</v>
      </c>
    </row>
    <row r="134" spans="1:19" ht="15" customHeight="1" x14ac:dyDescent="0.2">
      <c r="A134" s="508" t="s">
        <v>430</v>
      </c>
      <c r="B134" s="226">
        <v>389002</v>
      </c>
      <c r="C134" s="506" t="s">
        <v>329</v>
      </c>
      <c r="D134" s="513">
        <v>0</v>
      </c>
      <c r="E134" s="554">
        <f t="shared" si="46"/>
        <v>0</v>
      </c>
      <c r="F134" s="513">
        <v>0</v>
      </c>
      <c r="G134" s="558">
        <f t="shared" si="47"/>
        <v>0</v>
      </c>
      <c r="H134" s="513"/>
      <c r="I134" s="558">
        <f t="shared" si="48"/>
        <v>0</v>
      </c>
      <c r="J134" s="558">
        <f t="shared" si="49"/>
        <v>0</v>
      </c>
      <c r="K134" s="1068">
        <v>0</v>
      </c>
      <c r="L134" s="562">
        <f t="shared" si="50"/>
        <v>0</v>
      </c>
      <c r="M134" s="563">
        <v>0</v>
      </c>
      <c r="N134" s="513">
        <v>261</v>
      </c>
      <c r="O134" s="574">
        <f t="shared" si="51"/>
        <v>15399</v>
      </c>
      <c r="P134" s="558"/>
      <c r="Q134" s="1235">
        <f t="shared" si="52"/>
        <v>15399</v>
      </c>
      <c r="R134" s="575">
        <f t="shared" si="53"/>
        <v>15399</v>
      </c>
      <c r="S134" s="507">
        <v>0</v>
      </c>
    </row>
    <row r="135" spans="1:19" ht="15" customHeight="1" x14ac:dyDescent="0.2">
      <c r="A135" s="509" t="s">
        <v>1203</v>
      </c>
      <c r="B135" s="510" t="s">
        <v>1204</v>
      </c>
      <c r="C135" s="511" t="s">
        <v>1240</v>
      </c>
      <c r="D135" s="514">
        <v>0</v>
      </c>
      <c r="E135" s="555">
        <f t="shared" si="46"/>
        <v>0</v>
      </c>
      <c r="F135" s="514">
        <v>0</v>
      </c>
      <c r="G135" s="559">
        <f t="shared" si="47"/>
        <v>0</v>
      </c>
      <c r="H135" s="514"/>
      <c r="I135" s="559">
        <f t="shared" si="48"/>
        <v>0</v>
      </c>
      <c r="J135" s="559">
        <f t="shared" si="49"/>
        <v>0</v>
      </c>
      <c r="K135" s="1232">
        <v>0</v>
      </c>
      <c r="L135" s="564">
        <f t="shared" si="50"/>
        <v>0</v>
      </c>
      <c r="M135" s="565">
        <v>0</v>
      </c>
      <c r="N135" s="514">
        <v>177</v>
      </c>
      <c r="O135" s="576">
        <f t="shared" si="51"/>
        <v>10443</v>
      </c>
      <c r="P135" s="559"/>
      <c r="Q135" s="1236">
        <f t="shared" si="52"/>
        <v>10443</v>
      </c>
      <c r="R135" s="577">
        <f t="shared" si="53"/>
        <v>10443</v>
      </c>
      <c r="S135" s="512">
        <v>0</v>
      </c>
    </row>
    <row r="136" spans="1:19" ht="15" customHeight="1" thickBot="1" x14ac:dyDescent="0.25">
      <c r="A136" s="522"/>
      <c r="B136" s="523"/>
      <c r="C136" s="1230" t="s">
        <v>1134</v>
      </c>
      <c r="D136" s="524">
        <f t="shared" ref="D136:R136" si="54">SUM(D129:D135)</f>
        <v>0</v>
      </c>
      <c r="E136" s="556">
        <f t="shared" si="54"/>
        <v>0</v>
      </c>
      <c r="F136" s="524">
        <f t="shared" si="54"/>
        <v>0</v>
      </c>
      <c r="G136" s="561">
        <f t="shared" si="54"/>
        <v>0</v>
      </c>
      <c r="H136" s="524">
        <f t="shared" si="54"/>
        <v>0</v>
      </c>
      <c r="I136" s="561">
        <f t="shared" si="54"/>
        <v>0</v>
      </c>
      <c r="J136" s="561">
        <f t="shared" si="54"/>
        <v>0</v>
      </c>
      <c r="K136" s="1065">
        <f t="shared" si="54"/>
        <v>230</v>
      </c>
      <c r="L136" s="570">
        <f>SUM(L129:L135)</f>
        <v>55430</v>
      </c>
      <c r="M136" s="571">
        <f t="shared" si="54"/>
        <v>8664</v>
      </c>
      <c r="N136" s="524">
        <f t="shared" si="54"/>
        <v>1112</v>
      </c>
      <c r="O136" s="580">
        <f t="shared" si="54"/>
        <v>65608</v>
      </c>
      <c r="P136" s="561">
        <f t="shared" si="54"/>
        <v>0</v>
      </c>
      <c r="Q136" s="1238">
        <f t="shared" si="54"/>
        <v>65608</v>
      </c>
      <c r="R136" s="581">
        <f t="shared" si="54"/>
        <v>129702</v>
      </c>
      <c r="S136" s="524">
        <f>SUM(S129:S135)</f>
        <v>338</v>
      </c>
    </row>
    <row r="137" spans="1:19" s="104" customFormat="1" ht="6.75" customHeight="1" thickTop="1" x14ac:dyDescent="0.2">
      <c r="A137" s="529"/>
      <c r="B137" s="525"/>
      <c r="C137" s="102"/>
      <c r="D137" s="526"/>
      <c r="E137" s="528"/>
      <c r="F137" s="526"/>
      <c r="G137" s="528"/>
      <c r="H137" s="527"/>
      <c r="I137" s="528"/>
      <c r="J137" s="528"/>
      <c r="K137" s="1069"/>
      <c r="L137" s="528"/>
      <c r="M137" s="528"/>
      <c r="N137" s="530"/>
      <c r="O137" s="528"/>
      <c r="P137" s="528"/>
      <c r="Q137" s="582"/>
      <c r="R137" s="531"/>
      <c r="S137" s="530"/>
    </row>
    <row r="138" spans="1:19" s="23" customFormat="1" ht="15" customHeight="1" thickBot="1" x14ac:dyDescent="0.25">
      <c r="A138" s="1025"/>
      <c r="B138" s="1026"/>
      <c r="C138" s="1240" t="s">
        <v>1023</v>
      </c>
      <c r="D138" s="1027"/>
      <c r="E138" s="1028"/>
      <c r="F138" s="1027"/>
      <c r="G138" s="1029"/>
      <c r="H138" s="1027"/>
      <c r="I138" s="1029"/>
      <c r="J138" s="1029"/>
      <c r="K138" s="1070"/>
      <c r="L138" s="1143"/>
      <c r="M138" s="1030"/>
      <c r="N138" s="1027">
        <v>20</v>
      </c>
      <c r="O138" s="1031">
        <f>N138*$O$3</f>
        <v>1180</v>
      </c>
      <c r="P138" s="1029"/>
      <c r="Q138" s="1239">
        <f>O138+P138</f>
        <v>1180</v>
      </c>
      <c r="R138" s="1032">
        <f>L138+J138+E138+M138+Q138</f>
        <v>1180</v>
      </c>
      <c r="S138" s="1027"/>
    </row>
    <row r="139" spans="1:19" s="104" customFormat="1" ht="6.75" customHeight="1" thickTop="1" x14ac:dyDescent="0.2">
      <c r="A139" s="529"/>
      <c r="B139" s="525"/>
      <c r="C139" s="102"/>
      <c r="D139" s="526"/>
      <c r="E139" s="528"/>
      <c r="F139" s="526"/>
      <c r="G139" s="528"/>
      <c r="H139" s="527"/>
      <c r="I139" s="528"/>
      <c r="J139" s="528"/>
      <c r="K139" s="1069"/>
      <c r="L139" s="528"/>
      <c r="M139" s="528"/>
      <c r="N139" s="530"/>
      <c r="O139" s="528"/>
      <c r="P139" s="528"/>
      <c r="Q139" s="582"/>
      <c r="R139" s="531"/>
      <c r="S139" s="530"/>
    </row>
    <row r="140" spans="1:19" ht="15" customHeight="1" thickBot="1" x14ac:dyDescent="0.25">
      <c r="A140" s="522"/>
      <c r="B140" s="523"/>
      <c r="C140" s="1230" t="s">
        <v>238</v>
      </c>
      <c r="D140" s="524">
        <f t="shared" ref="D140:R140" si="55">D136+D127+D93+D84+D76+D138</f>
        <v>275</v>
      </c>
      <c r="E140" s="556">
        <f t="shared" si="55"/>
        <v>5775000</v>
      </c>
      <c r="F140" s="524">
        <f t="shared" si="55"/>
        <v>58</v>
      </c>
      <c r="G140" s="561">
        <f t="shared" si="55"/>
        <v>348000</v>
      </c>
      <c r="H140" s="524">
        <f t="shared" si="55"/>
        <v>0</v>
      </c>
      <c r="I140" s="561">
        <f t="shared" si="55"/>
        <v>0</v>
      </c>
      <c r="J140" s="561">
        <f t="shared" si="55"/>
        <v>348000</v>
      </c>
      <c r="K140" s="1065">
        <f t="shared" si="55"/>
        <v>86941.5</v>
      </c>
      <c r="L140" s="570">
        <f t="shared" si="55"/>
        <v>21160053</v>
      </c>
      <c r="M140" s="571">
        <f t="shared" si="55"/>
        <v>12000000</v>
      </c>
      <c r="N140" s="524">
        <f t="shared" si="55"/>
        <v>304395</v>
      </c>
      <c r="O140" s="580">
        <f t="shared" si="55"/>
        <v>17959305</v>
      </c>
      <c r="P140" s="561">
        <f t="shared" si="55"/>
        <v>0</v>
      </c>
      <c r="Q140" s="1238">
        <f t="shared" si="55"/>
        <v>17959305</v>
      </c>
      <c r="R140" s="581">
        <f t="shared" si="55"/>
        <v>57242358</v>
      </c>
      <c r="S140" s="524">
        <f>S136+S127+S93+S84+S76+S138</f>
        <v>200890</v>
      </c>
    </row>
    <row r="141" spans="1:19" ht="13.5" thickTop="1" x14ac:dyDescent="0.2"/>
  </sheetData>
  <sheetProtection password="D893" sheet="1" objects="1" scenarios="1"/>
  <sortState ref="A143:W210">
    <sortCondition ref="A143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6">
    <mergeCell ref="S2:S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4:N136">
    <cfRule type="cellIs" dxfId="69" priority="378" operator="between">
      <formula>0.1</formula>
      <formula>10</formula>
    </cfRule>
  </conditionalFormatting>
  <conditionalFormatting sqref="N127 N7:N41 N83:N99 N43:N77">
    <cfRule type="cellIs" dxfId="68" priority="388" operator="between">
      <formula>0.1</formula>
      <formula>10</formula>
    </cfRule>
  </conditionalFormatting>
  <conditionalFormatting sqref="N128">
    <cfRule type="cellIs" dxfId="67" priority="387" operator="between">
      <formula>0.1</formula>
      <formula>10</formula>
    </cfRule>
  </conditionalFormatting>
  <conditionalFormatting sqref="N78:N82">
    <cfRule type="cellIs" dxfId="66" priority="197" operator="between">
      <formula>0.1</formula>
      <formula>10</formula>
    </cfRule>
  </conditionalFormatting>
  <conditionalFormatting sqref="N105:N109">
    <cfRule type="cellIs" dxfId="65" priority="157" operator="between">
      <formula>0.1</formula>
      <formula>10</formula>
    </cfRule>
  </conditionalFormatting>
  <conditionalFormatting sqref="N100:N104">
    <cfRule type="cellIs" dxfId="64" priority="160" operator="between">
      <formula>0.1</formula>
      <formula>10</formula>
    </cfRule>
  </conditionalFormatting>
  <conditionalFormatting sqref="N110:N114">
    <cfRule type="cellIs" dxfId="63" priority="154" operator="between">
      <formula>0.1</formula>
      <formula>10</formula>
    </cfRule>
  </conditionalFormatting>
  <conditionalFormatting sqref="N115:N119">
    <cfRule type="cellIs" dxfId="62" priority="151" operator="between">
      <formula>0.1</formula>
      <formula>10</formula>
    </cfRule>
  </conditionalFormatting>
  <conditionalFormatting sqref="N120:N124">
    <cfRule type="cellIs" dxfId="61" priority="148" operator="between">
      <formula>0.1</formula>
      <formula>10</formula>
    </cfRule>
  </conditionalFormatting>
  <conditionalFormatting sqref="N125:N126">
    <cfRule type="cellIs" dxfId="60" priority="145" operator="between">
      <formula>0.1</formula>
      <formula>10</formula>
    </cfRule>
  </conditionalFormatting>
  <conditionalFormatting sqref="N129:N133">
    <cfRule type="cellIs" dxfId="59" priority="17" operator="between">
      <formula>0.1</formula>
      <formula>10</formula>
    </cfRule>
  </conditionalFormatting>
  <conditionalFormatting sqref="N138">
    <cfRule type="cellIs" dxfId="58" priority="7" operator="between">
      <formula>0.1</formula>
      <formula>10</formula>
    </cfRule>
  </conditionalFormatting>
  <conditionalFormatting sqref="N42">
    <cfRule type="cellIs" dxfId="57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FY2020-21 Budget Letter
Level 4 Supplementary Allocations (March 2021)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1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8" bestFit="1" customWidth="1"/>
    <col min="2" max="2" width="20.140625" style="8" customWidth="1"/>
    <col min="3" max="3" width="13.28515625" style="8" customWidth="1"/>
    <col min="4" max="5" width="14.42578125" style="8" customWidth="1"/>
    <col min="6" max="6" width="13.28515625" style="8" customWidth="1"/>
    <col min="7" max="7" width="14.42578125" style="8" customWidth="1"/>
    <col min="8" max="8" width="13.140625" style="8" customWidth="1"/>
    <col min="9" max="9" width="14.42578125" style="8" customWidth="1"/>
    <col min="10" max="12" width="15.140625" style="8" customWidth="1"/>
    <col min="13" max="15" width="14.42578125" style="8" customWidth="1"/>
    <col min="16" max="17" width="15.85546875" style="8" customWidth="1"/>
    <col min="18" max="18" width="18.28515625" style="8" customWidth="1"/>
    <col min="19" max="21" width="14.85546875" style="8" customWidth="1"/>
    <col min="22" max="24" width="15.85546875" style="8" customWidth="1"/>
    <col min="25" max="25" width="17.28515625" style="8" customWidth="1"/>
    <col min="26" max="16384" width="8.85546875" style="8"/>
  </cols>
  <sheetData>
    <row r="1" spans="1:25" ht="23.45" customHeight="1" x14ac:dyDescent="0.2">
      <c r="A1" s="1378" t="s">
        <v>374</v>
      </c>
      <c r="B1" s="1378"/>
      <c r="C1" s="1385" t="s">
        <v>291</v>
      </c>
      <c r="D1" s="1385"/>
      <c r="E1" s="1385"/>
      <c r="F1" s="1385"/>
      <c r="G1" s="1385"/>
      <c r="H1" s="1386"/>
      <c r="I1" s="1385"/>
      <c r="J1" s="1385"/>
      <c r="K1" s="1385"/>
      <c r="L1" s="1385"/>
      <c r="M1" s="1385"/>
      <c r="N1" s="1385"/>
      <c r="O1" s="1387"/>
      <c r="P1" s="1388" t="s">
        <v>291</v>
      </c>
      <c r="Q1" s="1385"/>
      <c r="R1" s="1385"/>
      <c r="S1" s="1385"/>
      <c r="T1" s="1385"/>
      <c r="U1" s="1385"/>
      <c r="V1" s="1385"/>
      <c r="W1" s="1389"/>
      <c r="X1" s="1385"/>
      <c r="Y1" s="1387"/>
    </row>
    <row r="2" spans="1:25" ht="30" customHeight="1" x14ac:dyDescent="0.2">
      <c r="A2" s="1378"/>
      <c r="B2" s="1378"/>
      <c r="C2" s="177"/>
      <c r="D2" s="177"/>
      <c r="E2" s="178"/>
      <c r="F2" s="4"/>
      <c r="G2" s="4"/>
      <c r="H2" s="837"/>
      <c r="I2" s="4"/>
      <c r="J2" s="1382" t="s">
        <v>223</v>
      </c>
      <c r="K2" s="1383"/>
      <c r="L2" s="1384"/>
      <c r="M2" s="4"/>
      <c r="N2" s="179"/>
      <c r="O2" s="180"/>
      <c r="P2" s="1379" t="s">
        <v>288</v>
      </c>
      <c r="Q2" s="1381"/>
      <c r="R2" s="179"/>
      <c r="S2" s="179"/>
      <c r="T2" s="179"/>
      <c r="U2" s="179"/>
      <c r="V2" s="1379" t="s">
        <v>290</v>
      </c>
      <c r="W2" s="1380"/>
      <c r="X2" s="1381"/>
      <c r="Y2" s="180"/>
    </row>
    <row r="3" spans="1:25" ht="134.25" customHeight="1" x14ac:dyDescent="0.2">
      <c r="A3" s="1378"/>
      <c r="B3" s="1378"/>
      <c r="C3" s="1019" t="s">
        <v>1350</v>
      </c>
      <c r="D3" s="1019" t="s">
        <v>1051</v>
      </c>
      <c r="E3" s="1020" t="s">
        <v>388</v>
      </c>
      <c r="F3" s="1019" t="s">
        <v>1351</v>
      </c>
      <c r="G3" s="1019" t="s">
        <v>289</v>
      </c>
      <c r="H3" s="1019" t="s">
        <v>1107</v>
      </c>
      <c r="I3" s="1020" t="s">
        <v>1119</v>
      </c>
      <c r="J3" s="1021" t="s">
        <v>1290</v>
      </c>
      <c r="K3" s="1021" t="s">
        <v>1291</v>
      </c>
      <c r="L3" s="1021" t="s">
        <v>224</v>
      </c>
      <c r="M3" s="1019" t="s">
        <v>395</v>
      </c>
      <c r="N3" s="1022" t="s">
        <v>1352</v>
      </c>
      <c r="O3" s="1019" t="s">
        <v>1353</v>
      </c>
      <c r="P3" s="1023" t="s">
        <v>286</v>
      </c>
      <c r="Q3" s="1023" t="s">
        <v>1214</v>
      </c>
      <c r="R3" s="1019" t="s">
        <v>887</v>
      </c>
      <c r="S3" s="1019" t="s">
        <v>1354</v>
      </c>
      <c r="T3" s="1019" t="s">
        <v>258</v>
      </c>
      <c r="U3" s="1019" t="s">
        <v>1355</v>
      </c>
      <c r="V3" s="1024" t="s">
        <v>1213</v>
      </c>
      <c r="W3" s="1024" t="s">
        <v>1048</v>
      </c>
      <c r="X3" s="1024" t="s">
        <v>339</v>
      </c>
      <c r="Y3" s="1019" t="s">
        <v>888</v>
      </c>
    </row>
    <row r="4" spans="1:25" x14ac:dyDescent="0.2">
      <c r="A4" s="181"/>
      <c r="B4" s="182"/>
      <c r="C4" s="183">
        <v>1</v>
      </c>
      <c r="D4" s="183">
        <f t="shared" ref="D4:P4" si="0">C4+1</f>
        <v>2</v>
      </c>
      <c r="E4" s="183">
        <f t="shared" si="0"/>
        <v>3</v>
      </c>
      <c r="F4" s="183">
        <f t="shared" si="0"/>
        <v>4</v>
      </c>
      <c r="G4" s="183">
        <f t="shared" si="0"/>
        <v>5</v>
      </c>
      <c r="H4" s="183">
        <f>G4+1</f>
        <v>6</v>
      </c>
      <c r="I4" s="183">
        <f>H4+1</f>
        <v>7</v>
      </c>
      <c r="J4" s="183">
        <f t="shared" si="0"/>
        <v>8</v>
      </c>
      <c r="K4" s="183">
        <f t="shared" si="0"/>
        <v>9</v>
      </c>
      <c r="L4" s="183">
        <f t="shared" si="0"/>
        <v>10</v>
      </c>
      <c r="M4" s="183">
        <f t="shared" si="0"/>
        <v>11</v>
      </c>
      <c r="N4" s="183">
        <f t="shared" si="0"/>
        <v>12</v>
      </c>
      <c r="O4" s="183">
        <f t="shared" si="0"/>
        <v>13</v>
      </c>
      <c r="P4" s="183">
        <f t="shared" si="0"/>
        <v>14</v>
      </c>
      <c r="Q4" s="183">
        <f t="shared" ref="Q4:Y4" si="1">P4+1</f>
        <v>15</v>
      </c>
      <c r="R4" s="183">
        <f t="shared" si="1"/>
        <v>16</v>
      </c>
      <c r="S4" s="183">
        <f t="shared" si="1"/>
        <v>17</v>
      </c>
      <c r="T4" s="183">
        <f t="shared" si="1"/>
        <v>18</v>
      </c>
      <c r="U4" s="183">
        <f t="shared" si="1"/>
        <v>19</v>
      </c>
      <c r="V4" s="183">
        <f t="shared" si="1"/>
        <v>20</v>
      </c>
      <c r="W4" s="183">
        <f t="shared" si="1"/>
        <v>21</v>
      </c>
      <c r="X4" s="183">
        <f t="shared" si="1"/>
        <v>22</v>
      </c>
      <c r="Y4" s="183">
        <f t="shared" si="1"/>
        <v>23</v>
      </c>
    </row>
    <row r="5" spans="1:25" s="438" customFormat="1" ht="27.75" customHeight="1" x14ac:dyDescent="0.2">
      <c r="A5" s="648"/>
      <c r="B5" s="648"/>
      <c r="C5" s="541" t="s">
        <v>760</v>
      </c>
      <c r="D5" s="541" t="s">
        <v>1160</v>
      </c>
      <c r="E5" s="541" t="s">
        <v>761</v>
      </c>
      <c r="F5" s="625" t="s">
        <v>681</v>
      </c>
      <c r="G5" s="541" t="s">
        <v>656</v>
      </c>
      <c r="H5" s="768" t="s">
        <v>1108</v>
      </c>
      <c r="I5" s="541" t="s">
        <v>1120</v>
      </c>
      <c r="J5" s="538" t="s">
        <v>892</v>
      </c>
      <c r="K5" s="538" t="s">
        <v>893</v>
      </c>
      <c r="L5" s="541" t="s">
        <v>1121</v>
      </c>
      <c r="M5" s="541" t="s">
        <v>1122</v>
      </c>
      <c r="N5" s="541" t="s">
        <v>765</v>
      </c>
      <c r="O5" s="541" t="s">
        <v>794</v>
      </c>
      <c r="P5" s="538" t="s">
        <v>234</v>
      </c>
      <c r="Q5" s="538" t="s">
        <v>370</v>
      </c>
      <c r="R5" s="541" t="s">
        <v>1123</v>
      </c>
      <c r="S5" s="541" t="s">
        <v>891</v>
      </c>
      <c r="T5" s="541" t="s">
        <v>1009</v>
      </c>
      <c r="U5" s="541" t="s">
        <v>1010</v>
      </c>
      <c r="V5" s="538" t="s">
        <v>260</v>
      </c>
      <c r="W5" s="538" t="s">
        <v>274</v>
      </c>
      <c r="X5" s="538" t="s">
        <v>336</v>
      </c>
      <c r="Y5" s="541" t="s">
        <v>1124</v>
      </c>
    </row>
    <row r="6" spans="1:25" s="438" customFormat="1" ht="22.5" hidden="1" x14ac:dyDescent="0.2">
      <c r="A6" s="648"/>
      <c r="B6" s="648"/>
      <c r="C6" s="541" t="s">
        <v>554</v>
      </c>
      <c r="D6" s="541" t="s">
        <v>554</v>
      </c>
      <c r="E6" s="541" t="s">
        <v>555</v>
      </c>
      <c r="F6" s="625" t="s">
        <v>688</v>
      </c>
      <c r="G6" s="541" t="s">
        <v>555</v>
      </c>
      <c r="H6" s="768"/>
      <c r="I6" s="541" t="s">
        <v>555</v>
      </c>
      <c r="J6" s="541" t="s">
        <v>764</v>
      </c>
      <c r="K6" s="541" t="s">
        <v>764</v>
      </c>
      <c r="L6" s="541" t="s">
        <v>555</v>
      </c>
      <c r="M6" s="541" t="s">
        <v>555</v>
      </c>
      <c r="N6" s="541" t="s">
        <v>765</v>
      </c>
      <c r="O6" s="541" t="s">
        <v>555</v>
      </c>
      <c r="P6" s="541" t="s">
        <v>554</v>
      </c>
      <c r="Q6" s="541" t="s">
        <v>554</v>
      </c>
      <c r="R6" s="541" t="s">
        <v>555</v>
      </c>
      <c r="S6" s="541" t="s">
        <v>886</v>
      </c>
      <c r="T6" s="541" t="s">
        <v>555</v>
      </c>
      <c r="U6" s="541" t="s">
        <v>555</v>
      </c>
      <c r="V6" s="541" t="s">
        <v>554</v>
      </c>
      <c r="W6" s="541" t="s">
        <v>554</v>
      </c>
      <c r="X6" s="541" t="s">
        <v>554</v>
      </c>
      <c r="Y6" s="541" t="s">
        <v>555</v>
      </c>
    </row>
    <row r="7" spans="1:25" ht="31.5" customHeight="1" x14ac:dyDescent="0.2">
      <c r="A7" s="184">
        <v>318</v>
      </c>
      <c r="B7" s="185" t="s">
        <v>376</v>
      </c>
      <c r="C7" s="186">
        <f>'8_2.1.20 SIS'!BD76</f>
        <v>1420</v>
      </c>
      <c r="D7" s="187">
        <f>'3_Levels 1&amp;2'!AM76</f>
        <v>4692.5668128734405</v>
      </c>
      <c r="E7" s="187">
        <f>C7*D7</f>
        <v>6663444.874280286</v>
      </c>
      <c r="F7" s="187">
        <v>605.97</v>
      </c>
      <c r="G7" s="187">
        <f>F7*C7</f>
        <v>860477.4</v>
      </c>
      <c r="H7" s="839">
        <f>VLOOKUP($A7,'3B_Pay Raise'!$A$7:$O$142,15,FALSE)</f>
        <v>137004</v>
      </c>
      <c r="I7" s="188">
        <f>ROUND(E7+G7+H7,0)</f>
        <v>7660926</v>
      </c>
      <c r="J7" s="189">
        <v>52985</v>
      </c>
      <c r="K7" s="189">
        <v>-5299</v>
      </c>
      <c r="L7" s="190">
        <f>SUM(J7:K7)</f>
        <v>47686</v>
      </c>
      <c r="M7" s="188">
        <f>I7+L7</f>
        <v>7708612</v>
      </c>
      <c r="N7" s="187">
        <v>0</v>
      </c>
      <c r="O7" s="188">
        <f>SUM(M7:N7)</f>
        <v>7708612</v>
      </c>
      <c r="P7" s="191">
        <f>VLOOKUP($A7,'4_Level 4'!$A$78:$R$140,5,FALSE)</f>
        <v>0</v>
      </c>
      <c r="Q7" s="191">
        <f>VLOOKUP($A7,'4_Level 4'!$A$78:$R$140,17,FALSE)</f>
        <v>40002</v>
      </c>
      <c r="R7" s="188">
        <f>ROUND(SUM(O7:Q7),0)</f>
        <v>7748614</v>
      </c>
      <c r="S7" s="189">
        <v>5154030</v>
      </c>
      <c r="T7" s="189">
        <f>R7-S7</f>
        <v>2594584</v>
      </c>
      <c r="U7" s="188">
        <f>ROUND(T7/$U$11,0)</f>
        <v>648646</v>
      </c>
      <c r="V7" s="187">
        <f>VLOOKUP($A7,'4_Level 4'!$A$78:$R$140,10,FALSE)</f>
        <v>0</v>
      </c>
      <c r="W7" s="187">
        <f>VLOOKUP($A7,'4_Level 4'!$A$78:$R$140,12,FALSE)</f>
        <v>12291</v>
      </c>
      <c r="X7" s="187">
        <f>VLOOKUP($A7,'4_Level 4'!$A$78:$R$140,13,FALSE)</f>
        <v>0</v>
      </c>
      <c r="Y7" s="188">
        <f>R7+V7+W7+X7</f>
        <v>7760905</v>
      </c>
    </row>
    <row r="8" spans="1:25" ht="31.5" customHeight="1" x14ac:dyDescent="0.2">
      <c r="A8" s="192">
        <v>319</v>
      </c>
      <c r="B8" s="193" t="s">
        <v>375</v>
      </c>
      <c r="C8" s="186">
        <f>'8_2.1.20 SIS'!BE76</f>
        <v>513</v>
      </c>
      <c r="D8" s="187">
        <f>'3_Levels 1&amp;2'!AM76</f>
        <v>4692.5668128734405</v>
      </c>
      <c r="E8" s="187">
        <f>C8*D8</f>
        <v>2407286.7750040749</v>
      </c>
      <c r="F8" s="187">
        <v>699.9</v>
      </c>
      <c r="G8" s="187">
        <f>F8*C8</f>
        <v>359048.7</v>
      </c>
      <c r="H8" s="839">
        <f>VLOOKUP($A8,'3B_Pay Raise'!$A$7:$O$142,15,FALSE)</f>
        <v>39800</v>
      </c>
      <c r="I8" s="188">
        <f>ROUND(E8+G8+H8,0)</f>
        <v>2806135</v>
      </c>
      <c r="J8" s="189">
        <v>1234875</v>
      </c>
      <c r="K8" s="189">
        <v>-188736</v>
      </c>
      <c r="L8" s="190">
        <f>SUM(J8:K8)</f>
        <v>1046139</v>
      </c>
      <c r="M8" s="188">
        <f>I8+L8</f>
        <v>3852274</v>
      </c>
      <c r="N8" s="187">
        <v>-13199</v>
      </c>
      <c r="O8" s="188">
        <f>SUM(M8:N8)</f>
        <v>3839075</v>
      </c>
      <c r="P8" s="191">
        <f>VLOOKUP($A8,'4_Level 4'!$A$78:$R$140,5,FALSE)</f>
        <v>0</v>
      </c>
      <c r="Q8" s="191">
        <f>VLOOKUP($A8,'4_Level 4'!$A$78:$R$140,17,FALSE)</f>
        <v>18113</v>
      </c>
      <c r="R8" s="188">
        <f>ROUND(SUM(O8:Q8),0)</f>
        <v>3857188</v>
      </c>
      <c r="S8" s="189">
        <v>2284602</v>
      </c>
      <c r="T8" s="189">
        <f>R8-S8</f>
        <v>1572586</v>
      </c>
      <c r="U8" s="188">
        <f>ROUND(T8/$U$11,0)</f>
        <v>393147</v>
      </c>
      <c r="V8" s="187">
        <f>VLOOKUP($A8,'4_Level 4'!$A$78:$R$140,10,FALSE)</f>
        <v>0</v>
      </c>
      <c r="W8" s="187">
        <f>VLOOKUP($A8,'4_Level 4'!$A$78:$R$140,12,FALSE)</f>
        <v>10000</v>
      </c>
      <c r="X8" s="187">
        <f>VLOOKUP($A8,'4_Level 4'!$A$78:$R$140,13,FALSE)</f>
        <v>0</v>
      </c>
      <c r="Y8" s="188">
        <f>R8+V8+W8+X8</f>
        <v>3867188</v>
      </c>
    </row>
    <row r="9" spans="1:25" s="38" customFormat="1" ht="31.5" customHeight="1" thickBot="1" x14ac:dyDescent="0.25">
      <c r="A9" s="194"/>
      <c r="B9" s="194" t="s">
        <v>70</v>
      </c>
      <c r="C9" s="195">
        <f>SUM(C7:C8)</f>
        <v>1933</v>
      </c>
      <c r="D9" s="39"/>
      <c r="E9" s="40">
        <f>SUM(E7:E8)</f>
        <v>9070731.6492843609</v>
      </c>
      <c r="F9" s="40"/>
      <c r="G9" s="40">
        <f t="shared" ref="G9:Y9" si="2">SUM(G7:G8)</f>
        <v>1219526.1000000001</v>
      </c>
      <c r="H9" s="40">
        <f t="shared" si="2"/>
        <v>176804</v>
      </c>
      <c r="I9" s="41">
        <f t="shared" si="2"/>
        <v>10467061</v>
      </c>
      <c r="J9" s="42">
        <f t="shared" si="2"/>
        <v>1287860</v>
      </c>
      <c r="K9" s="42">
        <f t="shared" si="2"/>
        <v>-194035</v>
      </c>
      <c r="L9" s="43">
        <f t="shared" si="2"/>
        <v>1093825</v>
      </c>
      <c r="M9" s="41">
        <f t="shared" si="2"/>
        <v>11560886</v>
      </c>
      <c r="N9" s="40">
        <f>SUM(N7:N8)</f>
        <v>-13199</v>
      </c>
      <c r="O9" s="41">
        <f t="shared" si="2"/>
        <v>11547687</v>
      </c>
      <c r="P9" s="196">
        <f t="shared" si="2"/>
        <v>0</v>
      </c>
      <c r="Q9" s="196">
        <f t="shared" si="2"/>
        <v>58115</v>
      </c>
      <c r="R9" s="41">
        <f t="shared" si="2"/>
        <v>11605802</v>
      </c>
      <c r="S9" s="42">
        <f t="shared" si="2"/>
        <v>7438632</v>
      </c>
      <c r="T9" s="42">
        <f t="shared" si="2"/>
        <v>4167170</v>
      </c>
      <c r="U9" s="41">
        <f t="shared" si="2"/>
        <v>1041793</v>
      </c>
      <c r="V9" s="40">
        <f t="shared" si="2"/>
        <v>0</v>
      </c>
      <c r="W9" s="40">
        <f>SUM(W7:W8)</f>
        <v>22291</v>
      </c>
      <c r="X9" s="40">
        <f t="shared" si="2"/>
        <v>0</v>
      </c>
      <c r="Y9" s="41">
        <f t="shared" si="2"/>
        <v>11628093</v>
      </c>
    </row>
    <row r="10" spans="1:25" s="38" customFormat="1" ht="13.5" thickTop="1" x14ac:dyDescent="0.2">
      <c r="B10" s="197"/>
      <c r="C10" s="198"/>
      <c r="D10" s="199"/>
      <c r="E10" s="200"/>
    </row>
    <row r="11" spans="1:25" x14ac:dyDescent="0.2">
      <c r="D11"/>
      <c r="M11" s="82"/>
      <c r="N11" s="1144"/>
      <c r="O11" s="82"/>
      <c r="U11" s="8">
        <v>4</v>
      </c>
    </row>
  </sheetData>
  <sheetProtection password="D893" sheet="1" objects="1" scenarios="1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&amp;L&amp;"Arial,Bold"&amp;20&amp;K000000FY2020-21 Budget Letter
March 2021&amp;R
</oddHeader>
    <oddFooter>&amp;R&amp;P</oddFooter>
  </headerFooter>
  <colBreaks count="1" manualBreakCount="1">
    <brk id="15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125</vt:i4>
      </vt:variant>
    </vt:vector>
  </HeadingPairs>
  <TitlesOfParts>
    <vt:vector size="189" baseType="lpstr"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8_2.1.20 SIS</vt:lpstr>
      <vt:lpstr>8A_2.1.20 RSD Op &amp; 5s</vt:lpstr>
      <vt:lpstr>9_Per Pupil Summary</vt:lpstr>
      <vt:lpstr>LEA Pay Raise</vt:lpstr>
      <vt:lpstr>Per Pupil_Weighted Funding</vt:lpstr>
      <vt:lpstr>Pay Raise By Residency</vt:lpstr>
      <vt:lpstr>Placeholder_Greater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'8_2.1.20 SIS'!Print_Area</vt:lpstr>
      <vt:lpstr>'8A_2.1.20 RSD Op &amp; 5s'!Print_Area</vt:lpstr>
      <vt:lpstr>'9_Per Pupil Summary'!Print_Area</vt:lpstr>
      <vt:lpstr>'LEA Pay Raise'!Print_Area</vt:lpstr>
      <vt:lpstr>'Pay Raise By Residency'!Print_Area</vt:lpstr>
      <vt:lpstr>'Per Pupil_Weighted Funding'!Print_Area</vt:lpstr>
      <vt:lpstr>Placeholder_Greater!Print_Area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'8_2.1.20 SIS'!Print_Titles</vt:lpstr>
      <vt:lpstr>'9_Per Pupil Summary'!Print_Titles</vt:lpstr>
      <vt:lpstr>'LEA Pay Raise'!Print_Titles</vt:lpstr>
      <vt:lpstr>'Pay Raise By Residency'!Print_Titles</vt:lpstr>
      <vt:lpstr>'Per Pupil_Weighted Funding'!Print_Titles</vt:lpstr>
      <vt:lpstr>Placeholder_Greater!Print_Titles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2021-03-22T19:26:31Z</cp:lastPrinted>
  <dcterms:created xsi:type="dcterms:W3CDTF">1999-11-15T20:37:39Z</dcterms:created>
  <dcterms:modified xsi:type="dcterms:W3CDTF">2021-03-22T20:19:43Z</dcterms:modified>
</cp:coreProperties>
</file>