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duque\Downloads\"/>
    </mc:Choice>
  </mc:AlternateContent>
  <bookViews>
    <workbookView xWindow="0" yWindow="0" windowWidth="28800" windowHeight="12300"/>
  </bookViews>
  <sheets>
    <sheet name="3. Allocation Summary" sheetId="4" r:id="rId1"/>
    <sheet name="Allocation Summary" sheetId="5" state="hidden" r:id="rId2"/>
    <sheet name="Allocation Schedule" sheetId="6" state="hidden" r:id="rId3"/>
    <sheet name="6. Initial Allocation Multiple " sheetId="9" r:id="rId4"/>
  </sheets>
  <definedNames>
    <definedName name="Z_23C4955F_A9D8_47F1_8E59_B4C2FC5014E6_.wvu.FilterData" localSheetId="3" hidden="1">'6. Initial Allocation Multiple '!$B$3:$W$118</definedName>
  </definedNames>
  <calcPr calcId="162913"/>
  <customWorkbookViews>
    <customWorkbookView name="Filter 1" guid="{23C4955F-A9D8-47F1-8E59-B4C2FC5014E6}" maximized="1" windowWidth="0" windowHeight="0" activeSheetId="0"/>
  </customWorkbookViews>
</workbook>
</file>

<file path=xl/calcChain.xml><?xml version="1.0" encoding="utf-8"?>
<calcChain xmlns="http://schemas.openxmlformats.org/spreadsheetml/2006/main">
  <c r="C119" i="9" l="1"/>
  <c r="A2" i="9"/>
  <c r="A2" i="6"/>
  <c r="A1" i="6"/>
  <c r="B28" i="5"/>
  <c r="J116" i="9"/>
  <c r="S115" i="9"/>
  <c r="G115" i="9"/>
  <c r="P114" i="9"/>
  <c r="D114" i="9"/>
  <c r="M113" i="9"/>
  <c r="J112" i="9"/>
  <c r="S111" i="9"/>
  <c r="G111" i="9"/>
  <c r="P110" i="9"/>
  <c r="D110" i="9"/>
  <c r="M109" i="9"/>
  <c r="J108" i="9"/>
  <c r="S107" i="9"/>
  <c r="G107" i="9"/>
  <c r="P106" i="9"/>
  <c r="D106" i="9"/>
  <c r="M105" i="9"/>
  <c r="J104" i="9"/>
  <c r="S103" i="9"/>
  <c r="G103" i="9"/>
  <c r="P102" i="9"/>
  <c r="D102" i="9"/>
  <c r="M101" i="9"/>
  <c r="J100" i="9"/>
  <c r="S99" i="9"/>
  <c r="G99" i="9"/>
  <c r="P98" i="9"/>
  <c r="D98" i="9"/>
  <c r="M97" i="9"/>
  <c r="J96" i="9"/>
  <c r="S95" i="9"/>
  <c r="G95" i="9"/>
  <c r="P94" i="9"/>
  <c r="D94" i="9"/>
  <c r="M93" i="9"/>
  <c r="J92" i="9"/>
  <c r="S91" i="9"/>
  <c r="G91" i="9"/>
  <c r="P90" i="9"/>
  <c r="D90" i="9"/>
  <c r="M89" i="9"/>
  <c r="J88" i="9"/>
  <c r="S87" i="9"/>
  <c r="G87" i="9"/>
  <c r="P86" i="9"/>
  <c r="D86" i="9"/>
  <c r="M85" i="9"/>
  <c r="J84" i="9"/>
  <c r="S83" i="9"/>
  <c r="G83" i="9"/>
  <c r="P82" i="9"/>
  <c r="D82" i="9"/>
  <c r="M81" i="9"/>
  <c r="J80" i="9"/>
  <c r="T79" i="9"/>
  <c r="H79" i="9"/>
  <c r="Q78" i="9"/>
  <c r="E78" i="9"/>
  <c r="N77" i="9"/>
  <c r="K76" i="9"/>
  <c r="T75" i="9"/>
  <c r="H75" i="9"/>
  <c r="R74" i="9"/>
  <c r="O73" i="9"/>
  <c r="C73" i="9"/>
  <c r="L72" i="9"/>
  <c r="U71" i="9"/>
  <c r="I71" i="9"/>
  <c r="R70" i="9"/>
  <c r="O69" i="9"/>
  <c r="C69" i="9"/>
  <c r="L68" i="9"/>
  <c r="U67" i="9"/>
  <c r="I67" i="9"/>
  <c r="R66" i="9"/>
  <c r="O65" i="9"/>
  <c r="C65" i="9"/>
  <c r="L64" i="9"/>
  <c r="U63" i="9"/>
  <c r="I63" i="9"/>
  <c r="R62" i="9"/>
  <c r="O61" i="9"/>
  <c r="C61" i="9"/>
  <c r="L60" i="9"/>
  <c r="U59" i="9"/>
  <c r="I59" i="9"/>
  <c r="R58" i="9"/>
  <c r="O57" i="9"/>
  <c r="C57" i="9"/>
  <c r="L56" i="9"/>
  <c r="U55" i="9"/>
  <c r="I55" i="9"/>
  <c r="R54" i="9"/>
  <c r="O53" i="9"/>
  <c r="C53" i="9"/>
  <c r="L52" i="9"/>
  <c r="U116" i="9"/>
  <c r="I116" i="9"/>
  <c r="R115" i="9"/>
  <c r="O114" i="9"/>
  <c r="C114" i="9"/>
  <c r="L113" i="9"/>
  <c r="U112" i="9"/>
  <c r="I112" i="9"/>
  <c r="R111" i="9"/>
  <c r="O110" i="9"/>
  <c r="C110" i="9"/>
  <c r="L109" i="9"/>
  <c r="U108" i="9"/>
  <c r="I108" i="9"/>
  <c r="R107" i="9"/>
  <c r="O106" i="9"/>
  <c r="C106" i="9"/>
  <c r="L105" i="9"/>
  <c r="U104" i="9"/>
  <c r="I104" i="9"/>
  <c r="R103" i="9"/>
  <c r="O102" i="9"/>
  <c r="C102" i="9"/>
  <c r="L101" i="9"/>
  <c r="U100" i="9"/>
  <c r="I100" i="9"/>
  <c r="R99" i="9"/>
  <c r="O98" i="9"/>
  <c r="C98" i="9"/>
  <c r="L97" i="9"/>
  <c r="U96" i="9"/>
  <c r="I96" i="9"/>
  <c r="R95" i="9"/>
  <c r="O94" i="9"/>
  <c r="C94" i="9"/>
  <c r="L93" i="9"/>
  <c r="U92" i="9"/>
  <c r="I92" i="9"/>
  <c r="R91" i="9"/>
  <c r="O90" i="9"/>
  <c r="C90" i="9"/>
  <c r="L89" i="9"/>
  <c r="U88" i="9"/>
  <c r="I88" i="9"/>
  <c r="R87" i="9"/>
  <c r="O86" i="9"/>
  <c r="C86" i="9"/>
  <c r="L85" i="9"/>
  <c r="U84" i="9"/>
  <c r="I84" i="9"/>
  <c r="R83" i="9"/>
  <c r="O82" i="9"/>
  <c r="C82" i="9"/>
  <c r="L81" i="9"/>
  <c r="U80" i="9"/>
  <c r="I80" i="9"/>
  <c r="S79" i="9"/>
  <c r="G79" i="9"/>
  <c r="P78" i="9"/>
  <c r="D78" i="9"/>
  <c r="M77" i="9"/>
  <c r="J76" i="9"/>
  <c r="S75" i="9"/>
  <c r="G75" i="9"/>
  <c r="Q74" i="9"/>
  <c r="E74" i="9"/>
  <c r="N73" i="9"/>
  <c r="K72" i="9"/>
  <c r="T71" i="9"/>
  <c r="H71" i="9"/>
  <c r="Q70" i="9"/>
  <c r="E70" i="9"/>
  <c r="N69" i="9"/>
  <c r="K68" i="9"/>
  <c r="T67" i="9"/>
  <c r="H67" i="9"/>
  <c r="Q66" i="9"/>
  <c r="E66" i="9"/>
  <c r="N65" i="9"/>
  <c r="K64" i="9"/>
  <c r="T63" i="9"/>
  <c r="H63" i="9"/>
  <c r="Q62" i="9"/>
  <c r="E62" i="9"/>
  <c r="N61" i="9"/>
  <c r="K60" i="9"/>
  <c r="T59" i="9"/>
  <c r="H59" i="9"/>
  <c r="Q58" i="9"/>
  <c r="E58" i="9"/>
  <c r="N57" i="9"/>
  <c r="K56" i="9"/>
  <c r="T55" i="9"/>
  <c r="H55" i="9"/>
  <c r="Q54" i="9"/>
  <c r="E54" i="9"/>
  <c r="T116" i="9"/>
  <c r="H116" i="9"/>
  <c r="Q115" i="9"/>
  <c r="E115" i="9"/>
  <c r="N114" i="9"/>
  <c r="K113" i="9"/>
  <c r="T112" i="9"/>
  <c r="H112" i="9"/>
  <c r="Q111" i="9"/>
  <c r="E111" i="9"/>
  <c r="N110" i="9"/>
  <c r="K109" i="9"/>
  <c r="T108" i="9"/>
  <c r="H108" i="9"/>
  <c r="Q107" i="9"/>
  <c r="E107" i="9"/>
  <c r="N106" i="9"/>
  <c r="K105" i="9"/>
  <c r="T104" i="9"/>
  <c r="H104" i="9"/>
  <c r="Q103" i="9"/>
  <c r="E103" i="9"/>
  <c r="N102" i="9"/>
  <c r="K101" i="9"/>
  <c r="T100" i="9"/>
  <c r="H100" i="9"/>
  <c r="Q99" i="9"/>
  <c r="E99" i="9"/>
  <c r="N98" i="9"/>
  <c r="K97" i="9"/>
  <c r="T96" i="9"/>
  <c r="H96" i="9"/>
  <c r="Q95" i="9"/>
  <c r="E95" i="9"/>
  <c r="N94" i="9"/>
  <c r="K93" i="9"/>
  <c r="T92" i="9"/>
  <c r="H92" i="9"/>
  <c r="Q91" i="9"/>
  <c r="E91" i="9"/>
  <c r="N90" i="9"/>
  <c r="K89" i="9"/>
  <c r="T88" i="9"/>
  <c r="H88" i="9"/>
  <c r="Q87" i="9"/>
  <c r="E87" i="9"/>
  <c r="N86" i="9"/>
  <c r="K85" i="9"/>
  <c r="T84" i="9"/>
  <c r="H84" i="9"/>
  <c r="Q83" i="9"/>
  <c r="E83" i="9"/>
  <c r="N82" i="9"/>
  <c r="K81" i="9"/>
  <c r="T80" i="9"/>
  <c r="H80" i="9"/>
  <c r="R79" i="9"/>
  <c r="O78" i="9"/>
  <c r="C78" i="9"/>
  <c r="L77" i="9"/>
  <c r="U76" i="9"/>
  <c r="I76" i="9"/>
  <c r="R75" i="9"/>
  <c r="P74" i="9"/>
  <c r="D74" i="9"/>
  <c r="M73" i="9"/>
  <c r="J72" i="9"/>
  <c r="S71" i="9"/>
  <c r="G71" i="9"/>
  <c r="P70" i="9"/>
  <c r="D70" i="9"/>
  <c r="M69" i="9"/>
  <c r="J68" i="9"/>
  <c r="S67" i="9"/>
  <c r="G67" i="9"/>
  <c r="P66" i="9"/>
  <c r="D66" i="9"/>
  <c r="M65" i="9"/>
  <c r="J64" i="9"/>
  <c r="S63" i="9"/>
  <c r="G63" i="9"/>
  <c r="P62" i="9"/>
  <c r="D62" i="9"/>
  <c r="M61" i="9"/>
  <c r="J60" i="9"/>
  <c r="S59" i="9"/>
  <c r="G59" i="9"/>
  <c r="P58" i="9"/>
  <c r="D58" i="9"/>
  <c r="M57" i="9"/>
  <c r="J56" i="9"/>
  <c r="S116" i="9"/>
  <c r="G116" i="9"/>
  <c r="P115" i="9"/>
  <c r="D115" i="9"/>
  <c r="M114" i="9"/>
  <c r="J113" i="9"/>
  <c r="S112" i="9"/>
  <c r="G112" i="9"/>
  <c r="P111" i="9"/>
  <c r="D111" i="9"/>
  <c r="M110" i="9"/>
  <c r="J109" i="9"/>
  <c r="S108" i="9"/>
  <c r="G108" i="9"/>
  <c r="P107" i="9"/>
  <c r="D107" i="9"/>
  <c r="M106" i="9"/>
  <c r="J105" i="9"/>
  <c r="S104" i="9"/>
  <c r="G104" i="9"/>
  <c r="P103" i="9"/>
  <c r="D103" i="9"/>
  <c r="M102" i="9"/>
  <c r="J101" i="9"/>
  <c r="S100" i="9"/>
  <c r="G100" i="9"/>
  <c r="P99" i="9"/>
  <c r="D99" i="9"/>
  <c r="M98" i="9"/>
  <c r="J97" i="9"/>
  <c r="S96" i="9"/>
  <c r="G96" i="9"/>
  <c r="P95" i="9"/>
  <c r="D95" i="9"/>
  <c r="M94" i="9"/>
  <c r="J93" i="9"/>
  <c r="S92" i="9"/>
  <c r="G92" i="9"/>
  <c r="P91" i="9"/>
  <c r="D91" i="9"/>
  <c r="M90" i="9"/>
  <c r="J89" i="9"/>
  <c r="S88" i="9"/>
  <c r="G88" i="9"/>
  <c r="P87" i="9"/>
  <c r="D87" i="9"/>
  <c r="M86" i="9"/>
  <c r="J85" i="9"/>
  <c r="S84" i="9"/>
  <c r="G84" i="9"/>
  <c r="P83" i="9"/>
  <c r="D83" i="9"/>
  <c r="M82" i="9"/>
  <c r="J81" i="9"/>
  <c r="S80" i="9"/>
  <c r="G80" i="9"/>
  <c r="Q79" i="9"/>
  <c r="E79" i="9"/>
  <c r="N78" i="9"/>
  <c r="K77" i="9"/>
  <c r="T76" i="9"/>
  <c r="H76" i="9"/>
  <c r="Q75" i="9"/>
  <c r="E75" i="9"/>
  <c r="O74" i="9"/>
  <c r="C74" i="9"/>
  <c r="L73" i="9"/>
  <c r="U72" i="9"/>
  <c r="I72" i="9"/>
  <c r="R71" i="9"/>
  <c r="O70" i="9"/>
  <c r="C70" i="9"/>
  <c r="L69" i="9"/>
  <c r="U68" i="9"/>
  <c r="I68" i="9"/>
  <c r="R67" i="9"/>
  <c r="O66" i="9"/>
  <c r="C66" i="9"/>
  <c r="L65" i="9"/>
  <c r="U64" i="9"/>
  <c r="I64" i="9"/>
  <c r="R63" i="9"/>
  <c r="O62" i="9"/>
  <c r="C62" i="9"/>
  <c r="L61" i="9"/>
  <c r="U60" i="9"/>
  <c r="I60" i="9"/>
  <c r="R59" i="9"/>
  <c r="O58" i="9"/>
  <c r="C58" i="9"/>
  <c r="L57" i="9"/>
  <c r="U56" i="9"/>
  <c r="I56" i="9"/>
  <c r="R55" i="9"/>
  <c r="O54" i="9"/>
  <c r="R116" i="9"/>
  <c r="O115" i="9"/>
  <c r="C115" i="9"/>
  <c r="L114" i="9"/>
  <c r="U113" i="9"/>
  <c r="I113" i="9"/>
  <c r="R112" i="9"/>
  <c r="O111" i="9"/>
  <c r="C111" i="9"/>
  <c r="L110" i="9"/>
  <c r="U109" i="9"/>
  <c r="I109" i="9"/>
  <c r="R108" i="9"/>
  <c r="O107" i="9"/>
  <c r="C107" i="9"/>
  <c r="L106" i="9"/>
  <c r="U105" i="9"/>
  <c r="I105" i="9"/>
  <c r="R104" i="9"/>
  <c r="O103" i="9"/>
  <c r="C103" i="9"/>
  <c r="L102" i="9"/>
  <c r="U101" i="9"/>
  <c r="I101" i="9"/>
  <c r="R100" i="9"/>
  <c r="O99" i="9"/>
  <c r="C99" i="9"/>
  <c r="L98" i="9"/>
  <c r="U97" i="9"/>
  <c r="I97" i="9"/>
  <c r="R96" i="9"/>
  <c r="O95" i="9"/>
  <c r="C95" i="9"/>
  <c r="L94" i="9"/>
  <c r="U93" i="9"/>
  <c r="I93" i="9"/>
  <c r="R92" i="9"/>
  <c r="O91" i="9"/>
  <c r="C91" i="9"/>
  <c r="L90" i="9"/>
  <c r="U89" i="9"/>
  <c r="I89" i="9"/>
  <c r="R88" i="9"/>
  <c r="O87" i="9"/>
  <c r="C87" i="9"/>
  <c r="L86" i="9"/>
  <c r="U85" i="9"/>
  <c r="I85" i="9"/>
  <c r="R84" i="9"/>
  <c r="O83" i="9"/>
  <c r="C83" i="9"/>
  <c r="L82" i="9"/>
  <c r="U81" i="9"/>
  <c r="I81" i="9"/>
  <c r="R80" i="9"/>
  <c r="P79" i="9"/>
  <c r="D79" i="9"/>
  <c r="M78" i="9"/>
  <c r="J77" i="9"/>
  <c r="S76" i="9"/>
  <c r="G76" i="9"/>
  <c r="P75" i="9"/>
  <c r="D75" i="9"/>
  <c r="N74" i="9"/>
  <c r="K73" i="9"/>
  <c r="T72" i="9"/>
  <c r="H72" i="9"/>
  <c r="Q71" i="9"/>
  <c r="E71" i="9"/>
  <c r="N70" i="9"/>
  <c r="K69" i="9"/>
  <c r="T68" i="9"/>
  <c r="H68" i="9"/>
  <c r="Q67" i="9"/>
  <c r="E67" i="9"/>
  <c r="N66" i="9"/>
  <c r="K65" i="9"/>
  <c r="T64" i="9"/>
  <c r="H64" i="9"/>
  <c r="Q63" i="9"/>
  <c r="E63" i="9"/>
  <c r="N62" i="9"/>
  <c r="K61" i="9"/>
  <c r="T60" i="9"/>
  <c r="H60" i="9"/>
  <c r="Q59" i="9"/>
  <c r="E59" i="9"/>
  <c r="N58" i="9"/>
  <c r="K57" i="9"/>
  <c r="T56" i="9"/>
  <c r="Q116" i="9"/>
  <c r="E116" i="9"/>
  <c r="N115" i="9"/>
  <c r="K114" i="9"/>
  <c r="T113" i="9"/>
  <c r="H113" i="9"/>
  <c r="Q112" i="9"/>
  <c r="E112" i="9"/>
  <c r="N111" i="9"/>
  <c r="K110" i="9"/>
  <c r="T109" i="9"/>
  <c r="H109" i="9"/>
  <c r="Q108" i="9"/>
  <c r="E108" i="9"/>
  <c r="N107" i="9"/>
  <c r="K106" i="9"/>
  <c r="T105" i="9"/>
  <c r="H105" i="9"/>
  <c r="Q104" i="9"/>
  <c r="E104" i="9"/>
  <c r="N103" i="9"/>
  <c r="K102" i="9"/>
  <c r="T101" i="9"/>
  <c r="H101" i="9"/>
  <c r="Q100" i="9"/>
  <c r="E100" i="9"/>
  <c r="N99" i="9"/>
  <c r="K98" i="9"/>
  <c r="T97" i="9"/>
  <c r="H97" i="9"/>
  <c r="Q96" i="9"/>
  <c r="E96" i="9"/>
  <c r="N95" i="9"/>
  <c r="K94" i="9"/>
  <c r="T93" i="9"/>
  <c r="H93" i="9"/>
  <c r="Q92" i="9"/>
  <c r="E92" i="9"/>
  <c r="N91" i="9"/>
  <c r="K90" i="9"/>
  <c r="T89" i="9"/>
  <c r="H89" i="9"/>
  <c r="Q88" i="9"/>
  <c r="E88" i="9"/>
  <c r="N87" i="9"/>
  <c r="K86" i="9"/>
  <c r="T85" i="9"/>
  <c r="H85" i="9"/>
  <c r="Q84" i="9"/>
  <c r="E84" i="9"/>
  <c r="N83" i="9"/>
  <c r="K82" i="9"/>
  <c r="T81" i="9"/>
  <c r="H81" i="9"/>
  <c r="Q80" i="9"/>
  <c r="E80" i="9"/>
  <c r="O79" i="9"/>
  <c r="C79" i="9"/>
  <c r="L78" i="9"/>
  <c r="U77" i="9"/>
  <c r="I77" i="9"/>
  <c r="R76" i="9"/>
  <c r="O75" i="9"/>
  <c r="C75" i="9"/>
  <c r="M74" i="9"/>
  <c r="J73" i="9"/>
  <c r="S72" i="9"/>
  <c r="G72" i="9"/>
  <c r="P71" i="9"/>
  <c r="D71" i="9"/>
  <c r="M70" i="9"/>
  <c r="J69" i="9"/>
  <c r="S68" i="9"/>
  <c r="G68" i="9"/>
  <c r="P67" i="9"/>
  <c r="D67" i="9"/>
  <c r="M66" i="9"/>
  <c r="J65" i="9"/>
  <c r="S64" i="9"/>
  <c r="G64" i="9"/>
  <c r="P63" i="9"/>
  <c r="D63" i="9"/>
  <c r="M62" i="9"/>
  <c r="J61" i="9"/>
  <c r="S60" i="9"/>
  <c r="G60" i="9"/>
  <c r="P59" i="9"/>
  <c r="D59" i="9"/>
  <c r="M58" i="9"/>
  <c r="J57" i="9"/>
  <c r="S56" i="9"/>
  <c r="G56" i="9"/>
  <c r="P116" i="9"/>
  <c r="D116" i="9"/>
  <c r="M115" i="9"/>
  <c r="J114" i="9"/>
  <c r="S113" i="9"/>
  <c r="G113" i="9"/>
  <c r="P112" i="9"/>
  <c r="D112" i="9"/>
  <c r="M111" i="9"/>
  <c r="J110" i="9"/>
  <c r="S109" i="9"/>
  <c r="G109" i="9"/>
  <c r="P108" i="9"/>
  <c r="D108" i="9"/>
  <c r="M107" i="9"/>
  <c r="J106" i="9"/>
  <c r="S105" i="9"/>
  <c r="G105" i="9"/>
  <c r="P104" i="9"/>
  <c r="D104" i="9"/>
  <c r="M103" i="9"/>
  <c r="J102" i="9"/>
  <c r="S101" i="9"/>
  <c r="G101" i="9"/>
  <c r="P100" i="9"/>
  <c r="D100" i="9"/>
  <c r="M99" i="9"/>
  <c r="J98" i="9"/>
  <c r="S97" i="9"/>
  <c r="G97" i="9"/>
  <c r="P96" i="9"/>
  <c r="D96" i="9"/>
  <c r="M95" i="9"/>
  <c r="J94" i="9"/>
  <c r="S93" i="9"/>
  <c r="G93" i="9"/>
  <c r="P92" i="9"/>
  <c r="D92" i="9"/>
  <c r="M91" i="9"/>
  <c r="J90" i="9"/>
  <c r="S89" i="9"/>
  <c r="G89" i="9"/>
  <c r="P88" i="9"/>
  <c r="D88" i="9"/>
  <c r="M87" i="9"/>
  <c r="J86" i="9"/>
  <c r="S85" i="9"/>
  <c r="G85" i="9"/>
  <c r="P84" i="9"/>
  <c r="D84" i="9"/>
  <c r="M83" i="9"/>
  <c r="J82" i="9"/>
  <c r="S81" i="9"/>
  <c r="G81" i="9"/>
  <c r="P80" i="9"/>
  <c r="D80" i="9"/>
  <c r="N79" i="9"/>
  <c r="K78" i="9"/>
  <c r="T77" i="9"/>
  <c r="H77" i="9"/>
  <c r="Q76" i="9"/>
  <c r="E76" i="9"/>
  <c r="N75" i="9"/>
  <c r="L74" i="9"/>
  <c r="U73" i="9"/>
  <c r="I73" i="9"/>
  <c r="R72" i="9"/>
  <c r="O71" i="9"/>
  <c r="C71" i="9"/>
  <c r="L70" i="9"/>
  <c r="U69" i="9"/>
  <c r="I69" i="9"/>
  <c r="R68" i="9"/>
  <c r="O67" i="9"/>
  <c r="C67" i="9"/>
  <c r="L66" i="9"/>
  <c r="U65" i="9"/>
  <c r="I65" i="9"/>
  <c r="R64" i="9"/>
  <c r="O63" i="9"/>
  <c r="C63" i="9"/>
  <c r="L62" i="9"/>
  <c r="U61" i="9"/>
  <c r="I61" i="9"/>
  <c r="R60" i="9"/>
  <c r="O59" i="9"/>
  <c r="C59" i="9"/>
  <c r="L58" i="9"/>
  <c r="U57" i="9"/>
  <c r="I57" i="9"/>
  <c r="R56" i="9"/>
  <c r="O55" i="9"/>
  <c r="O116" i="9"/>
  <c r="C116" i="9"/>
  <c r="L115" i="9"/>
  <c r="U114" i="9"/>
  <c r="I114" i="9"/>
  <c r="R113" i="9"/>
  <c r="O112" i="9"/>
  <c r="C112" i="9"/>
  <c r="L111" i="9"/>
  <c r="U110" i="9"/>
  <c r="I110" i="9"/>
  <c r="R109" i="9"/>
  <c r="O108" i="9"/>
  <c r="C108" i="9"/>
  <c r="L107" i="9"/>
  <c r="U106" i="9"/>
  <c r="I106" i="9"/>
  <c r="R105" i="9"/>
  <c r="O104" i="9"/>
  <c r="C104" i="9"/>
  <c r="L103" i="9"/>
  <c r="U102" i="9"/>
  <c r="I102" i="9"/>
  <c r="R101" i="9"/>
  <c r="O100" i="9"/>
  <c r="C100" i="9"/>
  <c r="L99" i="9"/>
  <c r="U98" i="9"/>
  <c r="I98" i="9"/>
  <c r="R97" i="9"/>
  <c r="O96" i="9"/>
  <c r="C96" i="9"/>
  <c r="L95" i="9"/>
  <c r="U94" i="9"/>
  <c r="I94" i="9"/>
  <c r="R93" i="9"/>
  <c r="O92" i="9"/>
  <c r="C92" i="9"/>
  <c r="L91" i="9"/>
  <c r="U90" i="9"/>
  <c r="I90" i="9"/>
  <c r="R89" i="9"/>
  <c r="O88" i="9"/>
  <c r="C88" i="9"/>
  <c r="L87" i="9"/>
  <c r="U86" i="9"/>
  <c r="I86" i="9"/>
  <c r="R85" i="9"/>
  <c r="O84" i="9"/>
  <c r="C84" i="9"/>
  <c r="L83" i="9"/>
  <c r="U82" i="9"/>
  <c r="I82" i="9"/>
  <c r="R81" i="9"/>
  <c r="O80" i="9"/>
  <c r="C80" i="9"/>
  <c r="M79" i="9"/>
  <c r="J78" i="9"/>
  <c r="S77" i="9"/>
  <c r="G77" i="9"/>
  <c r="P76" i="9"/>
  <c r="D76" i="9"/>
  <c r="M75" i="9"/>
  <c r="K74" i="9"/>
  <c r="T73" i="9"/>
  <c r="H73" i="9"/>
  <c r="Q72" i="9"/>
  <c r="E72" i="9"/>
  <c r="N71" i="9"/>
  <c r="K70" i="9"/>
  <c r="T69" i="9"/>
  <c r="H69" i="9"/>
  <c r="Q68" i="9"/>
  <c r="E68" i="9"/>
  <c r="N67" i="9"/>
  <c r="K66" i="9"/>
  <c r="T65" i="9"/>
  <c r="H65" i="9"/>
  <c r="Q64" i="9"/>
  <c r="E64" i="9"/>
  <c r="N63" i="9"/>
  <c r="K62" i="9"/>
  <c r="T61" i="9"/>
  <c r="H61" i="9"/>
  <c r="Q60" i="9"/>
  <c r="E60" i="9"/>
  <c r="N59" i="9"/>
  <c r="K58" i="9"/>
  <c r="T57" i="9"/>
  <c r="H57" i="9"/>
  <c r="Q56" i="9"/>
  <c r="E56" i="9"/>
  <c r="N55" i="9"/>
  <c r="K54" i="9"/>
  <c r="N116" i="9"/>
  <c r="K115" i="9"/>
  <c r="T114" i="9"/>
  <c r="H114" i="9"/>
  <c r="Q113" i="9"/>
  <c r="E113" i="9"/>
  <c r="N112" i="9"/>
  <c r="K111" i="9"/>
  <c r="T110" i="9"/>
  <c r="H110" i="9"/>
  <c r="Q109" i="9"/>
  <c r="E109" i="9"/>
  <c r="N108" i="9"/>
  <c r="K107" i="9"/>
  <c r="T106" i="9"/>
  <c r="H106" i="9"/>
  <c r="Q105" i="9"/>
  <c r="E105" i="9"/>
  <c r="N104" i="9"/>
  <c r="K103" i="9"/>
  <c r="T102" i="9"/>
  <c r="H102" i="9"/>
  <c r="Q101" i="9"/>
  <c r="E101" i="9"/>
  <c r="N100" i="9"/>
  <c r="K99" i="9"/>
  <c r="T98" i="9"/>
  <c r="H98" i="9"/>
  <c r="Q97" i="9"/>
  <c r="E97" i="9"/>
  <c r="N96" i="9"/>
  <c r="K95" i="9"/>
  <c r="T94" i="9"/>
  <c r="H94" i="9"/>
  <c r="Q93" i="9"/>
  <c r="E93" i="9"/>
  <c r="N92" i="9"/>
  <c r="K91" i="9"/>
  <c r="T90" i="9"/>
  <c r="H90" i="9"/>
  <c r="Q89" i="9"/>
  <c r="E89" i="9"/>
  <c r="N88" i="9"/>
  <c r="K87" i="9"/>
  <c r="T86" i="9"/>
  <c r="H86" i="9"/>
  <c r="Q85" i="9"/>
  <c r="E85" i="9"/>
  <c r="N84" i="9"/>
  <c r="K83" i="9"/>
  <c r="T82" i="9"/>
  <c r="H82" i="9"/>
  <c r="Q81" i="9"/>
  <c r="E81" i="9"/>
  <c r="N80" i="9"/>
  <c r="L79" i="9"/>
  <c r="U78" i="9"/>
  <c r="I78" i="9"/>
  <c r="R77" i="9"/>
  <c r="O76" i="9"/>
  <c r="C76" i="9"/>
  <c r="L75" i="9"/>
  <c r="J74" i="9"/>
  <c r="S73" i="9"/>
  <c r="G73" i="9"/>
  <c r="P72" i="9"/>
  <c r="D72" i="9"/>
  <c r="M71" i="9"/>
  <c r="J70" i="9"/>
  <c r="S69" i="9"/>
  <c r="G69" i="9"/>
  <c r="P68" i="9"/>
  <c r="D68" i="9"/>
  <c r="M67" i="9"/>
  <c r="J66" i="9"/>
  <c r="S65" i="9"/>
  <c r="G65" i="9"/>
  <c r="P64" i="9"/>
  <c r="D64" i="9"/>
  <c r="M63" i="9"/>
  <c r="J62" i="9"/>
  <c r="S61" i="9"/>
  <c r="G61" i="9"/>
  <c r="P60" i="9"/>
  <c r="D60" i="9"/>
  <c r="M59" i="9"/>
  <c r="J58" i="9"/>
  <c r="S57" i="9"/>
  <c r="G57" i="9"/>
  <c r="P56" i="9"/>
  <c r="D56" i="9"/>
  <c r="M116" i="9"/>
  <c r="L116" i="9"/>
  <c r="U115" i="9"/>
  <c r="I115" i="9"/>
  <c r="R114" i="9"/>
  <c r="O113" i="9"/>
  <c r="C113" i="9"/>
  <c r="L112" i="9"/>
  <c r="U111" i="9"/>
  <c r="I111" i="9"/>
  <c r="R110" i="9"/>
  <c r="O109" i="9"/>
  <c r="C109" i="9"/>
  <c r="L108" i="9"/>
  <c r="U107" i="9"/>
  <c r="I107" i="9"/>
  <c r="R106" i="9"/>
  <c r="O105" i="9"/>
  <c r="C105" i="9"/>
  <c r="L104" i="9"/>
  <c r="U103" i="9"/>
  <c r="I103" i="9"/>
  <c r="R102" i="9"/>
  <c r="O101" i="9"/>
  <c r="C101" i="9"/>
  <c r="L100" i="9"/>
  <c r="U99" i="9"/>
  <c r="I99" i="9"/>
  <c r="R98" i="9"/>
  <c r="O97" i="9"/>
  <c r="C97" i="9"/>
  <c r="L96" i="9"/>
  <c r="U95" i="9"/>
  <c r="I95" i="9"/>
  <c r="R94" i="9"/>
  <c r="O93" i="9"/>
  <c r="C93" i="9"/>
  <c r="L92" i="9"/>
  <c r="U91" i="9"/>
  <c r="I91" i="9"/>
  <c r="R90" i="9"/>
  <c r="O89" i="9"/>
  <c r="C89" i="9"/>
  <c r="L88" i="9"/>
  <c r="U87" i="9"/>
  <c r="I87" i="9"/>
  <c r="R86" i="9"/>
  <c r="O85" i="9"/>
  <c r="C85" i="9"/>
  <c r="L84" i="9"/>
  <c r="U83" i="9"/>
  <c r="I83" i="9"/>
  <c r="R82" i="9"/>
  <c r="O81" i="9"/>
  <c r="C81" i="9"/>
  <c r="L80" i="9"/>
  <c r="J79" i="9"/>
  <c r="S78" i="9"/>
  <c r="G78" i="9"/>
  <c r="P77" i="9"/>
  <c r="D77" i="9"/>
  <c r="M76" i="9"/>
  <c r="J75" i="9"/>
  <c r="T74" i="9"/>
  <c r="H74" i="9"/>
  <c r="Q73" i="9"/>
  <c r="E73" i="9"/>
  <c r="N72" i="9"/>
  <c r="K71" i="9"/>
  <c r="T70" i="9"/>
  <c r="H70" i="9"/>
  <c r="Q69" i="9"/>
  <c r="E69" i="9"/>
  <c r="N68" i="9"/>
  <c r="K67" i="9"/>
  <c r="T66" i="9"/>
  <c r="H66" i="9"/>
  <c r="Q65" i="9"/>
  <c r="E65" i="9"/>
  <c r="N64" i="9"/>
  <c r="K63" i="9"/>
  <c r="T62" i="9"/>
  <c r="H62" i="9"/>
  <c r="Q61" i="9"/>
  <c r="E61" i="9"/>
  <c r="N60" i="9"/>
  <c r="K59" i="9"/>
  <c r="T58" i="9"/>
  <c r="H58" i="9"/>
  <c r="Q57" i="9"/>
  <c r="E57" i="9"/>
  <c r="N56" i="9"/>
  <c r="K116" i="9"/>
  <c r="E114" i="9"/>
  <c r="Q110" i="9"/>
  <c r="H107" i="9"/>
  <c r="T103" i="9"/>
  <c r="K100" i="9"/>
  <c r="N93" i="9"/>
  <c r="E90" i="9"/>
  <c r="Q86" i="9"/>
  <c r="H83" i="9"/>
  <c r="U79" i="9"/>
  <c r="L76" i="9"/>
  <c r="D73" i="9"/>
  <c r="P69" i="9"/>
  <c r="G66" i="9"/>
  <c r="S62" i="9"/>
  <c r="J59" i="9"/>
  <c r="C56" i="9"/>
  <c r="D55" i="9"/>
  <c r="H54" i="9"/>
  <c r="N53" i="9"/>
  <c r="I52" i="9"/>
  <c r="R51" i="9"/>
  <c r="O50" i="9"/>
  <c r="C50" i="9"/>
  <c r="L49" i="9"/>
  <c r="U48" i="9"/>
  <c r="I48" i="9"/>
  <c r="R47" i="9"/>
  <c r="O46" i="9"/>
  <c r="C46" i="9"/>
  <c r="L45" i="9"/>
  <c r="U44" i="9"/>
  <c r="I44" i="9"/>
  <c r="R43" i="9"/>
  <c r="O42" i="9"/>
  <c r="C42" i="9"/>
  <c r="L41" i="9"/>
  <c r="U40" i="9"/>
  <c r="I40" i="9"/>
  <c r="R39" i="9"/>
  <c r="O38" i="9"/>
  <c r="C38" i="9"/>
  <c r="L37" i="9"/>
  <c r="U36" i="9"/>
  <c r="I36" i="9"/>
  <c r="R35" i="9"/>
  <c r="O34" i="9"/>
  <c r="C34" i="9"/>
  <c r="L33" i="9"/>
  <c r="U32" i="9"/>
  <c r="I32" i="9"/>
  <c r="R31" i="9"/>
  <c r="O30" i="9"/>
  <c r="C30" i="9"/>
  <c r="L29" i="9"/>
  <c r="U28" i="9"/>
  <c r="I28" i="9"/>
  <c r="R27" i="9"/>
  <c r="O26" i="9"/>
  <c r="C26" i="9"/>
  <c r="L25" i="9"/>
  <c r="U24" i="9"/>
  <c r="I24" i="9"/>
  <c r="R23" i="9"/>
  <c r="O22" i="9"/>
  <c r="C22" i="9"/>
  <c r="L21" i="9"/>
  <c r="U20" i="9"/>
  <c r="I20" i="9"/>
  <c r="R19" i="9"/>
  <c r="O18" i="9"/>
  <c r="C18" i="9"/>
  <c r="L17" i="9"/>
  <c r="U16" i="9"/>
  <c r="I16" i="9"/>
  <c r="R15" i="9"/>
  <c r="O14" i="9"/>
  <c r="C14" i="9"/>
  <c r="L13" i="9"/>
  <c r="U12" i="9"/>
  <c r="I12" i="9"/>
  <c r="R11" i="9"/>
  <c r="O10" i="9"/>
  <c r="C10" i="9"/>
  <c r="L9" i="9"/>
  <c r="U8" i="9"/>
  <c r="I8" i="9"/>
  <c r="R7" i="9"/>
  <c r="O6" i="9"/>
  <c r="C6" i="9"/>
  <c r="L5" i="9"/>
  <c r="U4" i="9"/>
  <c r="I4" i="9"/>
  <c r="J63" i="9"/>
  <c r="N49" i="9"/>
  <c r="T43" i="9"/>
  <c r="P113" i="9"/>
  <c r="G110" i="9"/>
  <c r="S106" i="9"/>
  <c r="J103" i="9"/>
  <c r="M96" i="9"/>
  <c r="D93" i="9"/>
  <c r="P89" i="9"/>
  <c r="G86" i="9"/>
  <c r="S82" i="9"/>
  <c r="K79" i="9"/>
  <c r="O72" i="9"/>
  <c r="R65" i="9"/>
  <c r="I62" i="9"/>
  <c r="U58" i="9"/>
  <c r="C55" i="9"/>
  <c r="G54" i="9"/>
  <c r="M53" i="9"/>
  <c r="U52" i="9"/>
  <c r="H52" i="9"/>
  <c r="Q51" i="9"/>
  <c r="E51" i="9"/>
  <c r="N50" i="9"/>
  <c r="K49" i="9"/>
  <c r="T48" i="9"/>
  <c r="H48" i="9"/>
  <c r="Q47" i="9"/>
  <c r="E47" i="9"/>
  <c r="N46" i="9"/>
  <c r="K45" i="9"/>
  <c r="T44" i="9"/>
  <c r="H44" i="9"/>
  <c r="Q43" i="9"/>
  <c r="E43" i="9"/>
  <c r="N42" i="9"/>
  <c r="K41" i="9"/>
  <c r="T40" i="9"/>
  <c r="H40" i="9"/>
  <c r="Q39" i="9"/>
  <c r="E39" i="9"/>
  <c r="N38" i="9"/>
  <c r="K37" i="9"/>
  <c r="T36" i="9"/>
  <c r="H36" i="9"/>
  <c r="Q35" i="9"/>
  <c r="E35" i="9"/>
  <c r="N34" i="9"/>
  <c r="K33" i="9"/>
  <c r="T32" i="9"/>
  <c r="H32" i="9"/>
  <c r="Q31" i="9"/>
  <c r="E31" i="9"/>
  <c r="N30" i="9"/>
  <c r="K29" i="9"/>
  <c r="T28" i="9"/>
  <c r="H28" i="9"/>
  <c r="Q27" i="9"/>
  <c r="E27" i="9"/>
  <c r="N26" i="9"/>
  <c r="K25" i="9"/>
  <c r="T24" i="9"/>
  <c r="H24" i="9"/>
  <c r="Q23" i="9"/>
  <c r="E23" i="9"/>
  <c r="N22" i="9"/>
  <c r="K21" i="9"/>
  <c r="T20" i="9"/>
  <c r="H20" i="9"/>
  <c r="Q19" i="9"/>
  <c r="E19" i="9"/>
  <c r="N18" i="9"/>
  <c r="K17" i="9"/>
  <c r="T16" i="9"/>
  <c r="H16" i="9"/>
  <c r="Q15" i="9"/>
  <c r="E15" i="9"/>
  <c r="N14" i="9"/>
  <c r="K13" i="9"/>
  <c r="T12" i="9"/>
  <c r="H12" i="9"/>
  <c r="Q11" i="9"/>
  <c r="E11" i="9"/>
  <c r="N10" i="9"/>
  <c r="K9" i="9"/>
  <c r="T8" i="9"/>
  <c r="H8" i="9"/>
  <c r="Q7" i="9"/>
  <c r="E7" i="9"/>
  <c r="N6" i="9"/>
  <c r="K5" i="9"/>
  <c r="T4" i="9"/>
  <c r="H4" i="9"/>
  <c r="N97" i="9"/>
  <c r="E50" i="9"/>
  <c r="N113" i="9"/>
  <c r="E110" i="9"/>
  <c r="Q106" i="9"/>
  <c r="H103" i="9"/>
  <c r="T99" i="9"/>
  <c r="K96" i="9"/>
  <c r="N89" i="9"/>
  <c r="E86" i="9"/>
  <c r="Q82" i="9"/>
  <c r="I79" i="9"/>
  <c r="U75" i="9"/>
  <c r="M72" i="9"/>
  <c r="D69" i="9"/>
  <c r="P65" i="9"/>
  <c r="G62" i="9"/>
  <c r="S58" i="9"/>
  <c r="D54" i="9"/>
  <c r="L53" i="9"/>
  <c r="T52" i="9"/>
  <c r="G52" i="9"/>
  <c r="P51" i="9"/>
  <c r="D51" i="9"/>
  <c r="M50" i="9"/>
  <c r="J49" i="9"/>
  <c r="S48" i="9"/>
  <c r="G48" i="9"/>
  <c r="P47" i="9"/>
  <c r="D47" i="9"/>
  <c r="M46" i="9"/>
  <c r="J45" i="9"/>
  <c r="S44" i="9"/>
  <c r="G44" i="9"/>
  <c r="P43" i="9"/>
  <c r="D43" i="9"/>
  <c r="M42" i="9"/>
  <c r="J41" i="9"/>
  <c r="S40" i="9"/>
  <c r="G40" i="9"/>
  <c r="P39" i="9"/>
  <c r="D39" i="9"/>
  <c r="M38" i="9"/>
  <c r="J37" i="9"/>
  <c r="S36" i="9"/>
  <c r="G36" i="9"/>
  <c r="P35" i="9"/>
  <c r="D35" i="9"/>
  <c r="M34" i="9"/>
  <c r="J33" i="9"/>
  <c r="S32" i="9"/>
  <c r="G32" i="9"/>
  <c r="P31" i="9"/>
  <c r="D31" i="9"/>
  <c r="M30" i="9"/>
  <c r="J29" i="9"/>
  <c r="S28" i="9"/>
  <c r="G28" i="9"/>
  <c r="P27" i="9"/>
  <c r="D27" i="9"/>
  <c r="M26" i="9"/>
  <c r="J25" i="9"/>
  <c r="S24" i="9"/>
  <c r="G24" i="9"/>
  <c r="P23" i="9"/>
  <c r="D23" i="9"/>
  <c r="M22" i="9"/>
  <c r="J21" i="9"/>
  <c r="S20" i="9"/>
  <c r="G20" i="9"/>
  <c r="P19" i="9"/>
  <c r="D19" i="9"/>
  <c r="M18" i="9"/>
  <c r="J17" i="9"/>
  <c r="S16" i="9"/>
  <c r="G16" i="9"/>
  <c r="P15" i="9"/>
  <c r="D15" i="9"/>
  <c r="M14" i="9"/>
  <c r="J13" i="9"/>
  <c r="S12" i="9"/>
  <c r="G12" i="9"/>
  <c r="P11" i="9"/>
  <c r="D11" i="9"/>
  <c r="M10" i="9"/>
  <c r="J9" i="9"/>
  <c r="S8" i="9"/>
  <c r="G8" i="9"/>
  <c r="P7" i="9"/>
  <c r="D7" i="9"/>
  <c r="M6" i="9"/>
  <c r="J5" i="9"/>
  <c r="S4" i="9"/>
  <c r="G4" i="9"/>
  <c r="T83" i="9"/>
  <c r="E46" i="9"/>
  <c r="D113" i="9"/>
  <c r="P109" i="9"/>
  <c r="G106" i="9"/>
  <c r="S102" i="9"/>
  <c r="J99" i="9"/>
  <c r="M92" i="9"/>
  <c r="D89" i="9"/>
  <c r="P85" i="9"/>
  <c r="G82" i="9"/>
  <c r="T78" i="9"/>
  <c r="K75" i="9"/>
  <c r="C72" i="9"/>
  <c r="O68" i="9"/>
  <c r="R61" i="9"/>
  <c r="I58" i="9"/>
  <c r="S55" i="9"/>
  <c r="U54" i="9"/>
  <c r="C54" i="9"/>
  <c r="K53" i="9"/>
  <c r="S52" i="9"/>
  <c r="O51" i="9"/>
  <c r="C51" i="9"/>
  <c r="L50" i="9"/>
  <c r="U49" i="9"/>
  <c r="I49" i="9"/>
  <c r="R48" i="9"/>
  <c r="O47" i="9"/>
  <c r="C47" i="9"/>
  <c r="L46" i="9"/>
  <c r="U45" i="9"/>
  <c r="I45" i="9"/>
  <c r="R44" i="9"/>
  <c r="O43" i="9"/>
  <c r="C43" i="9"/>
  <c r="L42" i="9"/>
  <c r="U41" i="9"/>
  <c r="I41" i="9"/>
  <c r="R40" i="9"/>
  <c r="O39" i="9"/>
  <c r="C39" i="9"/>
  <c r="L38" i="9"/>
  <c r="U37" i="9"/>
  <c r="I37" i="9"/>
  <c r="R36" i="9"/>
  <c r="O35" i="9"/>
  <c r="C35" i="9"/>
  <c r="L34" i="9"/>
  <c r="U33" i="9"/>
  <c r="I33" i="9"/>
  <c r="R32" i="9"/>
  <c r="O31" i="9"/>
  <c r="C31" i="9"/>
  <c r="L30" i="9"/>
  <c r="U29" i="9"/>
  <c r="I29" i="9"/>
  <c r="R28" i="9"/>
  <c r="O27" i="9"/>
  <c r="C27" i="9"/>
  <c r="L26" i="9"/>
  <c r="U25" i="9"/>
  <c r="I25" i="9"/>
  <c r="R24" i="9"/>
  <c r="O23" i="9"/>
  <c r="C23" i="9"/>
  <c r="L22" i="9"/>
  <c r="U21" i="9"/>
  <c r="I21" i="9"/>
  <c r="R20" i="9"/>
  <c r="O19" i="9"/>
  <c r="C19" i="9"/>
  <c r="L18" i="9"/>
  <c r="U17" i="9"/>
  <c r="I17" i="9"/>
  <c r="R16" i="9"/>
  <c r="O15" i="9"/>
  <c r="C15" i="9"/>
  <c r="L14" i="9"/>
  <c r="U13" i="9"/>
  <c r="I13" i="9"/>
  <c r="R12" i="9"/>
  <c r="O11" i="9"/>
  <c r="C11" i="9"/>
  <c r="L10" i="9"/>
  <c r="U9" i="9"/>
  <c r="I9" i="9"/>
  <c r="R8" i="9"/>
  <c r="O7" i="9"/>
  <c r="C7" i="9"/>
  <c r="L6" i="9"/>
  <c r="U5" i="9"/>
  <c r="I5" i="9"/>
  <c r="R4" i="9"/>
  <c r="K104" i="9"/>
  <c r="Q42" i="9"/>
  <c r="N109" i="9"/>
  <c r="E106" i="9"/>
  <c r="Q102" i="9"/>
  <c r="H99" i="9"/>
  <c r="T95" i="9"/>
  <c r="K92" i="9"/>
  <c r="N85" i="9"/>
  <c r="E82" i="9"/>
  <c r="R78" i="9"/>
  <c r="I75" i="9"/>
  <c r="M68" i="9"/>
  <c r="D65" i="9"/>
  <c r="P61" i="9"/>
  <c r="G58" i="9"/>
  <c r="Q55" i="9"/>
  <c r="T54" i="9"/>
  <c r="J53" i="9"/>
  <c r="R52" i="9"/>
  <c r="E52" i="9"/>
  <c r="N51" i="9"/>
  <c r="K50" i="9"/>
  <c r="T49" i="9"/>
  <c r="H49" i="9"/>
  <c r="Q48" i="9"/>
  <c r="E48" i="9"/>
  <c r="N47" i="9"/>
  <c r="K46" i="9"/>
  <c r="T45" i="9"/>
  <c r="H45" i="9"/>
  <c r="Q44" i="9"/>
  <c r="E44" i="9"/>
  <c r="N43" i="9"/>
  <c r="K42" i="9"/>
  <c r="T41" i="9"/>
  <c r="H41" i="9"/>
  <c r="Q40" i="9"/>
  <c r="E40" i="9"/>
  <c r="N39" i="9"/>
  <c r="K38" i="9"/>
  <c r="T37" i="9"/>
  <c r="H37" i="9"/>
  <c r="Q36" i="9"/>
  <c r="E36" i="9"/>
  <c r="N35" i="9"/>
  <c r="K34" i="9"/>
  <c r="T33" i="9"/>
  <c r="H33" i="9"/>
  <c r="Q32" i="9"/>
  <c r="E32" i="9"/>
  <c r="N31" i="9"/>
  <c r="K30" i="9"/>
  <c r="T29" i="9"/>
  <c r="H29" i="9"/>
  <c r="Q28" i="9"/>
  <c r="E28" i="9"/>
  <c r="N27" i="9"/>
  <c r="K26" i="9"/>
  <c r="T25" i="9"/>
  <c r="H25" i="9"/>
  <c r="Q24" i="9"/>
  <c r="E24" i="9"/>
  <c r="N23" i="9"/>
  <c r="K22" i="9"/>
  <c r="T21" i="9"/>
  <c r="H21" i="9"/>
  <c r="Q20" i="9"/>
  <c r="E20" i="9"/>
  <c r="N19" i="9"/>
  <c r="K18" i="9"/>
  <c r="T17" i="9"/>
  <c r="H17" i="9"/>
  <c r="Q16" i="9"/>
  <c r="E16" i="9"/>
  <c r="N15" i="9"/>
  <c r="K14" i="9"/>
  <c r="T13" i="9"/>
  <c r="H13" i="9"/>
  <c r="Q12" i="9"/>
  <c r="E12" i="9"/>
  <c r="N11" i="9"/>
  <c r="K10" i="9"/>
  <c r="T9" i="9"/>
  <c r="H9" i="9"/>
  <c r="Q8" i="9"/>
  <c r="E8" i="9"/>
  <c r="N7" i="9"/>
  <c r="K6" i="9"/>
  <c r="T5" i="9"/>
  <c r="H5" i="9"/>
  <c r="Q4" i="9"/>
  <c r="E4" i="9"/>
  <c r="T107" i="9"/>
  <c r="Q50" i="9"/>
  <c r="H43" i="9"/>
  <c r="M112" i="9"/>
  <c r="D109" i="9"/>
  <c r="P105" i="9"/>
  <c r="G102" i="9"/>
  <c r="S98" i="9"/>
  <c r="J95" i="9"/>
  <c r="M88" i="9"/>
  <c r="D85" i="9"/>
  <c r="P81" i="9"/>
  <c r="H78" i="9"/>
  <c r="U74" i="9"/>
  <c r="L71" i="9"/>
  <c r="C68" i="9"/>
  <c r="O64" i="9"/>
  <c r="R57" i="9"/>
  <c r="P55" i="9"/>
  <c r="S54" i="9"/>
  <c r="I53" i="9"/>
  <c r="Q52" i="9"/>
  <c r="D52" i="9"/>
  <c r="M51" i="9"/>
  <c r="J50" i="9"/>
  <c r="S49" i="9"/>
  <c r="G49" i="9"/>
  <c r="P48" i="9"/>
  <c r="D48" i="9"/>
  <c r="M47" i="9"/>
  <c r="J46" i="9"/>
  <c r="S45" i="9"/>
  <c r="G45" i="9"/>
  <c r="P44" i="9"/>
  <c r="D44" i="9"/>
  <c r="M43" i="9"/>
  <c r="J42" i="9"/>
  <c r="S41" i="9"/>
  <c r="G41" i="9"/>
  <c r="P40" i="9"/>
  <c r="D40" i="9"/>
  <c r="M39" i="9"/>
  <c r="J38" i="9"/>
  <c r="S37" i="9"/>
  <c r="G37" i="9"/>
  <c r="P36" i="9"/>
  <c r="D36" i="9"/>
  <c r="M35" i="9"/>
  <c r="J34" i="9"/>
  <c r="S33" i="9"/>
  <c r="G33" i="9"/>
  <c r="P32" i="9"/>
  <c r="D32" i="9"/>
  <c r="M31" i="9"/>
  <c r="J30" i="9"/>
  <c r="S29" i="9"/>
  <c r="G29" i="9"/>
  <c r="P28" i="9"/>
  <c r="D28" i="9"/>
  <c r="M27" i="9"/>
  <c r="J26" i="9"/>
  <c r="S25" i="9"/>
  <c r="G25" i="9"/>
  <c r="P24" i="9"/>
  <c r="D24" i="9"/>
  <c r="M23" i="9"/>
  <c r="J22" i="9"/>
  <c r="S21" i="9"/>
  <c r="G21" i="9"/>
  <c r="P20" i="9"/>
  <c r="D20" i="9"/>
  <c r="M19" i="9"/>
  <c r="J18" i="9"/>
  <c r="S17" i="9"/>
  <c r="G17" i="9"/>
  <c r="P16" i="9"/>
  <c r="D16" i="9"/>
  <c r="M15" i="9"/>
  <c r="J14" i="9"/>
  <c r="S13" i="9"/>
  <c r="G13" i="9"/>
  <c r="P12" i="9"/>
  <c r="D12" i="9"/>
  <c r="M11" i="9"/>
  <c r="J10" i="9"/>
  <c r="S9" i="9"/>
  <c r="G9" i="9"/>
  <c r="P8" i="9"/>
  <c r="D8" i="9"/>
  <c r="M7" i="9"/>
  <c r="J6" i="9"/>
  <c r="S5" i="9"/>
  <c r="G5" i="9"/>
  <c r="P4" i="9"/>
  <c r="D4" i="9"/>
  <c r="H87" i="9"/>
  <c r="T51" i="9"/>
  <c r="T115" i="9"/>
  <c r="K112" i="9"/>
  <c r="N105" i="9"/>
  <c r="E102" i="9"/>
  <c r="Q98" i="9"/>
  <c r="H95" i="9"/>
  <c r="T91" i="9"/>
  <c r="K88" i="9"/>
  <c r="N81" i="9"/>
  <c r="S74" i="9"/>
  <c r="J71" i="9"/>
  <c r="M64" i="9"/>
  <c r="D61" i="9"/>
  <c r="P57" i="9"/>
  <c r="M55" i="9"/>
  <c r="P54" i="9"/>
  <c r="U53" i="9"/>
  <c r="H53" i="9"/>
  <c r="P52" i="9"/>
  <c r="C52" i="9"/>
  <c r="L51" i="9"/>
  <c r="U50" i="9"/>
  <c r="I50" i="9"/>
  <c r="R49" i="9"/>
  <c r="O48" i="9"/>
  <c r="C48" i="9"/>
  <c r="L47" i="9"/>
  <c r="U46" i="9"/>
  <c r="I46" i="9"/>
  <c r="R45" i="9"/>
  <c r="O44" i="9"/>
  <c r="C44" i="9"/>
  <c r="L43" i="9"/>
  <c r="U42" i="9"/>
  <c r="I42" i="9"/>
  <c r="R41" i="9"/>
  <c r="O40" i="9"/>
  <c r="C40" i="9"/>
  <c r="L39" i="9"/>
  <c r="U38" i="9"/>
  <c r="I38" i="9"/>
  <c r="R37" i="9"/>
  <c r="O36" i="9"/>
  <c r="C36" i="9"/>
  <c r="L35" i="9"/>
  <c r="U34" i="9"/>
  <c r="I34" i="9"/>
  <c r="R33" i="9"/>
  <c r="O32" i="9"/>
  <c r="C32" i="9"/>
  <c r="L31" i="9"/>
  <c r="U30" i="9"/>
  <c r="I30" i="9"/>
  <c r="R29" i="9"/>
  <c r="O28" i="9"/>
  <c r="C28" i="9"/>
  <c r="L27" i="9"/>
  <c r="U26" i="9"/>
  <c r="I26" i="9"/>
  <c r="R25" i="9"/>
  <c r="O24" i="9"/>
  <c r="C24" i="9"/>
  <c r="L23" i="9"/>
  <c r="U22" i="9"/>
  <c r="I22" i="9"/>
  <c r="R21" i="9"/>
  <c r="O20" i="9"/>
  <c r="C20" i="9"/>
  <c r="L19" i="9"/>
  <c r="U18" i="9"/>
  <c r="I18" i="9"/>
  <c r="R17" i="9"/>
  <c r="O16" i="9"/>
  <c r="C16" i="9"/>
  <c r="L15" i="9"/>
  <c r="U14" i="9"/>
  <c r="I14" i="9"/>
  <c r="R13" i="9"/>
  <c r="O12" i="9"/>
  <c r="C12" i="9"/>
  <c r="L11" i="9"/>
  <c r="U10" i="9"/>
  <c r="I10" i="9"/>
  <c r="R9" i="9"/>
  <c r="O8" i="9"/>
  <c r="C8" i="9"/>
  <c r="L7" i="9"/>
  <c r="U6" i="9"/>
  <c r="I6" i="9"/>
  <c r="R5" i="9"/>
  <c r="O4" i="9"/>
  <c r="C4" i="9"/>
  <c r="E94" i="9"/>
  <c r="D53" i="9"/>
  <c r="Q46" i="9"/>
  <c r="J115" i="9"/>
  <c r="M108" i="9"/>
  <c r="D105" i="9"/>
  <c r="P101" i="9"/>
  <c r="G98" i="9"/>
  <c r="S94" i="9"/>
  <c r="J91" i="9"/>
  <c r="M84" i="9"/>
  <c r="D81" i="9"/>
  <c r="Q77" i="9"/>
  <c r="I74" i="9"/>
  <c r="U70" i="9"/>
  <c r="L67" i="9"/>
  <c r="C64" i="9"/>
  <c r="O60" i="9"/>
  <c r="L55" i="9"/>
  <c r="N54" i="9"/>
  <c r="T53" i="9"/>
  <c r="G53" i="9"/>
  <c r="O52" i="9"/>
  <c r="K51" i="9"/>
  <c r="T50" i="9"/>
  <c r="H50" i="9"/>
  <c r="Q49" i="9"/>
  <c r="E49" i="9"/>
  <c r="N48" i="9"/>
  <c r="K47" i="9"/>
  <c r="T46" i="9"/>
  <c r="H46" i="9"/>
  <c r="Q45" i="9"/>
  <c r="E45" i="9"/>
  <c r="N44" i="9"/>
  <c r="K43" i="9"/>
  <c r="T42" i="9"/>
  <c r="H42" i="9"/>
  <c r="Q41" i="9"/>
  <c r="E41" i="9"/>
  <c r="N40" i="9"/>
  <c r="K39" i="9"/>
  <c r="T38" i="9"/>
  <c r="H38" i="9"/>
  <c r="Q37" i="9"/>
  <c r="E37" i="9"/>
  <c r="N36" i="9"/>
  <c r="K35" i="9"/>
  <c r="T34" i="9"/>
  <c r="H34" i="9"/>
  <c r="Q33" i="9"/>
  <c r="E33" i="9"/>
  <c r="N32" i="9"/>
  <c r="K31" i="9"/>
  <c r="T30" i="9"/>
  <c r="H30" i="9"/>
  <c r="Q29" i="9"/>
  <c r="E29" i="9"/>
  <c r="N28" i="9"/>
  <c r="K27" i="9"/>
  <c r="T26" i="9"/>
  <c r="H26" i="9"/>
  <c r="Q25" i="9"/>
  <c r="E25" i="9"/>
  <c r="N24" i="9"/>
  <c r="K23" i="9"/>
  <c r="T22" i="9"/>
  <c r="H22" i="9"/>
  <c r="Q21" i="9"/>
  <c r="E21" i="9"/>
  <c r="N20" i="9"/>
  <c r="K19" i="9"/>
  <c r="T18" i="9"/>
  <c r="H18" i="9"/>
  <c r="Q17" i="9"/>
  <c r="E17" i="9"/>
  <c r="N16" i="9"/>
  <c r="K15" i="9"/>
  <c r="T14" i="9"/>
  <c r="H14" i="9"/>
  <c r="Q13" i="9"/>
  <c r="E13" i="9"/>
  <c r="N12" i="9"/>
  <c r="K11" i="9"/>
  <c r="T10" i="9"/>
  <c r="H10" i="9"/>
  <c r="Q9" i="9"/>
  <c r="E9" i="9"/>
  <c r="N8" i="9"/>
  <c r="K7" i="9"/>
  <c r="T6" i="9"/>
  <c r="H6" i="9"/>
  <c r="Q5" i="9"/>
  <c r="E5" i="9"/>
  <c r="N4" i="9"/>
  <c r="L4" i="9"/>
  <c r="Q114" i="9"/>
  <c r="K80" i="9"/>
  <c r="C77" i="9"/>
  <c r="G70" i="9"/>
  <c r="S66" i="9"/>
  <c r="M56" i="9"/>
  <c r="Q53" i="9"/>
  <c r="H51" i="9"/>
  <c r="T47" i="9"/>
  <c r="K44" i="9"/>
  <c r="H115" i="9"/>
  <c r="T111" i="9"/>
  <c r="K108" i="9"/>
  <c r="N101" i="9"/>
  <c r="E98" i="9"/>
  <c r="Q94" i="9"/>
  <c r="H91" i="9"/>
  <c r="T87" i="9"/>
  <c r="K84" i="9"/>
  <c r="O77" i="9"/>
  <c r="G74" i="9"/>
  <c r="S70" i="9"/>
  <c r="J67" i="9"/>
  <c r="M60" i="9"/>
  <c r="D57" i="9"/>
  <c r="K55" i="9"/>
  <c r="M54" i="9"/>
  <c r="S53" i="9"/>
  <c r="N52" i="9"/>
  <c r="J51" i="9"/>
  <c r="S50" i="9"/>
  <c r="G50" i="9"/>
  <c r="P49" i="9"/>
  <c r="D49" i="9"/>
  <c r="M48" i="9"/>
  <c r="J47" i="9"/>
  <c r="S46" i="9"/>
  <c r="G46" i="9"/>
  <c r="P45" i="9"/>
  <c r="D45" i="9"/>
  <c r="M44" i="9"/>
  <c r="J43" i="9"/>
  <c r="S42" i="9"/>
  <c r="G42" i="9"/>
  <c r="P41" i="9"/>
  <c r="D41" i="9"/>
  <c r="M40" i="9"/>
  <c r="J39" i="9"/>
  <c r="S38" i="9"/>
  <c r="G38" i="9"/>
  <c r="P37" i="9"/>
  <c r="D37" i="9"/>
  <c r="M36" i="9"/>
  <c r="J35" i="9"/>
  <c r="S34" i="9"/>
  <c r="G34" i="9"/>
  <c r="P33" i="9"/>
  <c r="D33" i="9"/>
  <c r="M32" i="9"/>
  <c r="J31" i="9"/>
  <c r="S30" i="9"/>
  <c r="G30" i="9"/>
  <c r="P29" i="9"/>
  <c r="D29" i="9"/>
  <c r="M28" i="9"/>
  <c r="J27" i="9"/>
  <c r="S26" i="9"/>
  <c r="G26" i="9"/>
  <c r="P25" i="9"/>
  <c r="D25" i="9"/>
  <c r="M24" i="9"/>
  <c r="J23" i="9"/>
  <c r="S22" i="9"/>
  <c r="G22" i="9"/>
  <c r="P21" i="9"/>
  <c r="D21" i="9"/>
  <c r="M20" i="9"/>
  <c r="J19" i="9"/>
  <c r="S18" i="9"/>
  <c r="G18" i="9"/>
  <c r="P17" i="9"/>
  <c r="D17" i="9"/>
  <c r="M16" i="9"/>
  <c r="J15" i="9"/>
  <c r="S14" i="9"/>
  <c r="G14" i="9"/>
  <c r="P13" i="9"/>
  <c r="D13" i="9"/>
  <c r="M12" i="9"/>
  <c r="J11" i="9"/>
  <c r="S10" i="9"/>
  <c r="G10" i="9"/>
  <c r="P9" i="9"/>
  <c r="D9" i="9"/>
  <c r="M8" i="9"/>
  <c r="J7" i="9"/>
  <c r="S6" i="9"/>
  <c r="G6" i="9"/>
  <c r="P5" i="9"/>
  <c r="D5" i="9"/>
  <c r="M4" i="9"/>
  <c r="U7" i="9"/>
  <c r="I7" i="9"/>
  <c r="O5" i="9"/>
  <c r="H111" i="9"/>
  <c r="P73" i="9"/>
  <c r="G55" i="9"/>
  <c r="K52" i="9"/>
  <c r="K48" i="9"/>
  <c r="N45" i="9"/>
  <c r="N41" i="9"/>
  <c r="S114" i="9"/>
  <c r="J111" i="9"/>
  <c r="M104" i="9"/>
  <c r="D101" i="9"/>
  <c r="P97" i="9"/>
  <c r="G94" i="9"/>
  <c r="S90" i="9"/>
  <c r="J87" i="9"/>
  <c r="M80" i="9"/>
  <c r="E77" i="9"/>
  <c r="R73" i="9"/>
  <c r="I70" i="9"/>
  <c r="U66" i="9"/>
  <c r="L63" i="9"/>
  <c r="C60" i="9"/>
  <c r="O56" i="9"/>
  <c r="J55" i="9"/>
  <c r="L54" i="9"/>
  <c r="R53" i="9"/>
  <c r="E53" i="9"/>
  <c r="M52" i="9"/>
  <c r="U51" i="9"/>
  <c r="I51" i="9"/>
  <c r="R50" i="9"/>
  <c r="O49" i="9"/>
  <c r="C49" i="9"/>
  <c r="L48" i="9"/>
  <c r="U47" i="9"/>
  <c r="I47" i="9"/>
  <c r="R46" i="9"/>
  <c r="O45" i="9"/>
  <c r="C45" i="9"/>
  <c r="L44" i="9"/>
  <c r="U43" i="9"/>
  <c r="I43" i="9"/>
  <c r="R42" i="9"/>
  <c r="O41" i="9"/>
  <c r="C41" i="9"/>
  <c r="L40" i="9"/>
  <c r="U39" i="9"/>
  <c r="I39" i="9"/>
  <c r="R38" i="9"/>
  <c r="O37" i="9"/>
  <c r="C37" i="9"/>
  <c r="L36" i="9"/>
  <c r="U35" i="9"/>
  <c r="I35" i="9"/>
  <c r="R34" i="9"/>
  <c r="O33" i="9"/>
  <c r="C33" i="9"/>
  <c r="L32" i="9"/>
  <c r="U31" i="9"/>
  <c r="I31" i="9"/>
  <c r="R30" i="9"/>
  <c r="O29" i="9"/>
  <c r="C29" i="9"/>
  <c r="L28" i="9"/>
  <c r="U27" i="9"/>
  <c r="I27" i="9"/>
  <c r="R26" i="9"/>
  <c r="O25" i="9"/>
  <c r="C25" i="9"/>
  <c r="L24" i="9"/>
  <c r="U23" i="9"/>
  <c r="I23" i="9"/>
  <c r="R22" i="9"/>
  <c r="O21" i="9"/>
  <c r="C21" i="9"/>
  <c r="L20" i="9"/>
  <c r="U19" i="9"/>
  <c r="I19" i="9"/>
  <c r="R18" i="9"/>
  <c r="O17" i="9"/>
  <c r="C17" i="9"/>
  <c r="L16" i="9"/>
  <c r="U15" i="9"/>
  <c r="I15" i="9"/>
  <c r="R14" i="9"/>
  <c r="O13" i="9"/>
  <c r="C13" i="9"/>
  <c r="L12" i="9"/>
  <c r="U11" i="9"/>
  <c r="I11" i="9"/>
  <c r="R10" i="9"/>
  <c r="O9" i="9"/>
  <c r="C9" i="9"/>
  <c r="L8" i="9"/>
  <c r="R6" i="9"/>
  <c r="C5" i="9"/>
  <c r="Q90" i="9"/>
  <c r="J54" i="9"/>
  <c r="H47" i="9"/>
  <c r="G90" i="9"/>
  <c r="I54" i="9"/>
  <c r="G47" i="9"/>
  <c r="N37" i="9"/>
  <c r="E34" i="9"/>
  <c r="Q30" i="9"/>
  <c r="H27" i="9"/>
  <c r="T23" i="9"/>
  <c r="K20" i="9"/>
  <c r="N13" i="9"/>
  <c r="E10" i="9"/>
  <c r="Q6" i="9"/>
  <c r="J4" i="9"/>
  <c r="H31" i="9"/>
  <c r="Q10" i="9"/>
  <c r="S47" i="9"/>
  <c r="S86" i="9"/>
  <c r="P53" i="9"/>
  <c r="P46" i="9"/>
  <c r="M37" i="9"/>
  <c r="D34" i="9"/>
  <c r="P30" i="9"/>
  <c r="G27" i="9"/>
  <c r="S23" i="9"/>
  <c r="J20" i="9"/>
  <c r="M13" i="9"/>
  <c r="D10" i="9"/>
  <c r="P6" i="9"/>
  <c r="G11" i="9"/>
  <c r="K24" i="9"/>
  <c r="H7" i="9"/>
  <c r="J83" i="9"/>
  <c r="D46" i="9"/>
  <c r="K40" i="9"/>
  <c r="N33" i="9"/>
  <c r="E30" i="9"/>
  <c r="Q26" i="9"/>
  <c r="H23" i="9"/>
  <c r="T19" i="9"/>
  <c r="K16" i="9"/>
  <c r="N9" i="9"/>
  <c r="E6" i="9"/>
  <c r="M5" i="9"/>
  <c r="D18" i="9"/>
  <c r="T27" i="9"/>
  <c r="N17" i="9"/>
  <c r="E55" i="9"/>
  <c r="J52" i="9"/>
  <c r="M45" i="9"/>
  <c r="J40" i="9"/>
  <c r="M33" i="9"/>
  <c r="D30" i="9"/>
  <c r="P26" i="9"/>
  <c r="G23" i="9"/>
  <c r="S19" i="9"/>
  <c r="J16" i="9"/>
  <c r="M9" i="9"/>
  <c r="D6" i="9"/>
  <c r="N5" i="9"/>
  <c r="K8" i="9"/>
  <c r="S7" i="9"/>
  <c r="Q34" i="9"/>
  <c r="E14" i="9"/>
  <c r="J24" i="9"/>
  <c r="N76" i="9"/>
  <c r="S51" i="9"/>
  <c r="T39" i="9"/>
  <c r="K36" i="9"/>
  <c r="N29" i="9"/>
  <c r="E26" i="9"/>
  <c r="Q22" i="9"/>
  <c r="H19" i="9"/>
  <c r="T15" i="9"/>
  <c r="K12" i="9"/>
  <c r="T11" i="9"/>
  <c r="D42" i="9"/>
  <c r="P93" i="9"/>
  <c r="G114" i="9"/>
  <c r="G51" i="9"/>
  <c r="J44" i="9"/>
  <c r="S39" i="9"/>
  <c r="J36" i="9"/>
  <c r="M29" i="9"/>
  <c r="D26" i="9"/>
  <c r="P22" i="9"/>
  <c r="G19" i="9"/>
  <c r="S15" i="9"/>
  <c r="J12" i="9"/>
  <c r="K4" i="9"/>
  <c r="D97" i="9"/>
  <c r="S27" i="9"/>
  <c r="P10" i="9"/>
  <c r="S110" i="9"/>
  <c r="R69" i="9"/>
  <c r="P50" i="9"/>
  <c r="S43" i="9"/>
  <c r="H39" i="9"/>
  <c r="T35" i="9"/>
  <c r="K32" i="9"/>
  <c r="N25" i="9"/>
  <c r="E22" i="9"/>
  <c r="Q18" i="9"/>
  <c r="H15" i="9"/>
  <c r="H56" i="9"/>
  <c r="M41" i="9"/>
  <c r="G7" i="9"/>
  <c r="J107" i="9"/>
  <c r="I66" i="9"/>
  <c r="D50" i="9"/>
  <c r="G43" i="9"/>
  <c r="G39" i="9"/>
  <c r="S35" i="9"/>
  <c r="J32" i="9"/>
  <c r="M25" i="9"/>
  <c r="D22" i="9"/>
  <c r="P18" i="9"/>
  <c r="G15" i="9"/>
  <c r="S11" i="9"/>
  <c r="J8" i="9"/>
  <c r="H11" i="9"/>
  <c r="P14" i="9"/>
  <c r="E38" i="9"/>
  <c r="G31" i="9"/>
  <c r="M17" i="9"/>
  <c r="U62" i="9"/>
  <c r="M49" i="9"/>
  <c r="P42" i="9"/>
  <c r="Q38" i="9"/>
  <c r="H35" i="9"/>
  <c r="T31" i="9"/>
  <c r="K28" i="9"/>
  <c r="N21" i="9"/>
  <c r="E18" i="9"/>
  <c r="Q14" i="9"/>
  <c r="T7" i="9"/>
  <c r="J48" i="9"/>
  <c r="D38" i="9"/>
  <c r="D14" i="9"/>
  <c r="M100" i="9"/>
  <c r="L59" i="9"/>
  <c r="E42" i="9"/>
  <c r="P38" i="9"/>
  <c r="G35" i="9"/>
  <c r="S31" i="9"/>
  <c r="J28" i="9"/>
  <c r="M21" i="9"/>
  <c r="P34" i="9"/>
  <c r="V35" i="9" l="1"/>
  <c r="F14" i="9"/>
  <c r="F38" i="9"/>
  <c r="V31" i="9"/>
  <c r="V15" i="9"/>
  <c r="F22" i="9"/>
  <c r="V39" i="9"/>
  <c r="V43" i="9"/>
  <c r="F50" i="9"/>
  <c r="V7" i="9"/>
  <c r="F97" i="9"/>
  <c r="K117" i="9"/>
  <c r="K124" i="9" s="1"/>
  <c r="V19" i="9"/>
  <c r="F26" i="9"/>
  <c r="V51" i="9"/>
  <c r="V114" i="9"/>
  <c r="F42" i="9"/>
  <c r="F6" i="9"/>
  <c r="V23" i="9"/>
  <c r="F30" i="9"/>
  <c r="F18" i="9"/>
  <c r="F46" i="9"/>
  <c r="V11" i="9"/>
  <c r="F10" i="9"/>
  <c r="V27" i="9"/>
  <c r="F34" i="9"/>
  <c r="J117" i="9"/>
  <c r="J124" i="9" s="1"/>
  <c r="V47" i="9"/>
  <c r="V90" i="9"/>
  <c r="V94" i="9"/>
  <c r="F101" i="9"/>
  <c r="V55" i="9"/>
  <c r="M117" i="9"/>
  <c r="M124" i="9" s="1"/>
  <c r="F5" i="9"/>
  <c r="V6" i="9"/>
  <c r="W6" i="9" s="1"/>
  <c r="F9" i="9"/>
  <c r="V10" i="9"/>
  <c r="F13" i="9"/>
  <c r="V14" i="9"/>
  <c r="F17" i="9"/>
  <c r="V18" i="9"/>
  <c r="F21" i="9"/>
  <c r="V22" i="9"/>
  <c r="W22" i="9" s="1"/>
  <c r="F25" i="9"/>
  <c r="V26" i="9"/>
  <c r="W26" i="9" s="1"/>
  <c r="F29" i="9"/>
  <c r="V30" i="9"/>
  <c r="W30" i="9" s="1"/>
  <c r="F33" i="9"/>
  <c r="V34" i="9"/>
  <c r="F37" i="9"/>
  <c r="V38" i="9"/>
  <c r="W38" i="9" s="1"/>
  <c r="F41" i="9"/>
  <c r="V42" i="9"/>
  <c r="W42" i="9" s="1"/>
  <c r="F45" i="9"/>
  <c r="V46" i="9"/>
  <c r="F49" i="9"/>
  <c r="V50" i="9"/>
  <c r="W50" i="9" s="1"/>
  <c r="F57" i="9"/>
  <c r="V74" i="9"/>
  <c r="V70" i="9"/>
  <c r="W70" i="9" s="1"/>
  <c r="L117" i="9"/>
  <c r="L124" i="9" s="1"/>
  <c r="N117" i="9"/>
  <c r="N124" i="9" s="1"/>
  <c r="V53" i="9"/>
  <c r="W53" i="9" s="1"/>
  <c r="F81" i="9"/>
  <c r="V98" i="9"/>
  <c r="F105" i="9"/>
  <c r="F53" i="9"/>
  <c r="C117" i="9"/>
  <c r="C124" i="9" s="1"/>
  <c r="O117" i="9"/>
  <c r="O124" i="9" s="1"/>
  <c r="F61" i="9"/>
  <c r="D117" i="9"/>
  <c r="D124" i="9" s="1"/>
  <c r="F4" i="9"/>
  <c r="P117" i="9"/>
  <c r="P124" i="9" s="1"/>
  <c r="V5" i="9"/>
  <c r="F8" i="9"/>
  <c r="V9" i="9"/>
  <c r="F12" i="9"/>
  <c r="V13" i="9"/>
  <c r="F16" i="9"/>
  <c r="V17" i="9"/>
  <c r="W17" i="9" s="1"/>
  <c r="F20" i="9"/>
  <c r="V21" i="9"/>
  <c r="W21" i="9" s="1"/>
  <c r="F24" i="9"/>
  <c r="V25" i="9"/>
  <c r="W25" i="9" s="1"/>
  <c r="F28" i="9"/>
  <c r="V29" i="9"/>
  <c r="F32" i="9"/>
  <c r="V33" i="9"/>
  <c r="F36" i="9"/>
  <c r="V37" i="9"/>
  <c r="F40" i="9"/>
  <c r="V41" i="9"/>
  <c r="W41" i="9" s="1"/>
  <c r="F44" i="9"/>
  <c r="V45" i="9"/>
  <c r="W45" i="9" s="1"/>
  <c r="F48" i="9"/>
  <c r="V49" i="9"/>
  <c r="W49" i="9" s="1"/>
  <c r="F52" i="9"/>
  <c r="F85" i="9"/>
  <c r="V102" i="9"/>
  <c r="F109" i="9"/>
  <c r="E117" i="9"/>
  <c r="E124" i="9" s="1"/>
  <c r="Q117" i="9"/>
  <c r="Q124" i="9" s="1"/>
  <c r="V58" i="9"/>
  <c r="F65" i="9"/>
  <c r="R117" i="9"/>
  <c r="R124" i="9" s="1"/>
  <c r="V82" i="9"/>
  <c r="F89" i="9"/>
  <c r="V106" i="9"/>
  <c r="W106" i="9" s="1"/>
  <c r="F113" i="9"/>
  <c r="G117" i="9"/>
  <c r="G124" i="9" s="1"/>
  <c r="V4" i="9"/>
  <c r="S117" i="9"/>
  <c r="S124" i="9" s="1"/>
  <c r="F7" i="9"/>
  <c r="V8" i="9"/>
  <c r="F11" i="9"/>
  <c r="V12" i="9"/>
  <c r="W12" i="9" s="1"/>
  <c r="F15" i="9"/>
  <c r="V16" i="9"/>
  <c r="W16" i="9" s="1"/>
  <c r="F19" i="9"/>
  <c r="V20" i="9"/>
  <c r="W20" i="9" s="1"/>
  <c r="F23" i="9"/>
  <c r="V24" i="9"/>
  <c r="F27" i="9"/>
  <c r="V28" i="9"/>
  <c r="F31" i="9"/>
  <c r="V32" i="9"/>
  <c r="F35" i="9"/>
  <c r="V36" i="9"/>
  <c r="W36" i="9" s="1"/>
  <c r="F39" i="9"/>
  <c r="V40" i="9"/>
  <c r="W40" i="9" s="1"/>
  <c r="F43" i="9"/>
  <c r="V44" i="9"/>
  <c r="W44" i="9" s="1"/>
  <c r="F47" i="9"/>
  <c r="V48" i="9"/>
  <c r="F51" i="9"/>
  <c r="V52" i="9"/>
  <c r="F54" i="9"/>
  <c r="V62" i="9"/>
  <c r="F69" i="9"/>
  <c r="H117" i="9"/>
  <c r="H124" i="9" s="1"/>
  <c r="T117" i="9"/>
  <c r="T124" i="9" s="1"/>
  <c r="V54" i="9"/>
  <c r="W54" i="9" s="1"/>
  <c r="V86" i="9"/>
  <c r="F93" i="9"/>
  <c r="V110" i="9"/>
  <c r="I117" i="9"/>
  <c r="I124" i="9" s="1"/>
  <c r="U117" i="9"/>
  <c r="U124" i="9" s="1"/>
  <c r="F55" i="9"/>
  <c r="V66" i="9"/>
  <c r="F73" i="9"/>
  <c r="F77" i="9"/>
  <c r="V78" i="9"/>
  <c r="F56" i="9"/>
  <c r="V57" i="9"/>
  <c r="W57" i="9" s="1"/>
  <c r="F60" i="9"/>
  <c r="V61" i="9"/>
  <c r="W61" i="9" s="1"/>
  <c r="F64" i="9"/>
  <c r="V65" i="9"/>
  <c r="W65" i="9" s="1"/>
  <c r="F68" i="9"/>
  <c r="V69" i="9"/>
  <c r="F72" i="9"/>
  <c r="V73" i="9"/>
  <c r="W73" i="9" s="1"/>
  <c r="F76" i="9"/>
  <c r="V77" i="9"/>
  <c r="W77" i="9" s="1"/>
  <c r="F80" i="9"/>
  <c r="V81" i="9"/>
  <c r="W81" i="9" s="1"/>
  <c r="F84" i="9"/>
  <c r="V85" i="9"/>
  <c r="W85" i="9" s="1"/>
  <c r="F88" i="9"/>
  <c r="V89" i="9"/>
  <c r="F92" i="9"/>
  <c r="V93" i="9"/>
  <c r="F96" i="9"/>
  <c r="V97" i="9"/>
  <c r="F100" i="9"/>
  <c r="V101" i="9"/>
  <c r="W101" i="9" s="1"/>
  <c r="F104" i="9"/>
  <c r="V105" i="9"/>
  <c r="W105" i="9" s="1"/>
  <c r="F108" i="9"/>
  <c r="V109" i="9"/>
  <c r="W109" i="9" s="1"/>
  <c r="F112" i="9"/>
  <c r="V113" i="9"/>
  <c r="F116" i="9"/>
  <c r="V56" i="9"/>
  <c r="F59" i="9"/>
  <c r="V60" i="9"/>
  <c r="F63" i="9"/>
  <c r="V64" i="9"/>
  <c r="F67" i="9"/>
  <c r="V68" i="9"/>
  <c r="F71" i="9"/>
  <c r="V72" i="9"/>
  <c r="W72" i="9" s="1"/>
  <c r="F75" i="9"/>
  <c r="V76" i="9"/>
  <c r="W76" i="9" s="1"/>
  <c r="F79" i="9"/>
  <c r="V80" i="9"/>
  <c r="F83" i="9"/>
  <c r="V84" i="9"/>
  <c r="F87" i="9"/>
  <c r="V88" i="9"/>
  <c r="F91" i="9"/>
  <c r="V92" i="9"/>
  <c r="W92" i="9" s="1"/>
  <c r="F95" i="9"/>
  <c r="V96" i="9"/>
  <c r="W96" i="9" s="1"/>
  <c r="F99" i="9"/>
  <c r="V100" i="9"/>
  <c r="W100" i="9" s="1"/>
  <c r="F103" i="9"/>
  <c r="V104" i="9"/>
  <c r="F107" i="9"/>
  <c r="V108" i="9"/>
  <c r="F111" i="9"/>
  <c r="V112" i="9"/>
  <c r="F115" i="9"/>
  <c r="V116" i="9"/>
  <c r="W116" i="9" s="1"/>
  <c r="F58" i="9"/>
  <c r="V59" i="9"/>
  <c r="W59" i="9" s="1"/>
  <c r="F62" i="9"/>
  <c r="V63" i="9"/>
  <c r="W63" i="9" s="1"/>
  <c r="F66" i="9"/>
  <c r="V67" i="9"/>
  <c r="F70" i="9"/>
  <c r="V71" i="9"/>
  <c r="F74" i="9"/>
  <c r="V75" i="9"/>
  <c r="F78" i="9"/>
  <c r="V79" i="9"/>
  <c r="F82" i="9"/>
  <c r="V83" i="9"/>
  <c r="W83" i="9" s="1"/>
  <c r="F86" i="9"/>
  <c r="V87" i="9"/>
  <c r="W87" i="9" s="1"/>
  <c r="F90" i="9"/>
  <c r="V91" i="9"/>
  <c r="F94" i="9"/>
  <c r="V95" i="9"/>
  <c r="F98" i="9"/>
  <c r="V99" i="9"/>
  <c r="F102" i="9"/>
  <c r="V103" i="9"/>
  <c r="W103" i="9" s="1"/>
  <c r="F106" i="9"/>
  <c r="V107" i="9"/>
  <c r="W107" i="9" s="1"/>
  <c r="F110" i="9"/>
  <c r="V111" i="9"/>
  <c r="W111" i="9" s="1"/>
  <c r="F114" i="9"/>
  <c r="V115" i="9"/>
  <c r="W32" i="9" l="1"/>
  <c r="W37" i="9"/>
  <c r="W13" i="9"/>
  <c r="W69" i="9"/>
  <c r="W14" i="9"/>
  <c r="W34" i="9"/>
  <c r="W88" i="9"/>
  <c r="W46" i="9"/>
  <c r="W112" i="9"/>
  <c r="W108" i="9"/>
  <c r="W60" i="9"/>
  <c r="W75" i="9"/>
  <c r="W95" i="9"/>
  <c r="W84" i="9"/>
  <c r="W97" i="9"/>
  <c r="W18" i="9"/>
  <c r="W64" i="9"/>
  <c r="W71" i="9"/>
  <c r="W115" i="9"/>
  <c r="W91" i="9"/>
  <c r="W52" i="9"/>
  <c r="W99" i="9"/>
  <c r="W113" i="9"/>
  <c r="W89" i="9"/>
  <c r="W48" i="9"/>
  <c r="W24" i="9"/>
  <c r="W29" i="9"/>
  <c r="W5" i="9"/>
  <c r="W86" i="9"/>
  <c r="Y74" i="9"/>
  <c r="W74" i="9"/>
  <c r="W11" i="9"/>
  <c r="Y79" i="9"/>
  <c r="W79" i="9"/>
  <c r="W68" i="9"/>
  <c r="W82" i="9"/>
  <c r="W7" i="9"/>
  <c r="W78" i="9"/>
  <c r="W55" i="9"/>
  <c r="W43" i="9"/>
  <c r="W58" i="9"/>
  <c r="W23" i="9"/>
  <c r="W39" i="9"/>
  <c r="W62" i="9"/>
  <c r="W8" i="9"/>
  <c r="W94" i="9"/>
  <c r="W66" i="9"/>
  <c r="W98" i="9"/>
  <c r="W90" i="9"/>
  <c r="W15" i="9"/>
  <c r="F117" i="9"/>
  <c r="F124" i="9" s="1"/>
  <c r="W67" i="9"/>
  <c r="W104" i="9"/>
  <c r="W80" i="9"/>
  <c r="W56" i="9"/>
  <c r="W93" i="9"/>
  <c r="W28" i="9"/>
  <c r="W33" i="9"/>
  <c r="W9" i="9"/>
  <c r="W47" i="9"/>
  <c r="W114" i="9"/>
  <c r="W31" i="9"/>
  <c r="V117" i="9"/>
  <c r="V124" i="9" s="1"/>
  <c r="W4" i="9"/>
  <c r="W102" i="9"/>
  <c r="W51" i="9"/>
  <c r="W110" i="9"/>
  <c r="W10" i="9"/>
  <c r="W27" i="9"/>
  <c r="W19" i="9"/>
  <c r="W35" i="9"/>
  <c r="W117" i="9" l="1"/>
  <c r="W124" i="9" s="1"/>
</calcChain>
</file>

<file path=xl/comments1.xml><?xml version="1.0" encoding="utf-8"?>
<comments xmlns="http://schemas.openxmlformats.org/spreadsheetml/2006/main">
  <authors>
    <author/>
  </authors>
  <commentList>
    <comment ref="A6" authorId="0" shapeId="0">
      <text>
        <r>
          <rPr>
            <sz val="11"/>
            <color theme="1"/>
            <rFont val="Calibri"/>
            <scheme val="minor"/>
          </rPr>
          <t>@tiffany.franklin3@la.gov @bernell.cook@la.gov @randy.littleton@la.gov I created a Redesign allocation summary/schedule doc. Please review for correctness and add any missing information. We will load the final amounts once we have them.
_Assigned to _
	-Alexis Pritchard
Thank you!
	-Deleted user</t>
        </r>
      </text>
    </comment>
  </commentList>
</comments>
</file>

<file path=xl/sharedStrings.xml><?xml version="1.0" encoding="utf-8"?>
<sst xmlns="http://schemas.openxmlformats.org/spreadsheetml/2006/main" count="244" uniqueCount="217">
  <si>
    <t xml:space="preserve">Department of Education </t>
  </si>
  <si>
    <t>ALLOCATION SUMMARY FORM</t>
  </si>
  <si>
    <t>BESE Committee Date:</t>
  </si>
  <si>
    <t>ALLOCATION INFORMATION</t>
  </si>
  <si>
    <t xml:space="preserve">Allocation Name:  </t>
  </si>
  <si>
    <t xml:space="preserve">Funding Period:  </t>
  </si>
  <si>
    <t>ALLOCATION TYPE</t>
  </si>
  <si>
    <t>School Redesign (Title I Grants to Local Education Agencies)</t>
  </si>
  <si>
    <t>FY21 funds: April 19, 2024 - September 30, 2024
FY22 funds: April 19, 2023 ‐ September 30, 2024
FY23 funds: April 19, 2024 - September  30, 2025</t>
  </si>
  <si>
    <t>Competitive</t>
  </si>
  <si>
    <t>Initial Allocation</t>
  </si>
  <si>
    <t>CFDA# (if applicable):</t>
  </si>
  <si>
    <t>eGMS App:</t>
  </si>
  <si>
    <t>84.010A</t>
  </si>
  <si>
    <t>Super App</t>
  </si>
  <si>
    <t>FUNDING INFORMATION</t>
  </si>
  <si>
    <t>Fund Source</t>
  </si>
  <si>
    <t>Source Title 
(Federal GAN, State Fund, or IAT Title)</t>
  </si>
  <si>
    <t>Additional Description</t>
  </si>
  <si>
    <t>Funding Type</t>
  </si>
  <si>
    <t>Funding Amount</t>
  </si>
  <si>
    <t>Source 1:</t>
  </si>
  <si>
    <t>Other</t>
  </si>
  <si>
    <t>Redesign FY21</t>
  </si>
  <si>
    <t>Federal</t>
  </si>
  <si>
    <t>Source 2:</t>
  </si>
  <si>
    <t>Redesign FY22</t>
  </si>
  <si>
    <t>Source 3:</t>
  </si>
  <si>
    <t>Redesign FY23</t>
  </si>
  <si>
    <t>Source 4:</t>
  </si>
  <si>
    <t>-</t>
  </si>
  <si>
    <t>Total of All Fund Sources:</t>
  </si>
  <si>
    <t>CONTACT INFORMATION</t>
  </si>
  <si>
    <t>OFFICE CONTACT</t>
  </si>
  <si>
    <t>BUDGET CONTACT</t>
  </si>
  <si>
    <t xml:space="preserve">Contact Person:  </t>
  </si>
  <si>
    <t xml:space="preserve">Contact Person: </t>
  </si>
  <si>
    <t>Alexis Pritchard</t>
  </si>
  <si>
    <t>Randy Littleton</t>
  </si>
  <si>
    <t>Contact Person Phone #:</t>
  </si>
  <si>
    <t xml:space="preserve">Contact Person Phone #:  </t>
  </si>
  <si>
    <t>225-472-6740</t>
  </si>
  <si>
    <t>225-342-6266</t>
  </si>
  <si>
    <t>Division/Office:</t>
  </si>
  <si>
    <t xml:space="preserve">Division/Office:  </t>
  </si>
  <si>
    <t xml:space="preserve">Governmental, Administrative &amp; Public Affairs, and Operations            </t>
  </si>
  <si>
    <t xml:space="preserve">Federal Support and Grantee Relations/Governmental, Administrative &amp; Public Affairs, and Operations                                </t>
  </si>
  <si>
    <t>PROGRAM DESCRIPTION (PURPOSE):</t>
  </si>
  <si>
    <t>The Every Student Succeeds Act (ESSA) requires school systems to build plans to improve struggling schools. The state must use 7
percent of the state’s Title I funds to support high‐quality improvement plans. In Louisiana, these funds will be competitively
awarded to school systems that build the strongest plans for improvement.</t>
  </si>
  <si>
    <t>BASIS OF ALLOCATION:</t>
  </si>
  <si>
    <t>The Every Student Succeeds Act (ESSA) requires that local school systems create a plan to improve the performance of students in persistently struggling schools. ESSA also provides school improvement funding to implement state‐approved plans in identified struggling schools. LDOE staff reviewed applications from eligible school systems and determined allocations based on the quality of each plan.
Recipients of school improvement funding must comply with all terms of the grant, including implementing all CIR/UIR‐Academic approval and funding criteria as identified in the 2024‐2025 LDOE School System Planning Guide.
LEAs that do not meet the requirements of the grant and the implementation timeline will forfeit these school improvement allocations.</t>
  </si>
  <si>
    <t>Request Date:</t>
  </si>
  <si>
    <t>ALLOCATION TYPE:</t>
  </si>
  <si>
    <t>Formula</t>
  </si>
  <si>
    <t>Budget Program:</t>
  </si>
  <si>
    <t>Student Centered Goals</t>
  </si>
  <si>
    <t>Official Grant Title:</t>
  </si>
  <si>
    <t>Activity:</t>
  </si>
  <si>
    <t>PROGRAM CONTACT</t>
  </si>
  <si>
    <t>Randy Littleton, Chief of Staff - FSGR</t>
  </si>
  <si>
    <t>225-342-3900</t>
  </si>
  <si>
    <t>Federal Support &amp; Grantee Relations/Operations</t>
  </si>
  <si>
    <t>ALLOCATION AMOUNT BY FUNDING SOURCE</t>
  </si>
  <si>
    <t>FUND INFORMATION</t>
  </si>
  <si>
    <t>State:</t>
  </si>
  <si>
    <t>Source:</t>
  </si>
  <si>
    <t>Federal:</t>
  </si>
  <si>
    <t>Cost Center:</t>
  </si>
  <si>
    <t>IAT:</t>
  </si>
  <si>
    <t>Fund:</t>
  </si>
  <si>
    <t>Other (explain):</t>
  </si>
  <si>
    <t>Grant Code:</t>
  </si>
  <si>
    <t>Total:</t>
  </si>
  <si>
    <t>WBS Element:</t>
  </si>
  <si>
    <t>updated la.gov coding FY 2023 (2.10.23)</t>
  </si>
  <si>
    <t>Recipient</t>
  </si>
  <si>
    <t>Allocation</t>
  </si>
  <si>
    <t>Total</t>
  </si>
  <si>
    <t>FY21 Redesign 1003
April 2024 BESE</t>
  </si>
  <si>
    <t>FY22
P4.5.3</t>
  </si>
  <si>
    <t>FY22
P5.3.2</t>
  </si>
  <si>
    <t>FY22 Redesign 1003 April 2024 BESE</t>
  </si>
  <si>
    <t>FY23
P1.9.1</t>
  </si>
  <si>
    <t>FY23
P2.3-4-5</t>
  </si>
  <si>
    <t>FY23
P3.4.6</t>
  </si>
  <si>
    <t>FY23
P4.5.1</t>
  </si>
  <si>
    <t>FY23
P4.5.3</t>
  </si>
  <si>
    <t>FY23
P4.5.4</t>
  </si>
  <si>
    <t>FY23
P4.5.5</t>
  </si>
  <si>
    <t>FY23
P4.5.8</t>
  </si>
  <si>
    <t>FY23
P4.5.15</t>
  </si>
  <si>
    <t>FY23
P4.10.1</t>
  </si>
  <si>
    <t>FY23
P4.10.3</t>
  </si>
  <si>
    <t>FY23
P4.10.4</t>
  </si>
  <si>
    <t>FY23
P4.10.5</t>
  </si>
  <si>
    <t>FY23
P4.10.9</t>
  </si>
  <si>
    <t>FY23
P5.3.1</t>
  </si>
  <si>
    <t>FY23 Redesign 1003
April 2024 BESE</t>
  </si>
  <si>
    <t>All Redesign Total</t>
  </si>
  <si>
    <t>Acadia Parish</t>
  </si>
  <si>
    <t>Allen Parish</t>
  </si>
  <si>
    <t>Ascension Parish</t>
  </si>
  <si>
    <t>Assumption Parish</t>
  </si>
  <si>
    <t>Avoyelles Parish</t>
  </si>
  <si>
    <t>Beauregard Parish</t>
  </si>
  <si>
    <t>Bossier Parish</t>
  </si>
  <si>
    <t>Caddo Parish</t>
  </si>
  <si>
    <t>Calcasieu Parish</t>
  </si>
  <si>
    <t>Caldwell Parish</t>
  </si>
  <si>
    <t>Catahoula Parish</t>
  </si>
  <si>
    <t>City of Baker School District</t>
  </si>
  <si>
    <t>City of Bogalusa School District</t>
  </si>
  <si>
    <t>City of Monroe School District</t>
  </si>
  <si>
    <t>Claiborne Parish</t>
  </si>
  <si>
    <t>Concordia Parish</t>
  </si>
  <si>
    <t>DeSoto Parish</t>
  </si>
  <si>
    <t>East Baton Rouge Parish</t>
  </si>
  <si>
    <t>East Carroll Parish</t>
  </si>
  <si>
    <t>East Feliciana Parish</t>
  </si>
  <si>
    <t>Evangeline Parish</t>
  </si>
  <si>
    <t>Franklin Parish</t>
  </si>
  <si>
    <t>Grant Parish</t>
  </si>
  <si>
    <t>Iberia Parish</t>
  </si>
  <si>
    <t>Iberville Parish</t>
  </si>
  <si>
    <t>Jackson Parish</t>
  </si>
  <si>
    <t>Jefferson Davis Parish</t>
  </si>
  <si>
    <t>Jefferson Parish</t>
  </si>
  <si>
    <t>Lafayette Parish</t>
  </si>
  <si>
    <t>Lafourche Parish</t>
  </si>
  <si>
    <t>Lincoln Parish</t>
  </si>
  <si>
    <t>Livingston Parish</t>
  </si>
  <si>
    <t>Madison Parish</t>
  </si>
  <si>
    <t>Morehouse Parish</t>
  </si>
  <si>
    <t>Natchitoches Parish</t>
  </si>
  <si>
    <t>Office of Juvenile Justice</t>
  </si>
  <si>
    <t>Orleans Parish</t>
  </si>
  <si>
    <t>Ouachita Parish</t>
  </si>
  <si>
    <t>Plaquemines Parish</t>
  </si>
  <si>
    <t>Pointe Coupee Parish</t>
  </si>
  <si>
    <t>Rapides Parish</t>
  </si>
  <si>
    <t>Red River Parish</t>
  </si>
  <si>
    <t>Richland Parish</t>
  </si>
  <si>
    <t>Sabine Parish</t>
  </si>
  <si>
    <t>St. Bernard Parish</t>
  </si>
  <si>
    <t>St. Helena Parish</t>
  </si>
  <si>
    <t>St. John the Baptist Parish</t>
  </si>
  <si>
    <t>St. Landry Parish</t>
  </si>
  <si>
    <t>St. Martin Parish</t>
  </si>
  <si>
    <t>St. Mary Parish</t>
  </si>
  <si>
    <t>St. Tammany Parish</t>
  </si>
  <si>
    <t>Tangipahoa Parish</t>
  </si>
  <si>
    <t>Tensas Parish</t>
  </si>
  <si>
    <t>Terrebonne Parish</t>
  </si>
  <si>
    <t>Union Parish</t>
  </si>
  <si>
    <t>Vermilion Parish</t>
  </si>
  <si>
    <t>Vernon Parish</t>
  </si>
  <si>
    <t>Washington Parish</t>
  </si>
  <si>
    <t>Webster Parish</t>
  </si>
  <si>
    <t>West Baton Rouge Parish</t>
  </si>
  <si>
    <t>West Feliciana Parish</t>
  </si>
  <si>
    <t>Winn Parish</t>
  </si>
  <si>
    <t>Alice M Harte Elementary Charter School</t>
  </si>
  <si>
    <t>Athlos Academy of Jefferson Parish</t>
  </si>
  <si>
    <t>Collegiate Baton Rouge</t>
  </si>
  <si>
    <t>Dalton Charter School</t>
  </si>
  <si>
    <t>Dr Martin Luther King Charter School for Sci Tech</t>
  </si>
  <si>
    <t>Einstein Charter at Sherwood Forest</t>
  </si>
  <si>
    <t>Einstein Charter Middle Sch at Sarah Towles Reed</t>
  </si>
  <si>
    <t>Einstein Charter School at Village De L'Est</t>
  </si>
  <si>
    <t>Elan Academy</t>
  </si>
  <si>
    <t>Orleans-2023</t>
  </si>
  <si>
    <t>Esperanza Charter School</t>
  </si>
  <si>
    <t>Fannie C Williams Charter School</t>
  </si>
  <si>
    <t>Harriet Tubman Charter School</t>
  </si>
  <si>
    <t>Homer Plessy Community School</t>
  </si>
  <si>
    <t>Howard School</t>
  </si>
  <si>
    <t>Lincoln -2023</t>
  </si>
  <si>
    <t>Hynes Parkview</t>
  </si>
  <si>
    <t>Iberville Charter Academy</t>
  </si>
  <si>
    <t>JCFA Lafayette</t>
  </si>
  <si>
    <t>JCFA-East</t>
  </si>
  <si>
    <t>KIPP Believe</t>
  </si>
  <si>
    <t>KIPP Booker T. Washington</t>
  </si>
  <si>
    <t>KIPP Central City</t>
  </si>
  <si>
    <t>KIPP East Community Primary</t>
  </si>
  <si>
    <t>KIPP Ernest N. Dutch Morial</t>
  </si>
  <si>
    <t>KIPP Leadership</t>
  </si>
  <si>
    <t>Langston Hughes Charter Academy</t>
  </si>
  <si>
    <t>Lord Beaconsfield Landry-Oliver Perry Walker High</t>
  </si>
  <si>
    <t>Louisiana Key Academy Baton Rouge</t>
  </si>
  <si>
    <t>Louisiana Virtual Charter Academy</t>
  </si>
  <si>
    <t>Martin Behrman Elementary School</t>
  </si>
  <si>
    <t>McDonogh 42 Charter School</t>
  </si>
  <si>
    <t>New Harmony High Institute</t>
  </si>
  <si>
    <t>New Orleans Accelerated High School</t>
  </si>
  <si>
    <t>New Vision Learning Academy</t>
  </si>
  <si>
    <t>Noble Minds</t>
  </si>
  <si>
    <t>Phillis Wheatley Community School</t>
  </si>
  <si>
    <t>ReNew Dolores T Aaron Elementary</t>
  </si>
  <si>
    <t>ReNEW Schaumburg Elementary</t>
  </si>
  <si>
    <t>ReNEW SciTech Academy at Laurel</t>
  </si>
  <si>
    <t>Robert Russa Moton Charter School</t>
  </si>
  <si>
    <t>Sarah Towles Reed High School</t>
  </si>
  <si>
    <t>Southwest Louisiana Charter Academy</t>
  </si>
  <si>
    <t>St. Landry Primary School, Incl.</t>
  </si>
  <si>
    <t>Success Preparatory Academy</t>
  </si>
  <si>
    <t>The MAX Charter School</t>
  </si>
  <si>
    <t>The NET Charter High School</t>
  </si>
  <si>
    <t>The NET2 High School</t>
  </si>
  <si>
    <t>Thrive Academy</t>
  </si>
  <si>
    <t>University View Academy, Inc. (FRM LA Connections)</t>
  </si>
  <si>
    <t>Voices for International Business &amp; Education</t>
  </si>
  <si>
    <t>Wilson Charter School</t>
  </si>
  <si>
    <t>YACS at Lawrence D. Crocker</t>
  </si>
  <si>
    <t>%</t>
  </si>
  <si>
    <t>Column Should Total:</t>
  </si>
  <si>
    <t>Check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</si>
</sst>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5" formatCode="&quot;$&quot;#,##0_);\(&quot;$&quot;#,##0\)"/>
    <numFmt numFmtId="44" formatCode="_(&quot;$&quot;* #,##0.00_);_(&quot;$&quot;* \(#,##0.00\);_(&quot;$&quot;* &quot;-&quot;??_);_(@_)"/>
    <numFmt numFmtId="164" formatCode="mmmm\ d\,\ yyyy"/>
    <numFmt numFmtId="165" formatCode="_(&quot;$&quot;* #,##0_);_(&quot;$&quot;* \(#,##0\);_(&quot;$&quot;* &quot;-&quot;??_);_(@_)"/>
    <numFmt numFmtId="166" formatCode="_([$$-409]* #,##0.00_);_([$$-409]* \(#,##0.00\);_([$$-409]* &quot;-&quot;??_);_(@_)"/>
    <numFmt numFmtId="167" formatCode="_([$$-409]* #,##0_);_([$$-409]* \(#,##0\);_([$$-409]* &quot;-&quot;??_);_(@_)"/>
    <numFmt numFmtId="168" formatCode="&quot;$&quot;#,##0"/>
    <numFmt numFmtId="169" formatCode="&quot;$&quot;#,##0.00"/>
  </numFmts>
  <fonts count="18">
    <font>
      <sz val="11"/>
      <color theme="1"/>
      <name val="Calibri"/>
      <scheme val="minor"/>
    </font>
    <font>
      <sz val="11"/>
      <color theme="1"/>
      <name val="Calibri"/>
      <scheme val="minor"/>
    </font>
    <font>
      <b/>
      <sz val="11"/>
      <color theme="1"/>
      <name val="Calibri"/>
    </font>
    <font>
      <sz val="11"/>
      <color theme="1"/>
      <name val="Calibri"/>
    </font>
    <font>
      <b/>
      <sz val="16"/>
      <color theme="1"/>
      <name val="Calibri"/>
    </font>
    <font>
      <b/>
      <sz val="15"/>
      <color theme="1"/>
      <name val="Calibri"/>
    </font>
    <font>
      <sz val="11"/>
      <name val="Calibri"/>
    </font>
    <font>
      <b/>
      <sz val="11"/>
      <color theme="1"/>
      <name val="Calibri"/>
      <scheme val="minor"/>
    </font>
    <font>
      <b/>
      <sz val="14"/>
      <color rgb="FFFFFFFF"/>
      <name val="Calibri"/>
    </font>
    <font>
      <b/>
      <sz val="12"/>
      <color theme="1"/>
      <name val="Calibri"/>
    </font>
    <font>
      <b/>
      <sz val="11"/>
      <color theme="1"/>
      <name val="Calibri"/>
    </font>
    <font>
      <b/>
      <sz val="14"/>
      <color theme="1"/>
      <name val="Calibri"/>
    </font>
    <font>
      <b/>
      <sz val="8"/>
      <color theme="1"/>
      <name val="Calibri"/>
    </font>
    <font>
      <b/>
      <sz val="14"/>
      <color theme="0"/>
      <name val="Calibri"/>
    </font>
    <font>
      <b/>
      <sz val="9"/>
      <color theme="1"/>
      <name val="Calibri"/>
    </font>
    <font>
      <b/>
      <i/>
      <sz val="13"/>
      <color theme="1"/>
      <name val="Arial Narrow"/>
    </font>
    <font>
      <b/>
      <sz val="11"/>
      <color rgb="FF000000"/>
      <name val="Calibri"/>
    </font>
    <font>
      <sz val="11"/>
      <color rgb="FF000000"/>
      <name val="Calibri"/>
    </font>
  </fonts>
  <fills count="13">
    <fill>
      <patternFill patternType="none"/>
    </fill>
    <fill>
      <patternFill patternType="gray125"/>
    </fill>
    <fill>
      <patternFill patternType="solid">
        <fgColor rgb="FF999999"/>
        <bgColor rgb="FF999999"/>
      </patternFill>
    </fill>
    <fill>
      <patternFill patternType="solid">
        <fgColor rgb="FF757070"/>
        <bgColor rgb="FF757070"/>
      </patternFill>
    </fill>
    <fill>
      <patternFill patternType="solid">
        <fgColor rgb="FFBFBFBF"/>
        <bgColor rgb="FFBFBFBF"/>
      </patternFill>
    </fill>
    <fill>
      <patternFill patternType="solid">
        <fgColor rgb="FFD9D9D9"/>
        <bgColor rgb="FFD9D9D9"/>
      </patternFill>
    </fill>
    <fill>
      <patternFill patternType="solid">
        <fgColor rgb="FFB7B7B7"/>
        <bgColor rgb="FFB7B7B7"/>
      </patternFill>
    </fill>
    <fill>
      <patternFill patternType="solid">
        <fgColor rgb="FFCCCCCC"/>
        <bgColor rgb="FFCCCCCC"/>
      </patternFill>
    </fill>
    <fill>
      <patternFill patternType="solid">
        <fgColor rgb="FFE7E6E6"/>
        <bgColor rgb="FFE7E6E6"/>
      </patternFill>
    </fill>
    <fill>
      <patternFill patternType="solid">
        <fgColor theme="0"/>
        <bgColor theme="0"/>
      </patternFill>
    </fill>
    <fill>
      <patternFill patternType="solid">
        <fgColor rgb="FFF2F2F2"/>
        <bgColor rgb="FFF2F2F2"/>
      </patternFill>
    </fill>
    <fill>
      <patternFill patternType="solid">
        <fgColor rgb="FFFFFF00"/>
        <bgColor rgb="FFFFFF00"/>
      </patternFill>
    </fill>
    <fill>
      <patternFill patternType="solid">
        <fgColor rgb="FFD9EAD3"/>
        <bgColor rgb="FFD9EAD3"/>
      </patternFill>
    </fill>
  </fills>
  <borders count="48">
    <border>
      <left/>
      <right/>
      <top/>
      <bottom/>
      <diagonal/>
    </border>
    <border>
      <left/>
      <right/>
      <top/>
      <bottom style="medium">
        <color rgb="FF000000"/>
      </bottom>
      <diagonal/>
    </border>
    <border>
      <left style="medium">
        <color rgb="FF000000"/>
      </left>
      <right/>
      <top/>
      <bottom style="medium">
        <color rgb="FF000000"/>
      </bottom>
      <diagonal/>
    </border>
    <border>
      <left/>
      <right style="medium">
        <color rgb="FF000000"/>
      </right>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thin">
        <color rgb="FF000000"/>
      </bottom>
      <diagonal/>
    </border>
    <border>
      <left/>
      <right/>
      <top/>
      <bottom style="thin">
        <color rgb="FF000000"/>
      </bottom>
      <diagonal/>
    </border>
    <border>
      <left/>
      <right style="medium">
        <color rgb="FF000000"/>
      </right>
      <top/>
      <bottom style="thin">
        <color rgb="FF000000"/>
      </bottom>
      <diagonal/>
    </border>
    <border>
      <left style="medium">
        <color rgb="FF000000"/>
      </left>
      <right style="thin">
        <color rgb="FF000000"/>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style="medium">
        <color rgb="FF000000"/>
      </right>
      <top style="thin">
        <color rgb="FF000000"/>
      </top>
      <bottom style="thin">
        <color rgb="FF000000"/>
      </bottom>
      <diagonal/>
    </border>
    <border>
      <left style="thin">
        <color rgb="FF000000"/>
      </left>
      <right/>
      <top/>
      <bottom style="thin">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top/>
      <bottom/>
      <diagonal/>
    </border>
    <border>
      <left/>
      <right/>
      <top/>
      <bottom/>
      <diagonal/>
    </border>
    <border>
      <left style="medium">
        <color rgb="FF000000"/>
      </left>
      <right/>
      <top/>
      <bottom/>
      <diagonal/>
    </border>
    <border>
      <left/>
      <right style="medium">
        <color rgb="FF000000"/>
      </right>
      <top/>
      <bottom/>
      <diagonal/>
    </border>
    <border>
      <left style="medium">
        <color rgb="FF000000"/>
      </left>
      <right style="thin">
        <color rgb="FF000000"/>
      </right>
      <top/>
      <bottom/>
      <diagonal/>
    </border>
    <border>
      <left style="medium">
        <color rgb="FF000000"/>
      </left>
      <right style="medium">
        <color rgb="FF000000"/>
      </right>
      <top style="medium">
        <color rgb="FF000000"/>
      </top>
      <bottom/>
      <diagonal/>
    </border>
    <border>
      <left style="medium">
        <color rgb="FF000000"/>
      </left>
      <right style="medium">
        <color rgb="FF000000"/>
      </right>
      <top/>
      <bottom style="medium">
        <color rgb="FF000000"/>
      </bottom>
      <diagonal/>
    </border>
    <border>
      <left style="medium">
        <color rgb="FF000000"/>
      </left>
      <right style="thin">
        <color rgb="FF000000"/>
      </right>
      <top style="thin">
        <color rgb="FF000000"/>
      </top>
      <bottom/>
      <diagonal/>
    </border>
    <border>
      <left style="medium">
        <color rgb="FF000000"/>
      </left>
      <right/>
      <top/>
      <bottom/>
      <diagonal/>
    </border>
    <border>
      <left/>
      <right/>
      <top/>
      <bottom/>
      <diagonal/>
    </border>
    <border>
      <left/>
      <right style="medium">
        <color rgb="FF000000"/>
      </right>
      <top/>
      <bottom/>
      <diagonal/>
    </border>
    <border>
      <left style="medium">
        <color rgb="FF000000"/>
      </left>
      <right style="thin">
        <color rgb="FF000000"/>
      </right>
      <top/>
      <bottom style="medium">
        <color rgb="FF000000"/>
      </bottom>
      <diagonal/>
    </border>
    <border>
      <left style="medium">
        <color rgb="FF000000"/>
      </left>
      <right/>
      <top style="medium">
        <color rgb="FF000000"/>
      </top>
      <bottom/>
      <diagonal/>
    </border>
    <border>
      <left/>
      <right/>
      <top style="medium">
        <color rgb="FF000000"/>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style="thin">
        <color rgb="FF000000"/>
      </top>
      <bottom style="thin">
        <color rgb="FF000000"/>
      </bottom>
      <diagonal/>
    </border>
    <border>
      <left style="medium">
        <color rgb="FF000000"/>
      </left>
      <right/>
      <top style="thin">
        <color rgb="FF000000"/>
      </top>
      <bottom style="medium">
        <color rgb="FF000000"/>
      </bottom>
      <diagonal/>
    </border>
    <border>
      <left/>
      <right/>
      <top style="thin">
        <color rgb="FF000000"/>
      </top>
      <bottom style="medium">
        <color rgb="FF000000"/>
      </bottom>
      <diagonal/>
    </border>
    <border>
      <left/>
      <right style="medium">
        <color rgb="FF000000"/>
      </right>
      <top style="thin">
        <color rgb="FF000000"/>
      </top>
      <bottom style="medium">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s>
  <cellStyleXfs count="1">
    <xf numFmtId="0" fontId="0" fillId="0" borderId="0"/>
  </cellStyleXfs>
  <cellXfs count="140">
    <xf numFmtId="0" fontId="0" fillId="0" borderId="0" xfId="0" applyFont="1" applyAlignment="1"/>
    <xf numFmtId="0" fontId="3" fillId="0" borderId="0" xfId="0" applyFont="1" applyAlignment="1"/>
    <xf numFmtId="0" fontId="4" fillId="0" borderId="0" xfId="0" applyFont="1" applyAlignment="1"/>
    <xf numFmtId="0" fontId="3" fillId="0" borderId="1" xfId="0" applyFont="1" applyBorder="1" applyAlignment="1"/>
    <xf numFmtId="0" fontId="10" fillId="0" borderId="12" xfId="0" applyFont="1" applyBorder="1" applyAlignment="1">
      <alignment horizontal="center" vertical="center"/>
    </xf>
    <xf numFmtId="0" fontId="3" fillId="0" borderId="12" xfId="0" applyFont="1" applyBorder="1" applyAlignment="1"/>
    <xf numFmtId="0" fontId="8" fillId="3" borderId="2" xfId="0" applyFont="1" applyFill="1" applyBorder="1" applyAlignment="1"/>
    <xf numFmtId="0" fontId="3" fillId="3" borderId="1" xfId="0" applyFont="1" applyFill="1" applyBorder="1" applyAlignment="1"/>
    <xf numFmtId="0" fontId="3" fillId="3" borderId="3" xfId="0" applyFont="1" applyFill="1" applyBorder="1" applyAlignment="1"/>
    <xf numFmtId="0" fontId="4" fillId="0" borderId="0" xfId="0" applyFont="1"/>
    <xf numFmtId="0" fontId="2" fillId="0" borderId="0" xfId="0" applyFont="1" applyAlignment="1">
      <alignment horizontal="right"/>
    </xf>
    <xf numFmtId="0" fontId="2" fillId="0" borderId="7" xfId="0" applyFont="1" applyBorder="1" applyAlignment="1">
      <alignment horizontal="right"/>
    </xf>
    <xf numFmtId="0" fontId="2" fillId="0" borderId="2" xfId="0" applyFont="1" applyBorder="1" applyAlignment="1">
      <alignment horizontal="right"/>
    </xf>
    <xf numFmtId="0" fontId="3" fillId="0" borderId="46" xfId="0" applyFont="1" applyBorder="1"/>
    <xf numFmtId="0" fontId="2" fillId="10" borderId="46" xfId="0" applyFont="1" applyFill="1" applyBorder="1" applyAlignment="1">
      <alignment horizontal="center"/>
    </xf>
    <xf numFmtId="165" fontId="2" fillId="10" borderId="46" xfId="0" applyNumberFormat="1" applyFont="1" applyFill="1" applyBorder="1" applyAlignment="1">
      <alignment horizontal="center"/>
    </xf>
    <xf numFmtId="165" fontId="3" fillId="0" borderId="46" xfId="0" applyNumberFormat="1" applyFont="1" applyBorder="1"/>
    <xf numFmtId="165" fontId="3" fillId="0" borderId="46" xfId="0" applyNumberFormat="1" applyFont="1" applyBorder="1" applyAlignment="1"/>
    <xf numFmtId="44" fontId="3" fillId="0" borderId="46" xfId="0" applyNumberFormat="1" applyFont="1" applyBorder="1"/>
    <xf numFmtId="166" fontId="3" fillId="0" borderId="46" xfId="0" applyNumberFormat="1" applyFont="1" applyBorder="1"/>
    <xf numFmtId="166" fontId="3" fillId="0" borderId="0" xfId="0" applyNumberFormat="1" applyFont="1"/>
    <xf numFmtId="0" fontId="2" fillId="8" borderId="46" xfId="0" applyFont="1" applyFill="1" applyBorder="1"/>
    <xf numFmtId="44" fontId="2" fillId="8" borderId="46" xfId="0" applyNumberFormat="1" applyFont="1" applyFill="1" applyBorder="1"/>
    <xf numFmtId="167" fontId="2" fillId="8" borderId="46" xfId="0" applyNumberFormat="1" applyFont="1" applyFill="1" applyBorder="1"/>
    <xf numFmtId="44" fontId="3" fillId="0" borderId="0" xfId="0" applyNumberFormat="1" applyFont="1"/>
    <xf numFmtId="0" fontId="3" fillId="0" borderId="0" xfId="0" applyFont="1"/>
    <xf numFmtId="0" fontId="16" fillId="5" borderId="46" xfId="0" applyFont="1" applyFill="1" applyBorder="1" applyAlignment="1">
      <alignment horizontal="center" vertical="center"/>
    </xf>
    <xf numFmtId="165" fontId="2" fillId="5" borderId="46" xfId="0" applyNumberFormat="1" applyFont="1" applyFill="1" applyBorder="1" applyAlignment="1">
      <alignment horizontal="center" vertical="center" wrapText="1"/>
    </xf>
    <xf numFmtId="0" fontId="3" fillId="0" borderId="46" xfId="0" applyFont="1" applyBorder="1" applyAlignment="1">
      <alignment vertical="top" wrapText="1"/>
    </xf>
    <xf numFmtId="165" fontId="16" fillId="5" borderId="46" xfId="0" applyNumberFormat="1" applyFont="1" applyFill="1" applyBorder="1" applyAlignment="1">
      <alignment horizontal="center" wrapText="1"/>
    </xf>
    <xf numFmtId="165" fontId="3" fillId="0" borderId="46" xfId="0" applyNumberFormat="1" applyFont="1" applyBorder="1" applyAlignment="1">
      <alignment horizontal="right"/>
    </xf>
    <xf numFmtId="165" fontId="17" fillId="0" borderId="46" xfId="0" applyNumberFormat="1" applyFont="1" applyBorder="1"/>
    <xf numFmtId="165" fontId="1" fillId="0" borderId="0" xfId="0" applyNumberFormat="1" applyFont="1"/>
    <xf numFmtId="0" fontId="3" fillId="0" borderId="46" xfId="0" applyFont="1" applyBorder="1" applyAlignment="1">
      <alignment wrapText="1"/>
    </xf>
    <xf numFmtId="165" fontId="1" fillId="11" borderId="0" xfId="0" applyNumberFormat="1" applyFont="1" applyFill="1"/>
    <xf numFmtId="165" fontId="1" fillId="11" borderId="0" xfId="0" applyNumberFormat="1" applyFont="1" applyFill="1" applyAlignment="1"/>
    <xf numFmtId="0" fontId="1" fillId="11" borderId="0" xfId="0" applyFont="1" applyFill="1"/>
    <xf numFmtId="0" fontId="16" fillId="5" borderId="47" xfId="0" applyFont="1" applyFill="1" applyBorder="1" applyAlignment="1">
      <alignment horizontal="right"/>
    </xf>
    <xf numFmtId="165" fontId="16" fillId="5" borderId="13" xfId="0" applyNumberFormat="1" applyFont="1" applyFill="1" applyBorder="1"/>
    <xf numFmtId="0" fontId="3" fillId="0" borderId="0" xfId="0" applyFont="1"/>
    <xf numFmtId="0" fontId="3" fillId="0" borderId="0" xfId="0" applyFont="1" applyAlignment="1"/>
    <xf numFmtId="10" fontId="3" fillId="0" borderId="0" xfId="0" applyNumberFormat="1" applyFont="1" applyAlignment="1"/>
    <xf numFmtId="169" fontId="3" fillId="0" borderId="0" xfId="0" applyNumberFormat="1" applyFont="1" applyAlignment="1"/>
    <xf numFmtId="0" fontId="2" fillId="12" borderId="0" xfId="0" applyFont="1" applyFill="1" applyAlignment="1">
      <alignment horizontal="right"/>
    </xf>
    <xf numFmtId="168" fontId="3" fillId="12" borderId="0" xfId="0" applyNumberFormat="1" applyFont="1" applyFill="1" applyAlignment="1"/>
    <xf numFmtId="168" fontId="3" fillId="0" borderId="0" xfId="0" applyNumberFormat="1" applyFont="1"/>
    <xf numFmtId="0" fontId="3" fillId="0" borderId="10" xfId="0" applyFont="1" applyBorder="1" applyAlignment="1">
      <alignment wrapText="1"/>
    </xf>
    <xf numFmtId="0" fontId="6" fillId="0" borderId="10" xfId="0" applyFont="1" applyBorder="1"/>
    <xf numFmtId="0" fontId="6" fillId="0" borderId="13" xfId="0" applyFont="1" applyBorder="1"/>
    <xf numFmtId="0" fontId="1" fillId="0" borderId="10" xfId="0" applyFont="1" applyBorder="1"/>
    <xf numFmtId="0" fontId="3" fillId="0" borderId="10" xfId="0" applyFont="1" applyBorder="1" applyAlignment="1"/>
    <xf numFmtId="165" fontId="3" fillId="0" borderId="10" xfId="0" applyNumberFormat="1" applyFont="1" applyBorder="1" applyAlignment="1">
      <alignment horizontal="right"/>
    </xf>
    <xf numFmtId="0" fontId="6" fillId="0" borderId="11" xfId="0" applyFont="1" applyBorder="1"/>
    <xf numFmtId="0" fontId="2" fillId="6" borderId="2" xfId="0" applyFont="1" applyFill="1" applyBorder="1" applyAlignment="1">
      <alignment horizontal="right"/>
    </xf>
    <xf numFmtId="0" fontId="6" fillId="0" borderId="1" xfId="0" applyFont="1" applyBorder="1"/>
    <xf numFmtId="0" fontId="6" fillId="0" borderId="3" xfId="0" applyFont="1" applyBorder="1"/>
    <xf numFmtId="165" fontId="2" fillId="7" borderId="1" xfId="0" applyNumberFormat="1" applyFont="1" applyFill="1" applyBorder="1" applyAlignment="1">
      <alignment horizontal="right"/>
    </xf>
    <xf numFmtId="0" fontId="1" fillId="0" borderId="1" xfId="0" applyFont="1" applyBorder="1"/>
    <xf numFmtId="0" fontId="8" fillId="3" borderId="2" xfId="0" applyFont="1" applyFill="1" applyBorder="1" applyAlignment="1"/>
    <xf numFmtId="0" fontId="2" fillId="4" borderId="19" xfId="0" applyFont="1" applyFill="1" applyBorder="1" applyAlignment="1">
      <alignment horizontal="center"/>
    </xf>
    <xf numFmtId="0" fontId="6" fillId="0" borderId="20" xfId="0" applyFont="1" applyBorder="1"/>
    <xf numFmtId="0" fontId="6" fillId="0" borderId="21" xfId="0" applyFont="1" applyBorder="1"/>
    <xf numFmtId="0" fontId="2" fillId="4" borderId="1" xfId="0" applyFont="1" applyFill="1" applyBorder="1" applyAlignment="1">
      <alignment horizontal="center"/>
    </xf>
    <xf numFmtId="0" fontId="9" fillId="0" borderId="7" xfId="0" applyFont="1" applyBorder="1" applyAlignment="1"/>
    <xf numFmtId="0" fontId="0" fillId="0" borderId="0" xfId="0" applyFont="1" applyAlignment="1"/>
    <xf numFmtId="0" fontId="6" fillId="0" borderId="8" xfId="0" applyFont="1" applyBorder="1"/>
    <xf numFmtId="0" fontId="9" fillId="0" borderId="0" xfId="0" applyFont="1" applyAlignment="1"/>
    <xf numFmtId="0" fontId="3" fillId="8" borderId="1" xfId="0" applyFont="1" applyFill="1" applyBorder="1" applyAlignment="1">
      <alignment horizontal="center" wrapText="1"/>
    </xf>
    <xf numFmtId="0" fontId="3" fillId="8" borderId="7" xfId="0" applyFont="1" applyFill="1" applyBorder="1" applyAlignment="1">
      <alignment vertical="top" wrapText="1"/>
    </xf>
    <xf numFmtId="0" fontId="6" fillId="0" borderId="7" xfId="0" applyFont="1" applyBorder="1"/>
    <xf numFmtId="0" fontId="6" fillId="0" borderId="2" xfId="0" applyFont="1" applyBorder="1"/>
    <xf numFmtId="0" fontId="3" fillId="8" borderId="1" xfId="0" applyFont="1" applyFill="1" applyBorder="1" applyAlignment="1">
      <alignment horizontal="center" vertical="center" wrapText="1"/>
    </xf>
    <xf numFmtId="0" fontId="5" fillId="0" borderId="0" xfId="0" applyFont="1" applyAlignment="1">
      <alignment horizontal="right"/>
    </xf>
    <xf numFmtId="0" fontId="2" fillId="0" borderId="1" xfId="0" applyFont="1" applyBorder="1" applyAlignment="1">
      <alignment horizontal="right"/>
    </xf>
    <xf numFmtId="164" fontId="7" fillId="2" borderId="1" xfId="0" applyNumberFormat="1" applyFont="1" applyFill="1" applyBorder="1" applyAlignment="1"/>
    <xf numFmtId="0" fontId="9" fillId="0" borderId="5" xfId="0" applyFont="1" applyBorder="1" applyAlignment="1">
      <alignment vertical="center"/>
    </xf>
    <xf numFmtId="0" fontId="6" fillId="0" borderId="5" xfId="0" applyFont="1" applyBorder="1"/>
    <xf numFmtId="0" fontId="6" fillId="0" borderId="6" xfId="0" applyFont="1" applyBorder="1"/>
    <xf numFmtId="0" fontId="2" fillId="4" borderId="5" xfId="0" applyFont="1" applyFill="1" applyBorder="1" applyAlignment="1">
      <alignment horizontal="center" vertical="center"/>
    </xf>
    <xf numFmtId="0" fontId="3" fillId="5" borderId="2"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9" fillId="0" borderId="4" xfId="0" applyFont="1" applyBorder="1" applyAlignment="1">
      <alignment vertical="center"/>
    </xf>
    <xf numFmtId="0" fontId="3" fillId="5" borderId="7" xfId="0" applyFont="1" applyFill="1" applyBorder="1" applyAlignment="1">
      <alignment horizontal="center" vertical="center" wrapText="1"/>
    </xf>
    <xf numFmtId="0" fontId="3" fillId="5" borderId="0" xfId="0" applyFont="1" applyFill="1" applyAlignment="1">
      <alignment horizontal="center" vertical="center" wrapText="1"/>
    </xf>
    <xf numFmtId="0" fontId="2" fillId="0" borderId="0" xfId="0" applyFont="1" applyAlignment="1">
      <alignment horizontal="center" vertical="center"/>
    </xf>
    <xf numFmtId="0" fontId="9" fillId="0" borderId="7" xfId="0" applyFont="1" applyBorder="1" applyAlignment="1">
      <alignment vertical="center"/>
    </xf>
    <xf numFmtId="0" fontId="9" fillId="0" borderId="0" xfId="0" applyFont="1" applyAlignment="1">
      <alignment vertical="center"/>
    </xf>
    <xf numFmtId="0" fontId="3" fillId="0" borderId="15" xfId="0" applyFont="1" applyBorder="1" applyAlignment="1"/>
    <xf numFmtId="0" fontId="6" fillId="0" borderId="16" xfId="0" applyFont="1" applyBorder="1"/>
    <xf numFmtId="0" fontId="8" fillId="3" borderId="9" xfId="0" applyFont="1" applyFill="1" applyBorder="1" applyAlignment="1"/>
    <xf numFmtId="0" fontId="10" fillId="0" borderId="10" xfId="0" applyFont="1" applyBorder="1" applyAlignment="1">
      <alignment horizontal="center" vertical="center"/>
    </xf>
    <xf numFmtId="165" fontId="3" fillId="0" borderId="15" xfId="0" applyNumberFormat="1" applyFont="1" applyBorder="1" applyAlignment="1">
      <alignment horizontal="right"/>
    </xf>
    <xf numFmtId="0" fontId="6" fillId="0" borderId="17" xfId="0" applyFont="1" applyBorder="1"/>
    <xf numFmtId="0" fontId="3" fillId="0" borderId="14" xfId="0" applyFont="1" applyBorder="1" applyAlignment="1">
      <alignment wrapText="1"/>
    </xf>
    <xf numFmtId="0" fontId="6" fillId="0" borderId="15" xfId="0" applyFont="1" applyBorder="1"/>
    <xf numFmtId="0" fontId="3" fillId="0" borderId="18" xfId="0" applyFont="1" applyBorder="1" applyAlignment="1">
      <alignment wrapText="1"/>
    </xf>
    <xf numFmtId="0" fontId="3" fillId="8" borderId="36" xfId="0" applyFont="1" applyFill="1" applyBorder="1" applyAlignment="1">
      <alignment horizontal="center" wrapText="1"/>
    </xf>
    <xf numFmtId="0" fontId="6" fillId="0" borderId="37" xfId="0" applyFont="1" applyBorder="1"/>
    <xf numFmtId="0" fontId="6" fillId="0" borderId="38" xfId="0" applyFont="1" applyBorder="1"/>
    <xf numFmtId="0" fontId="3" fillId="0" borderId="20" xfId="0" applyFont="1" applyBorder="1" applyAlignment="1">
      <alignment horizontal="center"/>
    </xf>
    <xf numFmtId="0" fontId="13" fillId="3" borderId="19" xfId="0" applyFont="1" applyFill="1" applyBorder="1" applyAlignment="1">
      <alignment horizontal="left"/>
    </xf>
    <xf numFmtId="0" fontId="2" fillId="9" borderId="39" xfId="0" applyFont="1" applyFill="1" applyBorder="1" applyAlignment="1">
      <alignment horizontal="left"/>
    </xf>
    <xf numFmtId="0" fontId="6" fillId="0" borderId="40" xfId="0" applyFont="1" applyBorder="1"/>
    <xf numFmtId="0" fontId="2" fillId="8" borderId="39" xfId="0" applyFont="1" applyFill="1" applyBorder="1" applyAlignment="1">
      <alignment horizontal="left"/>
    </xf>
    <xf numFmtId="0" fontId="6" fillId="0" borderId="41" xfId="0" applyFont="1" applyBorder="1"/>
    <xf numFmtId="5" fontId="2" fillId="8" borderId="39" xfId="0" applyNumberFormat="1" applyFont="1" applyFill="1" applyBorder="1" applyAlignment="1">
      <alignment horizontal="right"/>
    </xf>
    <xf numFmtId="5" fontId="2" fillId="8" borderId="42" xfId="0" applyNumberFormat="1" applyFont="1" applyFill="1" applyBorder="1" applyAlignment="1">
      <alignment horizontal="right"/>
    </xf>
    <xf numFmtId="0" fontId="2" fillId="9" borderId="42" xfId="0" applyFont="1" applyFill="1" applyBorder="1" applyAlignment="1">
      <alignment horizontal="left"/>
    </xf>
    <xf numFmtId="0" fontId="2" fillId="8" borderId="42" xfId="0" applyFont="1" applyFill="1" applyBorder="1" applyAlignment="1">
      <alignment horizontal="left"/>
    </xf>
    <xf numFmtId="0" fontId="11" fillId="0" borderId="0" xfId="0" applyFont="1" applyAlignment="1">
      <alignment horizontal="right"/>
    </xf>
    <xf numFmtId="0" fontId="12" fillId="0" borderId="0" xfId="0" applyFont="1"/>
    <xf numFmtId="14" fontId="3" fillId="4" borderId="22" xfId="0" applyNumberFormat="1" applyFont="1" applyFill="1" applyBorder="1" applyAlignment="1">
      <alignment horizontal="center"/>
    </xf>
    <xf numFmtId="0" fontId="6" fillId="0" borderId="23" xfId="0" applyFont="1" applyBorder="1"/>
    <xf numFmtId="0" fontId="9" fillId="0" borderId="4" xfId="0" applyFont="1" applyBorder="1" applyAlignment="1">
      <alignment horizontal="left"/>
    </xf>
    <xf numFmtId="0" fontId="14" fillId="4" borderId="19" xfId="0" applyFont="1" applyFill="1" applyBorder="1" applyAlignment="1">
      <alignment horizontal="center"/>
    </xf>
    <xf numFmtId="0" fontId="2" fillId="0" borderId="26" xfId="0" applyFont="1" applyBorder="1" applyAlignment="1">
      <alignment horizontal="center" vertical="center"/>
    </xf>
    <xf numFmtId="0" fontId="6" fillId="0" borderId="12" xfId="0" applyFont="1" applyBorder="1"/>
    <xf numFmtId="0" fontId="2" fillId="0" borderId="29" xfId="0" applyFont="1" applyBorder="1" applyAlignment="1">
      <alignment horizontal="center" vertical="center"/>
    </xf>
    <xf numFmtId="0" fontId="2" fillId="8" borderId="27" xfId="0" applyFont="1" applyFill="1" applyBorder="1" applyAlignment="1">
      <alignment horizontal="center" vertical="center" wrapText="1"/>
    </xf>
    <xf numFmtId="0" fontId="6" fillId="0" borderId="28" xfId="0" applyFont="1" applyBorder="1"/>
    <xf numFmtId="0" fontId="3" fillId="8" borderId="24" xfId="0" applyFont="1" applyFill="1" applyBorder="1" applyAlignment="1">
      <alignment horizontal="center" wrapText="1"/>
    </xf>
    <xf numFmtId="0" fontId="6" fillId="0" borderId="25" xfId="0" applyFont="1" applyBorder="1"/>
    <xf numFmtId="0" fontId="2" fillId="8" borderId="27" xfId="0" applyFont="1" applyFill="1" applyBorder="1" applyAlignment="1">
      <alignment horizontal="center" wrapText="1"/>
    </xf>
    <xf numFmtId="0" fontId="3" fillId="8" borderId="30" xfId="0" applyFont="1" applyFill="1" applyBorder="1" applyAlignment="1">
      <alignment horizontal="center" vertical="center" wrapText="1"/>
    </xf>
    <xf numFmtId="0" fontId="6" fillId="0" borderId="31" xfId="0" applyFont="1" applyBorder="1"/>
    <xf numFmtId="0" fontId="6" fillId="0" borderId="32" xfId="0" applyFont="1" applyBorder="1"/>
    <xf numFmtId="0" fontId="6" fillId="0" borderId="33" xfId="0" applyFont="1" applyBorder="1"/>
    <xf numFmtId="0" fontId="2" fillId="4" borderId="34" xfId="0" applyFont="1" applyFill="1" applyBorder="1" applyAlignment="1">
      <alignment horizontal="center"/>
    </xf>
    <xf numFmtId="0" fontId="6" fillId="0" borderId="35" xfId="0" applyFont="1" applyBorder="1"/>
    <xf numFmtId="0" fontId="2" fillId="4" borderId="14" xfId="0" applyFont="1" applyFill="1" applyBorder="1" applyAlignment="1">
      <alignment horizontal="center"/>
    </xf>
    <xf numFmtId="0" fontId="2" fillId="8" borderId="4" xfId="0" applyFont="1" applyFill="1" applyBorder="1" applyAlignment="1">
      <alignment vertical="top" wrapText="1"/>
    </xf>
    <xf numFmtId="0" fontId="12" fillId="0" borderId="0" xfId="0" applyFont="1" applyAlignment="1"/>
    <xf numFmtId="5" fontId="2" fillId="8" borderId="43" xfId="0" applyNumberFormat="1" applyFont="1" applyFill="1" applyBorder="1" applyAlignment="1">
      <alignment horizontal="right"/>
    </xf>
    <xf numFmtId="0" fontId="6" fillId="0" borderId="44" xfId="0" applyFont="1" applyBorder="1"/>
    <xf numFmtId="0" fontId="6" fillId="0" borderId="45" xfId="0" applyFont="1" applyBorder="1"/>
    <xf numFmtId="5" fontId="2" fillId="0" borderId="1" xfId="0" applyNumberFormat="1" applyFont="1" applyBorder="1" applyAlignment="1">
      <alignment horizontal="right"/>
    </xf>
    <xf numFmtId="0" fontId="2" fillId="9" borderId="43" xfId="0" applyFont="1" applyFill="1" applyBorder="1" applyAlignment="1">
      <alignment horizontal="left"/>
    </xf>
    <xf numFmtId="0" fontId="2" fillId="8" borderId="43" xfId="0" applyFont="1" applyFill="1" applyBorder="1" applyAlignment="1">
      <alignment horizontal="left"/>
    </xf>
    <xf numFmtId="0" fontId="15" fillId="0" borderId="0" xfId="0" applyFont="1" applyAlignment="1">
      <alignment horizontal="center"/>
    </xf>
    <xf numFmtId="0" fontId="2" fillId="5" borderId="2"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sheetPr>
  <dimension ref="A1:J41"/>
  <sheetViews>
    <sheetView tabSelected="1" workbookViewId="0"/>
  </sheetViews>
  <sheetFormatPr defaultColWidth="14.42578125" defaultRowHeight="15" customHeight="1"/>
  <cols>
    <col min="1" max="5" width="12" customWidth="1"/>
    <col min="6" max="6" width="19.85546875" customWidth="1"/>
    <col min="7" max="10" width="12" customWidth="1"/>
  </cols>
  <sheetData>
    <row r="1" spans="1:10" ht="21">
      <c r="A1" s="2" t="s">
        <v>0</v>
      </c>
      <c r="B1" s="1"/>
      <c r="C1" s="1"/>
      <c r="D1" s="1"/>
      <c r="E1" s="1"/>
      <c r="F1" s="1"/>
      <c r="G1" s="72" t="s">
        <v>1</v>
      </c>
      <c r="H1" s="64"/>
      <c r="I1" s="64"/>
      <c r="J1" s="64"/>
    </row>
    <row r="2" spans="1:10">
      <c r="A2" s="57"/>
      <c r="B2" s="54"/>
      <c r="C2" s="54"/>
      <c r="D2" s="3"/>
      <c r="E2" s="3"/>
      <c r="F2" s="3"/>
      <c r="G2" s="73" t="s">
        <v>2</v>
      </c>
      <c r="H2" s="54"/>
      <c r="I2" s="74">
        <v>45391</v>
      </c>
      <c r="J2" s="54"/>
    </row>
    <row r="3" spans="1:10" ht="18.75">
      <c r="A3" s="58" t="s">
        <v>3</v>
      </c>
      <c r="B3" s="54"/>
      <c r="C3" s="54"/>
      <c r="D3" s="54"/>
      <c r="E3" s="54"/>
      <c r="F3" s="54"/>
      <c r="G3" s="54"/>
      <c r="H3" s="54"/>
      <c r="I3" s="54"/>
      <c r="J3" s="55"/>
    </row>
    <row r="4" spans="1:10" ht="15.75">
      <c r="A4" s="81" t="s">
        <v>4</v>
      </c>
      <c r="B4" s="76"/>
      <c r="C4" s="77"/>
      <c r="D4" s="75" t="s">
        <v>5</v>
      </c>
      <c r="E4" s="76"/>
      <c r="F4" s="77"/>
      <c r="G4" s="78" t="s">
        <v>6</v>
      </c>
      <c r="H4" s="76"/>
      <c r="I4" s="76"/>
      <c r="J4" s="76"/>
    </row>
    <row r="5" spans="1:10">
      <c r="A5" s="82" t="s">
        <v>7</v>
      </c>
      <c r="B5" s="64"/>
      <c r="C5" s="65"/>
      <c r="D5" s="83" t="s">
        <v>8</v>
      </c>
      <c r="E5" s="64"/>
      <c r="F5" s="65"/>
      <c r="G5" s="84" t="s">
        <v>9</v>
      </c>
      <c r="H5" s="65"/>
      <c r="I5" s="84" t="s">
        <v>10</v>
      </c>
      <c r="J5" s="65"/>
    </row>
    <row r="6" spans="1:10" ht="29.25" customHeight="1">
      <c r="A6" s="70"/>
      <c r="B6" s="54"/>
      <c r="C6" s="55"/>
      <c r="D6" s="54"/>
      <c r="E6" s="54"/>
      <c r="F6" s="55"/>
      <c r="G6" s="64"/>
      <c r="H6" s="65"/>
      <c r="I6" s="64"/>
      <c r="J6" s="65"/>
    </row>
    <row r="7" spans="1:10" ht="15.75">
      <c r="A7" s="85" t="s">
        <v>11</v>
      </c>
      <c r="B7" s="64"/>
      <c r="C7" s="65"/>
      <c r="D7" s="86" t="s">
        <v>12</v>
      </c>
      <c r="E7" s="64"/>
      <c r="F7" s="65"/>
      <c r="G7" s="64"/>
      <c r="H7" s="65"/>
      <c r="I7" s="64"/>
      <c r="J7" s="65"/>
    </row>
    <row r="8" spans="1:10">
      <c r="A8" s="79" t="s">
        <v>13</v>
      </c>
      <c r="B8" s="54"/>
      <c r="C8" s="55"/>
      <c r="D8" s="80" t="s">
        <v>14</v>
      </c>
      <c r="E8" s="54"/>
      <c r="F8" s="55"/>
      <c r="G8" s="54"/>
      <c r="H8" s="55"/>
      <c r="I8" s="54"/>
      <c r="J8" s="55"/>
    </row>
    <row r="9" spans="1:10" ht="5.25" customHeight="1">
      <c r="A9" s="57"/>
      <c r="B9" s="54"/>
      <c r="C9" s="54"/>
      <c r="D9" s="54"/>
      <c r="E9" s="54"/>
      <c r="F9" s="54"/>
      <c r="G9" s="54"/>
      <c r="H9" s="54"/>
      <c r="I9" s="54"/>
      <c r="J9" s="55"/>
    </row>
    <row r="10" spans="1:10" ht="18.75">
      <c r="A10" s="89" t="s">
        <v>15</v>
      </c>
      <c r="B10" s="47"/>
      <c r="C10" s="47"/>
      <c r="D10" s="47"/>
      <c r="E10" s="47"/>
      <c r="F10" s="47"/>
      <c r="G10" s="47"/>
      <c r="H10" s="47"/>
      <c r="I10" s="47"/>
      <c r="J10" s="52"/>
    </row>
    <row r="11" spans="1:10">
      <c r="A11" s="4" t="s">
        <v>16</v>
      </c>
      <c r="B11" s="90" t="s">
        <v>17</v>
      </c>
      <c r="C11" s="47"/>
      <c r="D11" s="48"/>
      <c r="E11" s="90" t="s">
        <v>18</v>
      </c>
      <c r="F11" s="48"/>
      <c r="G11" s="90" t="s">
        <v>19</v>
      </c>
      <c r="H11" s="48"/>
      <c r="I11" s="90" t="s">
        <v>20</v>
      </c>
      <c r="J11" s="52"/>
    </row>
    <row r="12" spans="1:10">
      <c r="A12" s="5" t="s">
        <v>21</v>
      </c>
      <c r="B12" s="93" t="s">
        <v>22</v>
      </c>
      <c r="C12" s="94"/>
      <c r="D12" s="88"/>
      <c r="E12" s="87" t="s">
        <v>23</v>
      </c>
      <c r="F12" s="88"/>
      <c r="G12" s="87" t="s">
        <v>24</v>
      </c>
      <c r="H12" s="88"/>
      <c r="I12" s="91">
        <v>240729</v>
      </c>
      <c r="J12" s="92"/>
    </row>
    <row r="13" spans="1:10">
      <c r="A13" s="5" t="s">
        <v>25</v>
      </c>
      <c r="B13" s="95" t="s">
        <v>22</v>
      </c>
      <c r="C13" s="47"/>
      <c r="D13" s="48"/>
      <c r="E13" s="50" t="s">
        <v>26</v>
      </c>
      <c r="F13" s="48"/>
      <c r="G13" s="50" t="s">
        <v>24</v>
      </c>
      <c r="H13" s="48"/>
      <c r="I13" s="51">
        <v>3017435</v>
      </c>
      <c r="J13" s="52"/>
    </row>
    <row r="14" spans="1:10">
      <c r="A14" s="5" t="s">
        <v>27</v>
      </c>
      <c r="B14" s="95" t="s">
        <v>22</v>
      </c>
      <c r="C14" s="47"/>
      <c r="D14" s="48"/>
      <c r="E14" s="50" t="s">
        <v>28</v>
      </c>
      <c r="F14" s="48"/>
      <c r="G14" s="50" t="s">
        <v>24</v>
      </c>
      <c r="H14" s="48"/>
      <c r="I14" s="51">
        <v>26714910</v>
      </c>
      <c r="J14" s="52"/>
    </row>
    <row r="15" spans="1:10">
      <c r="A15" s="5" t="s">
        <v>29</v>
      </c>
      <c r="B15" s="46" t="s">
        <v>30</v>
      </c>
      <c r="C15" s="47"/>
      <c r="D15" s="48"/>
      <c r="E15" s="49"/>
      <c r="F15" s="48"/>
      <c r="G15" s="50" t="s">
        <v>30</v>
      </c>
      <c r="H15" s="48"/>
      <c r="I15" s="51">
        <v>0</v>
      </c>
      <c r="J15" s="52"/>
    </row>
    <row r="16" spans="1:10">
      <c r="A16" s="53" t="s">
        <v>31</v>
      </c>
      <c r="B16" s="54"/>
      <c r="C16" s="54"/>
      <c r="D16" s="54"/>
      <c r="E16" s="54"/>
      <c r="F16" s="54"/>
      <c r="G16" s="54"/>
      <c r="H16" s="55"/>
      <c r="I16" s="56">
        <v>29973074</v>
      </c>
      <c r="J16" s="55"/>
    </row>
    <row r="17" spans="1:10" ht="5.25" customHeight="1">
      <c r="A17" s="57"/>
      <c r="B17" s="54"/>
      <c r="C17" s="54"/>
      <c r="D17" s="54"/>
      <c r="E17" s="54"/>
      <c r="F17" s="54"/>
      <c r="G17" s="54"/>
      <c r="H17" s="54"/>
      <c r="I17" s="54"/>
      <c r="J17" s="55"/>
    </row>
    <row r="18" spans="1:10" ht="18.75">
      <c r="A18" s="58" t="s">
        <v>32</v>
      </c>
      <c r="B18" s="54"/>
      <c r="C18" s="54"/>
      <c r="D18" s="54"/>
      <c r="E18" s="54"/>
      <c r="F18" s="54"/>
      <c r="G18" s="54"/>
      <c r="H18" s="54"/>
      <c r="I18" s="54"/>
      <c r="J18" s="55"/>
    </row>
    <row r="19" spans="1:10">
      <c r="A19" s="59" t="s">
        <v>33</v>
      </c>
      <c r="B19" s="60"/>
      <c r="C19" s="60"/>
      <c r="D19" s="60"/>
      <c r="E19" s="61"/>
      <c r="F19" s="62" t="s">
        <v>34</v>
      </c>
      <c r="G19" s="54"/>
      <c r="H19" s="54"/>
      <c r="I19" s="54"/>
      <c r="J19" s="55"/>
    </row>
    <row r="20" spans="1:10" ht="15.75">
      <c r="A20" s="63" t="s">
        <v>35</v>
      </c>
      <c r="B20" s="64"/>
      <c r="C20" s="64"/>
      <c r="D20" s="64"/>
      <c r="E20" s="65"/>
      <c r="F20" s="66" t="s">
        <v>36</v>
      </c>
      <c r="G20" s="64"/>
      <c r="H20" s="64"/>
      <c r="I20" s="64"/>
      <c r="J20" s="65"/>
    </row>
    <row r="21" spans="1:10">
      <c r="A21" s="67" t="s">
        <v>37</v>
      </c>
      <c r="B21" s="54"/>
      <c r="C21" s="54"/>
      <c r="D21" s="54"/>
      <c r="E21" s="55"/>
      <c r="F21" s="67" t="s">
        <v>38</v>
      </c>
      <c r="G21" s="54"/>
      <c r="H21" s="54"/>
      <c r="I21" s="54"/>
      <c r="J21" s="55"/>
    </row>
    <row r="22" spans="1:10" ht="15.75">
      <c r="A22" s="63" t="s">
        <v>39</v>
      </c>
      <c r="B22" s="64"/>
      <c r="C22" s="64"/>
      <c r="D22" s="64"/>
      <c r="E22" s="65"/>
      <c r="F22" s="66" t="s">
        <v>40</v>
      </c>
      <c r="G22" s="64"/>
      <c r="H22" s="64"/>
      <c r="I22" s="64"/>
      <c r="J22" s="65"/>
    </row>
    <row r="23" spans="1:10">
      <c r="A23" s="67" t="s">
        <v>41</v>
      </c>
      <c r="B23" s="54"/>
      <c r="C23" s="54"/>
      <c r="D23" s="54"/>
      <c r="E23" s="55"/>
      <c r="F23" s="67" t="s">
        <v>42</v>
      </c>
      <c r="G23" s="54"/>
      <c r="H23" s="54"/>
      <c r="I23" s="54"/>
      <c r="J23" s="55"/>
    </row>
    <row r="24" spans="1:10" ht="15.75">
      <c r="A24" s="63" t="s">
        <v>43</v>
      </c>
      <c r="B24" s="64"/>
      <c r="C24" s="64"/>
      <c r="D24" s="64"/>
      <c r="E24" s="65"/>
      <c r="F24" s="66" t="s">
        <v>44</v>
      </c>
      <c r="G24" s="64"/>
      <c r="H24" s="64"/>
      <c r="I24" s="64"/>
      <c r="J24" s="65"/>
    </row>
    <row r="25" spans="1:10">
      <c r="A25" s="71" t="s">
        <v>45</v>
      </c>
      <c r="B25" s="54"/>
      <c r="C25" s="54"/>
      <c r="D25" s="54"/>
      <c r="E25" s="55"/>
      <c r="F25" s="67" t="s">
        <v>46</v>
      </c>
      <c r="G25" s="54"/>
      <c r="H25" s="54"/>
      <c r="I25" s="54"/>
      <c r="J25" s="55"/>
    </row>
    <row r="26" spans="1:10" ht="5.25" customHeight="1">
      <c r="A26" s="57"/>
      <c r="B26" s="54"/>
      <c r="C26" s="54"/>
      <c r="D26" s="54"/>
      <c r="E26" s="54"/>
      <c r="F26" s="54"/>
      <c r="G26" s="54"/>
      <c r="H26" s="54"/>
      <c r="I26" s="54"/>
      <c r="J26" s="55"/>
    </row>
    <row r="27" spans="1:10" ht="18.75">
      <c r="A27" s="6" t="s">
        <v>47</v>
      </c>
      <c r="B27" s="7"/>
      <c r="C27" s="7"/>
      <c r="D27" s="7"/>
      <c r="E27" s="7"/>
      <c r="F27" s="7"/>
      <c r="G27" s="7"/>
      <c r="H27" s="7"/>
      <c r="I27" s="7"/>
      <c r="J27" s="8"/>
    </row>
    <row r="28" spans="1:10">
      <c r="A28" s="68" t="s">
        <v>48</v>
      </c>
      <c r="B28" s="64"/>
      <c r="C28" s="64"/>
      <c r="D28" s="64"/>
      <c r="E28" s="64"/>
      <c r="F28" s="64"/>
      <c r="G28" s="64"/>
      <c r="H28" s="64"/>
      <c r="I28" s="64"/>
      <c r="J28" s="65"/>
    </row>
    <row r="29" spans="1:10">
      <c r="A29" s="69"/>
      <c r="B29" s="64"/>
      <c r="C29" s="64"/>
      <c r="D29" s="64"/>
      <c r="E29" s="64"/>
      <c r="F29" s="64"/>
      <c r="G29" s="64"/>
      <c r="H29" s="64"/>
      <c r="I29" s="64"/>
      <c r="J29" s="65"/>
    </row>
    <row r="30" spans="1:10">
      <c r="A30" s="69"/>
      <c r="B30" s="64"/>
      <c r="C30" s="64"/>
      <c r="D30" s="64"/>
      <c r="E30" s="64"/>
      <c r="F30" s="64"/>
      <c r="G30" s="64"/>
      <c r="H30" s="64"/>
      <c r="I30" s="64"/>
      <c r="J30" s="65"/>
    </row>
    <row r="31" spans="1:10">
      <c r="A31" s="69"/>
      <c r="B31" s="64"/>
      <c r="C31" s="64"/>
      <c r="D31" s="64"/>
      <c r="E31" s="64"/>
      <c r="F31" s="64"/>
      <c r="G31" s="64"/>
      <c r="H31" s="64"/>
      <c r="I31" s="64"/>
      <c r="J31" s="65"/>
    </row>
    <row r="32" spans="1:10">
      <c r="A32" s="69"/>
      <c r="B32" s="64"/>
      <c r="C32" s="64"/>
      <c r="D32" s="64"/>
      <c r="E32" s="64"/>
      <c r="F32" s="64"/>
      <c r="G32" s="64"/>
      <c r="H32" s="64"/>
      <c r="I32" s="64"/>
      <c r="J32" s="65"/>
    </row>
    <row r="33" spans="1:10" ht="110.25" customHeight="1">
      <c r="A33" s="70"/>
      <c r="B33" s="54"/>
      <c r="C33" s="54"/>
      <c r="D33" s="54"/>
      <c r="E33" s="54"/>
      <c r="F33" s="54"/>
      <c r="G33" s="54"/>
      <c r="H33" s="54"/>
      <c r="I33" s="54"/>
      <c r="J33" s="55"/>
    </row>
    <row r="34" spans="1:10" ht="5.25" customHeight="1">
      <c r="A34" s="57"/>
      <c r="B34" s="54"/>
      <c r="C34" s="54"/>
      <c r="D34" s="54"/>
      <c r="E34" s="54"/>
      <c r="F34" s="54"/>
      <c r="G34" s="54"/>
      <c r="H34" s="54"/>
      <c r="I34" s="54"/>
      <c r="J34" s="55"/>
    </row>
    <row r="35" spans="1:10" ht="18.75">
      <c r="A35" s="58" t="s">
        <v>49</v>
      </c>
      <c r="B35" s="54"/>
      <c r="C35" s="54"/>
      <c r="D35" s="54"/>
      <c r="E35" s="54"/>
      <c r="F35" s="54"/>
      <c r="G35" s="54"/>
      <c r="H35" s="54"/>
      <c r="I35" s="54"/>
      <c r="J35" s="55"/>
    </row>
    <row r="36" spans="1:10">
      <c r="A36" s="68" t="s">
        <v>50</v>
      </c>
      <c r="B36" s="64"/>
      <c r="C36" s="64"/>
      <c r="D36" s="64"/>
      <c r="E36" s="64"/>
      <c r="F36" s="64"/>
      <c r="G36" s="64"/>
      <c r="H36" s="64"/>
      <c r="I36" s="64"/>
      <c r="J36" s="65"/>
    </row>
    <row r="37" spans="1:10">
      <c r="A37" s="69"/>
      <c r="B37" s="64"/>
      <c r="C37" s="64"/>
      <c r="D37" s="64"/>
      <c r="E37" s="64"/>
      <c r="F37" s="64"/>
      <c r="G37" s="64"/>
      <c r="H37" s="64"/>
      <c r="I37" s="64"/>
      <c r="J37" s="65"/>
    </row>
    <row r="38" spans="1:10">
      <c r="A38" s="69"/>
      <c r="B38" s="64"/>
      <c r="C38" s="64"/>
      <c r="D38" s="64"/>
      <c r="E38" s="64"/>
      <c r="F38" s="64"/>
      <c r="G38" s="64"/>
      <c r="H38" s="64"/>
      <c r="I38" s="64"/>
      <c r="J38" s="65"/>
    </row>
    <row r="39" spans="1:10">
      <c r="A39" s="69"/>
      <c r="B39" s="64"/>
      <c r="C39" s="64"/>
      <c r="D39" s="64"/>
      <c r="E39" s="64"/>
      <c r="F39" s="64"/>
      <c r="G39" s="64"/>
      <c r="H39" s="64"/>
      <c r="I39" s="64"/>
      <c r="J39" s="65"/>
    </row>
    <row r="40" spans="1:10">
      <c r="A40" s="69"/>
      <c r="B40" s="64"/>
      <c r="C40" s="64"/>
      <c r="D40" s="64"/>
      <c r="E40" s="64"/>
      <c r="F40" s="64"/>
      <c r="G40" s="64"/>
      <c r="H40" s="64"/>
      <c r="I40" s="64"/>
      <c r="J40" s="65"/>
    </row>
    <row r="41" spans="1:10">
      <c r="A41" s="70"/>
      <c r="B41" s="54"/>
      <c r="C41" s="54"/>
      <c r="D41" s="54"/>
      <c r="E41" s="54"/>
      <c r="F41" s="54"/>
      <c r="G41" s="54"/>
      <c r="H41" s="54"/>
      <c r="I41" s="54"/>
      <c r="J41" s="55"/>
    </row>
  </sheetData>
  <mergeCells count="61">
    <mergeCell ref="G14:H14"/>
    <mergeCell ref="I14:J14"/>
    <mergeCell ref="B12:D12"/>
    <mergeCell ref="B13:D13"/>
    <mergeCell ref="E13:F13"/>
    <mergeCell ref="G13:H13"/>
    <mergeCell ref="I13:J13"/>
    <mergeCell ref="B14:D14"/>
    <mergeCell ref="E14:F14"/>
    <mergeCell ref="E12:F12"/>
    <mergeCell ref="G12:H12"/>
    <mergeCell ref="A9:J9"/>
    <mergeCell ref="A10:J10"/>
    <mergeCell ref="B11:D11"/>
    <mergeCell ref="E11:F11"/>
    <mergeCell ref="G11:H11"/>
    <mergeCell ref="I11:J11"/>
    <mergeCell ref="I12:J12"/>
    <mergeCell ref="D4:F4"/>
    <mergeCell ref="G4:J4"/>
    <mergeCell ref="A8:C8"/>
    <mergeCell ref="D8:F8"/>
    <mergeCell ref="A4:C4"/>
    <mergeCell ref="A5:C6"/>
    <mergeCell ref="D5:F6"/>
    <mergeCell ref="G5:H8"/>
    <mergeCell ref="I5:J8"/>
    <mergeCell ref="A7:C7"/>
    <mergeCell ref="D7:F7"/>
    <mergeCell ref="G1:J1"/>
    <mergeCell ref="A2:C2"/>
    <mergeCell ref="G2:H2"/>
    <mergeCell ref="I2:J2"/>
    <mergeCell ref="A3:J3"/>
    <mergeCell ref="A34:J34"/>
    <mergeCell ref="A35:J35"/>
    <mergeCell ref="A36:J41"/>
    <mergeCell ref="A22:E22"/>
    <mergeCell ref="F22:J22"/>
    <mergeCell ref="A23:E23"/>
    <mergeCell ref="F23:J23"/>
    <mergeCell ref="A24:E24"/>
    <mergeCell ref="F24:J24"/>
    <mergeCell ref="A25:E25"/>
    <mergeCell ref="A21:E21"/>
    <mergeCell ref="F21:J21"/>
    <mergeCell ref="F25:J25"/>
    <mergeCell ref="A26:J26"/>
    <mergeCell ref="A28:J33"/>
    <mergeCell ref="A17:J17"/>
    <mergeCell ref="A18:J18"/>
    <mergeCell ref="A19:E19"/>
    <mergeCell ref="F19:J19"/>
    <mergeCell ref="A20:E20"/>
    <mergeCell ref="F20:J20"/>
    <mergeCell ref="B15:D15"/>
    <mergeCell ref="E15:F15"/>
    <mergeCell ref="G15:H15"/>
    <mergeCell ref="I15:J15"/>
    <mergeCell ref="A16:H16"/>
    <mergeCell ref="I16:J16"/>
  </mergeCells>
  <dataValidations count="4">
    <dataValidation type="list" allowBlank="1" showInputMessage="1" showErrorMessage="1" prompt="Click and enter a value from the list of items" sqref="G12:G15">
      <formula1>"-,Federal,State,IAT,Other"</formula1>
    </dataValidation>
    <dataValidation type="list" allowBlank="1" showErrorMessage="1" sqref="G5">
      <formula1>"Please select...,Formula,Competitive,Other"</formula1>
    </dataValidation>
    <dataValidation type="list" allowBlank="1" showErrorMessage="1" sqref="I5">
      <formula1>"Initial Allocation,Revision with supplement,Revision, no supplement"</formula1>
    </dataValidation>
    <dataValidation type="list" allowBlank="1" sqref="B12:B15">
      <formula1>"-,ESSA,IDEA,ESSER II,ESSER III,Carl Perkins,8g,State General Fund,CCDBG,CCDF,PDG,Other"</formula1>
    </dataValidation>
  </dataValidations>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33C0B"/>
    <pageSetUpPr fitToPage="1"/>
  </sheetPr>
  <dimension ref="A1:H1000"/>
  <sheetViews>
    <sheetView workbookViewId="0"/>
  </sheetViews>
  <sheetFormatPr defaultColWidth="14.42578125" defaultRowHeight="15" customHeight="1"/>
  <cols>
    <col min="1" max="1" width="15" customWidth="1"/>
    <col min="2" max="2" width="8.7109375" customWidth="1"/>
    <col min="3" max="3" width="11.42578125" customWidth="1"/>
    <col min="4" max="4" width="8.42578125" customWidth="1"/>
    <col min="5" max="5" width="8.7109375" customWidth="1"/>
    <col min="6" max="6" width="19.5703125" customWidth="1"/>
    <col min="7" max="7" width="11.85546875" customWidth="1"/>
    <col min="8" max="8" width="10.5703125" customWidth="1"/>
    <col min="9" max="26" width="8.7109375" customWidth="1"/>
  </cols>
  <sheetData>
    <row r="1" spans="1:8" ht="21">
      <c r="A1" s="9" t="s">
        <v>0</v>
      </c>
      <c r="F1" s="109" t="s">
        <v>1</v>
      </c>
      <c r="G1" s="64"/>
      <c r="H1" s="64"/>
    </row>
    <row r="2" spans="1:8">
      <c r="A2" s="110"/>
      <c r="B2" s="64"/>
      <c r="C2" s="64"/>
      <c r="F2" s="10" t="s">
        <v>51</v>
      </c>
      <c r="G2" s="111"/>
      <c r="H2" s="112"/>
    </row>
    <row r="4" spans="1:8" ht="18.75">
      <c r="A4" s="100" t="s">
        <v>3</v>
      </c>
      <c r="B4" s="60"/>
      <c r="C4" s="60"/>
      <c r="D4" s="60"/>
      <c r="E4" s="60"/>
      <c r="F4" s="60"/>
      <c r="G4" s="60"/>
      <c r="H4" s="61"/>
    </row>
    <row r="5" spans="1:8" ht="16.5" customHeight="1">
      <c r="A5" s="113" t="s">
        <v>4</v>
      </c>
      <c r="B5" s="76"/>
      <c r="C5" s="76"/>
      <c r="D5" s="77"/>
      <c r="E5" s="113" t="s">
        <v>5</v>
      </c>
      <c r="F5" s="76"/>
      <c r="G5" s="114" t="s">
        <v>52</v>
      </c>
      <c r="H5" s="61"/>
    </row>
    <row r="6" spans="1:8">
      <c r="A6" s="120"/>
      <c r="B6" s="112"/>
      <c r="C6" s="112"/>
      <c r="D6" s="121"/>
      <c r="E6" s="120"/>
      <c r="F6" s="121"/>
      <c r="G6" s="115" t="s">
        <v>53</v>
      </c>
      <c r="H6" s="122"/>
    </row>
    <row r="7" spans="1:8" ht="15.75">
      <c r="A7" s="113" t="s">
        <v>11</v>
      </c>
      <c r="B7" s="76"/>
      <c r="C7" s="76"/>
      <c r="D7" s="77"/>
      <c r="E7" s="113" t="s">
        <v>54</v>
      </c>
      <c r="F7" s="76"/>
      <c r="G7" s="116"/>
      <c r="H7" s="119"/>
    </row>
    <row r="8" spans="1:8" ht="15.75" customHeight="1">
      <c r="A8" s="120"/>
      <c r="B8" s="112"/>
      <c r="C8" s="112"/>
      <c r="D8" s="121"/>
      <c r="E8" s="120" t="s">
        <v>55</v>
      </c>
      <c r="F8" s="112"/>
      <c r="G8" s="117" t="s">
        <v>9</v>
      </c>
      <c r="H8" s="118"/>
    </row>
    <row r="9" spans="1:8" ht="15.75">
      <c r="A9" s="113" t="s">
        <v>56</v>
      </c>
      <c r="B9" s="76"/>
      <c r="C9" s="76"/>
      <c r="D9" s="77"/>
      <c r="E9" s="113" t="s">
        <v>57</v>
      </c>
      <c r="F9" s="76"/>
      <c r="G9" s="116"/>
      <c r="H9" s="119"/>
    </row>
    <row r="10" spans="1:8" ht="15" customHeight="1">
      <c r="A10" s="123"/>
      <c r="B10" s="124"/>
      <c r="C10" s="124"/>
      <c r="D10" s="125"/>
      <c r="E10" s="123"/>
      <c r="F10" s="125"/>
      <c r="G10" s="117" t="s">
        <v>22</v>
      </c>
      <c r="H10" s="122"/>
    </row>
    <row r="11" spans="1:8">
      <c r="A11" s="70"/>
      <c r="B11" s="54"/>
      <c r="C11" s="54"/>
      <c r="D11" s="55"/>
      <c r="E11" s="70"/>
      <c r="F11" s="55"/>
      <c r="G11" s="126"/>
      <c r="H11" s="119"/>
    </row>
    <row r="12" spans="1:8" ht="22.5" customHeight="1">
      <c r="A12" s="99"/>
      <c r="B12" s="60"/>
      <c r="C12" s="60"/>
      <c r="D12" s="60"/>
      <c r="E12" s="60"/>
      <c r="F12" s="60"/>
      <c r="G12" s="60"/>
      <c r="H12" s="60"/>
    </row>
    <row r="13" spans="1:8" ht="18.75">
      <c r="A13" s="100" t="s">
        <v>32</v>
      </c>
      <c r="B13" s="60"/>
      <c r="C13" s="60"/>
      <c r="D13" s="60"/>
      <c r="E13" s="60"/>
      <c r="F13" s="60"/>
      <c r="G13" s="60"/>
      <c r="H13" s="61"/>
    </row>
    <row r="14" spans="1:8">
      <c r="A14" s="127" t="s">
        <v>58</v>
      </c>
      <c r="B14" s="128"/>
      <c r="C14" s="128"/>
      <c r="D14" s="128"/>
      <c r="E14" s="129" t="s">
        <v>34</v>
      </c>
      <c r="F14" s="94"/>
      <c r="G14" s="94"/>
      <c r="H14" s="92"/>
    </row>
    <row r="15" spans="1:8" ht="15" customHeight="1">
      <c r="A15" s="113" t="s">
        <v>35</v>
      </c>
      <c r="B15" s="76"/>
      <c r="C15" s="76"/>
      <c r="D15" s="77"/>
      <c r="E15" s="113" t="s">
        <v>36</v>
      </c>
      <c r="F15" s="76"/>
      <c r="G15" s="76"/>
      <c r="H15" s="77"/>
    </row>
    <row r="16" spans="1:8" ht="15" customHeight="1">
      <c r="A16" s="120"/>
      <c r="B16" s="112"/>
      <c r="C16" s="112"/>
      <c r="D16" s="121"/>
      <c r="E16" s="96" t="s">
        <v>59</v>
      </c>
      <c r="F16" s="97"/>
      <c r="G16" s="97"/>
      <c r="H16" s="98"/>
    </row>
    <row r="17" spans="1:8" ht="15" customHeight="1">
      <c r="A17" s="113" t="s">
        <v>39</v>
      </c>
      <c r="B17" s="76"/>
      <c r="C17" s="76"/>
      <c r="D17" s="77"/>
      <c r="E17" s="113" t="s">
        <v>40</v>
      </c>
      <c r="F17" s="76"/>
      <c r="G17" s="76"/>
      <c r="H17" s="77"/>
    </row>
    <row r="18" spans="1:8" ht="15" customHeight="1">
      <c r="A18" s="120"/>
      <c r="B18" s="112"/>
      <c r="C18" s="112"/>
      <c r="D18" s="121"/>
      <c r="E18" s="96" t="s">
        <v>60</v>
      </c>
      <c r="F18" s="97"/>
      <c r="G18" s="97"/>
      <c r="H18" s="98"/>
    </row>
    <row r="19" spans="1:8" ht="15.75">
      <c r="A19" s="113" t="s">
        <v>43</v>
      </c>
      <c r="B19" s="76"/>
      <c r="C19" s="76"/>
      <c r="D19" s="77"/>
      <c r="E19" s="113" t="s">
        <v>44</v>
      </c>
      <c r="F19" s="76"/>
      <c r="G19" s="76"/>
      <c r="H19" s="77"/>
    </row>
    <row r="20" spans="1:8" ht="15.75" customHeight="1">
      <c r="A20" s="96"/>
      <c r="B20" s="97"/>
      <c r="C20" s="97"/>
      <c r="D20" s="98"/>
      <c r="E20" s="96" t="s">
        <v>61</v>
      </c>
      <c r="F20" s="97"/>
      <c r="G20" s="97"/>
      <c r="H20" s="98"/>
    </row>
    <row r="21" spans="1:8" ht="15.75" customHeight="1">
      <c r="A21" s="99"/>
      <c r="B21" s="60"/>
      <c r="C21" s="60"/>
      <c r="D21" s="60"/>
      <c r="E21" s="60"/>
      <c r="F21" s="60"/>
      <c r="G21" s="60"/>
      <c r="H21" s="60"/>
    </row>
    <row r="22" spans="1:8" ht="15.75" customHeight="1">
      <c r="A22" s="100" t="s">
        <v>15</v>
      </c>
      <c r="B22" s="60"/>
      <c r="C22" s="60"/>
      <c r="D22" s="60"/>
      <c r="E22" s="60"/>
      <c r="F22" s="60"/>
      <c r="G22" s="60"/>
      <c r="H22" s="61"/>
    </row>
    <row r="23" spans="1:8" ht="15.75" customHeight="1">
      <c r="A23" s="59" t="s">
        <v>62</v>
      </c>
      <c r="B23" s="60"/>
      <c r="C23" s="60"/>
      <c r="D23" s="61"/>
      <c r="E23" s="59" t="s">
        <v>63</v>
      </c>
      <c r="F23" s="60"/>
      <c r="G23" s="60"/>
      <c r="H23" s="61"/>
    </row>
    <row r="24" spans="1:8" ht="15.75" customHeight="1">
      <c r="A24" s="11" t="s">
        <v>64</v>
      </c>
      <c r="B24" s="105"/>
      <c r="C24" s="102"/>
      <c r="D24" s="104"/>
      <c r="E24" s="101" t="s">
        <v>65</v>
      </c>
      <c r="F24" s="102"/>
      <c r="G24" s="103"/>
      <c r="H24" s="104"/>
    </row>
    <row r="25" spans="1:8" ht="15.75" customHeight="1">
      <c r="A25" s="11" t="s">
        <v>66</v>
      </c>
      <c r="B25" s="106"/>
      <c r="C25" s="94"/>
      <c r="D25" s="92"/>
      <c r="E25" s="107" t="s">
        <v>67</v>
      </c>
      <c r="F25" s="94"/>
      <c r="G25" s="108"/>
      <c r="H25" s="92"/>
    </row>
    <row r="26" spans="1:8" ht="15.75" customHeight="1">
      <c r="A26" s="11" t="s">
        <v>68</v>
      </c>
      <c r="B26" s="106"/>
      <c r="C26" s="94"/>
      <c r="D26" s="92"/>
      <c r="E26" s="107" t="s">
        <v>69</v>
      </c>
      <c r="F26" s="94"/>
      <c r="G26" s="108"/>
      <c r="H26" s="92"/>
    </row>
    <row r="27" spans="1:8" ht="15.75" customHeight="1">
      <c r="A27" s="11" t="s">
        <v>70</v>
      </c>
      <c r="B27" s="132"/>
      <c r="C27" s="133"/>
      <c r="D27" s="134"/>
      <c r="E27" s="107" t="s">
        <v>71</v>
      </c>
      <c r="F27" s="94"/>
      <c r="G27" s="108"/>
      <c r="H27" s="92"/>
    </row>
    <row r="28" spans="1:8" ht="15.75" customHeight="1">
      <c r="A28" s="12" t="s">
        <v>72</v>
      </c>
      <c r="B28" s="135">
        <f>SUM(B24:B27)</f>
        <v>0</v>
      </c>
      <c r="C28" s="54"/>
      <c r="D28" s="55"/>
      <c r="E28" s="136" t="s">
        <v>73</v>
      </c>
      <c r="F28" s="133"/>
      <c r="G28" s="137"/>
      <c r="H28" s="134"/>
    </row>
    <row r="29" spans="1:8" ht="15.75" customHeight="1">
      <c r="A29" s="99"/>
      <c r="B29" s="60"/>
      <c r="C29" s="60"/>
      <c r="D29" s="60"/>
      <c r="E29" s="60"/>
      <c r="F29" s="60"/>
      <c r="G29" s="60"/>
      <c r="H29" s="60"/>
    </row>
    <row r="30" spans="1:8" ht="15.75" customHeight="1">
      <c r="A30" s="100" t="s">
        <v>47</v>
      </c>
      <c r="B30" s="60"/>
      <c r="C30" s="60"/>
      <c r="D30" s="60"/>
      <c r="E30" s="60"/>
      <c r="F30" s="60"/>
      <c r="G30" s="60"/>
      <c r="H30" s="61"/>
    </row>
    <row r="31" spans="1:8" ht="15" customHeight="1">
      <c r="A31" s="130"/>
      <c r="B31" s="76"/>
      <c r="C31" s="76"/>
      <c r="D31" s="76"/>
      <c r="E31" s="76"/>
      <c r="F31" s="76"/>
      <c r="G31" s="76"/>
      <c r="H31" s="77"/>
    </row>
    <row r="32" spans="1:8" ht="15.75" customHeight="1">
      <c r="A32" s="69"/>
      <c r="B32" s="64"/>
      <c r="C32" s="64"/>
      <c r="D32" s="64"/>
      <c r="E32" s="64"/>
      <c r="F32" s="64"/>
      <c r="G32" s="64"/>
      <c r="H32" s="65"/>
    </row>
    <row r="33" spans="1:8" ht="15.75" customHeight="1">
      <c r="A33" s="69"/>
      <c r="B33" s="64"/>
      <c r="C33" s="64"/>
      <c r="D33" s="64"/>
      <c r="E33" s="64"/>
      <c r="F33" s="64"/>
      <c r="G33" s="64"/>
      <c r="H33" s="65"/>
    </row>
    <row r="34" spans="1:8" ht="15.75" customHeight="1">
      <c r="A34" s="69"/>
      <c r="B34" s="64"/>
      <c r="C34" s="64"/>
      <c r="D34" s="64"/>
      <c r="E34" s="64"/>
      <c r="F34" s="64"/>
      <c r="G34" s="64"/>
      <c r="H34" s="65"/>
    </row>
    <row r="35" spans="1:8" ht="15.75" customHeight="1">
      <c r="A35" s="69"/>
      <c r="B35" s="64"/>
      <c r="C35" s="64"/>
      <c r="D35" s="64"/>
      <c r="E35" s="64"/>
      <c r="F35" s="64"/>
      <c r="G35" s="64"/>
      <c r="H35" s="65"/>
    </row>
    <row r="36" spans="1:8" ht="36" customHeight="1">
      <c r="A36" s="70"/>
      <c r="B36" s="54"/>
      <c r="C36" s="54"/>
      <c r="D36" s="54"/>
      <c r="E36" s="54"/>
      <c r="F36" s="54"/>
      <c r="G36" s="54"/>
      <c r="H36" s="55"/>
    </row>
    <row r="37" spans="1:8" ht="15.75" customHeight="1">
      <c r="A37" s="99"/>
      <c r="B37" s="60"/>
      <c r="C37" s="60"/>
      <c r="D37" s="60"/>
      <c r="E37" s="60"/>
      <c r="F37" s="60"/>
      <c r="G37" s="60"/>
      <c r="H37" s="60"/>
    </row>
    <row r="38" spans="1:8" ht="15.75" customHeight="1">
      <c r="A38" s="100" t="s">
        <v>49</v>
      </c>
      <c r="B38" s="60"/>
      <c r="C38" s="60"/>
      <c r="D38" s="60"/>
      <c r="E38" s="60"/>
      <c r="F38" s="60"/>
      <c r="G38" s="60"/>
      <c r="H38" s="61"/>
    </row>
    <row r="39" spans="1:8" ht="15.75" customHeight="1">
      <c r="A39" s="130"/>
      <c r="B39" s="76"/>
      <c r="C39" s="76"/>
      <c r="D39" s="76"/>
      <c r="E39" s="76"/>
      <c r="F39" s="76"/>
      <c r="G39" s="76"/>
      <c r="H39" s="77"/>
    </row>
    <row r="40" spans="1:8" ht="15.75" customHeight="1">
      <c r="A40" s="69"/>
      <c r="B40" s="64"/>
      <c r="C40" s="64"/>
      <c r="D40" s="64"/>
      <c r="E40" s="64"/>
      <c r="F40" s="64"/>
      <c r="G40" s="64"/>
      <c r="H40" s="65"/>
    </row>
    <row r="41" spans="1:8" ht="15.75" customHeight="1">
      <c r="A41" s="69"/>
      <c r="B41" s="64"/>
      <c r="C41" s="64"/>
      <c r="D41" s="64"/>
      <c r="E41" s="64"/>
      <c r="F41" s="64"/>
      <c r="G41" s="64"/>
      <c r="H41" s="65"/>
    </row>
    <row r="42" spans="1:8" ht="15.75" customHeight="1">
      <c r="A42" s="69"/>
      <c r="B42" s="64"/>
      <c r="C42" s="64"/>
      <c r="D42" s="64"/>
      <c r="E42" s="64"/>
      <c r="F42" s="64"/>
      <c r="G42" s="64"/>
      <c r="H42" s="65"/>
    </row>
    <row r="43" spans="1:8" ht="15.75" customHeight="1">
      <c r="A43" s="69"/>
      <c r="B43" s="64"/>
      <c r="C43" s="64"/>
      <c r="D43" s="64"/>
      <c r="E43" s="64"/>
      <c r="F43" s="64"/>
      <c r="G43" s="64"/>
      <c r="H43" s="65"/>
    </row>
    <row r="44" spans="1:8" ht="15.75" customHeight="1">
      <c r="A44" s="70"/>
      <c r="B44" s="54"/>
      <c r="C44" s="54"/>
      <c r="D44" s="54"/>
      <c r="E44" s="54"/>
      <c r="F44" s="54"/>
      <c r="G44" s="54"/>
      <c r="H44" s="55"/>
    </row>
    <row r="45" spans="1:8" ht="15.75" customHeight="1"/>
    <row r="46" spans="1:8" ht="15.75" customHeight="1">
      <c r="A46" s="131" t="s">
        <v>74</v>
      </c>
      <c r="B46" s="64"/>
      <c r="C46" s="64"/>
    </row>
    <row r="47" spans="1:8" ht="15.75" customHeight="1"/>
    <row r="48" spans="1: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65">
    <mergeCell ref="A37:H37"/>
    <mergeCell ref="A38:H38"/>
    <mergeCell ref="A39:H44"/>
    <mergeCell ref="A46:C46"/>
    <mergeCell ref="B27:D27"/>
    <mergeCell ref="E27:F27"/>
    <mergeCell ref="G27:H27"/>
    <mergeCell ref="B28:D28"/>
    <mergeCell ref="E28:F28"/>
    <mergeCell ref="G28:H28"/>
    <mergeCell ref="A29:H29"/>
    <mergeCell ref="A19:D19"/>
    <mergeCell ref="E19:H19"/>
    <mergeCell ref="A20:D20"/>
    <mergeCell ref="A30:H30"/>
    <mergeCell ref="A31:H36"/>
    <mergeCell ref="A16:D16"/>
    <mergeCell ref="E16:H16"/>
    <mergeCell ref="A17:D17"/>
    <mergeCell ref="E17:H17"/>
    <mergeCell ref="A18:D18"/>
    <mergeCell ref="E18:H18"/>
    <mergeCell ref="A13:H13"/>
    <mergeCell ref="A14:D14"/>
    <mergeCell ref="E14:H14"/>
    <mergeCell ref="A15:D15"/>
    <mergeCell ref="E15:H15"/>
    <mergeCell ref="A10:D11"/>
    <mergeCell ref="E10:F11"/>
    <mergeCell ref="G10:G11"/>
    <mergeCell ref="H10:H11"/>
    <mergeCell ref="A12:H12"/>
    <mergeCell ref="A7:D7"/>
    <mergeCell ref="E7:F7"/>
    <mergeCell ref="A8:D8"/>
    <mergeCell ref="E8:F8"/>
    <mergeCell ref="A9:D9"/>
    <mergeCell ref="E9:F9"/>
    <mergeCell ref="B26:D26"/>
    <mergeCell ref="E26:F26"/>
    <mergeCell ref="G26:H26"/>
    <mergeCell ref="F1:H1"/>
    <mergeCell ref="A2:C2"/>
    <mergeCell ref="G2:H2"/>
    <mergeCell ref="A4:H4"/>
    <mergeCell ref="A5:D5"/>
    <mergeCell ref="E5:F5"/>
    <mergeCell ref="G5:H5"/>
    <mergeCell ref="G6:G7"/>
    <mergeCell ref="G8:G9"/>
    <mergeCell ref="H8:H9"/>
    <mergeCell ref="A6:D6"/>
    <mergeCell ref="E6:F6"/>
    <mergeCell ref="H6:H7"/>
    <mergeCell ref="E24:F24"/>
    <mergeCell ref="G24:H24"/>
    <mergeCell ref="B24:D24"/>
    <mergeCell ref="B25:D25"/>
    <mergeCell ref="E25:F25"/>
    <mergeCell ref="G25:H25"/>
    <mergeCell ref="E20:H20"/>
    <mergeCell ref="A21:H21"/>
    <mergeCell ref="A22:H22"/>
    <mergeCell ref="A23:D23"/>
    <mergeCell ref="E23:H23"/>
  </mergeCells>
  <dataValidations count="2">
    <dataValidation type="list" allowBlank="1" showInputMessage="1" showErrorMessage="1" prompt="Click and enter a value from the list of items" sqref="G24">
      <formula1>"Federal,State,Federal and State,Other"</formula1>
    </dataValidation>
    <dataValidation type="list" allowBlank="1" showErrorMessage="1" sqref="E8">
      <formula1>"Student Centered Goals,School and District Support,School and District Innovations"</formula1>
    </dataValidation>
  </dataValidations>
  <printOptions horizontalCentered="1"/>
  <pageMargins left="0.7" right="0.7" top="0.75" bottom="0.75" header="0" footer="0"/>
  <pageSetup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548135"/>
  </sheetPr>
  <dimension ref="A1:E1000"/>
  <sheetViews>
    <sheetView workbookViewId="0"/>
  </sheetViews>
  <sheetFormatPr defaultColWidth="14.42578125" defaultRowHeight="15" customHeight="1"/>
  <cols>
    <col min="1" max="1" width="5.85546875" customWidth="1"/>
    <col min="2" max="2" width="86.140625" customWidth="1"/>
    <col min="3" max="3" width="15.28515625" customWidth="1"/>
    <col min="4" max="4" width="8.7109375" customWidth="1"/>
    <col min="5" max="6" width="14.28515625" customWidth="1"/>
    <col min="7" max="26" width="8.7109375" customWidth="1"/>
  </cols>
  <sheetData>
    <row r="1" spans="1:3" ht="17.25">
      <c r="A1" s="138">
        <f>'Allocation Summary'!A6:D6</f>
        <v>0</v>
      </c>
      <c r="B1" s="64"/>
      <c r="C1" s="64"/>
    </row>
    <row r="2" spans="1:3" ht="17.25">
      <c r="A2" s="138">
        <f>'Allocation Summary'!A8:D8</f>
        <v>0</v>
      </c>
      <c r="B2" s="64"/>
      <c r="C2" s="64"/>
    </row>
    <row r="3" spans="1:3">
      <c r="A3" s="13"/>
      <c r="B3" s="14" t="s">
        <v>75</v>
      </c>
      <c r="C3" s="15" t="s">
        <v>76</v>
      </c>
    </row>
    <row r="4" spans="1:3">
      <c r="A4" s="13"/>
      <c r="B4" s="13"/>
      <c r="C4" s="16"/>
    </row>
    <row r="5" spans="1:3">
      <c r="A5" s="13"/>
      <c r="B5" s="13"/>
      <c r="C5" s="16"/>
    </row>
    <row r="6" spans="1:3">
      <c r="A6" s="13"/>
      <c r="B6" s="13"/>
      <c r="C6" s="16"/>
    </row>
    <row r="7" spans="1:3">
      <c r="A7" s="13"/>
      <c r="B7" s="13"/>
      <c r="C7" s="16"/>
    </row>
    <row r="8" spans="1:3">
      <c r="A8" s="13"/>
      <c r="B8" s="13"/>
      <c r="C8" s="16"/>
    </row>
    <row r="9" spans="1:3">
      <c r="A9" s="13"/>
      <c r="B9" s="13"/>
      <c r="C9" s="16"/>
    </row>
    <row r="10" spans="1:3">
      <c r="A10" s="13"/>
      <c r="B10" s="13"/>
      <c r="C10" s="16"/>
    </row>
    <row r="11" spans="1:3">
      <c r="A11" s="13"/>
      <c r="B11" s="13"/>
      <c r="C11" s="16"/>
    </row>
    <row r="12" spans="1:3">
      <c r="A12" s="13"/>
      <c r="B12" s="13"/>
      <c r="C12" s="16"/>
    </row>
    <row r="13" spans="1:3">
      <c r="A13" s="13"/>
      <c r="B13" s="13"/>
      <c r="C13" s="16"/>
    </row>
    <row r="14" spans="1:3">
      <c r="A14" s="13"/>
      <c r="B14" s="13"/>
      <c r="C14" s="16"/>
    </row>
    <row r="15" spans="1:3">
      <c r="A15" s="13"/>
      <c r="B15" s="13"/>
      <c r="C15" s="16"/>
    </row>
    <row r="16" spans="1:3">
      <c r="A16" s="13"/>
      <c r="B16" s="13"/>
      <c r="C16" s="16"/>
    </row>
    <row r="17" spans="1:3">
      <c r="A17" s="13"/>
      <c r="B17" s="13"/>
      <c r="C17" s="16"/>
    </row>
    <row r="18" spans="1:3">
      <c r="A18" s="13"/>
      <c r="B18" s="13"/>
      <c r="C18" s="16"/>
    </row>
    <row r="19" spans="1:3">
      <c r="A19" s="13"/>
      <c r="B19" s="13"/>
      <c r="C19" s="16"/>
    </row>
    <row r="20" spans="1:3">
      <c r="A20" s="13"/>
      <c r="B20" s="13"/>
      <c r="C20" s="16"/>
    </row>
    <row r="21" spans="1:3" ht="15.75" customHeight="1">
      <c r="A21" s="13"/>
      <c r="B21" s="13"/>
      <c r="C21" s="16"/>
    </row>
    <row r="22" spans="1:3" ht="15.75" customHeight="1">
      <c r="A22" s="13"/>
      <c r="B22" s="13"/>
      <c r="C22" s="16"/>
    </row>
    <row r="23" spans="1:3" ht="15.75" customHeight="1">
      <c r="A23" s="13"/>
      <c r="B23" s="13"/>
      <c r="C23" s="16"/>
    </row>
    <row r="24" spans="1:3" ht="15.75" customHeight="1">
      <c r="A24" s="13"/>
      <c r="B24" s="13"/>
      <c r="C24" s="16"/>
    </row>
    <row r="25" spans="1:3" ht="15.75" customHeight="1">
      <c r="A25" s="13"/>
      <c r="B25" s="13"/>
      <c r="C25" s="16"/>
    </row>
    <row r="26" spans="1:3" ht="15.75" customHeight="1">
      <c r="A26" s="13"/>
      <c r="B26" s="13"/>
      <c r="C26" s="16"/>
    </row>
    <row r="27" spans="1:3" ht="15.75" customHeight="1">
      <c r="A27" s="13"/>
      <c r="B27" s="13"/>
      <c r="C27" s="16"/>
    </row>
    <row r="28" spans="1:3" ht="15.75" customHeight="1">
      <c r="A28" s="13"/>
      <c r="B28" s="13"/>
      <c r="C28" s="16"/>
    </row>
    <row r="29" spans="1:3" ht="15.75" customHeight="1">
      <c r="A29" s="13"/>
      <c r="B29" s="13"/>
      <c r="C29" s="16"/>
    </row>
    <row r="30" spans="1:3" ht="15.75" customHeight="1">
      <c r="A30" s="13"/>
      <c r="B30" s="13"/>
      <c r="C30" s="16"/>
    </row>
    <row r="31" spans="1:3" ht="15.75" customHeight="1">
      <c r="A31" s="13"/>
      <c r="B31" s="13"/>
      <c r="C31" s="16"/>
    </row>
    <row r="32" spans="1:3" ht="15.75" customHeight="1">
      <c r="A32" s="13"/>
      <c r="B32" s="13"/>
      <c r="C32" s="16"/>
    </row>
    <row r="33" spans="1:3" ht="15.75" customHeight="1">
      <c r="A33" s="13"/>
      <c r="B33" s="13"/>
      <c r="C33" s="16"/>
    </row>
    <row r="34" spans="1:3" ht="15.75" customHeight="1">
      <c r="A34" s="13"/>
      <c r="B34" s="13"/>
      <c r="C34" s="16"/>
    </row>
    <row r="35" spans="1:3" ht="15.75" customHeight="1">
      <c r="A35" s="13"/>
      <c r="B35" s="13"/>
      <c r="C35" s="16"/>
    </row>
    <row r="36" spans="1:3" ht="15.75" customHeight="1">
      <c r="A36" s="13"/>
      <c r="B36" s="13"/>
      <c r="C36" s="16"/>
    </row>
    <row r="37" spans="1:3" ht="15.75" customHeight="1">
      <c r="A37" s="13"/>
      <c r="B37" s="13"/>
      <c r="C37" s="16"/>
    </row>
    <row r="38" spans="1:3" ht="15.75" customHeight="1">
      <c r="A38" s="13"/>
      <c r="B38" s="13"/>
      <c r="C38" s="16"/>
    </row>
    <row r="39" spans="1:3" ht="15.75" customHeight="1">
      <c r="A39" s="13"/>
      <c r="B39" s="13"/>
      <c r="C39" s="16"/>
    </row>
    <row r="40" spans="1:3" ht="15.75" customHeight="1">
      <c r="A40" s="13"/>
      <c r="B40" s="13"/>
      <c r="C40" s="16"/>
    </row>
    <row r="41" spans="1:3" ht="15.75" customHeight="1">
      <c r="A41" s="13"/>
      <c r="B41" s="13"/>
      <c r="C41" s="16"/>
    </row>
    <row r="42" spans="1:3" ht="15.75" customHeight="1">
      <c r="A42" s="13"/>
      <c r="B42" s="13"/>
      <c r="C42" s="16"/>
    </row>
    <row r="43" spans="1:3" ht="15.75" customHeight="1">
      <c r="A43" s="13"/>
      <c r="B43" s="13"/>
      <c r="C43" s="16"/>
    </row>
    <row r="44" spans="1:3" ht="15.75" customHeight="1">
      <c r="A44" s="13"/>
      <c r="B44" s="13"/>
      <c r="C44" s="16"/>
    </row>
    <row r="45" spans="1:3" ht="15.75" customHeight="1">
      <c r="A45" s="13"/>
      <c r="B45" s="13"/>
      <c r="C45" s="16"/>
    </row>
    <row r="46" spans="1:3" ht="15.75" customHeight="1">
      <c r="A46" s="13"/>
      <c r="B46" s="13"/>
      <c r="C46" s="16"/>
    </row>
    <row r="47" spans="1:3" ht="15.75" customHeight="1">
      <c r="A47" s="13"/>
      <c r="B47" s="13"/>
      <c r="C47" s="16"/>
    </row>
    <row r="48" spans="1:3" ht="15.75" customHeight="1">
      <c r="A48" s="13"/>
      <c r="B48" s="13"/>
      <c r="C48" s="16"/>
    </row>
    <row r="49" spans="1:3" ht="15.75" customHeight="1">
      <c r="A49" s="13"/>
      <c r="B49" s="13"/>
      <c r="C49" s="16"/>
    </row>
    <row r="50" spans="1:3" ht="15.75" customHeight="1">
      <c r="A50" s="13"/>
      <c r="B50" s="13"/>
      <c r="C50" s="16"/>
    </row>
    <row r="51" spans="1:3" ht="15.75" customHeight="1">
      <c r="A51" s="13"/>
      <c r="B51" s="13"/>
      <c r="C51" s="16"/>
    </row>
    <row r="52" spans="1:3" ht="15.75" customHeight="1">
      <c r="A52" s="13"/>
      <c r="B52" s="13"/>
      <c r="C52" s="16"/>
    </row>
    <row r="53" spans="1:3" ht="15.75" customHeight="1">
      <c r="A53" s="13"/>
      <c r="B53" s="13"/>
      <c r="C53" s="16"/>
    </row>
    <row r="54" spans="1:3" ht="15.75" customHeight="1">
      <c r="A54" s="13"/>
      <c r="B54" s="13"/>
      <c r="C54" s="16"/>
    </row>
    <row r="55" spans="1:3" ht="15.75" customHeight="1">
      <c r="A55" s="13"/>
      <c r="B55" s="13"/>
      <c r="C55" s="16"/>
    </row>
    <row r="56" spans="1:3" ht="15.75" customHeight="1">
      <c r="A56" s="13"/>
      <c r="B56" s="13"/>
      <c r="C56" s="16"/>
    </row>
    <row r="57" spans="1:3" ht="15.75" customHeight="1">
      <c r="A57" s="13"/>
      <c r="B57" s="13"/>
      <c r="C57" s="16"/>
    </row>
    <row r="58" spans="1:3" ht="15.75" customHeight="1">
      <c r="A58" s="13"/>
      <c r="B58" s="13"/>
      <c r="C58" s="16"/>
    </row>
    <row r="59" spans="1:3" ht="15.75" customHeight="1">
      <c r="A59" s="13"/>
      <c r="B59" s="13"/>
      <c r="C59" s="16"/>
    </row>
    <row r="60" spans="1:3" ht="15.75" customHeight="1">
      <c r="A60" s="13"/>
      <c r="B60" s="13"/>
      <c r="C60" s="16"/>
    </row>
    <row r="61" spans="1:3" ht="15.75" customHeight="1">
      <c r="A61" s="13"/>
      <c r="B61" s="13"/>
      <c r="C61" s="16"/>
    </row>
    <row r="62" spans="1:3" ht="15.75" customHeight="1">
      <c r="A62" s="13"/>
      <c r="B62" s="13"/>
      <c r="C62" s="16"/>
    </row>
    <row r="63" spans="1:3" ht="15.75" customHeight="1">
      <c r="A63" s="13"/>
      <c r="B63" s="13"/>
      <c r="C63" s="16"/>
    </row>
    <row r="64" spans="1:3" ht="15.75" customHeight="1">
      <c r="A64" s="13"/>
      <c r="B64" s="13"/>
      <c r="C64" s="16"/>
    </row>
    <row r="65" spans="1:3" ht="15.75" customHeight="1">
      <c r="A65" s="13"/>
      <c r="B65" s="13"/>
      <c r="C65" s="16"/>
    </row>
    <row r="66" spans="1:3" ht="15.75" customHeight="1">
      <c r="A66" s="13"/>
      <c r="B66" s="13"/>
      <c r="C66" s="16"/>
    </row>
    <row r="67" spans="1:3" ht="15.75" customHeight="1">
      <c r="A67" s="13"/>
      <c r="B67" s="13"/>
      <c r="C67" s="16"/>
    </row>
    <row r="68" spans="1:3" ht="15.75" customHeight="1">
      <c r="A68" s="13"/>
      <c r="B68" s="13"/>
      <c r="C68" s="16"/>
    </row>
    <row r="69" spans="1:3" ht="15.75" customHeight="1">
      <c r="A69" s="13"/>
      <c r="B69" s="13"/>
      <c r="C69" s="16"/>
    </row>
    <row r="70" spans="1:3" ht="15.75" customHeight="1">
      <c r="A70" s="13"/>
      <c r="B70" s="13"/>
      <c r="C70" s="16"/>
    </row>
    <row r="71" spans="1:3" ht="15.75" customHeight="1">
      <c r="A71" s="13"/>
      <c r="B71" s="13"/>
      <c r="C71" s="16"/>
    </row>
    <row r="72" spans="1:3" ht="15.75" customHeight="1">
      <c r="A72" s="13"/>
      <c r="B72" s="13"/>
      <c r="C72" s="16"/>
    </row>
    <row r="73" spans="1:3" ht="15.75" customHeight="1">
      <c r="A73" s="13"/>
      <c r="B73" s="13"/>
      <c r="C73" s="16"/>
    </row>
    <row r="74" spans="1:3" ht="15.75" customHeight="1">
      <c r="A74" s="13"/>
      <c r="B74" s="13"/>
      <c r="C74" s="16"/>
    </row>
    <row r="75" spans="1:3" ht="15.75" customHeight="1">
      <c r="A75" s="13"/>
      <c r="B75" s="13"/>
      <c r="C75" s="16"/>
    </row>
    <row r="76" spans="1:3" ht="15.75" customHeight="1">
      <c r="A76" s="13"/>
      <c r="B76" s="13"/>
      <c r="C76" s="16"/>
    </row>
    <row r="77" spans="1:3" ht="15.75" customHeight="1">
      <c r="A77" s="13"/>
      <c r="B77" s="13"/>
      <c r="C77" s="16"/>
    </row>
    <row r="78" spans="1:3" ht="15.75" customHeight="1">
      <c r="A78" s="13"/>
      <c r="B78" s="13"/>
      <c r="C78" s="16"/>
    </row>
    <row r="79" spans="1:3" ht="15.75" customHeight="1">
      <c r="A79" s="13"/>
      <c r="B79" s="13"/>
      <c r="C79" s="16"/>
    </row>
    <row r="80" spans="1:3" ht="15.75" customHeight="1">
      <c r="A80" s="13"/>
      <c r="B80" s="13"/>
      <c r="C80" s="16"/>
    </row>
    <row r="81" spans="1:3" ht="15.75" customHeight="1">
      <c r="A81" s="13"/>
      <c r="B81" s="13"/>
      <c r="C81" s="16"/>
    </row>
    <row r="82" spans="1:3" ht="15.75" customHeight="1">
      <c r="A82" s="13"/>
      <c r="B82" s="13"/>
      <c r="C82" s="16"/>
    </row>
    <row r="83" spans="1:3" ht="15.75" customHeight="1">
      <c r="A83" s="13"/>
      <c r="B83" s="13"/>
      <c r="C83" s="16"/>
    </row>
    <row r="84" spans="1:3" ht="15.75" customHeight="1">
      <c r="A84" s="13"/>
      <c r="B84" s="13"/>
      <c r="C84" s="16"/>
    </row>
    <row r="85" spans="1:3" ht="15.75" customHeight="1">
      <c r="A85" s="13"/>
      <c r="B85" s="13"/>
      <c r="C85" s="16"/>
    </row>
    <row r="86" spans="1:3" ht="15.75" customHeight="1">
      <c r="A86" s="13"/>
      <c r="B86" s="13"/>
      <c r="C86" s="16"/>
    </row>
    <row r="87" spans="1:3" ht="15.75" customHeight="1">
      <c r="A87" s="13"/>
      <c r="B87" s="13"/>
      <c r="C87" s="16"/>
    </row>
    <row r="88" spans="1:3" ht="15.75" customHeight="1">
      <c r="A88" s="13"/>
      <c r="B88" s="13"/>
      <c r="C88" s="16"/>
    </row>
    <row r="89" spans="1:3" ht="15.75" customHeight="1">
      <c r="A89" s="13"/>
      <c r="B89" s="13"/>
      <c r="C89" s="16"/>
    </row>
    <row r="90" spans="1:3" ht="15.75" customHeight="1">
      <c r="A90" s="13"/>
      <c r="B90" s="13"/>
      <c r="C90" s="16"/>
    </row>
    <row r="91" spans="1:3" ht="15.75" customHeight="1">
      <c r="A91" s="13"/>
      <c r="B91" s="13"/>
      <c r="C91" s="16"/>
    </row>
    <row r="92" spans="1:3" ht="15.75" customHeight="1">
      <c r="A92" s="13"/>
      <c r="B92" s="13"/>
      <c r="C92" s="16"/>
    </row>
    <row r="93" spans="1:3" ht="15.75" customHeight="1">
      <c r="A93" s="13"/>
      <c r="B93" s="13"/>
      <c r="C93" s="16"/>
    </row>
    <row r="94" spans="1:3" ht="15.75" customHeight="1">
      <c r="A94" s="13"/>
      <c r="B94" s="13"/>
      <c r="C94" s="16"/>
    </row>
    <row r="95" spans="1:3" ht="15.75" customHeight="1">
      <c r="A95" s="13"/>
      <c r="B95" s="13"/>
      <c r="C95" s="16"/>
    </row>
    <row r="96" spans="1:3" ht="15.75" customHeight="1">
      <c r="A96" s="13"/>
      <c r="B96" s="13"/>
      <c r="C96" s="16"/>
    </row>
    <row r="97" spans="1:3" ht="15.75" customHeight="1">
      <c r="A97" s="13"/>
      <c r="B97" s="13"/>
      <c r="C97" s="16"/>
    </row>
    <row r="98" spans="1:3" ht="15.75" customHeight="1">
      <c r="A98" s="13"/>
      <c r="B98" s="13"/>
      <c r="C98" s="16"/>
    </row>
    <row r="99" spans="1:3" ht="15.75" customHeight="1">
      <c r="A99" s="13"/>
      <c r="B99" s="13"/>
      <c r="C99" s="16"/>
    </row>
    <row r="100" spans="1:3" ht="15.75" customHeight="1">
      <c r="A100" s="13"/>
      <c r="B100" s="13"/>
      <c r="C100" s="16"/>
    </row>
    <row r="101" spans="1:3" ht="15.75" customHeight="1">
      <c r="A101" s="13"/>
      <c r="B101" s="13"/>
      <c r="C101" s="16"/>
    </row>
    <row r="102" spans="1:3" ht="15.75" customHeight="1">
      <c r="A102" s="13"/>
      <c r="B102" s="13"/>
      <c r="C102" s="16"/>
    </row>
    <row r="103" spans="1:3" ht="15.75" customHeight="1">
      <c r="A103" s="13"/>
      <c r="B103" s="13"/>
      <c r="C103" s="16"/>
    </row>
    <row r="104" spans="1:3" ht="15.75" customHeight="1">
      <c r="A104" s="13"/>
      <c r="B104" s="13"/>
      <c r="C104" s="16"/>
    </row>
    <row r="105" spans="1:3" ht="15.75" customHeight="1">
      <c r="A105" s="13"/>
      <c r="B105" s="13"/>
      <c r="C105" s="16"/>
    </row>
    <row r="106" spans="1:3" ht="15.75" customHeight="1">
      <c r="A106" s="13"/>
      <c r="B106" s="13"/>
      <c r="C106" s="16"/>
    </row>
    <row r="107" spans="1:3" ht="15.75" customHeight="1">
      <c r="A107" s="13"/>
      <c r="B107" s="13"/>
      <c r="C107" s="16"/>
    </row>
    <row r="108" spans="1:3" ht="15.75" customHeight="1">
      <c r="A108" s="13"/>
      <c r="B108" s="13"/>
      <c r="C108" s="16"/>
    </row>
    <row r="109" spans="1:3" ht="15.75" customHeight="1">
      <c r="A109" s="13"/>
      <c r="B109" s="13"/>
      <c r="C109" s="16"/>
    </row>
    <row r="110" spans="1:3" ht="15.75" customHeight="1">
      <c r="A110" s="13"/>
      <c r="B110" s="13"/>
      <c r="C110" s="16"/>
    </row>
    <row r="111" spans="1:3" ht="15.75" customHeight="1">
      <c r="A111" s="13"/>
      <c r="B111" s="13"/>
      <c r="C111" s="16"/>
    </row>
    <row r="112" spans="1:3" ht="15.75" customHeight="1">
      <c r="A112" s="13"/>
      <c r="B112" s="13"/>
      <c r="C112" s="16"/>
    </row>
    <row r="113" spans="1:3" ht="15.75" customHeight="1">
      <c r="A113" s="13"/>
      <c r="B113" s="13"/>
      <c r="C113" s="16"/>
    </row>
    <row r="114" spans="1:3" ht="15.75" customHeight="1">
      <c r="A114" s="13"/>
      <c r="B114" s="13"/>
      <c r="C114" s="16"/>
    </row>
    <row r="115" spans="1:3" ht="15.75" customHeight="1">
      <c r="A115" s="13"/>
      <c r="B115" s="13"/>
      <c r="C115" s="16"/>
    </row>
    <row r="116" spans="1:3" ht="15.75" customHeight="1">
      <c r="A116" s="13"/>
      <c r="B116" s="13"/>
      <c r="C116" s="16"/>
    </row>
    <row r="117" spans="1:3" ht="15.75" customHeight="1">
      <c r="A117" s="13"/>
      <c r="B117" s="13"/>
      <c r="C117" s="16"/>
    </row>
    <row r="118" spans="1:3" ht="15.75" customHeight="1">
      <c r="A118" s="13"/>
      <c r="B118" s="13"/>
      <c r="C118" s="16"/>
    </row>
    <row r="119" spans="1:3" ht="15.75" customHeight="1">
      <c r="A119" s="13"/>
      <c r="B119" s="13"/>
      <c r="C119" s="16"/>
    </row>
    <row r="120" spans="1:3" ht="15.75" customHeight="1">
      <c r="A120" s="13"/>
      <c r="B120" s="13"/>
      <c r="C120" s="16"/>
    </row>
    <row r="121" spans="1:3" ht="15.75" customHeight="1">
      <c r="A121" s="13"/>
      <c r="B121" s="13"/>
      <c r="C121" s="16"/>
    </row>
    <row r="122" spans="1:3" ht="15.75" customHeight="1">
      <c r="A122" s="13"/>
      <c r="B122" s="13"/>
      <c r="C122" s="16"/>
    </row>
    <row r="123" spans="1:3" ht="15.75" customHeight="1">
      <c r="A123" s="13"/>
      <c r="B123" s="13"/>
      <c r="C123" s="16"/>
    </row>
    <row r="124" spans="1:3" ht="15.75" customHeight="1">
      <c r="A124" s="13"/>
      <c r="B124" s="13"/>
      <c r="C124" s="16"/>
    </row>
    <row r="125" spans="1:3" ht="15.75" customHeight="1">
      <c r="A125" s="13"/>
      <c r="B125" s="13"/>
      <c r="C125" s="16"/>
    </row>
    <row r="126" spans="1:3" ht="15.75" customHeight="1">
      <c r="A126" s="13"/>
      <c r="B126" s="13"/>
      <c r="C126" s="16"/>
    </row>
    <row r="127" spans="1:3" ht="15.75" customHeight="1">
      <c r="A127" s="13"/>
      <c r="B127" s="13"/>
      <c r="C127" s="16"/>
    </row>
    <row r="128" spans="1:3" ht="15.75" customHeight="1">
      <c r="A128" s="13"/>
      <c r="B128" s="13"/>
      <c r="C128" s="16"/>
    </row>
    <row r="129" spans="1:3" ht="15.75" customHeight="1">
      <c r="A129" s="13"/>
      <c r="B129" s="13"/>
      <c r="C129" s="16"/>
    </row>
    <row r="130" spans="1:3" ht="15.75" customHeight="1">
      <c r="A130" s="13"/>
      <c r="B130" s="13"/>
      <c r="C130" s="16"/>
    </row>
    <row r="131" spans="1:3" ht="15.75" customHeight="1">
      <c r="A131" s="13"/>
      <c r="B131" s="13"/>
      <c r="C131" s="16"/>
    </row>
    <row r="132" spans="1:3" ht="15.75" customHeight="1">
      <c r="A132" s="13"/>
      <c r="B132" s="13"/>
      <c r="C132" s="16"/>
    </row>
    <row r="133" spans="1:3" ht="15.75" customHeight="1">
      <c r="A133" s="13"/>
      <c r="B133" s="13"/>
      <c r="C133" s="16"/>
    </row>
    <row r="134" spans="1:3" ht="15.75" customHeight="1">
      <c r="A134" s="13"/>
      <c r="B134" s="13"/>
      <c r="C134" s="16"/>
    </row>
    <row r="135" spans="1:3" ht="15.75" customHeight="1">
      <c r="A135" s="13"/>
      <c r="B135" s="13"/>
      <c r="C135" s="16"/>
    </row>
    <row r="136" spans="1:3" ht="15.75" customHeight="1">
      <c r="A136" s="13"/>
      <c r="B136" s="13"/>
      <c r="C136" s="16"/>
    </row>
    <row r="137" spans="1:3" ht="15.75" customHeight="1">
      <c r="A137" s="13"/>
      <c r="B137" s="13"/>
      <c r="C137" s="16"/>
    </row>
    <row r="138" spans="1:3" ht="15.75" customHeight="1">
      <c r="A138" s="13"/>
      <c r="B138" s="13"/>
      <c r="C138" s="16"/>
    </row>
    <row r="139" spans="1:3" ht="15.75" customHeight="1">
      <c r="A139" s="13"/>
      <c r="B139" s="13"/>
      <c r="C139" s="16"/>
    </row>
    <row r="140" spans="1:3" ht="15.75" customHeight="1">
      <c r="A140" s="13"/>
      <c r="B140" s="13"/>
      <c r="C140" s="16"/>
    </row>
    <row r="141" spans="1:3" ht="15.75" customHeight="1">
      <c r="A141" s="13"/>
      <c r="B141" s="13"/>
      <c r="C141" s="16"/>
    </row>
    <row r="142" spans="1:3" ht="15.75" customHeight="1">
      <c r="A142" s="13"/>
      <c r="B142" s="13"/>
      <c r="C142" s="16"/>
    </row>
    <row r="143" spans="1:3" ht="15.75" customHeight="1">
      <c r="A143" s="13"/>
      <c r="B143" s="13"/>
      <c r="C143" s="16"/>
    </row>
    <row r="144" spans="1:3" ht="15.75" customHeight="1">
      <c r="A144" s="13"/>
      <c r="B144" s="13"/>
      <c r="C144" s="16"/>
    </row>
    <row r="145" spans="1:3" ht="15.75" customHeight="1">
      <c r="A145" s="13"/>
      <c r="B145" s="13"/>
      <c r="C145" s="16"/>
    </row>
    <row r="146" spans="1:3" ht="15.75" customHeight="1">
      <c r="A146" s="13"/>
      <c r="B146" s="13"/>
      <c r="C146" s="16"/>
    </row>
    <row r="147" spans="1:3" ht="15.75" customHeight="1">
      <c r="A147" s="13"/>
      <c r="B147" s="13"/>
      <c r="C147" s="16"/>
    </row>
    <row r="148" spans="1:3" ht="15.75" customHeight="1">
      <c r="A148" s="13"/>
      <c r="B148" s="13"/>
      <c r="C148" s="16"/>
    </row>
    <row r="149" spans="1:3" ht="15.75" customHeight="1">
      <c r="A149" s="13"/>
      <c r="B149" s="13"/>
      <c r="C149" s="16"/>
    </row>
    <row r="150" spans="1:3" ht="15.75" customHeight="1">
      <c r="A150" s="13"/>
      <c r="B150" s="13"/>
      <c r="C150" s="16"/>
    </row>
    <row r="151" spans="1:3" ht="15.75" customHeight="1">
      <c r="A151" s="13"/>
      <c r="B151" s="13"/>
      <c r="C151" s="16"/>
    </row>
    <row r="152" spans="1:3" ht="15.75" customHeight="1">
      <c r="A152" s="13"/>
      <c r="B152" s="13"/>
      <c r="C152" s="16"/>
    </row>
    <row r="153" spans="1:3" ht="15.75" customHeight="1">
      <c r="A153" s="13"/>
      <c r="B153" s="13"/>
      <c r="C153" s="16"/>
    </row>
    <row r="154" spans="1:3" ht="15.75" customHeight="1">
      <c r="A154" s="13"/>
      <c r="B154" s="13"/>
      <c r="C154" s="16"/>
    </row>
    <row r="155" spans="1:3" ht="15.75" customHeight="1">
      <c r="A155" s="13"/>
      <c r="B155" s="13"/>
      <c r="C155" s="16"/>
    </row>
    <row r="156" spans="1:3" ht="15.75" customHeight="1">
      <c r="A156" s="13"/>
      <c r="B156" s="13"/>
      <c r="C156" s="16"/>
    </row>
    <row r="157" spans="1:3" ht="15.75" customHeight="1">
      <c r="A157" s="13"/>
      <c r="B157" s="13"/>
      <c r="C157" s="16"/>
    </row>
    <row r="158" spans="1:3" ht="15.75" customHeight="1">
      <c r="A158" s="13"/>
      <c r="B158" s="13"/>
      <c r="C158" s="16"/>
    </row>
    <row r="159" spans="1:3" ht="15.75" customHeight="1">
      <c r="A159" s="13"/>
      <c r="B159" s="13"/>
      <c r="C159" s="17"/>
    </row>
    <row r="160" spans="1:3" ht="15.75" customHeight="1">
      <c r="A160" s="13"/>
      <c r="B160" s="13"/>
      <c r="C160" s="17"/>
    </row>
    <row r="161" spans="1:5" ht="15.75" customHeight="1">
      <c r="A161" s="13"/>
      <c r="B161" s="13"/>
      <c r="C161" s="16"/>
    </row>
    <row r="162" spans="1:5" ht="15.75" customHeight="1">
      <c r="A162" s="13"/>
      <c r="B162" s="18"/>
      <c r="C162" s="19"/>
      <c r="E162" s="20"/>
    </row>
    <row r="163" spans="1:5" ht="15.75" customHeight="1">
      <c r="A163" s="21"/>
      <c r="B163" s="22" t="s">
        <v>77</v>
      </c>
      <c r="C163" s="23"/>
    </row>
    <row r="164" spans="1:5" ht="15.75" customHeight="1">
      <c r="B164" s="24"/>
    </row>
    <row r="165" spans="1:5" ht="15.75" customHeight="1">
      <c r="B165" s="24"/>
    </row>
    <row r="166" spans="1:5" ht="15.75" customHeight="1">
      <c r="B166" s="24"/>
    </row>
    <row r="167" spans="1:5" ht="15.75" customHeight="1">
      <c r="B167" s="24"/>
    </row>
    <row r="168" spans="1:5" ht="15.75" customHeight="1">
      <c r="B168" s="24"/>
    </row>
    <row r="169" spans="1:5" ht="15.75" customHeight="1">
      <c r="B169" s="24"/>
    </row>
    <row r="170" spans="1:5" ht="15.75" customHeight="1">
      <c r="B170" s="24"/>
    </row>
    <row r="171" spans="1:5" ht="15.75" customHeight="1">
      <c r="B171" s="24"/>
    </row>
    <row r="172" spans="1:5" ht="15.75" customHeight="1">
      <c r="B172" s="24"/>
    </row>
    <row r="173" spans="1:5" ht="15.75" customHeight="1">
      <c r="B173" s="24"/>
    </row>
    <row r="174" spans="1:5" ht="15.75" customHeight="1">
      <c r="B174" s="24"/>
    </row>
    <row r="175" spans="1:5" ht="15.75" customHeight="1">
      <c r="B175" s="24"/>
    </row>
    <row r="176" spans="1:5" ht="15.75" customHeight="1">
      <c r="B176" s="24"/>
    </row>
    <row r="177" spans="2:2" ht="15.75" customHeight="1">
      <c r="B177" s="24"/>
    </row>
    <row r="178" spans="2:2" ht="15.75" customHeight="1">
      <c r="B178" s="24"/>
    </row>
    <row r="179" spans="2:2" ht="15.75" customHeight="1">
      <c r="B179" s="24"/>
    </row>
    <row r="180" spans="2:2" ht="15.75" customHeight="1">
      <c r="B180" s="24"/>
    </row>
    <row r="181" spans="2:2" ht="15.75" customHeight="1">
      <c r="B181" s="24"/>
    </row>
    <row r="182" spans="2:2" ht="15.75" customHeight="1">
      <c r="B182" s="24"/>
    </row>
    <row r="183" spans="2:2" ht="15.75" customHeight="1">
      <c r="B183" s="24"/>
    </row>
    <row r="184" spans="2:2" ht="15.75" customHeight="1">
      <c r="B184" s="24"/>
    </row>
    <row r="185" spans="2:2" ht="15.75" customHeight="1">
      <c r="B185" s="24"/>
    </row>
    <row r="186" spans="2:2" ht="15.75" customHeight="1">
      <c r="B186" s="24"/>
    </row>
    <row r="187" spans="2:2" ht="15.75" customHeight="1">
      <c r="B187" s="24"/>
    </row>
    <row r="188" spans="2:2" ht="15.75" customHeight="1">
      <c r="B188" s="24"/>
    </row>
    <row r="189" spans="2:2" ht="15.75" customHeight="1">
      <c r="B189" s="24"/>
    </row>
    <row r="190" spans="2:2" ht="15.75" customHeight="1">
      <c r="B190" s="24"/>
    </row>
    <row r="191" spans="2:2" ht="15.75" customHeight="1">
      <c r="B191" s="24"/>
    </row>
    <row r="192" spans="2:2" ht="15.75" customHeight="1">
      <c r="B192" s="24"/>
    </row>
    <row r="193" spans="2:2" ht="15.75" customHeight="1">
      <c r="B193" s="24"/>
    </row>
    <row r="194" spans="2:2" ht="15.75" customHeight="1">
      <c r="B194" s="24"/>
    </row>
    <row r="195" spans="2:2" ht="15.75" customHeight="1">
      <c r="B195" s="24"/>
    </row>
    <row r="196" spans="2:2" ht="15.75" customHeight="1">
      <c r="B196" s="24"/>
    </row>
    <row r="197" spans="2:2" ht="15.75" customHeight="1">
      <c r="B197" s="24"/>
    </row>
    <row r="198" spans="2:2" ht="15.75" customHeight="1">
      <c r="B198" s="24"/>
    </row>
    <row r="199" spans="2:2" ht="15.75" customHeight="1">
      <c r="B199" s="24"/>
    </row>
    <row r="200" spans="2:2" ht="15.75" customHeight="1">
      <c r="B200" s="24"/>
    </row>
    <row r="201" spans="2:2" ht="15.75" customHeight="1">
      <c r="B201" s="24"/>
    </row>
    <row r="202" spans="2:2" ht="15.75" customHeight="1">
      <c r="B202" s="24"/>
    </row>
    <row r="203" spans="2:2" ht="15.75" customHeight="1">
      <c r="B203" s="24"/>
    </row>
    <row r="204" spans="2:2" ht="15.75" customHeight="1">
      <c r="B204" s="24"/>
    </row>
    <row r="205" spans="2:2" ht="15.75" customHeight="1">
      <c r="B205" s="24"/>
    </row>
    <row r="206" spans="2:2" ht="15.75" customHeight="1">
      <c r="B206" s="24"/>
    </row>
    <row r="207" spans="2:2" ht="15.75" customHeight="1">
      <c r="B207" s="24"/>
    </row>
    <row r="208" spans="2:2" ht="15.75" customHeight="1">
      <c r="B208" s="24"/>
    </row>
    <row r="209" spans="2:2" ht="15.75" customHeight="1">
      <c r="B209" s="24"/>
    </row>
    <row r="210" spans="2:2" ht="15.75" customHeight="1">
      <c r="B210" s="24"/>
    </row>
    <row r="211" spans="2:2" ht="15.75" customHeight="1">
      <c r="B211" s="24"/>
    </row>
    <row r="212" spans="2:2" ht="15.75" customHeight="1">
      <c r="B212" s="24"/>
    </row>
    <row r="213" spans="2:2" ht="15.75" customHeight="1">
      <c r="B213" s="24"/>
    </row>
    <row r="214" spans="2:2" ht="15.75" customHeight="1">
      <c r="B214" s="24"/>
    </row>
    <row r="215" spans="2:2" ht="15.75" customHeight="1">
      <c r="B215" s="24"/>
    </row>
    <row r="216" spans="2:2" ht="15.75" customHeight="1">
      <c r="B216" s="24"/>
    </row>
    <row r="217" spans="2:2" ht="15.75" customHeight="1">
      <c r="B217" s="24"/>
    </row>
    <row r="218" spans="2:2" ht="15.75" customHeight="1">
      <c r="B218" s="24"/>
    </row>
    <row r="219" spans="2:2" ht="15.75" customHeight="1">
      <c r="B219" s="24"/>
    </row>
    <row r="220" spans="2:2" ht="15.75" customHeight="1">
      <c r="B220" s="24"/>
    </row>
    <row r="221" spans="2:2" ht="15.75" customHeight="1">
      <c r="B221" s="24"/>
    </row>
    <row r="222" spans="2:2" ht="15.75" customHeight="1">
      <c r="B222" s="24"/>
    </row>
    <row r="223" spans="2:2" ht="15.75" customHeight="1">
      <c r="B223" s="24"/>
    </row>
    <row r="224" spans="2:2" ht="15.75" customHeight="1">
      <c r="B224" s="24"/>
    </row>
    <row r="225" spans="2:2" ht="15.75" customHeight="1">
      <c r="B225" s="24"/>
    </row>
    <row r="226" spans="2:2" ht="15.75" customHeight="1">
      <c r="B226" s="24"/>
    </row>
    <row r="227" spans="2:2" ht="15.75" customHeight="1">
      <c r="B227" s="24"/>
    </row>
    <row r="228" spans="2:2" ht="15.75" customHeight="1">
      <c r="B228" s="24"/>
    </row>
    <row r="229" spans="2:2" ht="15.75" customHeight="1">
      <c r="B229" s="24"/>
    </row>
    <row r="230" spans="2:2" ht="15.75" customHeight="1">
      <c r="B230" s="24"/>
    </row>
    <row r="231" spans="2:2" ht="15.75" customHeight="1">
      <c r="B231" s="24"/>
    </row>
    <row r="232" spans="2:2" ht="15.75" customHeight="1">
      <c r="B232" s="24"/>
    </row>
    <row r="233" spans="2:2" ht="15.75" customHeight="1">
      <c r="B233" s="24"/>
    </row>
    <row r="234" spans="2:2" ht="15.75" customHeight="1">
      <c r="B234" s="24"/>
    </row>
    <row r="235" spans="2:2" ht="15.75" customHeight="1">
      <c r="B235" s="24"/>
    </row>
    <row r="236" spans="2:2" ht="15.75" customHeight="1">
      <c r="B236" s="24"/>
    </row>
    <row r="237" spans="2:2" ht="15.75" customHeight="1">
      <c r="B237" s="24"/>
    </row>
    <row r="238" spans="2:2" ht="15.75" customHeight="1">
      <c r="B238" s="24"/>
    </row>
    <row r="239" spans="2:2" ht="15.75" customHeight="1">
      <c r="B239" s="24"/>
    </row>
    <row r="240" spans="2:2" ht="15.75" customHeight="1">
      <c r="B240" s="24"/>
    </row>
    <row r="241" spans="2:2" ht="15.75" customHeight="1">
      <c r="B241" s="24"/>
    </row>
    <row r="242" spans="2:2" ht="15.75" customHeight="1">
      <c r="B242" s="24"/>
    </row>
    <row r="243" spans="2:2" ht="15.75" customHeight="1">
      <c r="B243" s="24"/>
    </row>
    <row r="244" spans="2:2" ht="15.75" customHeight="1">
      <c r="B244" s="24"/>
    </row>
    <row r="245" spans="2:2" ht="15.75" customHeight="1">
      <c r="B245" s="24"/>
    </row>
    <row r="246" spans="2:2" ht="15.75" customHeight="1">
      <c r="B246" s="24"/>
    </row>
    <row r="247" spans="2:2" ht="15.75" customHeight="1">
      <c r="B247" s="24"/>
    </row>
    <row r="248" spans="2:2" ht="15.75" customHeight="1">
      <c r="B248" s="24"/>
    </row>
    <row r="249" spans="2:2" ht="15.75" customHeight="1">
      <c r="B249" s="24"/>
    </row>
    <row r="250" spans="2:2" ht="15.75" customHeight="1">
      <c r="B250" s="24"/>
    </row>
    <row r="251" spans="2:2" ht="15.75" customHeight="1">
      <c r="B251" s="24"/>
    </row>
    <row r="252" spans="2:2" ht="15.75" customHeight="1">
      <c r="B252" s="24"/>
    </row>
    <row r="253" spans="2:2" ht="15.75" customHeight="1">
      <c r="B253" s="24"/>
    </row>
    <row r="254" spans="2:2" ht="15.75" customHeight="1">
      <c r="B254" s="24"/>
    </row>
    <row r="255" spans="2:2" ht="15.75" customHeight="1">
      <c r="B255" s="24"/>
    </row>
    <row r="256" spans="2:2" ht="15.75" customHeight="1">
      <c r="B256" s="24"/>
    </row>
    <row r="257" spans="2:2" ht="15.75" customHeight="1">
      <c r="B257" s="24"/>
    </row>
    <row r="258" spans="2:2" ht="15.75" customHeight="1">
      <c r="B258" s="24"/>
    </row>
    <row r="259" spans="2:2" ht="15.75" customHeight="1">
      <c r="B259" s="24"/>
    </row>
    <row r="260" spans="2:2" ht="15.75" customHeight="1">
      <c r="B260" s="24"/>
    </row>
    <row r="261" spans="2:2" ht="15.75" customHeight="1">
      <c r="B261" s="24"/>
    </row>
    <row r="262" spans="2:2" ht="15.75" customHeight="1">
      <c r="B262" s="24"/>
    </row>
    <row r="263" spans="2:2" ht="15.75" customHeight="1">
      <c r="B263" s="24"/>
    </row>
    <row r="264" spans="2:2" ht="15.75" customHeight="1">
      <c r="B264" s="24"/>
    </row>
    <row r="265" spans="2:2" ht="15.75" customHeight="1">
      <c r="B265" s="24"/>
    </row>
    <row r="266" spans="2:2" ht="15.75" customHeight="1">
      <c r="B266" s="24"/>
    </row>
    <row r="267" spans="2:2" ht="15.75" customHeight="1">
      <c r="B267" s="24"/>
    </row>
    <row r="268" spans="2:2" ht="15.75" customHeight="1">
      <c r="B268" s="24"/>
    </row>
    <row r="269" spans="2:2" ht="15.75" customHeight="1">
      <c r="B269" s="24"/>
    </row>
    <row r="270" spans="2:2" ht="15.75" customHeight="1">
      <c r="B270" s="24"/>
    </row>
    <row r="271" spans="2:2" ht="15.75" customHeight="1">
      <c r="B271" s="24"/>
    </row>
    <row r="272" spans="2:2" ht="15.75" customHeight="1">
      <c r="B272" s="24"/>
    </row>
    <row r="273" spans="2:2" ht="15.75" customHeight="1">
      <c r="B273" s="24"/>
    </row>
    <row r="274" spans="2:2" ht="15.75" customHeight="1">
      <c r="B274" s="24"/>
    </row>
    <row r="275" spans="2:2" ht="15.75" customHeight="1">
      <c r="B275" s="24"/>
    </row>
    <row r="276" spans="2:2" ht="15.75" customHeight="1">
      <c r="B276" s="24"/>
    </row>
    <row r="277" spans="2:2" ht="15.75" customHeight="1">
      <c r="B277" s="24"/>
    </row>
    <row r="278" spans="2:2" ht="15.75" customHeight="1">
      <c r="B278" s="24"/>
    </row>
    <row r="279" spans="2:2" ht="15.75" customHeight="1">
      <c r="B279" s="24"/>
    </row>
    <row r="280" spans="2:2" ht="15.75" customHeight="1">
      <c r="B280" s="24"/>
    </row>
    <row r="281" spans="2:2" ht="15.75" customHeight="1">
      <c r="B281" s="24"/>
    </row>
    <row r="282" spans="2:2" ht="15.75" customHeight="1">
      <c r="B282" s="24"/>
    </row>
    <row r="283" spans="2:2" ht="15.75" customHeight="1">
      <c r="B283" s="24"/>
    </row>
    <row r="284" spans="2:2" ht="15.75" customHeight="1">
      <c r="B284" s="24"/>
    </row>
    <row r="285" spans="2:2" ht="15.75" customHeight="1">
      <c r="B285" s="24"/>
    </row>
    <row r="286" spans="2:2" ht="15.75" customHeight="1">
      <c r="B286" s="24"/>
    </row>
    <row r="287" spans="2:2" ht="15.75" customHeight="1">
      <c r="B287" s="24"/>
    </row>
    <row r="288" spans="2:2" ht="15.75" customHeight="1">
      <c r="B288" s="24"/>
    </row>
    <row r="289" spans="2:2" ht="15.75" customHeight="1">
      <c r="B289" s="24"/>
    </row>
    <row r="290" spans="2:2" ht="15.75" customHeight="1">
      <c r="B290" s="24"/>
    </row>
    <row r="291" spans="2:2" ht="15.75" customHeight="1">
      <c r="B291" s="24"/>
    </row>
    <row r="292" spans="2:2" ht="15.75" customHeight="1">
      <c r="B292" s="24"/>
    </row>
    <row r="293" spans="2:2" ht="15.75" customHeight="1">
      <c r="B293" s="24"/>
    </row>
    <row r="294" spans="2:2" ht="15.75" customHeight="1">
      <c r="B294" s="24"/>
    </row>
    <row r="295" spans="2:2" ht="15.75" customHeight="1">
      <c r="B295" s="24"/>
    </row>
    <row r="296" spans="2:2" ht="15.75" customHeight="1">
      <c r="B296" s="24"/>
    </row>
    <row r="297" spans="2:2" ht="15.75" customHeight="1">
      <c r="B297" s="24"/>
    </row>
    <row r="298" spans="2:2" ht="15.75" customHeight="1">
      <c r="B298" s="24"/>
    </row>
    <row r="299" spans="2:2" ht="15.75" customHeight="1">
      <c r="B299" s="24"/>
    </row>
    <row r="300" spans="2:2" ht="15.75" customHeight="1">
      <c r="B300" s="24"/>
    </row>
    <row r="301" spans="2:2" ht="15.75" customHeight="1">
      <c r="B301" s="24"/>
    </row>
    <row r="302" spans="2:2" ht="15.75" customHeight="1">
      <c r="B302" s="24"/>
    </row>
    <row r="303" spans="2:2" ht="15.75" customHeight="1">
      <c r="B303" s="24"/>
    </row>
    <row r="304" spans="2:2" ht="15.75" customHeight="1">
      <c r="B304" s="24"/>
    </row>
    <row r="305" spans="2:2" ht="15.75" customHeight="1">
      <c r="B305" s="24"/>
    </row>
    <row r="306" spans="2:2" ht="15.75" customHeight="1">
      <c r="B306" s="24"/>
    </row>
    <row r="307" spans="2:2" ht="15.75" customHeight="1">
      <c r="B307" s="24"/>
    </row>
    <row r="308" spans="2:2" ht="15.75" customHeight="1">
      <c r="B308" s="24"/>
    </row>
    <row r="309" spans="2:2" ht="15.75" customHeight="1">
      <c r="B309" s="24"/>
    </row>
    <row r="310" spans="2:2" ht="15.75" customHeight="1">
      <c r="B310" s="24"/>
    </row>
    <row r="311" spans="2:2" ht="15.75" customHeight="1">
      <c r="B311" s="24"/>
    </row>
    <row r="312" spans="2:2" ht="15.75" customHeight="1">
      <c r="B312" s="24"/>
    </row>
    <row r="313" spans="2:2" ht="15.75" customHeight="1">
      <c r="B313" s="24"/>
    </row>
    <row r="314" spans="2:2" ht="15.75" customHeight="1">
      <c r="B314" s="24"/>
    </row>
    <row r="315" spans="2:2" ht="15.75" customHeight="1">
      <c r="B315" s="24"/>
    </row>
    <row r="316" spans="2:2" ht="15.75" customHeight="1">
      <c r="B316" s="24"/>
    </row>
    <row r="317" spans="2:2" ht="15.75" customHeight="1">
      <c r="B317" s="24"/>
    </row>
    <row r="318" spans="2:2" ht="15.75" customHeight="1">
      <c r="B318" s="24"/>
    </row>
    <row r="319" spans="2:2" ht="15.75" customHeight="1">
      <c r="B319" s="24"/>
    </row>
    <row r="320" spans="2:2" ht="15.75" customHeight="1">
      <c r="B320" s="24"/>
    </row>
    <row r="321" spans="2:2" ht="15.75" customHeight="1">
      <c r="B321" s="24"/>
    </row>
    <row r="322" spans="2:2" ht="15.75" customHeight="1">
      <c r="B322" s="24"/>
    </row>
    <row r="323" spans="2:2" ht="15.75" customHeight="1">
      <c r="B323" s="24"/>
    </row>
    <row r="324" spans="2:2" ht="15.75" customHeight="1">
      <c r="B324" s="24"/>
    </row>
    <row r="325" spans="2:2" ht="15.75" customHeight="1">
      <c r="B325" s="24"/>
    </row>
    <row r="326" spans="2:2" ht="15.75" customHeight="1">
      <c r="B326" s="24"/>
    </row>
    <row r="327" spans="2:2" ht="15.75" customHeight="1">
      <c r="B327" s="24"/>
    </row>
    <row r="328" spans="2:2" ht="15.75" customHeight="1">
      <c r="B328" s="24"/>
    </row>
    <row r="329" spans="2:2" ht="15.75" customHeight="1">
      <c r="B329" s="24"/>
    </row>
    <row r="330" spans="2:2" ht="15.75" customHeight="1">
      <c r="B330" s="24"/>
    </row>
    <row r="331" spans="2:2" ht="15.75" customHeight="1">
      <c r="B331" s="24"/>
    </row>
    <row r="332" spans="2:2" ht="15.75" customHeight="1">
      <c r="B332" s="24"/>
    </row>
    <row r="333" spans="2:2" ht="15.75" customHeight="1">
      <c r="B333" s="24"/>
    </row>
    <row r="334" spans="2:2" ht="15.75" customHeight="1">
      <c r="B334" s="24"/>
    </row>
    <row r="335" spans="2:2" ht="15.75" customHeight="1">
      <c r="B335" s="24"/>
    </row>
    <row r="336" spans="2:2" ht="15.75" customHeight="1">
      <c r="B336" s="24"/>
    </row>
    <row r="337" spans="2:2" ht="15.75" customHeight="1">
      <c r="B337" s="24"/>
    </row>
    <row r="338" spans="2:2" ht="15.75" customHeight="1">
      <c r="B338" s="24"/>
    </row>
    <row r="339" spans="2:2" ht="15.75" customHeight="1">
      <c r="B339" s="24"/>
    </row>
    <row r="340" spans="2:2" ht="15.75" customHeight="1">
      <c r="B340" s="24"/>
    </row>
    <row r="341" spans="2:2" ht="15.75" customHeight="1">
      <c r="B341" s="24"/>
    </row>
    <row r="342" spans="2:2" ht="15.75" customHeight="1">
      <c r="B342" s="24"/>
    </row>
    <row r="343" spans="2:2" ht="15.75" customHeight="1">
      <c r="B343" s="24"/>
    </row>
    <row r="344" spans="2:2" ht="15.75" customHeight="1">
      <c r="B344" s="24"/>
    </row>
    <row r="345" spans="2:2" ht="15.75" customHeight="1">
      <c r="B345" s="24"/>
    </row>
    <row r="346" spans="2:2" ht="15.75" customHeight="1">
      <c r="B346" s="24"/>
    </row>
    <row r="347" spans="2:2" ht="15.75" customHeight="1">
      <c r="B347" s="24"/>
    </row>
    <row r="348" spans="2:2" ht="15.75" customHeight="1">
      <c r="B348" s="24"/>
    </row>
    <row r="349" spans="2:2" ht="15.75" customHeight="1">
      <c r="B349" s="24"/>
    </row>
    <row r="350" spans="2:2" ht="15.75" customHeight="1">
      <c r="B350" s="24"/>
    </row>
    <row r="351" spans="2:2" ht="15.75" customHeight="1">
      <c r="B351" s="24"/>
    </row>
    <row r="352" spans="2:2" ht="15.75" customHeight="1">
      <c r="B352" s="24"/>
    </row>
    <row r="353" spans="2:2" ht="15.75" customHeight="1">
      <c r="B353" s="24"/>
    </row>
    <row r="354" spans="2:2" ht="15.75" customHeight="1">
      <c r="B354" s="24"/>
    </row>
    <row r="355" spans="2:2" ht="15.75" customHeight="1">
      <c r="B355" s="24"/>
    </row>
    <row r="356" spans="2:2" ht="15.75" customHeight="1">
      <c r="B356" s="24"/>
    </row>
    <row r="357" spans="2:2" ht="15.75" customHeight="1">
      <c r="B357" s="24"/>
    </row>
    <row r="358" spans="2:2" ht="15.75" customHeight="1">
      <c r="B358" s="24"/>
    </row>
    <row r="359" spans="2:2" ht="15.75" customHeight="1">
      <c r="B359" s="24"/>
    </row>
    <row r="360" spans="2:2" ht="15.75" customHeight="1">
      <c r="B360" s="24"/>
    </row>
    <row r="361" spans="2:2" ht="15.75" customHeight="1">
      <c r="B361" s="24"/>
    </row>
    <row r="362" spans="2:2" ht="15.75" customHeight="1">
      <c r="B362" s="24"/>
    </row>
    <row r="363" spans="2:2" ht="15.75" customHeight="1">
      <c r="B363" s="24"/>
    </row>
    <row r="364" spans="2:2" ht="15.75" customHeight="1">
      <c r="B364" s="24"/>
    </row>
    <row r="365" spans="2:2" ht="15.75" customHeight="1">
      <c r="B365" s="24"/>
    </row>
    <row r="366" spans="2:2" ht="15.75" customHeight="1">
      <c r="B366" s="24"/>
    </row>
    <row r="367" spans="2:2" ht="15.75" customHeight="1">
      <c r="B367" s="24"/>
    </row>
    <row r="368" spans="2:2" ht="15.75" customHeight="1">
      <c r="B368" s="24"/>
    </row>
    <row r="369" spans="2:2" ht="15.75" customHeight="1">
      <c r="B369" s="24"/>
    </row>
    <row r="370" spans="2:2" ht="15.75" customHeight="1">
      <c r="B370" s="24"/>
    </row>
    <row r="371" spans="2:2" ht="15.75" customHeight="1">
      <c r="B371" s="24"/>
    </row>
    <row r="372" spans="2:2" ht="15.75" customHeight="1">
      <c r="B372" s="24"/>
    </row>
    <row r="373" spans="2:2" ht="15.75" customHeight="1">
      <c r="B373" s="24"/>
    </row>
    <row r="374" spans="2:2" ht="15.75" customHeight="1">
      <c r="B374" s="24"/>
    </row>
    <row r="375" spans="2:2" ht="15.75" customHeight="1">
      <c r="B375" s="24"/>
    </row>
    <row r="376" spans="2:2" ht="15.75" customHeight="1">
      <c r="B376" s="24"/>
    </row>
    <row r="377" spans="2:2" ht="15.75" customHeight="1">
      <c r="B377" s="24"/>
    </row>
    <row r="378" spans="2:2" ht="15.75" customHeight="1">
      <c r="B378" s="24"/>
    </row>
    <row r="379" spans="2:2" ht="15.75" customHeight="1">
      <c r="B379" s="24"/>
    </row>
    <row r="380" spans="2:2" ht="15.75" customHeight="1">
      <c r="B380" s="24"/>
    </row>
    <row r="381" spans="2:2" ht="15.75" customHeight="1">
      <c r="B381" s="24"/>
    </row>
    <row r="382" spans="2:2" ht="15.75" customHeight="1">
      <c r="B382" s="24"/>
    </row>
    <row r="383" spans="2:2" ht="15.75" customHeight="1">
      <c r="B383" s="24"/>
    </row>
    <row r="384" spans="2:2" ht="15.75" customHeight="1">
      <c r="B384" s="24"/>
    </row>
    <row r="385" spans="2:2" ht="15.75" customHeight="1">
      <c r="B385" s="24"/>
    </row>
    <row r="386" spans="2:2" ht="15.75" customHeight="1">
      <c r="B386" s="24"/>
    </row>
    <row r="387" spans="2:2" ht="15.75" customHeight="1">
      <c r="B387" s="24"/>
    </row>
    <row r="388" spans="2:2" ht="15.75" customHeight="1">
      <c r="B388" s="24"/>
    </row>
    <row r="389" spans="2:2" ht="15.75" customHeight="1">
      <c r="B389" s="24"/>
    </row>
    <row r="390" spans="2:2" ht="15.75" customHeight="1">
      <c r="B390" s="24"/>
    </row>
    <row r="391" spans="2:2" ht="15.75" customHeight="1">
      <c r="B391" s="24"/>
    </row>
    <row r="392" spans="2:2" ht="15.75" customHeight="1">
      <c r="B392" s="24"/>
    </row>
    <row r="393" spans="2:2" ht="15.75" customHeight="1">
      <c r="B393" s="24"/>
    </row>
    <row r="394" spans="2:2" ht="15.75" customHeight="1">
      <c r="B394" s="24"/>
    </row>
    <row r="395" spans="2:2" ht="15.75" customHeight="1">
      <c r="B395" s="24"/>
    </row>
    <row r="396" spans="2:2" ht="15.75" customHeight="1">
      <c r="B396" s="24"/>
    </row>
    <row r="397" spans="2:2" ht="15.75" customHeight="1">
      <c r="B397" s="24"/>
    </row>
    <row r="398" spans="2:2" ht="15.75" customHeight="1">
      <c r="B398" s="24"/>
    </row>
    <row r="399" spans="2:2" ht="15.75" customHeight="1">
      <c r="B399" s="24"/>
    </row>
    <row r="400" spans="2:2" ht="15.75" customHeight="1">
      <c r="B400" s="24"/>
    </row>
    <row r="401" spans="2:2" ht="15.75" customHeight="1">
      <c r="B401" s="24"/>
    </row>
    <row r="402" spans="2:2" ht="15.75" customHeight="1">
      <c r="B402" s="24"/>
    </row>
    <row r="403" spans="2:2" ht="15.75" customHeight="1">
      <c r="B403" s="24"/>
    </row>
    <row r="404" spans="2:2" ht="15.75" customHeight="1">
      <c r="B404" s="24"/>
    </row>
    <row r="405" spans="2:2" ht="15.75" customHeight="1">
      <c r="B405" s="24"/>
    </row>
    <row r="406" spans="2:2" ht="15.75" customHeight="1">
      <c r="B406" s="24"/>
    </row>
    <row r="407" spans="2:2" ht="15.75" customHeight="1">
      <c r="B407" s="24"/>
    </row>
    <row r="408" spans="2:2" ht="15.75" customHeight="1">
      <c r="B408" s="24"/>
    </row>
    <row r="409" spans="2:2" ht="15.75" customHeight="1">
      <c r="B409" s="24"/>
    </row>
    <row r="410" spans="2:2" ht="15.75" customHeight="1">
      <c r="B410" s="24"/>
    </row>
    <row r="411" spans="2:2" ht="15.75" customHeight="1">
      <c r="B411" s="24"/>
    </row>
    <row r="412" spans="2:2" ht="15.75" customHeight="1">
      <c r="B412" s="24"/>
    </row>
    <row r="413" spans="2:2" ht="15.75" customHeight="1">
      <c r="B413" s="24"/>
    </row>
    <row r="414" spans="2:2" ht="15.75" customHeight="1">
      <c r="B414" s="24"/>
    </row>
    <row r="415" spans="2:2" ht="15.75" customHeight="1">
      <c r="B415" s="24"/>
    </row>
    <row r="416" spans="2:2" ht="15.75" customHeight="1">
      <c r="B416" s="24"/>
    </row>
    <row r="417" spans="2:2" ht="15.75" customHeight="1">
      <c r="B417" s="24"/>
    </row>
    <row r="418" spans="2:2" ht="15.75" customHeight="1">
      <c r="B418" s="24"/>
    </row>
    <row r="419" spans="2:2" ht="15.75" customHeight="1">
      <c r="B419" s="24"/>
    </row>
    <row r="420" spans="2:2" ht="15.75" customHeight="1">
      <c r="B420" s="24"/>
    </row>
    <row r="421" spans="2:2" ht="15.75" customHeight="1">
      <c r="B421" s="24"/>
    </row>
    <row r="422" spans="2:2" ht="15.75" customHeight="1">
      <c r="B422" s="24"/>
    </row>
    <row r="423" spans="2:2" ht="15.75" customHeight="1">
      <c r="B423" s="24"/>
    </row>
    <row r="424" spans="2:2" ht="15.75" customHeight="1">
      <c r="B424" s="24"/>
    </row>
    <row r="425" spans="2:2" ht="15.75" customHeight="1">
      <c r="B425" s="24"/>
    </row>
    <row r="426" spans="2:2" ht="15.75" customHeight="1">
      <c r="B426" s="24"/>
    </row>
    <row r="427" spans="2:2" ht="15.75" customHeight="1">
      <c r="B427" s="24"/>
    </row>
    <row r="428" spans="2:2" ht="15.75" customHeight="1">
      <c r="B428" s="24"/>
    </row>
    <row r="429" spans="2:2" ht="15.75" customHeight="1">
      <c r="B429" s="24"/>
    </row>
    <row r="430" spans="2:2" ht="15.75" customHeight="1">
      <c r="B430" s="24"/>
    </row>
    <row r="431" spans="2:2" ht="15.75" customHeight="1">
      <c r="B431" s="24"/>
    </row>
    <row r="432" spans="2:2" ht="15.75" customHeight="1">
      <c r="B432" s="24"/>
    </row>
    <row r="433" spans="2:2" ht="15.75" customHeight="1">
      <c r="B433" s="24"/>
    </row>
    <row r="434" spans="2:2" ht="15.75" customHeight="1">
      <c r="B434" s="24"/>
    </row>
    <row r="435" spans="2:2" ht="15.75" customHeight="1">
      <c r="B435" s="24"/>
    </row>
    <row r="436" spans="2:2" ht="15.75" customHeight="1">
      <c r="B436" s="24"/>
    </row>
    <row r="437" spans="2:2" ht="15.75" customHeight="1">
      <c r="B437" s="24"/>
    </row>
    <row r="438" spans="2:2" ht="15.75" customHeight="1">
      <c r="B438" s="24"/>
    </row>
    <row r="439" spans="2:2" ht="15.75" customHeight="1">
      <c r="B439" s="24"/>
    </row>
    <row r="440" spans="2:2" ht="15.75" customHeight="1">
      <c r="B440" s="24"/>
    </row>
    <row r="441" spans="2:2" ht="15.75" customHeight="1">
      <c r="B441" s="24"/>
    </row>
    <row r="442" spans="2:2" ht="15.75" customHeight="1">
      <c r="B442" s="24"/>
    </row>
    <row r="443" spans="2:2" ht="15.75" customHeight="1">
      <c r="B443" s="24"/>
    </row>
    <row r="444" spans="2:2" ht="15.75" customHeight="1">
      <c r="B444" s="24"/>
    </row>
    <row r="445" spans="2:2" ht="15.75" customHeight="1">
      <c r="B445" s="24"/>
    </row>
    <row r="446" spans="2:2" ht="15.75" customHeight="1">
      <c r="B446" s="24"/>
    </row>
    <row r="447" spans="2:2" ht="15.75" customHeight="1">
      <c r="B447" s="24"/>
    </row>
    <row r="448" spans="2:2" ht="15.75" customHeight="1">
      <c r="B448" s="24"/>
    </row>
    <row r="449" spans="2:2" ht="15.75" customHeight="1">
      <c r="B449" s="24"/>
    </row>
    <row r="450" spans="2:2" ht="15.75" customHeight="1">
      <c r="B450" s="24"/>
    </row>
    <row r="451" spans="2:2" ht="15.75" customHeight="1">
      <c r="B451" s="24"/>
    </row>
    <row r="452" spans="2:2" ht="15.75" customHeight="1">
      <c r="B452" s="24"/>
    </row>
    <row r="453" spans="2:2" ht="15.75" customHeight="1">
      <c r="B453" s="24"/>
    </row>
    <row r="454" spans="2:2" ht="15.75" customHeight="1">
      <c r="B454" s="24"/>
    </row>
    <row r="455" spans="2:2" ht="15.75" customHeight="1">
      <c r="B455" s="24"/>
    </row>
    <row r="456" spans="2:2" ht="15.75" customHeight="1">
      <c r="B456" s="24"/>
    </row>
    <row r="457" spans="2:2" ht="15.75" customHeight="1">
      <c r="B457" s="24"/>
    </row>
    <row r="458" spans="2:2" ht="15.75" customHeight="1">
      <c r="B458" s="24"/>
    </row>
    <row r="459" spans="2:2" ht="15.75" customHeight="1">
      <c r="B459" s="24"/>
    </row>
    <row r="460" spans="2:2" ht="15.75" customHeight="1">
      <c r="B460" s="24"/>
    </row>
    <row r="461" spans="2:2" ht="15.75" customHeight="1">
      <c r="B461" s="24"/>
    </row>
    <row r="462" spans="2:2" ht="15.75" customHeight="1">
      <c r="B462" s="24"/>
    </row>
    <row r="463" spans="2:2" ht="15.75" customHeight="1">
      <c r="B463" s="24"/>
    </row>
    <row r="464" spans="2:2" ht="15.75" customHeight="1">
      <c r="B464" s="24"/>
    </row>
    <row r="465" spans="2:2" ht="15.75" customHeight="1">
      <c r="B465" s="24"/>
    </row>
    <row r="466" spans="2:2" ht="15.75" customHeight="1">
      <c r="B466" s="24"/>
    </row>
    <row r="467" spans="2:2" ht="15.75" customHeight="1">
      <c r="B467" s="24"/>
    </row>
    <row r="468" spans="2:2" ht="15.75" customHeight="1">
      <c r="B468" s="24"/>
    </row>
    <row r="469" spans="2:2" ht="15.75" customHeight="1">
      <c r="B469" s="24"/>
    </row>
    <row r="470" spans="2:2" ht="15.75" customHeight="1">
      <c r="B470" s="24"/>
    </row>
    <row r="471" spans="2:2" ht="15.75" customHeight="1">
      <c r="B471" s="24"/>
    </row>
    <row r="472" spans="2:2" ht="15.75" customHeight="1">
      <c r="B472" s="24"/>
    </row>
    <row r="473" spans="2:2" ht="15.75" customHeight="1">
      <c r="B473" s="24"/>
    </row>
    <row r="474" spans="2:2" ht="15.75" customHeight="1">
      <c r="B474" s="24"/>
    </row>
    <row r="475" spans="2:2" ht="15.75" customHeight="1">
      <c r="B475" s="24"/>
    </row>
    <row r="476" spans="2:2" ht="15.75" customHeight="1">
      <c r="B476" s="24"/>
    </row>
    <row r="477" spans="2:2" ht="15.75" customHeight="1">
      <c r="B477" s="24"/>
    </row>
    <row r="478" spans="2:2" ht="15.75" customHeight="1">
      <c r="B478" s="24"/>
    </row>
    <row r="479" spans="2:2" ht="15.75" customHeight="1">
      <c r="B479" s="24"/>
    </row>
    <row r="480" spans="2:2" ht="15.75" customHeight="1">
      <c r="B480" s="24"/>
    </row>
    <row r="481" spans="2:2" ht="15.75" customHeight="1">
      <c r="B481" s="24"/>
    </row>
    <row r="482" spans="2:2" ht="15.75" customHeight="1">
      <c r="B482" s="24"/>
    </row>
    <row r="483" spans="2:2" ht="15.75" customHeight="1">
      <c r="B483" s="24"/>
    </row>
    <row r="484" spans="2:2" ht="15.75" customHeight="1">
      <c r="B484" s="24"/>
    </row>
    <row r="485" spans="2:2" ht="15.75" customHeight="1">
      <c r="B485" s="24"/>
    </row>
    <row r="486" spans="2:2" ht="15.75" customHeight="1">
      <c r="B486" s="24"/>
    </row>
    <row r="487" spans="2:2" ht="15.75" customHeight="1">
      <c r="B487" s="24"/>
    </row>
    <row r="488" spans="2:2" ht="15.75" customHeight="1">
      <c r="B488" s="24"/>
    </row>
    <row r="489" spans="2:2" ht="15.75" customHeight="1">
      <c r="B489" s="24"/>
    </row>
    <row r="490" spans="2:2" ht="15.75" customHeight="1">
      <c r="B490" s="24"/>
    </row>
    <row r="491" spans="2:2" ht="15.75" customHeight="1">
      <c r="B491" s="24"/>
    </row>
    <row r="492" spans="2:2" ht="15.75" customHeight="1">
      <c r="B492" s="24"/>
    </row>
    <row r="493" spans="2:2" ht="15.75" customHeight="1">
      <c r="B493" s="24"/>
    </row>
    <row r="494" spans="2:2" ht="15.75" customHeight="1">
      <c r="B494" s="24"/>
    </row>
    <row r="495" spans="2:2" ht="15.75" customHeight="1">
      <c r="B495" s="24"/>
    </row>
    <row r="496" spans="2:2" ht="15.75" customHeight="1">
      <c r="B496" s="24"/>
    </row>
    <row r="497" spans="2:2" ht="15.75" customHeight="1">
      <c r="B497" s="24"/>
    </row>
    <row r="498" spans="2:2" ht="15.75" customHeight="1">
      <c r="B498" s="24"/>
    </row>
    <row r="499" spans="2:2" ht="15.75" customHeight="1">
      <c r="B499" s="24"/>
    </row>
    <row r="500" spans="2:2" ht="15.75" customHeight="1">
      <c r="B500" s="24"/>
    </row>
    <row r="501" spans="2:2" ht="15.75" customHeight="1">
      <c r="B501" s="24"/>
    </row>
    <row r="502" spans="2:2" ht="15.75" customHeight="1">
      <c r="B502" s="24"/>
    </row>
    <row r="503" spans="2:2" ht="15.75" customHeight="1">
      <c r="B503" s="24"/>
    </row>
    <row r="504" spans="2:2" ht="15.75" customHeight="1">
      <c r="B504" s="24"/>
    </row>
    <row r="505" spans="2:2" ht="15.75" customHeight="1">
      <c r="B505" s="24"/>
    </row>
    <row r="506" spans="2:2" ht="15.75" customHeight="1">
      <c r="B506" s="24"/>
    </row>
    <row r="507" spans="2:2" ht="15.75" customHeight="1">
      <c r="B507" s="24"/>
    </row>
    <row r="508" spans="2:2" ht="15.75" customHeight="1">
      <c r="B508" s="24"/>
    </row>
    <row r="509" spans="2:2" ht="15.75" customHeight="1">
      <c r="B509" s="24"/>
    </row>
    <row r="510" spans="2:2" ht="15.75" customHeight="1">
      <c r="B510" s="24"/>
    </row>
    <row r="511" spans="2:2" ht="15.75" customHeight="1">
      <c r="B511" s="24"/>
    </row>
    <row r="512" spans="2:2" ht="15.75" customHeight="1">
      <c r="B512" s="24"/>
    </row>
    <row r="513" spans="2:2" ht="15.75" customHeight="1">
      <c r="B513" s="24"/>
    </row>
    <row r="514" spans="2:2" ht="15.75" customHeight="1">
      <c r="B514" s="24"/>
    </row>
    <row r="515" spans="2:2" ht="15.75" customHeight="1">
      <c r="B515" s="24"/>
    </row>
    <row r="516" spans="2:2" ht="15.75" customHeight="1">
      <c r="B516" s="24"/>
    </row>
    <row r="517" spans="2:2" ht="15.75" customHeight="1">
      <c r="B517" s="24"/>
    </row>
    <row r="518" spans="2:2" ht="15.75" customHeight="1">
      <c r="B518" s="24"/>
    </row>
    <row r="519" spans="2:2" ht="15.75" customHeight="1">
      <c r="B519" s="24"/>
    </row>
    <row r="520" spans="2:2" ht="15.75" customHeight="1">
      <c r="B520" s="24"/>
    </row>
    <row r="521" spans="2:2" ht="15.75" customHeight="1">
      <c r="B521" s="24"/>
    </row>
    <row r="522" spans="2:2" ht="15.75" customHeight="1">
      <c r="B522" s="24"/>
    </row>
    <row r="523" spans="2:2" ht="15.75" customHeight="1">
      <c r="B523" s="24"/>
    </row>
    <row r="524" spans="2:2" ht="15.75" customHeight="1">
      <c r="B524" s="24"/>
    </row>
    <row r="525" spans="2:2" ht="15.75" customHeight="1">
      <c r="B525" s="24"/>
    </row>
    <row r="526" spans="2:2" ht="15.75" customHeight="1">
      <c r="B526" s="24"/>
    </row>
    <row r="527" spans="2:2" ht="15.75" customHeight="1">
      <c r="B527" s="24"/>
    </row>
    <row r="528" spans="2:2" ht="15.75" customHeight="1">
      <c r="B528" s="24"/>
    </row>
    <row r="529" spans="2:2" ht="15.75" customHeight="1">
      <c r="B529" s="24"/>
    </row>
    <row r="530" spans="2:2" ht="15.75" customHeight="1">
      <c r="B530" s="24"/>
    </row>
    <row r="531" spans="2:2" ht="15.75" customHeight="1">
      <c r="B531" s="24"/>
    </row>
    <row r="532" spans="2:2" ht="15.75" customHeight="1">
      <c r="B532" s="24"/>
    </row>
    <row r="533" spans="2:2" ht="15.75" customHeight="1">
      <c r="B533" s="24"/>
    </row>
    <row r="534" spans="2:2" ht="15.75" customHeight="1">
      <c r="B534" s="24"/>
    </row>
    <row r="535" spans="2:2" ht="15.75" customHeight="1">
      <c r="B535" s="24"/>
    </row>
    <row r="536" spans="2:2" ht="15.75" customHeight="1">
      <c r="B536" s="24"/>
    </row>
    <row r="537" spans="2:2" ht="15.75" customHeight="1">
      <c r="B537" s="24"/>
    </row>
    <row r="538" spans="2:2" ht="15.75" customHeight="1">
      <c r="B538" s="24"/>
    </row>
    <row r="539" spans="2:2" ht="15.75" customHeight="1">
      <c r="B539" s="24"/>
    </row>
    <row r="540" spans="2:2" ht="15.75" customHeight="1">
      <c r="B540" s="24"/>
    </row>
    <row r="541" spans="2:2" ht="15.75" customHeight="1">
      <c r="B541" s="24"/>
    </row>
    <row r="542" spans="2:2" ht="15.75" customHeight="1">
      <c r="B542" s="24"/>
    </row>
    <row r="543" spans="2:2" ht="15.75" customHeight="1">
      <c r="B543" s="24"/>
    </row>
    <row r="544" spans="2:2" ht="15.75" customHeight="1">
      <c r="B544" s="24"/>
    </row>
    <row r="545" spans="2:2" ht="15.75" customHeight="1">
      <c r="B545" s="24"/>
    </row>
    <row r="546" spans="2:2" ht="15.75" customHeight="1">
      <c r="B546" s="24"/>
    </row>
    <row r="547" spans="2:2" ht="15.75" customHeight="1">
      <c r="B547" s="24"/>
    </row>
    <row r="548" spans="2:2" ht="15.75" customHeight="1">
      <c r="B548" s="24"/>
    </row>
    <row r="549" spans="2:2" ht="15.75" customHeight="1">
      <c r="B549" s="24"/>
    </row>
    <row r="550" spans="2:2" ht="15.75" customHeight="1">
      <c r="B550" s="24"/>
    </row>
    <row r="551" spans="2:2" ht="15.75" customHeight="1">
      <c r="B551" s="24"/>
    </row>
    <row r="552" spans="2:2" ht="15.75" customHeight="1">
      <c r="B552" s="24"/>
    </row>
    <row r="553" spans="2:2" ht="15.75" customHeight="1">
      <c r="B553" s="24"/>
    </row>
    <row r="554" spans="2:2" ht="15.75" customHeight="1">
      <c r="B554" s="24"/>
    </row>
    <row r="555" spans="2:2" ht="15.75" customHeight="1">
      <c r="B555" s="24"/>
    </row>
    <row r="556" spans="2:2" ht="15.75" customHeight="1">
      <c r="B556" s="24"/>
    </row>
    <row r="557" spans="2:2" ht="15.75" customHeight="1">
      <c r="B557" s="24"/>
    </row>
    <row r="558" spans="2:2" ht="15.75" customHeight="1">
      <c r="B558" s="24"/>
    </row>
    <row r="559" spans="2:2" ht="15.75" customHeight="1">
      <c r="B559" s="24"/>
    </row>
    <row r="560" spans="2:2" ht="15.75" customHeight="1">
      <c r="B560" s="24"/>
    </row>
    <row r="561" spans="2:2" ht="15.75" customHeight="1">
      <c r="B561" s="24"/>
    </row>
    <row r="562" spans="2:2" ht="15.75" customHeight="1">
      <c r="B562" s="24"/>
    </row>
    <row r="563" spans="2:2" ht="15.75" customHeight="1">
      <c r="B563" s="24"/>
    </row>
    <row r="564" spans="2:2" ht="15.75" customHeight="1">
      <c r="B564" s="24"/>
    </row>
    <row r="565" spans="2:2" ht="15.75" customHeight="1">
      <c r="B565" s="24"/>
    </row>
    <row r="566" spans="2:2" ht="15.75" customHeight="1">
      <c r="B566" s="24"/>
    </row>
    <row r="567" spans="2:2" ht="15.75" customHeight="1">
      <c r="B567" s="24"/>
    </row>
    <row r="568" spans="2:2" ht="15.75" customHeight="1">
      <c r="B568" s="24"/>
    </row>
    <row r="569" spans="2:2" ht="15.75" customHeight="1">
      <c r="B569" s="24"/>
    </row>
    <row r="570" spans="2:2" ht="15.75" customHeight="1">
      <c r="B570" s="24"/>
    </row>
    <row r="571" spans="2:2" ht="15.75" customHeight="1">
      <c r="B571" s="24"/>
    </row>
    <row r="572" spans="2:2" ht="15.75" customHeight="1">
      <c r="B572" s="24"/>
    </row>
    <row r="573" spans="2:2" ht="15.75" customHeight="1">
      <c r="B573" s="24"/>
    </row>
    <row r="574" spans="2:2" ht="15.75" customHeight="1">
      <c r="B574" s="24"/>
    </row>
    <row r="575" spans="2:2" ht="15.75" customHeight="1">
      <c r="B575" s="24"/>
    </row>
    <row r="576" spans="2:2" ht="15.75" customHeight="1">
      <c r="B576" s="24"/>
    </row>
    <row r="577" spans="2:2" ht="15.75" customHeight="1">
      <c r="B577" s="24"/>
    </row>
    <row r="578" spans="2:2" ht="15.75" customHeight="1">
      <c r="B578" s="24"/>
    </row>
    <row r="579" spans="2:2" ht="15.75" customHeight="1">
      <c r="B579" s="24"/>
    </row>
    <row r="580" spans="2:2" ht="15.75" customHeight="1">
      <c r="B580" s="24"/>
    </row>
    <row r="581" spans="2:2" ht="15.75" customHeight="1">
      <c r="B581" s="24"/>
    </row>
    <row r="582" spans="2:2" ht="15.75" customHeight="1">
      <c r="B582" s="24"/>
    </row>
    <row r="583" spans="2:2" ht="15.75" customHeight="1">
      <c r="B583" s="24"/>
    </row>
    <row r="584" spans="2:2" ht="15.75" customHeight="1">
      <c r="B584" s="24"/>
    </row>
    <row r="585" spans="2:2" ht="15.75" customHeight="1">
      <c r="B585" s="24"/>
    </row>
    <row r="586" spans="2:2" ht="15.75" customHeight="1">
      <c r="B586" s="24"/>
    </row>
    <row r="587" spans="2:2" ht="15.75" customHeight="1">
      <c r="B587" s="24"/>
    </row>
    <row r="588" spans="2:2" ht="15.75" customHeight="1">
      <c r="B588" s="24"/>
    </row>
    <row r="589" spans="2:2" ht="15.75" customHeight="1">
      <c r="B589" s="24"/>
    </row>
    <row r="590" spans="2:2" ht="15.75" customHeight="1">
      <c r="B590" s="24"/>
    </row>
    <row r="591" spans="2:2" ht="15.75" customHeight="1">
      <c r="B591" s="24"/>
    </row>
    <row r="592" spans="2:2" ht="15.75" customHeight="1">
      <c r="B592" s="24"/>
    </row>
    <row r="593" spans="2:2" ht="15.75" customHeight="1">
      <c r="B593" s="24"/>
    </row>
    <row r="594" spans="2:2" ht="15.75" customHeight="1">
      <c r="B594" s="24"/>
    </row>
    <row r="595" spans="2:2" ht="15.75" customHeight="1">
      <c r="B595" s="24"/>
    </row>
    <row r="596" spans="2:2" ht="15.75" customHeight="1">
      <c r="B596" s="24"/>
    </row>
    <row r="597" spans="2:2" ht="15.75" customHeight="1">
      <c r="B597" s="24"/>
    </row>
    <row r="598" spans="2:2" ht="15.75" customHeight="1">
      <c r="B598" s="24"/>
    </row>
    <row r="599" spans="2:2" ht="15.75" customHeight="1">
      <c r="B599" s="24"/>
    </row>
    <row r="600" spans="2:2" ht="15.75" customHeight="1">
      <c r="B600" s="24"/>
    </row>
    <row r="601" spans="2:2" ht="15.75" customHeight="1">
      <c r="B601" s="24"/>
    </row>
    <row r="602" spans="2:2" ht="15.75" customHeight="1">
      <c r="B602" s="24"/>
    </row>
    <row r="603" spans="2:2" ht="15.75" customHeight="1">
      <c r="B603" s="24"/>
    </row>
    <row r="604" spans="2:2" ht="15.75" customHeight="1">
      <c r="B604" s="24"/>
    </row>
    <row r="605" spans="2:2" ht="15.75" customHeight="1">
      <c r="B605" s="24"/>
    </row>
    <row r="606" spans="2:2" ht="15.75" customHeight="1">
      <c r="B606" s="24"/>
    </row>
    <row r="607" spans="2:2" ht="15.75" customHeight="1">
      <c r="B607" s="24"/>
    </row>
    <row r="608" spans="2:2" ht="15.75" customHeight="1">
      <c r="B608" s="24"/>
    </row>
    <row r="609" spans="2:2" ht="15.75" customHeight="1">
      <c r="B609" s="24"/>
    </row>
    <row r="610" spans="2:2" ht="15.75" customHeight="1">
      <c r="B610" s="24"/>
    </row>
    <row r="611" spans="2:2" ht="15.75" customHeight="1">
      <c r="B611" s="24"/>
    </row>
    <row r="612" spans="2:2" ht="15.75" customHeight="1">
      <c r="B612" s="24"/>
    </row>
    <row r="613" spans="2:2" ht="15.75" customHeight="1">
      <c r="B613" s="24"/>
    </row>
    <row r="614" spans="2:2" ht="15.75" customHeight="1">
      <c r="B614" s="24"/>
    </row>
    <row r="615" spans="2:2" ht="15.75" customHeight="1">
      <c r="B615" s="24"/>
    </row>
    <row r="616" spans="2:2" ht="15.75" customHeight="1">
      <c r="B616" s="24"/>
    </row>
    <row r="617" spans="2:2" ht="15.75" customHeight="1">
      <c r="B617" s="24"/>
    </row>
    <row r="618" spans="2:2" ht="15.75" customHeight="1">
      <c r="B618" s="24"/>
    </row>
    <row r="619" spans="2:2" ht="15.75" customHeight="1">
      <c r="B619" s="24"/>
    </row>
    <row r="620" spans="2:2" ht="15.75" customHeight="1">
      <c r="B620" s="24"/>
    </row>
    <row r="621" spans="2:2" ht="15.75" customHeight="1">
      <c r="B621" s="24"/>
    </row>
    <row r="622" spans="2:2" ht="15.75" customHeight="1">
      <c r="B622" s="24"/>
    </row>
    <row r="623" spans="2:2" ht="15.75" customHeight="1">
      <c r="B623" s="24"/>
    </row>
    <row r="624" spans="2:2" ht="15.75" customHeight="1">
      <c r="B624" s="24"/>
    </row>
    <row r="625" spans="2:2" ht="15.75" customHeight="1">
      <c r="B625" s="24"/>
    </row>
    <row r="626" spans="2:2" ht="15.75" customHeight="1">
      <c r="B626" s="24"/>
    </row>
    <row r="627" spans="2:2" ht="15.75" customHeight="1">
      <c r="B627" s="24"/>
    </row>
    <row r="628" spans="2:2" ht="15.75" customHeight="1">
      <c r="B628" s="24"/>
    </row>
    <row r="629" spans="2:2" ht="15.75" customHeight="1">
      <c r="B629" s="24"/>
    </row>
    <row r="630" spans="2:2" ht="15.75" customHeight="1">
      <c r="B630" s="24"/>
    </row>
    <row r="631" spans="2:2" ht="15.75" customHeight="1">
      <c r="B631" s="24"/>
    </row>
    <row r="632" spans="2:2" ht="15.75" customHeight="1">
      <c r="B632" s="24"/>
    </row>
    <row r="633" spans="2:2" ht="15.75" customHeight="1">
      <c r="B633" s="24"/>
    </row>
    <row r="634" spans="2:2" ht="15.75" customHeight="1">
      <c r="B634" s="24"/>
    </row>
    <row r="635" spans="2:2" ht="15.75" customHeight="1">
      <c r="B635" s="24"/>
    </row>
    <row r="636" spans="2:2" ht="15.75" customHeight="1">
      <c r="B636" s="24"/>
    </row>
    <row r="637" spans="2:2" ht="15.75" customHeight="1">
      <c r="B637" s="24"/>
    </row>
    <row r="638" spans="2:2" ht="15.75" customHeight="1">
      <c r="B638" s="24"/>
    </row>
    <row r="639" spans="2:2" ht="15.75" customHeight="1">
      <c r="B639" s="24"/>
    </row>
    <row r="640" spans="2:2" ht="15.75" customHeight="1">
      <c r="B640" s="24"/>
    </row>
    <row r="641" spans="2:2" ht="15.75" customHeight="1">
      <c r="B641" s="24"/>
    </row>
    <row r="642" spans="2:2" ht="15.75" customHeight="1">
      <c r="B642" s="24"/>
    </row>
    <row r="643" spans="2:2" ht="15.75" customHeight="1">
      <c r="B643" s="24"/>
    </row>
    <row r="644" spans="2:2" ht="15.75" customHeight="1">
      <c r="B644" s="24"/>
    </row>
    <row r="645" spans="2:2" ht="15.75" customHeight="1">
      <c r="B645" s="24"/>
    </row>
    <row r="646" spans="2:2" ht="15.75" customHeight="1">
      <c r="B646" s="24"/>
    </row>
    <row r="647" spans="2:2" ht="15.75" customHeight="1">
      <c r="B647" s="24"/>
    </row>
    <row r="648" spans="2:2" ht="15.75" customHeight="1">
      <c r="B648" s="24"/>
    </row>
    <row r="649" spans="2:2" ht="15.75" customHeight="1">
      <c r="B649" s="24"/>
    </row>
    <row r="650" spans="2:2" ht="15.75" customHeight="1">
      <c r="B650" s="24"/>
    </row>
    <row r="651" spans="2:2" ht="15.75" customHeight="1">
      <c r="B651" s="24"/>
    </row>
    <row r="652" spans="2:2" ht="15.75" customHeight="1">
      <c r="B652" s="24"/>
    </row>
    <row r="653" spans="2:2" ht="15.75" customHeight="1">
      <c r="B653" s="24"/>
    </row>
    <row r="654" spans="2:2" ht="15.75" customHeight="1">
      <c r="B654" s="24"/>
    </row>
    <row r="655" spans="2:2" ht="15.75" customHeight="1">
      <c r="B655" s="24"/>
    </row>
    <row r="656" spans="2:2" ht="15.75" customHeight="1">
      <c r="B656" s="24"/>
    </row>
    <row r="657" spans="2:2" ht="15.75" customHeight="1">
      <c r="B657" s="24"/>
    </row>
    <row r="658" spans="2:2" ht="15.75" customHeight="1">
      <c r="B658" s="24"/>
    </row>
    <row r="659" spans="2:2" ht="15.75" customHeight="1">
      <c r="B659" s="24"/>
    </row>
    <row r="660" spans="2:2" ht="15.75" customHeight="1">
      <c r="B660" s="24"/>
    </row>
    <row r="661" spans="2:2" ht="15.75" customHeight="1">
      <c r="B661" s="24"/>
    </row>
    <row r="662" spans="2:2" ht="15.75" customHeight="1">
      <c r="B662" s="24"/>
    </row>
    <row r="663" spans="2:2" ht="15.75" customHeight="1">
      <c r="B663" s="24"/>
    </row>
    <row r="664" spans="2:2" ht="15.75" customHeight="1">
      <c r="B664" s="24"/>
    </row>
    <row r="665" spans="2:2" ht="15.75" customHeight="1">
      <c r="B665" s="24"/>
    </row>
    <row r="666" spans="2:2" ht="15.75" customHeight="1">
      <c r="B666" s="24"/>
    </row>
    <row r="667" spans="2:2" ht="15.75" customHeight="1">
      <c r="B667" s="24"/>
    </row>
    <row r="668" spans="2:2" ht="15.75" customHeight="1">
      <c r="B668" s="24"/>
    </row>
    <row r="669" spans="2:2" ht="15.75" customHeight="1">
      <c r="B669" s="24"/>
    </row>
    <row r="670" spans="2:2" ht="15.75" customHeight="1">
      <c r="B670" s="24"/>
    </row>
    <row r="671" spans="2:2" ht="15.75" customHeight="1">
      <c r="B671" s="24"/>
    </row>
    <row r="672" spans="2:2" ht="15.75" customHeight="1">
      <c r="B672" s="24"/>
    </row>
    <row r="673" spans="2:2" ht="15.75" customHeight="1">
      <c r="B673" s="24"/>
    </row>
    <row r="674" spans="2:2" ht="15.75" customHeight="1">
      <c r="B674" s="24"/>
    </row>
    <row r="675" spans="2:2" ht="15.75" customHeight="1">
      <c r="B675" s="24"/>
    </row>
    <row r="676" spans="2:2" ht="15.75" customHeight="1">
      <c r="B676" s="24"/>
    </row>
    <row r="677" spans="2:2" ht="15.75" customHeight="1">
      <c r="B677" s="24"/>
    </row>
    <row r="678" spans="2:2" ht="15.75" customHeight="1">
      <c r="B678" s="24"/>
    </row>
    <row r="679" spans="2:2" ht="15.75" customHeight="1">
      <c r="B679" s="24"/>
    </row>
    <row r="680" spans="2:2" ht="15.75" customHeight="1">
      <c r="B680" s="24"/>
    </row>
    <row r="681" spans="2:2" ht="15.75" customHeight="1">
      <c r="B681" s="24"/>
    </row>
    <row r="682" spans="2:2" ht="15.75" customHeight="1">
      <c r="B682" s="24"/>
    </row>
    <row r="683" spans="2:2" ht="15.75" customHeight="1">
      <c r="B683" s="24"/>
    </row>
    <row r="684" spans="2:2" ht="15.75" customHeight="1">
      <c r="B684" s="24"/>
    </row>
    <row r="685" spans="2:2" ht="15.75" customHeight="1">
      <c r="B685" s="24"/>
    </row>
    <row r="686" spans="2:2" ht="15.75" customHeight="1">
      <c r="B686" s="24"/>
    </row>
    <row r="687" spans="2:2" ht="15.75" customHeight="1">
      <c r="B687" s="24"/>
    </row>
    <row r="688" spans="2:2" ht="15.75" customHeight="1">
      <c r="B688" s="24"/>
    </row>
    <row r="689" spans="2:2" ht="15.75" customHeight="1">
      <c r="B689" s="24"/>
    </row>
    <row r="690" spans="2:2" ht="15.75" customHeight="1">
      <c r="B690" s="24"/>
    </row>
    <row r="691" spans="2:2" ht="15.75" customHeight="1">
      <c r="B691" s="24"/>
    </row>
    <row r="692" spans="2:2" ht="15.75" customHeight="1">
      <c r="B692" s="24"/>
    </row>
    <row r="693" spans="2:2" ht="15.75" customHeight="1">
      <c r="B693" s="24"/>
    </row>
    <row r="694" spans="2:2" ht="15.75" customHeight="1">
      <c r="B694" s="24"/>
    </row>
    <row r="695" spans="2:2" ht="15.75" customHeight="1">
      <c r="B695" s="24"/>
    </row>
    <row r="696" spans="2:2" ht="15.75" customHeight="1">
      <c r="B696" s="24"/>
    </row>
    <row r="697" spans="2:2" ht="15.75" customHeight="1">
      <c r="B697" s="24"/>
    </row>
    <row r="698" spans="2:2" ht="15.75" customHeight="1">
      <c r="B698" s="24"/>
    </row>
    <row r="699" spans="2:2" ht="15.75" customHeight="1">
      <c r="B699" s="24"/>
    </row>
    <row r="700" spans="2:2" ht="15.75" customHeight="1">
      <c r="B700" s="24"/>
    </row>
    <row r="701" spans="2:2" ht="15.75" customHeight="1">
      <c r="B701" s="24"/>
    </row>
    <row r="702" spans="2:2" ht="15.75" customHeight="1">
      <c r="B702" s="24"/>
    </row>
    <row r="703" spans="2:2" ht="15.75" customHeight="1">
      <c r="B703" s="24"/>
    </row>
    <row r="704" spans="2:2" ht="15.75" customHeight="1">
      <c r="B704" s="24"/>
    </row>
    <row r="705" spans="2:2" ht="15.75" customHeight="1">
      <c r="B705" s="24"/>
    </row>
    <row r="706" spans="2:2" ht="15.75" customHeight="1">
      <c r="B706" s="24"/>
    </row>
    <row r="707" spans="2:2" ht="15.75" customHeight="1">
      <c r="B707" s="24"/>
    </row>
    <row r="708" spans="2:2" ht="15.75" customHeight="1">
      <c r="B708" s="24"/>
    </row>
    <row r="709" spans="2:2" ht="15.75" customHeight="1">
      <c r="B709" s="24"/>
    </row>
    <row r="710" spans="2:2" ht="15.75" customHeight="1">
      <c r="B710" s="24"/>
    </row>
    <row r="711" spans="2:2" ht="15.75" customHeight="1">
      <c r="B711" s="24"/>
    </row>
    <row r="712" spans="2:2" ht="15.75" customHeight="1">
      <c r="B712" s="24"/>
    </row>
    <row r="713" spans="2:2" ht="15.75" customHeight="1">
      <c r="B713" s="24"/>
    </row>
    <row r="714" spans="2:2" ht="15.75" customHeight="1">
      <c r="B714" s="24"/>
    </row>
    <row r="715" spans="2:2" ht="15.75" customHeight="1">
      <c r="B715" s="24"/>
    </row>
    <row r="716" spans="2:2" ht="15.75" customHeight="1">
      <c r="B716" s="24"/>
    </row>
    <row r="717" spans="2:2" ht="15.75" customHeight="1">
      <c r="B717" s="24"/>
    </row>
    <row r="718" spans="2:2" ht="15.75" customHeight="1">
      <c r="B718" s="24"/>
    </row>
    <row r="719" spans="2:2" ht="15.75" customHeight="1">
      <c r="B719" s="24"/>
    </row>
    <row r="720" spans="2:2" ht="15.75" customHeight="1">
      <c r="B720" s="24"/>
    </row>
    <row r="721" spans="2:2" ht="15.75" customHeight="1">
      <c r="B721" s="24"/>
    </row>
    <row r="722" spans="2:2" ht="15.75" customHeight="1">
      <c r="B722" s="24"/>
    </row>
    <row r="723" spans="2:2" ht="15.75" customHeight="1">
      <c r="B723" s="24"/>
    </row>
    <row r="724" spans="2:2" ht="15.75" customHeight="1">
      <c r="B724" s="24"/>
    </row>
    <row r="725" spans="2:2" ht="15.75" customHeight="1">
      <c r="B725" s="24"/>
    </row>
    <row r="726" spans="2:2" ht="15.75" customHeight="1">
      <c r="B726" s="24"/>
    </row>
    <row r="727" spans="2:2" ht="15.75" customHeight="1">
      <c r="B727" s="24"/>
    </row>
    <row r="728" spans="2:2" ht="15.75" customHeight="1">
      <c r="B728" s="24"/>
    </row>
    <row r="729" spans="2:2" ht="15.75" customHeight="1">
      <c r="B729" s="24"/>
    </row>
    <row r="730" spans="2:2" ht="15.75" customHeight="1">
      <c r="B730" s="24"/>
    </row>
    <row r="731" spans="2:2" ht="15.75" customHeight="1">
      <c r="B731" s="24"/>
    </row>
    <row r="732" spans="2:2" ht="15.75" customHeight="1">
      <c r="B732" s="24"/>
    </row>
    <row r="733" spans="2:2" ht="15.75" customHeight="1">
      <c r="B733" s="24"/>
    </row>
    <row r="734" spans="2:2" ht="15.75" customHeight="1">
      <c r="B734" s="24"/>
    </row>
    <row r="735" spans="2:2" ht="15.75" customHeight="1">
      <c r="B735" s="24"/>
    </row>
    <row r="736" spans="2:2" ht="15.75" customHeight="1">
      <c r="B736" s="24"/>
    </row>
    <row r="737" spans="2:2" ht="15.75" customHeight="1">
      <c r="B737" s="24"/>
    </row>
    <row r="738" spans="2:2" ht="15.75" customHeight="1">
      <c r="B738" s="24"/>
    </row>
    <row r="739" spans="2:2" ht="15.75" customHeight="1">
      <c r="B739" s="24"/>
    </row>
    <row r="740" spans="2:2" ht="15.75" customHeight="1">
      <c r="B740" s="24"/>
    </row>
    <row r="741" spans="2:2" ht="15.75" customHeight="1">
      <c r="B741" s="24"/>
    </row>
    <row r="742" spans="2:2" ht="15.75" customHeight="1">
      <c r="B742" s="24"/>
    </row>
    <row r="743" spans="2:2" ht="15.75" customHeight="1">
      <c r="B743" s="24"/>
    </row>
    <row r="744" spans="2:2" ht="15.75" customHeight="1">
      <c r="B744" s="24"/>
    </row>
    <row r="745" spans="2:2" ht="15.75" customHeight="1">
      <c r="B745" s="24"/>
    </row>
    <row r="746" spans="2:2" ht="15.75" customHeight="1">
      <c r="B746" s="24"/>
    </row>
    <row r="747" spans="2:2" ht="15.75" customHeight="1">
      <c r="B747" s="24"/>
    </row>
    <row r="748" spans="2:2" ht="15.75" customHeight="1">
      <c r="B748" s="24"/>
    </row>
    <row r="749" spans="2:2" ht="15.75" customHeight="1">
      <c r="B749" s="24"/>
    </row>
    <row r="750" spans="2:2" ht="15.75" customHeight="1">
      <c r="B750" s="24"/>
    </row>
    <row r="751" spans="2:2" ht="15.75" customHeight="1">
      <c r="B751" s="24"/>
    </row>
    <row r="752" spans="2:2" ht="15.75" customHeight="1">
      <c r="B752" s="24"/>
    </row>
    <row r="753" spans="2:2" ht="15.75" customHeight="1">
      <c r="B753" s="24"/>
    </row>
    <row r="754" spans="2:2" ht="15.75" customHeight="1">
      <c r="B754" s="24"/>
    </row>
    <row r="755" spans="2:2" ht="15.75" customHeight="1">
      <c r="B755" s="24"/>
    </row>
    <row r="756" spans="2:2" ht="15.75" customHeight="1">
      <c r="B756" s="24"/>
    </row>
    <row r="757" spans="2:2" ht="15.75" customHeight="1">
      <c r="B757" s="24"/>
    </row>
    <row r="758" spans="2:2" ht="15.75" customHeight="1">
      <c r="B758" s="24"/>
    </row>
    <row r="759" spans="2:2" ht="15.75" customHeight="1">
      <c r="B759" s="24"/>
    </row>
    <row r="760" spans="2:2" ht="15.75" customHeight="1">
      <c r="B760" s="24"/>
    </row>
    <row r="761" spans="2:2" ht="15.75" customHeight="1">
      <c r="B761" s="24"/>
    </row>
    <row r="762" spans="2:2" ht="15.75" customHeight="1">
      <c r="B762" s="24"/>
    </row>
    <row r="763" spans="2:2" ht="15.75" customHeight="1">
      <c r="B763" s="24"/>
    </row>
    <row r="764" spans="2:2" ht="15.75" customHeight="1">
      <c r="B764" s="24"/>
    </row>
    <row r="765" spans="2:2" ht="15.75" customHeight="1">
      <c r="B765" s="24"/>
    </row>
    <row r="766" spans="2:2" ht="15.75" customHeight="1">
      <c r="B766" s="24"/>
    </row>
    <row r="767" spans="2:2" ht="15.75" customHeight="1">
      <c r="B767" s="24"/>
    </row>
    <row r="768" spans="2:2" ht="15.75" customHeight="1">
      <c r="B768" s="24"/>
    </row>
    <row r="769" spans="2:2" ht="15.75" customHeight="1">
      <c r="B769" s="24"/>
    </row>
    <row r="770" spans="2:2" ht="15.75" customHeight="1">
      <c r="B770" s="24"/>
    </row>
    <row r="771" spans="2:2" ht="15.75" customHeight="1">
      <c r="B771" s="24"/>
    </row>
    <row r="772" spans="2:2" ht="15.75" customHeight="1">
      <c r="B772" s="24"/>
    </row>
    <row r="773" spans="2:2" ht="15.75" customHeight="1">
      <c r="B773" s="24"/>
    </row>
    <row r="774" spans="2:2" ht="15.75" customHeight="1">
      <c r="B774" s="24"/>
    </row>
    <row r="775" spans="2:2" ht="15.75" customHeight="1">
      <c r="B775" s="24"/>
    </row>
    <row r="776" spans="2:2" ht="15.75" customHeight="1">
      <c r="B776" s="24"/>
    </row>
    <row r="777" spans="2:2" ht="15.75" customHeight="1">
      <c r="B777" s="24"/>
    </row>
    <row r="778" spans="2:2" ht="15.75" customHeight="1">
      <c r="B778" s="24"/>
    </row>
    <row r="779" spans="2:2" ht="15.75" customHeight="1">
      <c r="B779" s="24"/>
    </row>
    <row r="780" spans="2:2" ht="15.75" customHeight="1">
      <c r="B780" s="24"/>
    </row>
    <row r="781" spans="2:2" ht="15.75" customHeight="1">
      <c r="B781" s="24"/>
    </row>
    <row r="782" spans="2:2" ht="15.75" customHeight="1">
      <c r="B782" s="24"/>
    </row>
    <row r="783" spans="2:2" ht="15.75" customHeight="1">
      <c r="B783" s="24"/>
    </row>
    <row r="784" spans="2:2" ht="15.75" customHeight="1">
      <c r="B784" s="24"/>
    </row>
    <row r="785" spans="2:2" ht="15.75" customHeight="1">
      <c r="B785" s="24"/>
    </row>
    <row r="786" spans="2:2" ht="15.75" customHeight="1">
      <c r="B786" s="24"/>
    </row>
    <row r="787" spans="2:2" ht="15.75" customHeight="1">
      <c r="B787" s="24"/>
    </row>
    <row r="788" spans="2:2" ht="15.75" customHeight="1">
      <c r="B788" s="24"/>
    </row>
    <row r="789" spans="2:2" ht="15.75" customHeight="1">
      <c r="B789" s="24"/>
    </row>
    <row r="790" spans="2:2" ht="15.75" customHeight="1">
      <c r="B790" s="24"/>
    </row>
    <row r="791" spans="2:2" ht="15.75" customHeight="1">
      <c r="B791" s="24"/>
    </row>
    <row r="792" spans="2:2" ht="15.75" customHeight="1">
      <c r="B792" s="24"/>
    </row>
    <row r="793" spans="2:2" ht="15.75" customHeight="1">
      <c r="B793" s="24"/>
    </row>
    <row r="794" spans="2:2" ht="15.75" customHeight="1">
      <c r="B794" s="24"/>
    </row>
    <row r="795" spans="2:2" ht="15.75" customHeight="1">
      <c r="B795" s="24"/>
    </row>
    <row r="796" spans="2:2" ht="15.75" customHeight="1">
      <c r="B796" s="24"/>
    </row>
    <row r="797" spans="2:2" ht="15.75" customHeight="1">
      <c r="B797" s="24"/>
    </row>
    <row r="798" spans="2:2" ht="15.75" customHeight="1">
      <c r="B798" s="24"/>
    </row>
    <row r="799" spans="2:2" ht="15.75" customHeight="1">
      <c r="B799" s="24"/>
    </row>
    <row r="800" spans="2:2" ht="15.75" customHeight="1">
      <c r="B800" s="24"/>
    </row>
    <row r="801" spans="2:2" ht="15.75" customHeight="1">
      <c r="B801" s="24"/>
    </row>
    <row r="802" spans="2:2" ht="15.75" customHeight="1">
      <c r="B802" s="24"/>
    </row>
    <row r="803" spans="2:2" ht="15.75" customHeight="1">
      <c r="B803" s="24"/>
    </row>
    <row r="804" spans="2:2" ht="15.75" customHeight="1">
      <c r="B804" s="24"/>
    </row>
    <row r="805" spans="2:2" ht="15.75" customHeight="1">
      <c r="B805" s="24"/>
    </row>
    <row r="806" spans="2:2" ht="15.75" customHeight="1">
      <c r="B806" s="24"/>
    </row>
    <row r="807" spans="2:2" ht="15.75" customHeight="1">
      <c r="B807" s="24"/>
    </row>
    <row r="808" spans="2:2" ht="15.75" customHeight="1">
      <c r="B808" s="24"/>
    </row>
    <row r="809" spans="2:2" ht="15.75" customHeight="1">
      <c r="B809" s="24"/>
    </row>
    <row r="810" spans="2:2" ht="15.75" customHeight="1">
      <c r="B810" s="24"/>
    </row>
    <row r="811" spans="2:2" ht="15.75" customHeight="1">
      <c r="B811" s="24"/>
    </row>
    <row r="812" spans="2:2" ht="15.75" customHeight="1">
      <c r="B812" s="24"/>
    </row>
    <row r="813" spans="2:2" ht="15.75" customHeight="1">
      <c r="B813" s="24"/>
    </row>
    <row r="814" spans="2:2" ht="15.75" customHeight="1">
      <c r="B814" s="24"/>
    </row>
    <row r="815" spans="2:2" ht="15.75" customHeight="1">
      <c r="B815" s="24"/>
    </row>
    <row r="816" spans="2:2" ht="15.75" customHeight="1">
      <c r="B816" s="24"/>
    </row>
    <row r="817" spans="2:2" ht="15.75" customHeight="1">
      <c r="B817" s="24"/>
    </row>
    <row r="818" spans="2:2" ht="15.75" customHeight="1">
      <c r="B818" s="24"/>
    </row>
    <row r="819" spans="2:2" ht="15.75" customHeight="1">
      <c r="B819" s="24"/>
    </row>
    <row r="820" spans="2:2" ht="15.75" customHeight="1">
      <c r="B820" s="24"/>
    </row>
    <row r="821" spans="2:2" ht="15.75" customHeight="1">
      <c r="B821" s="24"/>
    </row>
    <row r="822" spans="2:2" ht="15.75" customHeight="1">
      <c r="B822" s="24"/>
    </row>
    <row r="823" spans="2:2" ht="15.75" customHeight="1">
      <c r="B823" s="24"/>
    </row>
    <row r="824" spans="2:2" ht="15.75" customHeight="1">
      <c r="B824" s="24"/>
    </row>
    <row r="825" spans="2:2" ht="15.75" customHeight="1">
      <c r="B825" s="24"/>
    </row>
    <row r="826" spans="2:2" ht="15.75" customHeight="1">
      <c r="B826" s="24"/>
    </row>
    <row r="827" spans="2:2" ht="15.75" customHeight="1">
      <c r="B827" s="24"/>
    </row>
    <row r="828" spans="2:2" ht="15.75" customHeight="1">
      <c r="B828" s="24"/>
    </row>
    <row r="829" spans="2:2" ht="15.75" customHeight="1">
      <c r="B829" s="24"/>
    </row>
    <row r="830" spans="2:2" ht="15.75" customHeight="1">
      <c r="B830" s="24"/>
    </row>
    <row r="831" spans="2:2" ht="15.75" customHeight="1">
      <c r="B831" s="24"/>
    </row>
    <row r="832" spans="2:2" ht="15.75" customHeight="1">
      <c r="B832" s="24"/>
    </row>
    <row r="833" spans="2:2" ht="15.75" customHeight="1">
      <c r="B833" s="24"/>
    </row>
    <row r="834" spans="2:2" ht="15.75" customHeight="1">
      <c r="B834" s="24"/>
    </row>
    <row r="835" spans="2:2" ht="15.75" customHeight="1">
      <c r="B835" s="24"/>
    </row>
    <row r="836" spans="2:2" ht="15.75" customHeight="1">
      <c r="B836" s="24"/>
    </row>
    <row r="837" spans="2:2" ht="15.75" customHeight="1">
      <c r="B837" s="24"/>
    </row>
    <row r="838" spans="2:2" ht="15.75" customHeight="1">
      <c r="B838" s="24"/>
    </row>
    <row r="839" spans="2:2" ht="15.75" customHeight="1">
      <c r="B839" s="24"/>
    </row>
    <row r="840" spans="2:2" ht="15.75" customHeight="1">
      <c r="B840" s="24"/>
    </row>
    <row r="841" spans="2:2" ht="15.75" customHeight="1">
      <c r="B841" s="24"/>
    </row>
    <row r="842" spans="2:2" ht="15.75" customHeight="1">
      <c r="B842" s="24"/>
    </row>
    <row r="843" spans="2:2" ht="15.75" customHeight="1">
      <c r="B843" s="24"/>
    </row>
    <row r="844" spans="2:2" ht="15.75" customHeight="1">
      <c r="B844" s="24"/>
    </row>
    <row r="845" spans="2:2" ht="15.75" customHeight="1">
      <c r="B845" s="24"/>
    </row>
    <row r="846" spans="2:2" ht="15.75" customHeight="1">
      <c r="B846" s="24"/>
    </row>
    <row r="847" spans="2:2" ht="15.75" customHeight="1">
      <c r="B847" s="24"/>
    </row>
    <row r="848" spans="2:2" ht="15.75" customHeight="1">
      <c r="B848" s="24"/>
    </row>
    <row r="849" spans="2:2" ht="15.75" customHeight="1">
      <c r="B849" s="24"/>
    </row>
    <row r="850" spans="2:2" ht="15.75" customHeight="1">
      <c r="B850" s="24"/>
    </row>
    <row r="851" spans="2:2" ht="15.75" customHeight="1">
      <c r="B851" s="24"/>
    </row>
    <row r="852" spans="2:2" ht="15.75" customHeight="1">
      <c r="B852" s="24"/>
    </row>
    <row r="853" spans="2:2" ht="15.75" customHeight="1">
      <c r="B853" s="24"/>
    </row>
    <row r="854" spans="2:2" ht="15.75" customHeight="1">
      <c r="B854" s="24"/>
    </row>
    <row r="855" spans="2:2" ht="15.75" customHeight="1">
      <c r="B855" s="24"/>
    </row>
    <row r="856" spans="2:2" ht="15.75" customHeight="1">
      <c r="B856" s="24"/>
    </row>
    <row r="857" spans="2:2" ht="15.75" customHeight="1">
      <c r="B857" s="24"/>
    </row>
    <row r="858" spans="2:2" ht="15.75" customHeight="1">
      <c r="B858" s="24"/>
    </row>
    <row r="859" spans="2:2" ht="15.75" customHeight="1">
      <c r="B859" s="24"/>
    </row>
    <row r="860" spans="2:2" ht="15.75" customHeight="1">
      <c r="B860" s="24"/>
    </row>
    <row r="861" spans="2:2" ht="15.75" customHeight="1">
      <c r="B861" s="24"/>
    </row>
    <row r="862" spans="2:2" ht="15.75" customHeight="1">
      <c r="B862" s="24"/>
    </row>
    <row r="863" spans="2:2" ht="15.75" customHeight="1">
      <c r="B863" s="24"/>
    </row>
    <row r="864" spans="2:2" ht="15.75" customHeight="1">
      <c r="B864" s="24"/>
    </row>
    <row r="865" spans="2:2" ht="15.75" customHeight="1">
      <c r="B865" s="24"/>
    </row>
    <row r="866" spans="2:2" ht="15.75" customHeight="1">
      <c r="B866" s="24"/>
    </row>
    <row r="867" spans="2:2" ht="15.75" customHeight="1">
      <c r="B867" s="24"/>
    </row>
    <row r="868" spans="2:2" ht="15.75" customHeight="1">
      <c r="B868" s="24"/>
    </row>
    <row r="869" spans="2:2" ht="15.75" customHeight="1">
      <c r="B869" s="24"/>
    </row>
    <row r="870" spans="2:2" ht="15.75" customHeight="1">
      <c r="B870" s="24"/>
    </row>
    <row r="871" spans="2:2" ht="15.75" customHeight="1">
      <c r="B871" s="24"/>
    </row>
    <row r="872" spans="2:2" ht="15.75" customHeight="1">
      <c r="B872" s="24"/>
    </row>
    <row r="873" spans="2:2" ht="15.75" customHeight="1">
      <c r="B873" s="24"/>
    </row>
    <row r="874" spans="2:2" ht="15.75" customHeight="1">
      <c r="B874" s="24"/>
    </row>
    <row r="875" spans="2:2" ht="15.75" customHeight="1">
      <c r="B875" s="24"/>
    </row>
    <row r="876" spans="2:2" ht="15.75" customHeight="1">
      <c r="B876" s="24"/>
    </row>
    <row r="877" spans="2:2" ht="15.75" customHeight="1">
      <c r="B877" s="24"/>
    </row>
    <row r="878" spans="2:2" ht="15.75" customHeight="1">
      <c r="B878" s="24"/>
    </row>
    <row r="879" spans="2:2" ht="15.75" customHeight="1">
      <c r="B879" s="24"/>
    </row>
    <row r="880" spans="2:2" ht="15.75" customHeight="1">
      <c r="B880" s="24"/>
    </row>
    <row r="881" spans="2:2" ht="15.75" customHeight="1">
      <c r="B881" s="24"/>
    </row>
    <row r="882" spans="2:2" ht="15.75" customHeight="1">
      <c r="B882" s="24"/>
    </row>
    <row r="883" spans="2:2" ht="15.75" customHeight="1">
      <c r="B883" s="24"/>
    </row>
    <row r="884" spans="2:2" ht="15.75" customHeight="1">
      <c r="B884" s="24"/>
    </row>
    <row r="885" spans="2:2" ht="15.75" customHeight="1">
      <c r="B885" s="24"/>
    </row>
    <row r="886" spans="2:2" ht="15.75" customHeight="1">
      <c r="B886" s="24"/>
    </row>
    <row r="887" spans="2:2" ht="15.75" customHeight="1">
      <c r="B887" s="24"/>
    </row>
    <row r="888" spans="2:2" ht="15.75" customHeight="1">
      <c r="B888" s="24"/>
    </row>
    <row r="889" spans="2:2" ht="15.75" customHeight="1">
      <c r="B889" s="24"/>
    </row>
    <row r="890" spans="2:2" ht="15.75" customHeight="1">
      <c r="B890" s="24"/>
    </row>
    <row r="891" spans="2:2" ht="15.75" customHeight="1">
      <c r="B891" s="24"/>
    </row>
    <row r="892" spans="2:2" ht="15.75" customHeight="1">
      <c r="B892" s="24"/>
    </row>
    <row r="893" spans="2:2" ht="15.75" customHeight="1">
      <c r="B893" s="24"/>
    </row>
    <row r="894" spans="2:2" ht="15.75" customHeight="1">
      <c r="B894" s="24"/>
    </row>
    <row r="895" spans="2:2" ht="15.75" customHeight="1">
      <c r="B895" s="24"/>
    </row>
    <row r="896" spans="2:2" ht="15.75" customHeight="1">
      <c r="B896" s="24"/>
    </row>
    <row r="897" spans="2:2" ht="15.75" customHeight="1">
      <c r="B897" s="24"/>
    </row>
    <row r="898" spans="2:2" ht="15.75" customHeight="1">
      <c r="B898" s="24"/>
    </row>
    <row r="899" spans="2:2" ht="15.75" customHeight="1">
      <c r="B899" s="24"/>
    </row>
    <row r="900" spans="2:2" ht="15.75" customHeight="1">
      <c r="B900" s="24"/>
    </row>
    <row r="901" spans="2:2" ht="15.75" customHeight="1">
      <c r="B901" s="24"/>
    </row>
    <row r="902" spans="2:2" ht="15.75" customHeight="1">
      <c r="B902" s="24"/>
    </row>
    <row r="903" spans="2:2" ht="15.75" customHeight="1">
      <c r="B903" s="24"/>
    </row>
    <row r="904" spans="2:2" ht="15.75" customHeight="1">
      <c r="B904" s="24"/>
    </row>
    <row r="905" spans="2:2" ht="15.75" customHeight="1">
      <c r="B905" s="24"/>
    </row>
    <row r="906" spans="2:2" ht="15.75" customHeight="1">
      <c r="B906" s="24"/>
    </row>
    <row r="907" spans="2:2" ht="15.75" customHeight="1">
      <c r="B907" s="24"/>
    </row>
    <row r="908" spans="2:2" ht="15.75" customHeight="1">
      <c r="B908" s="24"/>
    </row>
    <row r="909" spans="2:2" ht="15.75" customHeight="1">
      <c r="B909" s="24"/>
    </row>
    <row r="910" spans="2:2" ht="15.75" customHeight="1">
      <c r="B910" s="24"/>
    </row>
    <row r="911" spans="2:2" ht="15.75" customHeight="1">
      <c r="B911" s="24"/>
    </row>
    <row r="912" spans="2:2" ht="15.75" customHeight="1">
      <c r="B912" s="24"/>
    </row>
    <row r="913" spans="2:2" ht="15.75" customHeight="1">
      <c r="B913" s="24"/>
    </row>
    <row r="914" spans="2:2" ht="15.75" customHeight="1">
      <c r="B914" s="24"/>
    </row>
    <row r="915" spans="2:2" ht="15.75" customHeight="1">
      <c r="B915" s="24"/>
    </row>
    <row r="916" spans="2:2" ht="15.75" customHeight="1">
      <c r="B916" s="24"/>
    </row>
    <row r="917" spans="2:2" ht="15.75" customHeight="1">
      <c r="B917" s="24"/>
    </row>
    <row r="918" spans="2:2" ht="15.75" customHeight="1">
      <c r="B918" s="24"/>
    </row>
    <row r="919" spans="2:2" ht="15.75" customHeight="1">
      <c r="B919" s="24"/>
    </row>
    <row r="920" spans="2:2" ht="15.75" customHeight="1">
      <c r="B920" s="24"/>
    </row>
    <row r="921" spans="2:2" ht="15.75" customHeight="1">
      <c r="B921" s="24"/>
    </row>
    <row r="922" spans="2:2" ht="15.75" customHeight="1">
      <c r="B922" s="24"/>
    </row>
    <row r="923" spans="2:2" ht="15.75" customHeight="1">
      <c r="B923" s="24"/>
    </row>
    <row r="924" spans="2:2" ht="15.75" customHeight="1">
      <c r="B924" s="24"/>
    </row>
    <row r="925" spans="2:2" ht="15.75" customHeight="1">
      <c r="B925" s="24"/>
    </row>
    <row r="926" spans="2:2" ht="15.75" customHeight="1">
      <c r="B926" s="24"/>
    </row>
    <row r="927" spans="2:2" ht="15.75" customHeight="1">
      <c r="B927" s="24"/>
    </row>
    <row r="928" spans="2:2" ht="15.75" customHeight="1">
      <c r="B928" s="24"/>
    </row>
    <row r="929" spans="2:2" ht="15.75" customHeight="1">
      <c r="B929" s="24"/>
    </row>
    <row r="930" spans="2:2" ht="15.75" customHeight="1">
      <c r="B930" s="24"/>
    </row>
    <row r="931" spans="2:2" ht="15.75" customHeight="1">
      <c r="B931" s="24"/>
    </row>
    <row r="932" spans="2:2" ht="15.75" customHeight="1">
      <c r="B932" s="24"/>
    </row>
    <row r="933" spans="2:2" ht="15.75" customHeight="1">
      <c r="B933" s="24"/>
    </row>
    <row r="934" spans="2:2" ht="15.75" customHeight="1">
      <c r="B934" s="24"/>
    </row>
    <row r="935" spans="2:2" ht="15.75" customHeight="1">
      <c r="B935" s="24"/>
    </row>
    <row r="936" spans="2:2" ht="15.75" customHeight="1">
      <c r="B936" s="24"/>
    </row>
    <row r="937" spans="2:2" ht="15.75" customHeight="1">
      <c r="B937" s="24"/>
    </row>
    <row r="938" spans="2:2" ht="15.75" customHeight="1">
      <c r="B938" s="24"/>
    </row>
    <row r="939" spans="2:2" ht="15.75" customHeight="1">
      <c r="B939" s="24"/>
    </row>
    <row r="940" spans="2:2" ht="15.75" customHeight="1">
      <c r="B940" s="24"/>
    </row>
    <row r="941" spans="2:2" ht="15.75" customHeight="1">
      <c r="B941" s="24"/>
    </row>
    <row r="942" spans="2:2" ht="15.75" customHeight="1">
      <c r="B942" s="24"/>
    </row>
    <row r="943" spans="2:2" ht="15.75" customHeight="1">
      <c r="B943" s="24"/>
    </row>
    <row r="944" spans="2:2" ht="15.75" customHeight="1">
      <c r="B944" s="24"/>
    </row>
    <row r="945" spans="2:2" ht="15.75" customHeight="1">
      <c r="B945" s="24"/>
    </row>
    <row r="946" spans="2:2" ht="15.75" customHeight="1">
      <c r="B946" s="24"/>
    </row>
    <row r="947" spans="2:2" ht="15.75" customHeight="1">
      <c r="B947" s="24"/>
    </row>
    <row r="948" spans="2:2" ht="15.75" customHeight="1">
      <c r="B948" s="24"/>
    </row>
    <row r="949" spans="2:2" ht="15.75" customHeight="1">
      <c r="B949" s="24"/>
    </row>
    <row r="950" spans="2:2" ht="15.75" customHeight="1">
      <c r="B950" s="24"/>
    </row>
    <row r="951" spans="2:2" ht="15.75" customHeight="1">
      <c r="B951" s="24"/>
    </row>
    <row r="952" spans="2:2" ht="15.75" customHeight="1">
      <c r="B952" s="24"/>
    </row>
    <row r="953" spans="2:2" ht="15.75" customHeight="1">
      <c r="B953" s="24"/>
    </row>
    <row r="954" spans="2:2" ht="15.75" customHeight="1">
      <c r="B954" s="24"/>
    </row>
    <row r="955" spans="2:2" ht="15.75" customHeight="1">
      <c r="B955" s="24"/>
    </row>
    <row r="956" spans="2:2" ht="15.75" customHeight="1">
      <c r="B956" s="24"/>
    </row>
    <row r="957" spans="2:2" ht="15.75" customHeight="1">
      <c r="B957" s="24"/>
    </row>
    <row r="958" spans="2:2" ht="15.75" customHeight="1">
      <c r="B958" s="24"/>
    </row>
    <row r="959" spans="2:2" ht="15.75" customHeight="1">
      <c r="B959" s="24"/>
    </row>
    <row r="960" spans="2:2" ht="15.75" customHeight="1">
      <c r="B960" s="24"/>
    </row>
    <row r="961" spans="2:2" ht="15.75" customHeight="1">
      <c r="B961" s="24"/>
    </row>
    <row r="962" spans="2:2" ht="15.75" customHeight="1">
      <c r="B962" s="24"/>
    </row>
    <row r="963" spans="2:2" ht="15.75" customHeight="1">
      <c r="B963" s="24"/>
    </row>
    <row r="964" spans="2:2" ht="15.75" customHeight="1">
      <c r="B964" s="24"/>
    </row>
    <row r="965" spans="2:2" ht="15.75" customHeight="1">
      <c r="B965" s="24"/>
    </row>
    <row r="966" spans="2:2" ht="15.75" customHeight="1">
      <c r="B966" s="24"/>
    </row>
    <row r="967" spans="2:2" ht="15.75" customHeight="1">
      <c r="B967" s="24"/>
    </row>
    <row r="968" spans="2:2" ht="15.75" customHeight="1">
      <c r="B968" s="24"/>
    </row>
    <row r="969" spans="2:2" ht="15.75" customHeight="1">
      <c r="B969" s="24"/>
    </row>
    <row r="970" spans="2:2" ht="15.75" customHeight="1">
      <c r="B970" s="24"/>
    </row>
    <row r="971" spans="2:2" ht="15.75" customHeight="1">
      <c r="B971" s="24"/>
    </row>
    <row r="972" spans="2:2" ht="15.75" customHeight="1">
      <c r="B972" s="24"/>
    </row>
    <row r="973" spans="2:2" ht="15.75" customHeight="1">
      <c r="B973" s="24"/>
    </row>
    <row r="974" spans="2:2" ht="15.75" customHeight="1">
      <c r="B974" s="24"/>
    </row>
    <row r="975" spans="2:2" ht="15.75" customHeight="1">
      <c r="B975" s="24"/>
    </row>
    <row r="976" spans="2:2" ht="15.75" customHeight="1">
      <c r="B976" s="24"/>
    </row>
    <row r="977" spans="2:2" ht="15.75" customHeight="1">
      <c r="B977" s="24"/>
    </row>
    <row r="978" spans="2:2" ht="15.75" customHeight="1">
      <c r="B978" s="24"/>
    </row>
    <row r="979" spans="2:2" ht="15.75" customHeight="1">
      <c r="B979" s="24"/>
    </row>
    <row r="980" spans="2:2" ht="15.75" customHeight="1">
      <c r="B980" s="24"/>
    </row>
    <row r="981" spans="2:2" ht="15.75" customHeight="1">
      <c r="B981" s="24"/>
    </row>
    <row r="982" spans="2:2" ht="15.75" customHeight="1">
      <c r="B982" s="24"/>
    </row>
    <row r="983" spans="2:2" ht="15.75" customHeight="1">
      <c r="B983" s="24"/>
    </row>
    <row r="984" spans="2:2" ht="15.75" customHeight="1">
      <c r="B984" s="24"/>
    </row>
    <row r="985" spans="2:2" ht="15.75" customHeight="1">
      <c r="B985" s="24"/>
    </row>
    <row r="986" spans="2:2" ht="15.75" customHeight="1">
      <c r="B986" s="24"/>
    </row>
    <row r="987" spans="2:2" ht="15.75" customHeight="1">
      <c r="B987" s="24"/>
    </row>
    <row r="988" spans="2:2" ht="15.75" customHeight="1">
      <c r="B988" s="24"/>
    </row>
    <row r="989" spans="2:2" ht="15.75" customHeight="1">
      <c r="B989" s="24"/>
    </row>
    <row r="990" spans="2:2" ht="15.75" customHeight="1">
      <c r="B990" s="24"/>
    </row>
    <row r="991" spans="2:2" ht="15.75" customHeight="1">
      <c r="B991" s="24"/>
    </row>
    <row r="992" spans="2:2" ht="15.75" customHeight="1">
      <c r="B992" s="24"/>
    </row>
    <row r="993" spans="2:2" ht="15.75" customHeight="1">
      <c r="B993" s="24"/>
    </row>
    <row r="994" spans="2:2" ht="15.75" customHeight="1">
      <c r="B994" s="24"/>
    </row>
    <row r="995" spans="2:2" ht="15.75" customHeight="1">
      <c r="B995" s="24"/>
    </row>
    <row r="996" spans="2:2" ht="15.75" customHeight="1">
      <c r="B996" s="24"/>
    </row>
    <row r="997" spans="2:2" ht="15.75" customHeight="1">
      <c r="B997" s="24"/>
    </row>
    <row r="998" spans="2:2" ht="15.75" customHeight="1">
      <c r="B998" s="24"/>
    </row>
    <row r="999" spans="2:2" ht="15.75" customHeight="1">
      <c r="B999" s="24"/>
    </row>
    <row r="1000" spans="2:2" ht="15.75" customHeight="1">
      <c r="B1000" s="24"/>
    </row>
  </sheetData>
  <mergeCells count="2">
    <mergeCell ref="A1:C1"/>
    <mergeCell ref="A2:C2"/>
  </mergeCells>
  <printOptions horizontalCentered="1"/>
  <pageMargins left="0.7" right="0.7" top="0.75" bottom="0.75" header="0" footer="0"/>
  <pageSetup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548135"/>
    <pageSetUpPr fitToPage="1"/>
  </sheetPr>
  <dimension ref="A1:AB917"/>
  <sheetViews>
    <sheetView workbookViewId="0">
      <selection sqref="A1:W1"/>
    </sheetView>
  </sheetViews>
  <sheetFormatPr defaultColWidth="14.42578125" defaultRowHeight="15" customHeight="1"/>
  <cols>
    <col min="1" max="1" width="1.140625" customWidth="1"/>
    <col min="2" max="2" width="66.28515625" customWidth="1"/>
    <col min="3" max="3" width="27" customWidth="1"/>
    <col min="4" max="5" width="26.5703125" hidden="1" customWidth="1"/>
    <col min="6" max="6" width="26.5703125" customWidth="1"/>
    <col min="7" max="21" width="24.5703125" hidden="1" customWidth="1"/>
    <col min="22" max="22" width="24.5703125" customWidth="1"/>
    <col min="23" max="23" width="18.42578125" customWidth="1"/>
  </cols>
  <sheetData>
    <row r="1" spans="1:28" ht="24" customHeight="1">
      <c r="A1" s="139" t="s">
        <v>7</v>
      </c>
      <c r="B1" s="54"/>
      <c r="C1" s="54"/>
      <c r="D1" s="54"/>
      <c r="E1" s="54"/>
      <c r="F1" s="54"/>
      <c r="G1" s="54"/>
      <c r="H1" s="54"/>
      <c r="I1" s="54"/>
      <c r="J1" s="54"/>
      <c r="K1" s="54"/>
      <c r="L1" s="54"/>
      <c r="M1" s="54"/>
      <c r="N1" s="54"/>
      <c r="O1" s="54"/>
      <c r="P1" s="54"/>
      <c r="Q1" s="54"/>
      <c r="R1" s="54"/>
      <c r="S1" s="54"/>
      <c r="T1" s="54"/>
      <c r="U1" s="54"/>
      <c r="V1" s="54"/>
      <c r="W1" s="55"/>
    </row>
    <row r="2" spans="1:28" ht="17.25">
      <c r="A2" s="138" t="str">
        <f>'3. Allocation Summary'!A8</f>
        <v>84.010A</v>
      </c>
      <c r="B2" s="64"/>
      <c r="C2" s="64"/>
      <c r="D2" s="64"/>
      <c r="E2" s="64"/>
      <c r="F2" s="64"/>
      <c r="G2" s="64"/>
      <c r="H2" s="64"/>
      <c r="I2" s="64"/>
      <c r="J2" s="64"/>
      <c r="K2" s="64"/>
      <c r="L2" s="64"/>
      <c r="M2" s="64"/>
      <c r="N2" s="64"/>
      <c r="O2" s="64"/>
      <c r="P2" s="64"/>
      <c r="Q2" s="64"/>
      <c r="R2" s="64"/>
      <c r="S2" s="64"/>
      <c r="T2" s="64"/>
      <c r="U2" s="64"/>
      <c r="V2" s="64"/>
    </row>
    <row r="3" spans="1:28" ht="38.25" customHeight="1">
      <c r="B3" s="26" t="s">
        <v>75</v>
      </c>
      <c r="C3" s="27" t="s">
        <v>78</v>
      </c>
      <c r="D3" s="27" t="s">
        <v>79</v>
      </c>
      <c r="E3" s="27" t="s">
        <v>80</v>
      </c>
      <c r="F3" s="29" t="s">
        <v>81</v>
      </c>
      <c r="G3" s="27" t="s">
        <v>82</v>
      </c>
      <c r="H3" s="27" t="s">
        <v>83</v>
      </c>
      <c r="I3" s="27" t="s">
        <v>84</v>
      </c>
      <c r="J3" s="27" t="s">
        <v>85</v>
      </c>
      <c r="K3" s="27" t="s">
        <v>86</v>
      </c>
      <c r="L3" s="27" t="s">
        <v>87</v>
      </c>
      <c r="M3" s="27" t="s">
        <v>88</v>
      </c>
      <c r="N3" s="27" t="s">
        <v>89</v>
      </c>
      <c r="O3" s="27" t="s">
        <v>90</v>
      </c>
      <c r="P3" s="27" t="s">
        <v>91</v>
      </c>
      <c r="Q3" s="27" t="s">
        <v>92</v>
      </c>
      <c r="R3" s="27" t="s">
        <v>93</v>
      </c>
      <c r="S3" s="27" t="s">
        <v>94</v>
      </c>
      <c r="T3" s="27" t="s">
        <v>95</v>
      </c>
      <c r="U3" s="27" t="s">
        <v>96</v>
      </c>
      <c r="V3" s="27" t="s">
        <v>97</v>
      </c>
      <c r="W3" s="27" t="s">
        <v>98</v>
      </c>
    </row>
    <row r="4" spans="1:28" ht="15.75" customHeight="1">
      <c r="B4" s="28" t="s">
        <v>99</v>
      </c>
      <c r="C4" s="30">
        <f ca="1">IFERROR(__xludf.DUMMYFUNCTION("XLOOKUP($B4,IMPORTRANGE(""https://docs.google.com/spreadsheets/d/1EjEqG6oc_vmuAWwHnH51YMvSMVUVePUqNn9zZBOmHT8/edit#gid=757525651"",""'Allocation Breakdown'!A4:A187""),IMPORTRANGE(""https://docs.google.com/spreadsheets/d/1EjEqG6oc_vmuAWwHnH51YMvSMVUVePUqNn"&amp;"9zZBOmHT8/edit#gid=757525651"",""'Allocation Breakdown'!V4:V187""))*C$119"),3109.52421948)</f>
        <v>3109.5242194799998</v>
      </c>
      <c r="D4" s="30">
        <f ca="1">IFERROR(__xludf.DUMMYFUNCTION("XLOOKUP($B4,IMPORTRANGE(""https://docs.google.com/spreadsheets/d/1EjEqG6oc_vmuAWwHnH51YMvSMVUVePUqNn9zZBOmHT8/edit#gid=757525651"",""'Allocation Breakdown'!A4:A187""),IMPORTRANGE(""https://docs.google.com/spreadsheets/d/1EjEqG6oc_vmuAWwHnH51YMvSMVUVePUqNn"&amp;"9zZBOmHT8/edit#gid=757525651"",""'Allocation Breakdown'!I4:I187""))*$D$119"),0)</f>
        <v>0</v>
      </c>
      <c r="E4" s="30">
        <f ca="1">IFERROR(__xludf.DUMMYFUNCTION("XLOOKUP($B4,IMPORTRANGE(""https://docs.google.com/spreadsheets/d/1EjEqG6oc_vmuAWwHnH51YMvSMVUVePUqNn9zZBOmHT8/edit#gid=757525651"",""'Allocation Breakdown'!A4:A187""),IMPORTRANGE(""https://docs.google.com/spreadsheets/d/1EjEqG6oc_vmuAWwHnH51YMvSMVUVePUqNn"&amp;"9zZBOmHT8/edit#gid=757525651"",""'Allocation Breakdown'!V4:V187""))*E$119"),1090.47578052)</f>
        <v>1090.4757805199999</v>
      </c>
      <c r="F4" s="30">
        <f t="shared" ref="F4:F116" ca="1" si="0">SUM(D4:E4)</f>
        <v>1090.4757805199999</v>
      </c>
      <c r="G4" s="30" t="str">
        <f ca="1">IFERROR(__xludf.DUMMYFUNCTION("XLOOKUP($B4,IMPORTRANGE(""https://docs.google.com/spreadsheets/d/1EjEqG6oc_vmuAWwHnH51YMvSMVUVePUqNn9zZBOmHT8/edit#gid=757525651"",""'Allocation Breakdown'!A4:A187""),IMPORTRANGE(""https://docs.google.com/spreadsheets/d/1EjEqG6oc_vmuAWwHnH51YMvSMVUVePUqNn"&amp;"9zZBOmHT8/edit#gid=757525651"",""'Allocation Breakdown'!D4:D187""))"),"")</f>
        <v/>
      </c>
      <c r="H4" s="30">
        <f ca="1">IFERROR(__xludf.DUMMYFUNCTION("XLOOKUP($B4,IMPORTRANGE(""https://docs.google.com/spreadsheets/d/1EjEqG6oc_vmuAWwHnH51YMvSMVUVePUqNn9zZBOmHT8/edit#gid=757525651"",""'Allocation Breakdown'!A4:A187""),IMPORTRANGE(""https://docs.google.com/spreadsheets/d/1EjEqG6oc_vmuAWwHnH51YMvSMVUVePUqNn"&amp;"9zZBOmHT8/edit#gid=757525651"",""'Allocation Breakdown'!E4:E187""))"),60000)</f>
        <v>60000</v>
      </c>
      <c r="I4" s="30" t="str">
        <f ca="1">IFERROR(__xludf.DUMMYFUNCTION("XLOOKUP($B4,IMPORTRANGE(""https://docs.google.com/spreadsheets/d/1EjEqG6oc_vmuAWwHnH51YMvSMVUVePUqNn9zZBOmHT8/edit#gid=757525651"",""'Allocation Breakdown'!A4:A187""),IMPORTRANGE(""https://docs.google.com/spreadsheets/d/1EjEqG6oc_vmuAWwHnH51YMvSMVUVePUqNn"&amp;"9zZBOmHT8/edit#gid=757525651"",""'Allocation Breakdown'!F4:F187""))"),"")</f>
        <v/>
      </c>
      <c r="J4" s="30" t="str">
        <f ca="1">IFERROR(__xludf.DUMMYFUNCTION("XLOOKUP($B4,IMPORTRANGE(""https://docs.google.com/spreadsheets/d/1EjEqG6oc_vmuAWwHnH51YMvSMVUVePUqNn9zZBOmHT8/edit#gid=757525651"",""'Allocation Breakdown'!A4:A187""),IMPORTRANGE(""https://docs.google.com/spreadsheets/d/1EjEqG6oc_vmuAWwHnH51YMvSMVUVePUqNn"&amp;"9zZBOmHT8/edit#gid=757525651"",""'Allocation Breakdown'!G4:G187""))"),"")</f>
        <v/>
      </c>
      <c r="K4" s="30">
        <f ca="1">IFERROR(__xludf.DUMMYFUNCTION("XLOOKUP($B4,IMPORTRANGE(""https://docs.google.com/spreadsheets/d/1EjEqG6oc_vmuAWwHnH51YMvSMVUVePUqNn9zZBOmHT8/edit#gid=757525651"",""'Allocation Breakdown'!A4:A187""),IMPORTRANGE(""https://docs.google.com/spreadsheets/d/1EjEqG6oc_vmuAWwHnH51YMvSMVUVePUqNn"&amp;"9zZBOmHT8/edit#gid=757525651"",""'Allocation Breakdown'!I4:I187""))*K$119"),0)</f>
        <v>0</v>
      </c>
      <c r="L4" s="30">
        <f ca="1">IFERROR(__xludf.DUMMYFUNCTION("XLOOKUP($B4,IMPORTRANGE(""https://docs.google.com/spreadsheets/d/1EjEqG6oc_vmuAWwHnH51YMvSMVUVePUqNn9zZBOmHT8/edit#gid=757525651"",""'Allocation Breakdown'!A4:A187""),IMPORTRANGE(""https://docs.google.com/spreadsheets/d/1EjEqG6oc_vmuAWwHnH51YMvSMVUVePUqNn"&amp;"9zZBOmHT8/edit#gid=757525651"",""'Allocation Breakdown'!j4:j187""))*L$119"),0)</f>
        <v>0</v>
      </c>
      <c r="M4" s="30">
        <f ca="1">IFERROR(__xludf.DUMMYFUNCTION("XLOOKUP($B4,IMPORTRANGE(""https://docs.google.com/spreadsheets/d/1EjEqG6oc_vmuAWwHnH51YMvSMVUVePUqNn9zZBOmHT8/edit#gid=757525651"",""'Allocation Breakdown'!A4:A187""),IMPORTRANGE(""https://docs.google.com/spreadsheets/d/1EjEqG6oc_vmuAWwHnH51YMvSMVUVePUqNn"&amp;"9zZBOmHT8/edit#gid=757525651"",""'Allocation Breakdown'!K4:K187""))*M$119"),0)</f>
        <v>0</v>
      </c>
      <c r="N4" s="30">
        <f ca="1">IFERROR(__xludf.DUMMYFUNCTION("XLOOKUP($B4,IMPORTRANGE(""https://docs.google.com/spreadsheets/d/1EjEqG6oc_vmuAWwHnH51YMvSMVUVePUqNn9zZBOmHT8/edit#gid=757525651"",""'Allocation Breakdown'!A4:A187""),IMPORTRANGE(""https://docs.google.com/spreadsheets/d/1EjEqG6oc_vmuAWwHnH51YMvSMVUVePUqNn"&amp;"9zZBOmHT8/edit#gid=757525651"",""'Allocation Breakdown'!l4:l187""))*N$119"),7614.8804064)</f>
        <v>7614.8804063999996</v>
      </c>
      <c r="O4" s="30">
        <f ca="1">IFERROR(__xludf.DUMMYFUNCTION("XLOOKUP($B4,IMPORTRANGE(""https://docs.google.com/spreadsheets/d/1EjEqG6oc_vmuAWwHnH51YMvSMVUVePUqNn9zZBOmHT8/edit#gid=757525651"",""'Allocation Breakdown'!A4:A187""),IMPORTRANGE(""https://docs.google.com/spreadsheets/d/1EjEqG6oc_vmuAWwHnH51YMvSMVUVePUqNn"&amp;"9zZBOmHT8/edit#gid=757525651"",""'Allocation Breakdown'!n4:n187""))*O$119"),0)</f>
        <v>0</v>
      </c>
      <c r="P4" s="30">
        <f ca="1">IFERROR(__xludf.DUMMYFUNCTION("XLOOKUP($B4,IMPORTRANGE(""https://docs.google.com/spreadsheets/d/1EjEqG6oc_vmuAWwHnH51YMvSMVUVePUqNn9zZBOmHT8/edit#gid=757525651"",""'Allocation Breakdown'!A4:A187""),IMPORTRANGE(""https://docs.google.com/spreadsheets/d/1EjEqG6oc_vmuAWwHnH51YMvSMVUVePUqNn"&amp;"9zZBOmHT8/edit#gid=757525651"",""'Allocation Breakdown'!o4:o187""))*P$119"),0)</f>
        <v>0</v>
      </c>
      <c r="Q4" s="30">
        <f ca="1">IFERROR(__xludf.DUMMYFUNCTION("XLOOKUP($B4,IMPORTRANGE(""https://docs.google.com/spreadsheets/d/1EjEqG6oc_vmuAWwHnH51YMvSMVUVePUqNn9zZBOmHT8/edit#gid=757525651"",""'Allocation Breakdown'!A4:A187""),IMPORTRANGE(""https://docs.google.com/spreadsheets/d/1EjEqG6oc_vmuAWwHnH51YMvSMVUVePUqNn"&amp;"9zZBOmHT8/edit#gid=757525651"",""'Allocation Breakdown'!p4:p187""))*Q$119"),0)</f>
        <v>0</v>
      </c>
      <c r="R4" s="30">
        <f ca="1">IFERROR(__xludf.DUMMYFUNCTION("XLOOKUP($B4,IMPORTRANGE(""https://docs.google.com/spreadsheets/d/1EjEqG6oc_vmuAWwHnH51YMvSMVUVePUqNn9zZBOmHT8/edit#gid=757525651"",""'Allocation Breakdown'!A4:A187""),IMPORTRANGE(""https://docs.google.com/spreadsheets/d/1EjEqG6oc_vmuAWwHnH51YMvSMVUVePUqNn"&amp;"9zZBOmHT8/edit#gid=757525651"",""'Allocation Breakdown'!q4:q187""))*R$119"),0)</f>
        <v>0</v>
      </c>
      <c r="S4" s="30">
        <f ca="1">IFERROR(__xludf.DUMMYFUNCTION("XLOOKUP($B4,IMPORTRANGE(""https://docs.google.com/spreadsheets/d/1EjEqG6oc_vmuAWwHnH51YMvSMVUVePUqNn9zZBOmHT8/edit#gid=757525651"",""'Allocation Breakdown'!A4:A187""),IMPORTRANGE(""https://docs.google.com/spreadsheets/d/1EjEqG6oc_vmuAWwHnH51YMvSMVUVePUqNn"&amp;"9zZBOmHT8/edit#gid=757525651"",""'Allocation Breakdown'!r4:r187""))*S$119"),0)</f>
        <v>0</v>
      </c>
      <c r="T4" s="30">
        <f ca="1">IFERROR(__xludf.DUMMYFUNCTION("XLOOKUP($B4,IMPORTRANGE(""https://docs.google.com/spreadsheets/d/1EjEqG6oc_vmuAWwHnH51YMvSMVUVePUqNn9zZBOmHT8/edit#gid=757525651"",""'Allocation Breakdown'!A4:A187""),IMPORTRANGE(""https://docs.google.com/spreadsheets/d/1EjEqG6oc_vmuAWwHnH51YMvSMVUVePUqNn"&amp;"9zZBOmHT8/edit#gid=757525651"",""'Allocation Breakdown'!t4:t187""))*T$119"),56000)</f>
        <v>56000</v>
      </c>
      <c r="U4" s="30">
        <f ca="1">IFERROR(__xludf.DUMMYFUNCTION("XLOOKUP($B4,IMPORTRANGE(""https://docs.google.com/spreadsheets/d/1EjEqG6oc_vmuAWwHnH51YMvSMVUVePUqNn9zZBOmHT8/edit#gid=757525651"",""'Allocation Breakdown'!A4:A187""),IMPORTRANGE(""https://docs.google.com/spreadsheets/d/1EjEqG6oc_vmuAWwHnH51YMvSMVUVePUqNn"&amp;"9zZBOmHT8/edit#gid=757525651"",""'Allocation Breakdown'!U4:U187""))*U$119"),75000)</f>
        <v>75000</v>
      </c>
      <c r="V4" s="31">
        <f t="shared" ref="V4:V116" ca="1" si="1">SUM(G4:U4)</f>
        <v>198614.88040640001</v>
      </c>
      <c r="W4" s="31">
        <f t="shared" ref="W4:W116" ca="1" si="2">V4+F4+C4</f>
        <v>202814.88040640001</v>
      </c>
      <c r="Z4" s="32"/>
      <c r="AA4" s="32"/>
      <c r="AB4" s="32"/>
    </row>
    <row r="5" spans="1:28">
      <c r="B5" s="28" t="s">
        <v>100</v>
      </c>
      <c r="C5" s="30">
        <f ca="1">IFERROR(__xludf.DUMMYFUNCTION("XLOOKUP($B5,IMPORTRANGE(""https://docs.google.com/spreadsheets/d/1EjEqG6oc_vmuAWwHnH51YMvSMVUVePUqNn9zZBOmHT8/edit#gid=757525651"",""'Allocation Breakdown'!A4:A187""),IMPORTRANGE(""https://docs.google.com/spreadsheets/d/1EjEqG6oc_vmuAWwHnH51YMvSMVUVePUqNn"&amp;"9zZBOmHT8/edit#gid=757525651"",""'Allocation Breakdown'!V4:V187""))*C$119"),0)</f>
        <v>0</v>
      </c>
      <c r="D5" s="30">
        <f ca="1">IFERROR(__xludf.DUMMYFUNCTION("XLOOKUP($B5,IMPORTRANGE(""https://docs.google.com/spreadsheets/d/1EjEqG6oc_vmuAWwHnH51YMvSMVUVePUqNn9zZBOmHT8/edit#gid=757525651"",""'Allocation Breakdown'!A4:A187""),IMPORTRANGE(""https://docs.google.com/spreadsheets/d/1EjEqG6oc_vmuAWwHnH51YMvSMVUVePUqNn"&amp;"9zZBOmHT8/edit#gid=757525651"",""'Allocation Breakdown'!I4:I187""))*$D$119"),7112.7958416655)</f>
        <v>7112.7958416655001</v>
      </c>
      <c r="E5" s="30">
        <f ca="1">IFERROR(__xludf.DUMMYFUNCTION("XLOOKUP($B5,IMPORTRANGE(""https://docs.google.com/spreadsheets/d/1EjEqG6oc_vmuAWwHnH51YMvSMVUVePUqNn9zZBOmHT8/edit#gid=757525651"",""'Allocation Breakdown'!A4:A187""),IMPORTRANGE(""https://docs.google.com/spreadsheets/d/1EjEqG6oc_vmuAWwHnH51YMvSMVUVePUqNn"&amp;"9zZBOmHT8/edit#gid=757525651"",""'Allocation Breakdown'!V4:V187""))*E$119"),0)</f>
        <v>0</v>
      </c>
      <c r="F5" s="30">
        <f t="shared" ca="1" si="0"/>
        <v>7112.7958416655001</v>
      </c>
      <c r="G5" s="30" t="str">
        <f ca="1">IFERROR(__xludf.DUMMYFUNCTION("XLOOKUP($B5,IMPORTRANGE(""https://docs.google.com/spreadsheets/d/1EjEqG6oc_vmuAWwHnH51YMvSMVUVePUqNn9zZBOmHT8/edit#gid=757525651"",""'Allocation Breakdown'!A4:A187""),IMPORTRANGE(""https://docs.google.com/spreadsheets/d/1EjEqG6oc_vmuAWwHnH51YMvSMVUVePUqNn"&amp;"9zZBOmHT8/edit#gid=757525651"",""'Allocation Breakdown'!D4:D187""))"),"")</f>
        <v/>
      </c>
      <c r="H5" s="30">
        <f ca="1">IFERROR(__xludf.DUMMYFUNCTION("XLOOKUP($B5,IMPORTRANGE(""https://docs.google.com/spreadsheets/d/1EjEqG6oc_vmuAWwHnH51YMvSMVUVePUqNn9zZBOmHT8/edit#gid=757525651"",""'Allocation Breakdown'!A4:A187""),IMPORTRANGE(""https://docs.google.com/spreadsheets/d/1EjEqG6oc_vmuAWwHnH51YMvSMVUVePUqNn"&amp;"9zZBOmHT8/edit#gid=757525651"",""'Allocation Breakdown'!E4:E187""))"),53000)</f>
        <v>53000</v>
      </c>
      <c r="I5" s="30">
        <f ca="1">IFERROR(__xludf.DUMMYFUNCTION("XLOOKUP($B5,IMPORTRANGE(""https://docs.google.com/spreadsheets/d/1EjEqG6oc_vmuAWwHnH51YMvSMVUVePUqNn9zZBOmHT8/edit#gid=757525651"",""'Allocation Breakdown'!A4:A187""),IMPORTRANGE(""https://docs.google.com/spreadsheets/d/1EjEqG6oc_vmuAWwHnH51YMvSMVUVePUqNn"&amp;"9zZBOmHT8/edit#gid=757525651"",""'Allocation Breakdown'!F4:F187""))"),18000)</f>
        <v>18000</v>
      </c>
      <c r="J5" s="30" t="str">
        <f ca="1">IFERROR(__xludf.DUMMYFUNCTION("XLOOKUP($B5,IMPORTRANGE(""https://docs.google.com/spreadsheets/d/1EjEqG6oc_vmuAWwHnH51YMvSMVUVePUqNn9zZBOmHT8/edit#gid=757525651"",""'Allocation Breakdown'!A4:A187""),IMPORTRANGE(""https://docs.google.com/spreadsheets/d/1EjEqG6oc_vmuAWwHnH51YMvSMVUVePUqNn"&amp;"9zZBOmHT8/edit#gid=757525651"",""'Allocation Breakdown'!G4:G187""))"),"")</f>
        <v/>
      </c>
      <c r="K5" s="30">
        <f ca="1">IFERROR(__xludf.DUMMYFUNCTION("XLOOKUP($B5,IMPORTRANGE(""https://docs.google.com/spreadsheets/d/1EjEqG6oc_vmuAWwHnH51YMvSMVUVePUqNn9zZBOmHT8/edit#gid=757525651"",""'Allocation Breakdown'!A4:A187""),IMPORTRANGE(""https://docs.google.com/spreadsheets/d/1EjEqG6oc_vmuAWwHnH51YMvSMVUVePUqNn"&amp;"9zZBOmHT8/edit#gid=757525651"",""'Allocation Breakdown'!I4:I187""))*K$119"),624.9384636)</f>
        <v>624.93846359999998</v>
      </c>
      <c r="L5" s="30">
        <f ca="1">IFERROR(__xludf.DUMMYFUNCTION("XLOOKUP($B5,IMPORTRANGE(""https://docs.google.com/spreadsheets/d/1EjEqG6oc_vmuAWwHnH51YMvSMVUVePUqNn9zZBOmHT8/edit#gid=757525651"",""'Allocation Breakdown'!A4:A187""),IMPORTRANGE(""https://docs.google.com/spreadsheets/d/1EjEqG6oc_vmuAWwHnH51YMvSMVUVePUqNn"&amp;"9zZBOmHT8/edit#gid=757525651"",""'Allocation Breakdown'!j4:j187""))*L$119"),3701.5422305)</f>
        <v>3701.5422305000002</v>
      </c>
      <c r="M5" s="30">
        <f ca="1">IFERROR(__xludf.DUMMYFUNCTION("XLOOKUP($B5,IMPORTRANGE(""https://docs.google.com/spreadsheets/d/1EjEqG6oc_vmuAWwHnH51YMvSMVUVePUqNn9zZBOmHT8/edit#gid=757525651"",""'Allocation Breakdown'!A4:A187""),IMPORTRANGE(""https://docs.google.com/spreadsheets/d/1EjEqG6oc_vmuAWwHnH51YMvSMVUVePUqNn"&amp;"9zZBOmHT8/edit#gid=757525651"",""'Allocation Breakdown'!K4:K187""))*M$119"),3588.6226095)</f>
        <v>3588.6226095000002</v>
      </c>
      <c r="N5" s="30">
        <f ca="1">IFERROR(__xludf.DUMMYFUNCTION("XLOOKUP($B5,IMPORTRANGE(""https://docs.google.com/spreadsheets/d/1EjEqG6oc_vmuAWwHnH51YMvSMVUVePUqNn9zZBOmHT8/edit#gid=757525651"",""'Allocation Breakdown'!A4:A187""),IMPORTRANGE(""https://docs.google.com/spreadsheets/d/1EjEqG6oc_vmuAWwHnH51YMvSMVUVePUqNn"&amp;"9zZBOmHT8/edit#gid=757525651"",""'Allocation Breakdown'!l4:l187""))*N$119"),951.8600508)</f>
        <v>951.86005079999995</v>
      </c>
      <c r="O5" s="30">
        <f ca="1">IFERROR(__xludf.DUMMYFUNCTION("XLOOKUP($B5,IMPORTRANGE(""https://docs.google.com/spreadsheets/d/1EjEqG6oc_vmuAWwHnH51YMvSMVUVePUqNn9zZBOmHT8/edit#gid=757525651"",""'Allocation Breakdown'!A4:A187""),IMPORTRANGE(""https://docs.google.com/spreadsheets/d/1EjEqG6oc_vmuAWwHnH51YMvSMVUVePUqNn"&amp;"9zZBOmHT8/edit#gid=757525651"",""'Allocation Breakdown'!n4:n187""))*O$119"),0)</f>
        <v>0</v>
      </c>
      <c r="P5" s="30">
        <f ca="1">IFERROR(__xludf.DUMMYFUNCTION("XLOOKUP($B5,IMPORTRANGE(""https://docs.google.com/spreadsheets/d/1EjEqG6oc_vmuAWwHnH51YMvSMVUVePUqNn9zZBOmHT8/edit#gid=757525651"",""'Allocation Breakdown'!A4:A187""),IMPORTRANGE(""https://docs.google.com/spreadsheets/d/1EjEqG6oc_vmuAWwHnH51YMvSMVUVePUqNn"&amp;"9zZBOmHT8/edit#gid=757525651"",""'Allocation Breakdown'!o4:o187""))*P$119"),4000)</f>
        <v>4000</v>
      </c>
      <c r="Q5" s="30">
        <f ca="1">IFERROR(__xludf.DUMMYFUNCTION("XLOOKUP($B5,IMPORTRANGE(""https://docs.google.com/spreadsheets/d/1EjEqG6oc_vmuAWwHnH51YMvSMVUVePUqNn9zZBOmHT8/edit#gid=757525651"",""'Allocation Breakdown'!A4:A187""),IMPORTRANGE(""https://docs.google.com/spreadsheets/d/1EjEqG6oc_vmuAWwHnH51YMvSMVUVePUqNn"&amp;"9zZBOmHT8/edit#gid=757525651"",""'Allocation Breakdown'!p4:p187""))*Q$119"),0)</f>
        <v>0</v>
      </c>
      <c r="R5" s="30">
        <f ca="1">IFERROR(__xludf.DUMMYFUNCTION("XLOOKUP($B5,IMPORTRANGE(""https://docs.google.com/spreadsheets/d/1EjEqG6oc_vmuAWwHnH51YMvSMVUVePUqNn9zZBOmHT8/edit#gid=757525651"",""'Allocation Breakdown'!A4:A187""),IMPORTRANGE(""https://docs.google.com/spreadsheets/d/1EjEqG6oc_vmuAWwHnH51YMvSMVUVePUqNn"&amp;"9zZBOmHT8/edit#gid=757525651"",""'Allocation Breakdown'!q4:q187""))*R$119"),0)</f>
        <v>0</v>
      </c>
      <c r="S5" s="30">
        <f ca="1">IFERROR(__xludf.DUMMYFUNCTION("XLOOKUP($B5,IMPORTRANGE(""https://docs.google.com/spreadsheets/d/1EjEqG6oc_vmuAWwHnH51YMvSMVUVePUqNn9zZBOmHT8/edit#gid=757525651"",""'Allocation Breakdown'!A4:A187""),IMPORTRANGE(""https://docs.google.com/spreadsheets/d/1EjEqG6oc_vmuAWwHnH51YMvSMVUVePUqNn"&amp;"9zZBOmHT8/edit#gid=757525651"",""'Allocation Breakdown'!r4:r187""))*S$119"),2000)</f>
        <v>2000</v>
      </c>
      <c r="T5" s="30">
        <f ca="1">IFERROR(__xludf.DUMMYFUNCTION("XLOOKUP($B5,IMPORTRANGE(""https://docs.google.com/spreadsheets/d/1EjEqG6oc_vmuAWwHnH51YMvSMVUVePUqNn9zZBOmHT8/edit#gid=757525651"",""'Allocation Breakdown'!A4:A187""),IMPORTRANGE(""https://docs.google.com/spreadsheets/d/1EjEqG6oc_vmuAWwHnH51YMvSMVUVePUqNn"&amp;"9zZBOmHT8/edit#gid=757525651"",""'Allocation Breakdown'!t4:t187""))*T$119"),7000)</f>
        <v>7000</v>
      </c>
      <c r="U5" s="30">
        <f ca="1">IFERROR(__xludf.DUMMYFUNCTION("XLOOKUP($B5,IMPORTRANGE(""https://docs.google.com/spreadsheets/d/1EjEqG6oc_vmuAWwHnH51YMvSMVUVePUqNn9zZBOmHT8/edit#gid=757525651"",""'Allocation Breakdown'!A4:A187""),IMPORTRANGE(""https://docs.google.com/spreadsheets/d/1EjEqG6oc_vmuAWwHnH51YMvSMVUVePUqNn"&amp;"9zZBOmHT8/edit#gid=757525651"",""'Allocation Breakdown'!U4:U187""))*U$119"),11000)</f>
        <v>11000</v>
      </c>
      <c r="V5" s="31">
        <f t="shared" ca="1" si="1"/>
        <v>103866.9633544</v>
      </c>
      <c r="W5" s="31">
        <f t="shared" ca="1" si="2"/>
        <v>110979.7591960655</v>
      </c>
      <c r="Z5" s="32"/>
      <c r="AA5" s="32"/>
      <c r="AB5" s="32"/>
    </row>
    <row r="6" spans="1:28" ht="15.75" customHeight="1">
      <c r="B6" s="28" t="s">
        <v>101</v>
      </c>
      <c r="C6" s="30">
        <f ca="1">IFERROR(__xludf.DUMMYFUNCTION("XLOOKUP($B6,IMPORTRANGE(""https://docs.google.com/spreadsheets/d/1EjEqG6oc_vmuAWwHnH51YMvSMVUVePUqNn9zZBOmHT8/edit#gid=757525651"",""'Allocation Breakdown'!A4:A187""),IMPORTRANGE(""https://docs.google.com/spreadsheets/d/1EjEqG6oc_vmuAWwHnH51YMvSMVUVePUqNn"&amp;"9zZBOmHT8/edit#gid=757525651"",""'Allocation Breakdown'!V4:V187""))*C$119"),3109.52421948)</f>
        <v>3109.5242194799998</v>
      </c>
      <c r="D6" s="30">
        <f ca="1">IFERROR(__xludf.DUMMYFUNCTION("XLOOKUP($B6,IMPORTRANGE(""https://docs.google.com/spreadsheets/d/1EjEqG6oc_vmuAWwHnH51YMvSMVUVePUqNn9zZBOmHT8/edit#gid=757525651"",""'Allocation Breakdown'!A4:A187""),IMPORTRANGE(""https://docs.google.com/spreadsheets/d/1EjEqG6oc_vmuAWwHnH51YMvSMVUVePUqNn"&amp;"9zZBOmHT8/edit#gid=757525651"",""'Allocation Breakdown'!I4:I187""))*$D$119"),35563.9792083275)</f>
        <v>35563.979208327502</v>
      </c>
      <c r="E6" s="30">
        <f ca="1">IFERROR(__xludf.DUMMYFUNCTION("XLOOKUP($B6,IMPORTRANGE(""https://docs.google.com/spreadsheets/d/1EjEqG6oc_vmuAWwHnH51YMvSMVUVePUqNn9zZBOmHT8/edit#gid=757525651"",""'Allocation Breakdown'!A4:A187""),IMPORTRANGE(""https://docs.google.com/spreadsheets/d/1EjEqG6oc_vmuAWwHnH51YMvSMVUVePUqNn"&amp;"9zZBOmHT8/edit#gid=757525651"",""'Allocation Breakdown'!V4:V187""))*E$119"),1090.47578052)</f>
        <v>1090.4757805199999</v>
      </c>
      <c r="F6" s="30">
        <f t="shared" ca="1" si="0"/>
        <v>36654.454988847501</v>
      </c>
      <c r="G6" s="30" t="str">
        <f ca="1">IFERROR(__xludf.DUMMYFUNCTION("XLOOKUP($B6,IMPORTRANGE(""https://docs.google.com/spreadsheets/d/1EjEqG6oc_vmuAWwHnH51YMvSMVUVePUqNn9zZBOmHT8/edit#gid=757525651"",""'Allocation Breakdown'!A4:A187""),IMPORTRANGE(""https://docs.google.com/spreadsheets/d/1EjEqG6oc_vmuAWwHnH51YMvSMVUVePUqNn"&amp;"9zZBOmHT8/edit#gid=757525651"",""'Allocation Breakdown'!D4:D187""))"),"")</f>
        <v/>
      </c>
      <c r="H6" s="30">
        <f ca="1">IFERROR(__xludf.DUMMYFUNCTION("XLOOKUP($B6,IMPORTRANGE(""https://docs.google.com/spreadsheets/d/1EjEqG6oc_vmuAWwHnH51YMvSMVUVePUqNn9zZBOmHT8/edit#gid=757525651"",""'Allocation Breakdown'!A4:A187""),IMPORTRANGE(""https://docs.google.com/spreadsheets/d/1EjEqG6oc_vmuAWwHnH51YMvSMVUVePUqNn"&amp;"9zZBOmHT8/edit#gid=757525651"",""'Allocation Breakdown'!E4:E187""))"),60000)</f>
        <v>60000</v>
      </c>
      <c r="I6" s="30">
        <f ca="1">IFERROR(__xludf.DUMMYFUNCTION("XLOOKUP($B6,IMPORTRANGE(""https://docs.google.com/spreadsheets/d/1EjEqG6oc_vmuAWwHnH51YMvSMVUVePUqNn9zZBOmHT8/edit#gid=757525651"",""'Allocation Breakdown'!A4:A187""),IMPORTRANGE(""https://docs.google.com/spreadsheets/d/1EjEqG6oc_vmuAWwHnH51YMvSMVUVePUqNn"&amp;"9zZBOmHT8/edit#gid=757525651"",""'Allocation Breakdown'!F4:F187""))"),38000)</f>
        <v>38000</v>
      </c>
      <c r="J6" s="30">
        <f ca="1">IFERROR(__xludf.DUMMYFUNCTION("XLOOKUP($B6,IMPORTRANGE(""https://docs.google.com/spreadsheets/d/1EjEqG6oc_vmuAWwHnH51YMvSMVUVePUqNn9zZBOmHT8/edit#gid=757525651"",""'Allocation Breakdown'!A4:A187""),IMPORTRANGE(""https://docs.google.com/spreadsheets/d/1EjEqG6oc_vmuAWwHnH51YMvSMVUVePUqNn"&amp;"9zZBOmHT8/edit#gid=757525651"",""'Allocation Breakdown'!G4:G187""))"),40000)</f>
        <v>40000</v>
      </c>
      <c r="K6" s="30">
        <f ca="1">IFERROR(__xludf.DUMMYFUNCTION("XLOOKUP($B6,IMPORTRANGE(""https://docs.google.com/spreadsheets/d/1EjEqG6oc_vmuAWwHnH51YMvSMVUVePUqNn9zZBOmHT8/edit#gid=757525651"",""'Allocation Breakdown'!A4:A187""),IMPORTRANGE(""https://docs.google.com/spreadsheets/d/1EjEqG6oc_vmuAWwHnH51YMvSMVUVePUqNn"&amp;"9zZBOmHT8/edit#gid=757525651"",""'Allocation Breakdown'!I4:I187""))*K$119"),3124.692318)</f>
        <v>3124.6923179999999</v>
      </c>
      <c r="L6" s="30">
        <f ca="1">IFERROR(__xludf.DUMMYFUNCTION("XLOOKUP($B6,IMPORTRANGE(""https://docs.google.com/spreadsheets/d/1EjEqG6oc_vmuAWwHnH51YMvSMVUVePUqNn9zZBOmHT8/edit#gid=757525651"",""'Allocation Breakdown'!A4:A187""),IMPORTRANGE(""https://docs.google.com/spreadsheets/d/1EjEqG6oc_vmuAWwHnH51YMvSMVUVePUqNn"&amp;"9zZBOmHT8/edit#gid=757525651"",""'Allocation Breakdown'!j4:j187""))*L$119"),14806.168922)</f>
        <v>14806.168922000001</v>
      </c>
      <c r="M6" s="30">
        <f ca="1">IFERROR(__xludf.DUMMYFUNCTION("XLOOKUP($B6,IMPORTRANGE(""https://docs.google.com/spreadsheets/d/1EjEqG6oc_vmuAWwHnH51YMvSMVUVePUqNn9zZBOmHT8/edit#gid=757525651"",""'Allocation Breakdown'!A4:A187""),IMPORTRANGE(""https://docs.google.com/spreadsheets/d/1EjEqG6oc_vmuAWwHnH51YMvSMVUVePUqNn"&amp;"9zZBOmHT8/edit#gid=757525651"",""'Allocation Breakdown'!K4:K187""))*M$119"),17943.1130475)</f>
        <v>17943.113047499999</v>
      </c>
      <c r="N6" s="30">
        <f ca="1">IFERROR(__xludf.DUMMYFUNCTION("XLOOKUP($B6,IMPORTRANGE(""https://docs.google.com/spreadsheets/d/1EjEqG6oc_vmuAWwHnH51YMvSMVUVePUqNn9zZBOmHT8/edit#gid=757525651"",""'Allocation Breakdown'!A4:A187""),IMPORTRANGE(""https://docs.google.com/spreadsheets/d/1EjEqG6oc_vmuAWwHnH51YMvSMVUVePUqNn"&amp;"9zZBOmHT8/edit#gid=757525651"",""'Allocation Breakdown'!l4:l187""))*N$119"),4759.300254)</f>
        <v>4759.3002539999998</v>
      </c>
      <c r="O6" s="30">
        <f ca="1">IFERROR(__xludf.DUMMYFUNCTION("XLOOKUP($B6,IMPORTRANGE(""https://docs.google.com/spreadsheets/d/1EjEqG6oc_vmuAWwHnH51YMvSMVUVePUqNn9zZBOmHT8/edit#gid=757525651"",""'Allocation Breakdown'!A4:A187""),IMPORTRANGE(""https://docs.google.com/spreadsheets/d/1EjEqG6oc_vmuAWwHnH51YMvSMVUVePUqNn"&amp;"9zZBOmHT8/edit#gid=757525651"",""'Allocation Breakdown'!n4:n187""))*O$119"),6000)</f>
        <v>6000</v>
      </c>
      <c r="P6" s="30">
        <f ca="1">IFERROR(__xludf.DUMMYFUNCTION("XLOOKUP($B6,IMPORTRANGE(""https://docs.google.com/spreadsheets/d/1EjEqG6oc_vmuAWwHnH51YMvSMVUVePUqNn9zZBOmHT8/edit#gid=757525651"",""'Allocation Breakdown'!A4:A187""),IMPORTRANGE(""https://docs.google.com/spreadsheets/d/1EjEqG6oc_vmuAWwHnH51YMvSMVUVePUqNn"&amp;"9zZBOmHT8/edit#gid=757525651"",""'Allocation Breakdown'!o4:o187""))*P$119"),0)</f>
        <v>0</v>
      </c>
      <c r="Q6" s="30">
        <f ca="1">IFERROR(__xludf.DUMMYFUNCTION("XLOOKUP($B6,IMPORTRANGE(""https://docs.google.com/spreadsheets/d/1EjEqG6oc_vmuAWwHnH51YMvSMVUVePUqNn9zZBOmHT8/edit#gid=757525651"",""'Allocation Breakdown'!A4:A187""),IMPORTRANGE(""https://docs.google.com/spreadsheets/d/1EjEqG6oc_vmuAWwHnH51YMvSMVUVePUqNn"&amp;"9zZBOmHT8/edit#gid=757525651"",""'Allocation Breakdown'!p4:p187""))*Q$119"),0)</f>
        <v>0</v>
      </c>
      <c r="R6" s="30">
        <f ca="1">IFERROR(__xludf.DUMMYFUNCTION("XLOOKUP($B6,IMPORTRANGE(""https://docs.google.com/spreadsheets/d/1EjEqG6oc_vmuAWwHnH51YMvSMVUVePUqNn9zZBOmHT8/edit#gid=757525651"",""'Allocation Breakdown'!A4:A187""),IMPORTRANGE(""https://docs.google.com/spreadsheets/d/1EjEqG6oc_vmuAWwHnH51YMvSMVUVePUqNn"&amp;"9zZBOmHT8/edit#gid=757525651"",""'Allocation Breakdown'!q4:q187""))*R$119"),0)</f>
        <v>0</v>
      </c>
      <c r="S6" s="30">
        <f ca="1">IFERROR(__xludf.DUMMYFUNCTION("XLOOKUP($B6,IMPORTRANGE(""https://docs.google.com/spreadsheets/d/1EjEqG6oc_vmuAWwHnH51YMvSMVUVePUqNn9zZBOmHT8/edit#gid=757525651"",""'Allocation Breakdown'!A4:A187""),IMPORTRANGE(""https://docs.google.com/spreadsheets/d/1EjEqG6oc_vmuAWwHnH51YMvSMVUVePUqNn"&amp;"9zZBOmHT8/edit#gid=757525651"",""'Allocation Breakdown'!r4:r187""))*S$119"),0)</f>
        <v>0</v>
      </c>
      <c r="T6" s="30">
        <f ca="1">IFERROR(__xludf.DUMMYFUNCTION("XLOOKUP($B6,IMPORTRANGE(""https://docs.google.com/spreadsheets/d/1EjEqG6oc_vmuAWwHnH51YMvSMVUVePUqNn9zZBOmHT8/edit#gid=757525651"",""'Allocation Breakdown'!A4:A187""),IMPORTRANGE(""https://docs.google.com/spreadsheets/d/1EjEqG6oc_vmuAWwHnH51YMvSMVUVePUqNn"&amp;"9zZBOmHT8/edit#gid=757525651"",""'Allocation Breakdown'!t4:t187""))*T$119"),35000)</f>
        <v>35000</v>
      </c>
      <c r="U6" s="30">
        <f ca="1">IFERROR(__xludf.DUMMYFUNCTION("XLOOKUP($B6,IMPORTRANGE(""https://docs.google.com/spreadsheets/d/1EjEqG6oc_vmuAWwHnH51YMvSMVUVePUqNn9zZBOmHT8/edit#gid=757525651"",""'Allocation Breakdown'!A4:A187""),IMPORTRANGE(""https://docs.google.com/spreadsheets/d/1EjEqG6oc_vmuAWwHnH51YMvSMVUVePUqNn"&amp;"9zZBOmHT8/edit#gid=757525651"",""'Allocation Breakdown'!U4:U187""))*U$119"),55000)</f>
        <v>55000</v>
      </c>
      <c r="V6" s="31">
        <f t="shared" ca="1" si="1"/>
        <v>274633.27454150002</v>
      </c>
      <c r="W6" s="31">
        <f t="shared" ca="1" si="2"/>
        <v>314397.25374982751</v>
      </c>
      <c r="Z6" s="32"/>
      <c r="AA6" s="32"/>
      <c r="AB6" s="32"/>
    </row>
    <row r="7" spans="1:28" ht="15.75" customHeight="1">
      <c r="B7" s="28" t="s">
        <v>102</v>
      </c>
      <c r="C7" s="30">
        <f ca="1">IFERROR(__xludf.DUMMYFUNCTION("XLOOKUP($B7,IMPORTRANGE(""https://docs.google.com/spreadsheets/d/1EjEqG6oc_vmuAWwHnH51YMvSMVUVePUqNn9zZBOmHT8/edit#gid=757525651"",""'Allocation Breakdown'!A4:A187""),IMPORTRANGE(""https://docs.google.com/spreadsheets/d/1EjEqG6oc_vmuAWwHnH51YMvSMVUVePUqNn"&amp;"9zZBOmHT8/edit#gid=757525651"",""'Allocation Breakdown'!V4:V187""))*C$119"),777.38105487)</f>
        <v>777.38105486999996</v>
      </c>
      <c r="D7" s="30">
        <f ca="1">IFERROR(__xludf.DUMMYFUNCTION("XLOOKUP($B7,IMPORTRANGE(""https://docs.google.com/spreadsheets/d/1EjEqG6oc_vmuAWwHnH51YMvSMVUVePUqNn9zZBOmHT8/edit#gid=757525651"",""'Allocation Breakdown'!A4:A187""),IMPORTRANGE(""https://docs.google.com/spreadsheets/d/1EjEqG6oc_vmuAWwHnH51YMvSMVUVePUqNn"&amp;"9zZBOmHT8/edit#gid=757525651"",""'Allocation Breakdown'!I4:I187""))*$D$119"),21338.3875249965)</f>
        <v>21338.387524996499</v>
      </c>
      <c r="E7" s="30">
        <f ca="1">IFERROR(__xludf.DUMMYFUNCTION("XLOOKUP($B7,IMPORTRANGE(""https://docs.google.com/spreadsheets/d/1EjEqG6oc_vmuAWwHnH51YMvSMVUVePUqNn9zZBOmHT8/edit#gid=757525651"",""'Allocation Breakdown'!A4:A187""),IMPORTRANGE(""https://docs.google.com/spreadsheets/d/1EjEqG6oc_vmuAWwHnH51YMvSMVUVePUqNn"&amp;"9zZBOmHT8/edit#gid=757525651"",""'Allocation Breakdown'!V4:V187""))*E$119"),272.61894513)</f>
        <v>272.61894512999999</v>
      </c>
      <c r="F7" s="30">
        <f t="shared" ca="1" si="0"/>
        <v>21611.0064701265</v>
      </c>
      <c r="G7" s="30">
        <f ca="1">IFERROR(__xludf.DUMMYFUNCTION("XLOOKUP($B7,IMPORTRANGE(""https://docs.google.com/spreadsheets/d/1EjEqG6oc_vmuAWwHnH51YMvSMVUVePUqNn9zZBOmHT8/edit#gid=757525651"",""'Allocation Breakdown'!A4:A187""),IMPORTRANGE(""https://docs.google.com/spreadsheets/d/1EjEqG6oc_vmuAWwHnH51YMvSMVUVePUqNn"&amp;"9zZBOmHT8/edit#gid=757525651"",""'Allocation Breakdown'!D4:D187""))"),15000)</f>
        <v>15000</v>
      </c>
      <c r="H7" s="30" t="str">
        <f ca="1">IFERROR(__xludf.DUMMYFUNCTION("XLOOKUP($B7,IMPORTRANGE(""https://docs.google.com/spreadsheets/d/1EjEqG6oc_vmuAWwHnH51YMvSMVUVePUqNn9zZBOmHT8/edit#gid=757525651"",""'Allocation Breakdown'!A4:A187""),IMPORTRANGE(""https://docs.google.com/spreadsheets/d/1EjEqG6oc_vmuAWwHnH51YMvSMVUVePUqNn"&amp;"9zZBOmHT8/edit#gid=757525651"",""'Allocation Breakdown'!E4:E187""))"),"")</f>
        <v/>
      </c>
      <c r="I7" s="30">
        <f ca="1">IFERROR(__xludf.DUMMYFUNCTION("XLOOKUP($B7,IMPORTRANGE(""https://docs.google.com/spreadsheets/d/1EjEqG6oc_vmuAWwHnH51YMvSMVUVePUqNn9zZBOmHT8/edit#gid=757525651"",""'Allocation Breakdown'!A4:A187""),IMPORTRANGE(""https://docs.google.com/spreadsheets/d/1EjEqG6oc_vmuAWwHnH51YMvSMVUVePUqNn"&amp;"9zZBOmHT8/edit#gid=757525651"",""'Allocation Breakdown'!F4:F187""))"),54000)</f>
        <v>54000</v>
      </c>
      <c r="J7" s="30">
        <f ca="1">IFERROR(__xludf.DUMMYFUNCTION("XLOOKUP($B7,IMPORTRANGE(""https://docs.google.com/spreadsheets/d/1EjEqG6oc_vmuAWwHnH51YMvSMVUVePUqNn9zZBOmHT8/edit#gid=757525651"",""'Allocation Breakdown'!A4:A187""),IMPORTRANGE(""https://docs.google.com/spreadsheets/d/1EjEqG6oc_vmuAWwHnH51YMvSMVUVePUqNn"&amp;"9zZBOmHT8/edit#gid=757525651"",""'Allocation Breakdown'!G4:G187""))"),27525)</f>
        <v>27525</v>
      </c>
      <c r="K7" s="30">
        <f ca="1">IFERROR(__xludf.DUMMYFUNCTION("XLOOKUP($B7,IMPORTRANGE(""https://docs.google.com/spreadsheets/d/1EjEqG6oc_vmuAWwHnH51YMvSMVUVePUqNn9zZBOmHT8/edit#gid=757525651"",""'Allocation Breakdown'!A4:A187""),IMPORTRANGE(""https://docs.google.com/spreadsheets/d/1EjEqG6oc_vmuAWwHnH51YMvSMVUVePUqNn"&amp;"9zZBOmHT8/edit#gid=757525651"",""'Allocation Breakdown'!I4:I187""))*K$119"),1874.8153908)</f>
        <v>1874.8153907999999</v>
      </c>
      <c r="L7" s="30">
        <f ca="1">IFERROR(__xludf.DUMMYFUNCTION("XLOOKUP($B7,IMPORTRANGE(""https://docs.google.com/spreadsheets/d/1EjEqG6oc_vmuAWwHnH51YMvSMVUVePUqNn9zZBOmHT8/edit#gid=757525651"",""'Allocation Breakdown'!A4:A187""),IMPORTRANGE(""https://docs.google.com/spreadsheets/d/1EjEqG6oc_vmuAWwHnH51YMvSMVUVePUqNn"&amp;"9zZBOmHT8/edit#gid=757525651"",""'Allocation Breakdown'!j4:j187""))*L$119"),11104.6266915)</f>
        <v>11104.6266915</v>
      </c>
      <c r="M7" s="30">
        <f ca="1">IFERROR(__xludf.DUMMYFUNCTION("XLOOKUP($B7,IMPORTRANGE(""https://docs.google.com/spreadsheets/d/1EjEqG6oc_vmuAWwHnH51YMvSMVUVePUqNn9zZBOmHT8/edit#gid=757525651"",""'Allocation Breakdown'!A4:A187""),IMPORTRANGE(""https://docs.google.com/spreadsheets/d/1EjEqG6oc_vmuAWwHnH51YMvSMVUVePUqNn"&amp;"9zZBOmHT8/edit#gid=757525651"",""'Allocation Breakdown'!K4:K187""))*M$119"),10765.8678285)</f>
        <v>10765.867828500001</v>
      </c>
      <c r="N7" s="30">
        <f ca="1">IFERROR(__xludf.DUMMYFUNCTION("XLOOKUP($B7,IMPORTRANGE(""https://docs.google.com/spreadsheets/d/1EjEqG6oc_vmuAWwHnH51YMvSMVUVePUqNn9zZBOmHT8/edit#gid=757525651"",""'Allocation Breakdown'!A4:A187""),IMPORTRANGE(""https://docs.google.com/spreadsheets/d/1EjEqG6oc_vmuAWwHnH51YMvSMVUVePUqNn"&amp;"9zZBOmHT8/edit#gid=757525651"",""'Allocation Breakdown'!l4:l187""))*N$119"),2855.5801524)</f>
        <v>2855.5801523999999</v>
      </c>
      <c r="O7" s="30">
        <f ca="1">IFERROR(__xludf.DUMMYFUNCTION("XLOOKUP($B7,IMPORTRANGE(""https://docs.google.com/spreadsheets/d/1EjEqG6oc_vmuAWwHnH51YMvSMVUVePUqNn9zZBOmHT8/edit#gid=757525651"",""'Allocation Breakdown'!A4:A187""),IMPORTRANGE(""https://docs.google.com/spreadsheets/d/1EjEqG6oc_vmuAWwHnH51YMvSMVUVePUqNn"&amp;"9zZBOmHT8/edit#gid=757525651"",""'Allocation Breakdown'!n4:n187""))*O$119"),30000)</f>
        <v>30000</v>
      </c>
      <c r="P7" s="30">
        <f ca="1">IFERROR(__xludf.DUMMYFUNCTION("XLOOKUP($B7,IMPORTRANGE(""https://docs.google.com/spreadsheets/d/1EjEqG6oc_vmuAWwHnH51YMvSMVUVePUqNn9zZBOmHT8/edit#gid=757525651"",""'Allocation Breakdown'!A4:A187""),IMPORTRANGE(""https://docs.google.com/spreadsheets/d/1EjEqG6oc_vmuAWwHnH51YMvSMVUVePUqNn"&amp;"9zZBOmHT8/edit#gid=757525651"",""'Allocation Breakdown'!o4:o187""))*P$119"),8800)</f>
        <v>8800</v>
      </c>
      <c r="Q7" s="30">
        <f ca="1">IFERROR(__xludf.DUMMYFUNCTION("XLOOKUP($B7,IMPORTRANGE(""https://docs.google.com/spreadsheets/d/1EjEqG6oc_vmuAWwHnH51YMvSMVUVePUqNn9zZBOmHT8/edit#gid=757525651"",""'Allocation Breakdown'!A4:A187""),IMPORTRANGE(""https://docs.google.com/spreadsheets/d/1EjEqG6oc_vmuAWwHnH51YMvSMVUVePUqNn"&amp;"9zZBOmHT8/edit#gid=757525651"",""'Allocation Breakdown'!p4:p187""))*Q$119"),6000)</f>
        <v>6000</v>
      </c>
      <c r="R7" s="30">
        <f ca="1">IFERROR(__xludf.DUMMYFUNCTION("XLOOKUP($B7,IMPORTRANGE(""https://docs.google.com/spreadsheets/d/1EjEqG6oc_vmuAWwHnH51YMvSMVUVePUqNn9zZBOmHT8/edit#gid=757525651"",""'Allocation Breakdown'!A4:A187""),IMPORTRANGE(""https://docs.google.com/spreadsheets/d/1EjEqG6oc_vmuAWwHnH51YMvSMVUVePUqNn"&amp;"9zZBOmHT8/edit#gid=757525651"",""'Allocation Breakdown'!q4:q187""))*R$119"),6000)</f>
        <v>6000</v>
      </c>
      <c r="S7" s="30">
        <f ca="1">IFERROR(__xludf.DUMMYFUNCTION("XLOOKUP($B7,IMPORTRANGE(""https://docs.google.com/spreadsheets/d/1EjEqG6oc_vmuAWwHnH51YMvSMVUVePUqNn9zZBOmHT8/edit#gid=757525651"",""'Allocation Breakdown'!A4:A187""),IMPORTRANGE(""https://docs.google.com/spreadsheets/d/1EjEqG6oc_vmuAWwHnH51YMvSMVUVePUqNn"&amp;"9zZBOmHT8/edit#gid=757525651"",""'Allocation Breakdown'!r4:r187""))*S$119"),6000)</f>
        <v>6000</v>
      </c>
      <c r="T7" s="30">
        <f ca="1">IFERROR(__xludf.DUMMYFUNCTION("XLOOKUP($B7,IMPORTRANGE(""https://docs.google.com/spreadsheets/d/1EjEqG6oc_vmuAWwHnH51YMvSMVUVePUqNn9zZBOmHT8/edit#gid=757525651"",""'Allocation Breakdown'!A4:A187""),IMPORTRANGE(""https://docs.google.com/spreadsheets/d/1EjEqG6oc_vmuAWwHnH51YMvSMVUVePUqNn"&amp;"9zZBOmHT8/edit#gid=757525651"",""'Allocation Breakdown'!t4:t187""))*T$119"),21000)</f>
        <v>21000</v>
      </c>
      <c r="U7" s="30">
        <f ca="1">IFERROR(__xludf.DUMMYFUNCTION("XLOOKUP($B7,IMPORTRANGE(""https://docs.google.com/spreadsheets/d/1EjEqG6oc_vmuAWwHnH51YMvSMVUVePUqNn9zZBOmHT8/edit#gid=757525651"",""'Allocation Breakdown'!A4:A187""),IMPORTRANGE(""https://docs.google.com/spreadsheets/d/1EjEqG6oc_vmuAWwHnH51YMvSMVUVePUqNn"&amp;"9zZBOmHT8/edit#gid=757525651"",""'Allocation Breakdown'!U4:U187""))*U$119"),33000)</f>
        <v>33000</v>
      </c>
      <c r="V7" s="31">
        <f t="shared" ca="1" si="1"/>
        <v>233925.8900632</v>
      </c>
      <c r="W7" s="31">
        <f t="shared" ca="1" si="2"/>
        <v>256314.27758819651</v>
      </c>
      <c r="Z7" s="32"/>
      <c r="AA7" s="32"/>
      <c r="AB7" s="32"/>
    </row>
    <row r="8" spans="1:28" ht="15.75" customHeight="1">
      <c r="B8" s="28" t="s">
        <v>103</v>
      </c>
      <c r="C8" s="30">
        <f ca="1">IFERROR(__xludf.DUMMYFUNCTION("XLOOKUP($B8,IMPORTRANGE(""https://docs.google.com/spreadsheets/d/1EjEqG6oc_vmuAWwHnH51YMvSMVUVePUqNn9zZBOmHT8/edit#gid=757525651"",""'Allocation Breakdown'!A4:A187""),IMPORTRANGE(""https://docs.google.com/spreadsheets/d/1EjEqG6oc_vmuAWwHnH51YMvSMVUVePUqNn"&amp;"9zZBOmHT8/edit#gid=757525651"",""'Allocation Breakdown'!V4:V187""))*C$119"),3109.52421948)</f>
        <v>3109.5242194799998</v>
      </c>
      <c r="D8" s="30">
        <f ca="1">IFERROR(__xludf.DUMMYFUNCTION("XLOOKUP($B8,IMPORTRANGE(""https://docs.google.com/spreadsheets/d/1EjEqG6oc_vmuAWwHnH51YMvSMVUVePUqNn9zZBOmHT8/edit#gid=757525651"",""'Allocation Breakdown'!A4:A187""),IMPORTRANGE(""https://docs.google.com/spreadsheets/d/1EjEqG6oc_vmuAWwHnH51YMvSMVUVePUqNn"&amp;"9zZBOmHT8/edit#gid=757525651"",""'Allocation Breakdown'!I4:I187""))*$D$119"),0)</f>
        <v>0</v>
      </c>
      <c r="E8" s="30">
        <f ca="1">IFERROR(__xludf.DUMMYFUNCTION("XLOOKUP($B8,IMPORTRANGE(""https://docs.google.com/spreadsheets/d/1EjEqG6oc_vmuAWwHnH51YMvSMVUVePUqNn9zZBOmHT8/edit#gid=757525651"",""'Allocation Breakdown'!A4:A187""),IMPORTRANGE(""https://docs.google.com/spreadsheets/d/1EjEqG6oc_vmuAWwHnH51YMvSMVUVePUqNn"&amp;"9zZBOmHT8/edit#gid=757525651"",""'Allocation Breakdown'!V4:V187""))*E$119"),1090.47578052)</f>
        <v>1090.4757805199999</v>
      </c>
      <c r="F8" s="30">
        <f t="shared" ca="1" si="0"/>
        <v>1090.4757805199999</v>
      </c>
      <c r="G8" s="30">
        <f ca="1">IFERROR(__xludf.DUMMYFUNCTION("XLOOKUP($B8,IMPORTRANGE(""https://docs.google.com/spreadsheets/d/1EjEqG6oc_vmuAWwHnH51YMvSMVUVePUqNn9zZBOmHT8/edit#gid=757525651"",""'Allocation Breakdown'!A4:A187""),IMPORTRANGE(""https://docs.google.com/spreadsheets/d/1EjEqG6oc_vmuAWwHnH51YMvSMVUVePUqNn"&amp;"9zZBOmHT8/edit#gid=757525651"",""'Allocation Breakdown'!D4:D187""))"),20000)</f>
        <v>20000</v>
      </c>
      <c r="H8" s="30">
        <f ca="1">IFERROR(__xludf.DUMMYFUNCTION("XLOOKUP($B8,IMPORTRANGE(""https://docs.google.com/spreadsheets/d/1EjEqG6oc_vmuAWwHnH51YMvSMVUVePUqNn9zZBOmHT8/edit#gid=757525651"",""'Allocation Breakdown'!A4:A187""),IMPORTRANGE(""https://docs.google.com/spreadsheets/d/1EjEqG6oc_vmuAWwHnH51YMvSMVUVePUqNn"&amp;"9zZBOmHT8/edit#gid=757525651"",""'Allocation Breakdown'!E4:E187""))"),23000)</f>
        <v>23000</v>
      </c>
      <c r="I8" s="30">
        <f ca="1">IFERROR(__xludf.DUMMYFUNCTION("XLOOKUP($B8,IMPORTRANGE(""https://docs.google.com/spreadsheets/d/1EjEqG6oc_vmuAWwHnH51YMvSMVUVePUqNn9zZBOmHT8/edit#gid=757525651"",""'Allocation Breakdown'!A4:A187""),IMPORTRANGE(""https://docs.google.com/spreadsheets/d/1EjEqG6oc_vmuAWwHnH51YMvSMVUVePUqNn"&amp;"9zZBOmHT8/edit#gid=757525651"",""'Allocation Breakdown'!F4:F187""))"),72000)</f>
        <v>72000</v>
      </c>
      <c r="J8" s="30">
        <f ca="1">IFERROR(__xludf.DUMMYFUNCTION("XLOOKUP($B8,IMPORTRANGE(""https://docs.google.com/spreadsheets/d/1EjEqG6oc_vmuAWwHnH51YMvSMVUVePUqNn9zZBOmHT8/edit#gid=757525651"",""'Allocation Breakdown'!A4:A187""),IMPORTRANGE(""https://docs.google.com/spreadsheets/d/1EjEqG6oc_vmuAWwHnH51YMvSMVUVePUqNn"&amp;"9zZBOmHT8/edit#gid=757525651"",""'Allocation Breakdown'!G4:G187""))"),30000)</f>
        <v>30000</v>
      </c>
      <c r="K8" s="30">
        <f ca="1">IFERROR(__xludf.DUMMYFUNCTION("XLOOKUP($B8,IMPORTRANGE(""https://docs.google.com/spreadsheets/d/1EjEqG6oc_vmuAWwHnH51YMvSMVUVePUqNn9zZBOmHT8/edit#gid=757525651"",""'Allocation Breakdown'!A4:A187""),IMPORTRANGE(""https://docs.google.com/spreadsheets/d/1EjEqG6oc_vmuAWwHnH51YMvSMVUVePUqNn"&amp;"9zZBOmHT8/edit#gid=757525651"",""'Allocation Breakdown'!I4:I187""))*K$119"),0)</f>
        <v>0</v>
      </c>
      <c r="L8" s="30">
        <f ca="1">IFERROR(__xludf.DUMMYFUNCTION("XLOOKUP($B8,IMPORTRANGE(""https://docs.google.com/spreadsheets/d/1EjEqG6oc_vmuAWwHnH51YMvSMVUVePUqNn9zZBOmHT8/edit#gid=757525651"",""'Allocation Breakdown'!A4:A187""),IMPORTRANGE(""https://docs.google.com/spreadsheets/d/1EjEqG6oc_vmuAWwHnH51YMvSMVUVePUqNn"&amp;"9zZBOmHT8/edit#gid=757525651"",""'Allocation Breakdown'!j4:j187""))*L$119"),14806.168922)</f>
        <v>14806.168922000001</v>
      </c>
      <c r="M8" s="30">
        <f ca="1">IFERROR(__xludf.DUMMYFUNCTION("XLOOKUP($B8,IMPORTRANGE(""https://docs.google.com/spreadsheets/d/1EjEqG6oc_vmuAWwHnH51YMvSMVUVePUqNn9zZBOmHT8/edit#gid=757525651"",""'Allocation Breakdown'!A4:A187""),IMPORTRANGE(""https://docs.google.com/spreadsheets/d/1EjEqG6oc_vmuAWwHnH51YMvSMVUVePUqNn"&amp;"9zZBOmHT8/edit#gid=757525651"",""'Allocation Breakdown'!K4:K187""))*M$119"),14354.490438)</f>
        <v>14354.490438000001</v>
      </c>
      <c r="N8" s="30">
        <f ca="1">IFERROR(__xludf.DUMMYFUNCTION("XLOOKUP($B8,IMPORTRANGE(""https://docs.google.com/spreadsheets/d/1EjEqG6oc_vmuAWwHnH51YMvSMVUVePUqNn9zZBOmHT8/edit#gid=757525651"",""'Allocation Breakdown'!A4:A187""),IMPORTRANGE(""https://docs.google.com/spreadsheets/d/1EjEqG6oc_vmuAWwHnH51YMvSMVUVePUqNn"&amp;"9zZBOmHT8/edit#gid=757525651"",""'Allocation Breakdown'!l4:l187""))*N$119"),3807.4402032)</f>
        <v>3807.4402031999998</v>
      </c>
      <c r="O8" s="30">
        <f ca="1">IFERROR(__xludf.DUMMYFUNCTION("XLOOKUP($B8,IMPORTRANGE(""https://docs.google.com/spreadsheets/d/1EjEqG6oc_vmuAWwHnH51YMvSMVUVePUqNn9zZBOmHT8/edit#gid=757525651"",""'Allocation Breakdown'!A4:A187""),IMPORTRANGE(""https://docs.google.com/spreadsheets/d/1EjEqG6oc_vmuAWwHnH51YMvSMVUVePUqNn"&amp;"9zZBOmHT8/edit#gid=757525651"",""'Allocation Breakdown'!n4:n187""))*O$119"),20000)</f>
        <v>20000</v>
      </c>
      <c r="P8" s="30">
        <f ca="1">IFERROR(__xludf.DUMMYFUNCTION("XLOOKUP($B8,IMPORTRANGE(""https://docs.google.com/spreadsheets/d/1EjEqG6oc_vmuAWwHnH51YMvSMVUVePUqNn9zZBOmHT8/edit#gid=757525651"",""'Allocation Breakdown'!A4:A187""),IMPORTRANGE(""https://docs.google.com/spreadsheets/d/1EjEqG6oc_vmuAWwHnH51YMvSMVUVePUqNn"&amp;"9zZBOmHT8/edit#gid=757525651"",""'Allocation Breakdown'!o4:o187""))*P$119"),17600)</f>
        <v>17600</v>
      </c>
      <c r="Q8" s="30">
        <f ca="1">IFERROR(__xludf.DUMMYFUNCTION("XLOOKUP($B8,IMPORTRANGE(""https://docs.google.com/spreadsheets/d/1EjEqG6oc_vmuAWwHnH51YMvSMVUVePUqNn9zZBOmHT8/edit#gid=757525651"",""'Allocation Breakdown'!A4:A187""),IMPORTRANGE(""https://docs.google.com/spreadsheets/d/1EjEqG6oc_vmuAWwHnH51YMvSMVUVePUqNn"&amp;"9zZBOmHT8/edit#gid=757525651"",""'Allocation Breakdown'!p4:p187""))*Q$119"),8000)</f>
        <v>8000</v>
      </c>
      <c r="R8" s="30">
        <f ca="1">IFERROR(__xludf.DUMMYFUNCTION("XLOOKUP($B8,IMPORTRANGE(""https://docs.google.com/spreadsheets/d/1EjEqG6oc_vmuAWwHnH51YMvSMVUVePUqNn9zZBOmHT8/edit#gid=757525651"",""'Allocation Breakdown'!A4:A187""),IMPORTRANGE(""https://docs.google.com/spreadsheets/d/1EjEqG6oc_vmuAWwHnH51YMvSMVUVePUqNn"&amp;"9zZBOmHT8/edit#gid=757525651"",""'Allocation Breakdown'!q4:q187""))*R$119"),8000)</f>
        <v>8000</v>
      </c>
      <c r="S8" s="30">
        <f ca="1">IFERROR(__xludf.DUMMYFUNCTION("XLOOKUP($B8,IMPORTRANGE(""https://docs.google.com/spreadsheets/d/1EjEqG6oc_vmuAWwHnH51YMvSMVUVePUqNn9zZBOmHT8/edit#gid=757525651"",""'Allocation Breakdown'!A4:A187""),IMPORTRANGE(""https://docs.google.com/spreadsheets/d/1EjEqG6oc_vmuAWwHnH51YMvSMVUVePUqNn"&amp;"9zZBOmHT8/edit#gid=757525651"",""'Allocation Breakdown'!r4:r187""))*S$119"),8000)</f>
        <v>8000</v>
      </c>
      <c r="T8" s="30">
        <f ca="1">IFERROR(__xludf.DUMMYFUNCTION("XLOOKUP($B8,IMPORTRANGE(""https://docs.google.com/spreadsheets/d/1EjEqG6oc_vmuAWwHnH51YMvSMVUVePUqNn9zZBOmHT8/edit#gid=757525651"",""'Allocation Breakdown'!A4:A187""),IMPORTRANGE(""https://docs.google.com/spreadsheets/d/1EjEqG6oc_vmuAWwHnH51YMvSMVUVePUqNn"&amp;"9zZBOmHT8/edit#gid=757525651"",""'Allocation Breakdown'!t4:t187""))*T$119"),28000)</f>
        <v>28000</v>
      </c>
      <c r="U8" s="30">
        <f ca="1">IFERROR(__xludf.DUMMYFUNCTION("XLOOKUP($B8,IMPORTRANGE(""https://docs.google.com/spreadsheets/d/1EjEqG6oc_vmuAWwHnH51YMvSMVUVePUqNn9zZBOmHT8/edit#gid=757525651"",""'Allocation Breakdown'!A4:A187""),IMPORTRANGE(""https://docs.google.com/spreadsheets/d/1EjEqG6oc_vmuAWwHnH51YMvSMVUVePUqNn"&amp;"9zZBOmHT8/edit#gid=757525651"",""'Allocation Breakdown'!U4:U187""))*U$119"),44000)</f>
        <v>44000</v>
      </c>
      <c r="V8" s="31">
        <f t="shared" ca="1" si="1"/>
        <v>311568.09956320003</v>
      </c>
      <c r="W8" s="31">
        <f t="shared" ca="1" si="2"/>
        <v>315768.09956320003</v>
      </c>
      <c r="Z8" s="32"/>
      <c r="AA8" s="32"/>
      <c r="AB8" s="32"/>
    </row>
    <row r="9" spans="1:28">
      <c r="B9" s="28" t="s">
        <v>104</v>
      </c>
      <c r="C9" s="30">
        <f ca="1">IFERROR(__xludf.DUMMYFUNCTION("XLOOKUP($B9,IMPORTRANGE(""https://docs.google.com/spreadsheets/d/1EjEqG6oc_vmuAWwHnH51YMvSMVUVePUqNn9zZBOmHT8/edit#gid=757525651"",""'Allocation Breakdown'!A4:A187""),IMPORTRANGE(""https://docs.google.com/spreadsheets/d/1EjEqG6oc_vmuAWwHnH51YMvSMVUVePUqNn"&amp;"9zZBOmHT8/edit#gid=757525651"",""'Allocation Breakdown'!V4:V187""))*C$119"),0)</f>
        <v>0</v>
      </c>
      <c r="D9" s="30">
        <f ca="1">IFERROR(__xludf.DUMMYFUNCTION("XLOOKUP($B9,IMPORTRANGE(""https://docs.google.com/spreadsheets/d/1EjEqG6oc_vmuAWwHnH51YMvSMVUVePUqNn9zZBOmHT8/edit#gid=757525651"",""'Allocation Breakdown'!A4:A187""),IMPORTRANGE(""https://docs.google.com/spreadsheets/d/1EjEqG6oc_vmuAWwHnH51YMvSMVUVePUqNn"&amp;"9zZBOmHT8/edit#gid=757525651"",""'Allocation Breakdown'!I4:I187""))*$D$119"),7112.7958416655)</f>
        <v>7112.7958416655001</v>
      </c>
      <c r="E9" s="30">
        <f ca="1">IFERROR(__xludf.DUMMYFUNCTION("XLOOKUP($B9,IMPORTRANGE(""https://docs.google.com/spreadsheets/d/1EjEqG6oc_vmuAWwHnH51YMvSMVUVePUqNn9zZBOmHT8/edit#gid=757525651"",""'Allocation Breakdown'!A4:A187""),IMPORTRANGE(""https://docs.google.com/spreadsheets/d/1EjEqG6oc_vmuAWwHnH51YMvSMVUVePUqNn"&amp;"9zZBOmHT8/edit#gid=757525651"",""'Allocation Breakdown'!V4:V187""))*E$119"),0)</f>
        <v>0</v>
      </c>
      <c r="F9" s="30">
        <f t="shared" ca="1" si="0"/>
        <v>7112.7958416655001</v>
      </c>
      <c r="G9" s="30" t="str">
        <f ca="1">IFERROR(__xludf.DUMMYFUNCTION("XLOOKUP($B9,IMPORTRANGE(""https://docs.google.com/spreadsheets/d/1EjEqG6oc_vmuAWwHnH51YMvSMVUVePUqNn9zZBOmHT8/edit#gid=757525651"",""'Allocation Breakdown'!A4:A187""),IMPORTRANGE(""https://docs.google.com/spreadsheets/d/1EjEqG6oc_vmuAWwHnH51YMvSMVUVePUqNn"&amp;"9zZBOmHT8/edit#gid=757525651"",""'Allocation Breakdown'!D4:D187""))"),"")</f>
        <v/>
      </c>
      <c r="H9" s="30" t="str">
        <f ca="1">IFERROR(__xludf.DUMMYFUNCTION("XLOOKUP($B9,IMPORTRANGE(""https://docs.google.com/spreadsheets/d/1EjEqG6oc_vmuAWwHnH51YMvSMVUVePUqNn9zZBOmHT8/edit#gid=757525651"",""'Allocation Breakdown'!A4:A187""),IMPORTRANGE(""https://docs.google.com/spreadsheets/d/1EjEqG6oc_vmuAWwHnH51YMvSMVUVePUqNn"&amp;"9zZBOmHT8/edit#gid=757525651"",""'Allocation Breakdown'!E4:E187""))"),"")</f>
        <v/>
      </c>
      <c r="I9" s="30">
        <f ca="1">IFERROR(__xludf.DUMMYFUNCTION("XLOOKUP($B9,IMPORTRANGE(""https://docs.google.com/spreadsheets/d/1EjEqG6oc_vmuAWwHnH51YMvSMVUVePUqNn9zZBOmHT8/edit#gid=757525651"",""'Allocation Breakdown'!A4:A187""),IMPORTRANGE(""https://docs.google.com/spreadsheets/d/1EjEqG6oc_vmuAWwHnH51YMvSMVUVePUqNn"&amp;"9zZBOmHT8/edit#gid=757525651"",""'Allocation Breakdown'!F4:F187""))"),1800)</f>
        <v>1800</v>
      </c>
      <c r="J9" s="30">
        <f ca="1">IFERROR(__xludf.DUMMYFUNCTION("XLOOKUP($B9,IMPORTRANGE(""https://docs.google.com/spreadsheets/d/1EjEqG6oc_vmuAWwHnH51YMvSMVUVePUqNn9zZBOmHT8/edit#gid=757525651"",""'Allocation Breakdown'!A4:A187""),IMPORTRANGE(""https://docs.google.com/spreadsheets/d/1EjEqG6oc_vmuAWwHnH51YMvSMVUVePUqNn"&amp;"9zZBOmHT8/edit#gid=757525651"",""'Allocation Breakdown'!G4:G187""))"),5000)</f>
        <v>5000</v>
      </c>
      <c r="K9" s="30">
        <f ca="1">IFERROR(__xludf.DUMMYFUNCTION("XLOOKUP($B9,IMPORTRANGE(""https://docs.google.com/spreadsheets/d/1EjEqG6oc_vmuAWwHnH51YMvSMVUVePUqNn9zZBOmHT8/edit#gid=757525651"",""'Allocation Breakdown'!A4:A187""),IMPORTRANGE(""https://docs.google.com/spreadsheets/d/1EjEqG6oc_vmuAWwHnH51YMvSMVUVePUqNn"&amp;"9zZBOmHT8/edit#gid=757525651"",""'Allocation Breakdown'!I4:I187""))*K$119"),624.9384636)</f>
        <v>624.93846359999998</v>
      </c>
      <c r="L9" s="30">
        <f ca="1">IFERROR(__xludf.DUMMYFUNCTION("XLOOKUP($B9,IMPORTRANGE(""https://docs.google.com/spreadsheets/d/1EjEqG6oc_vmuAWwHnH51YMvSMVUVePUqNn9zZBOmHT8/edit#gid=757525651"",""'Allocation Breakdown'!A4:A187""),IMPORTRANGE(""https://docs.google.com/spreadsheets/d/1EjEqG6oc_vmuAWwHnH51YMvSMVUVePUqNn"&amp;"9zZBOmHT8/edit#gid=757525651"",""'Allocation Breakdown'!j4:j187""))*L$119"),3701.5422305)</f>
        <v>3701.5422305000002</v>
      </c>
      <c r="M9" s="30">
        <f ca="1">IFERROR(__xludf.DUMMYFUNCTION("XLOOKUP($B9,IMPORTRANGE(""https://docs.google.com/spreadsheets/d/1EjEqG6oc_vmuAWwHnH51YMvSMVUVePUqNn9zZBOmHT8/edit#gid=757525651"",""'Allocation Breakdown'!A4:A187""),IMPORTRANGE(""https://docs.google.com/spreadsheets/d/1EjEqG6oc_vmuAWwHnH51YMvSMVUVePUqNn"&amp;"9zZBOmHT8/edit#gid=757525651"",""'Allocation Breakdown'!K4:K187""))*M$119"),3588.6226095)</f>
        <v>3588.6226095000002</v>
      </c>
      <c r="N9" s="30">
        <f ca="1">IFERROR(__xludf.DUMMYFUNCTION("XLOOKUP($B9,IMPORTRANGE(""https://docs.google.com/spreadsheets/d/1EjEqG6oc_vmuAWwHnH51YMvSMVUVePUqNn9zZBOmHT8/edit#gid=757525651"",""'Allocation Breakdown'!A4:A187""),IMPORTRANGE(""https://docs.google.com/spreadsheets/d/1EjEqG6oc_vmuAWwHnH51YMvSMVUVePUqNn"&amp;"9zZBOmHT8/edit#gid=757525651"",""'Allocation Breakdown'!l4:l187""))*N$119"),951.8600508)</f>
        <v>951.86005079999995</v>
      </c>
      <c r="O9" s="30">
        <f ca="1">IFERROR(__xludf.DUMMYFUNCTION("XLOOKUP($B9,IMPORTRANGE(""https://docs.google.com/spreadsheets/d/1EjEqG6oc_vmuAWwHnH51YMvSMVUVePUqNn9zZBOmHT8/edit#gid=757525651"",""'Allocation Breakdown'!A4:A187""),IMPORTRANGE(""https://docs.google.com/spreadsheets/d/1EjEqG6oc_vmuAWwHnH51YMvSMVUVePUqNn"&amp;"9zZBOmHT8/edit#gid=757525651"",""'Allocation Breakdown'!n4:n187""))*O$119"),0)</f>
        <v>0</v>
      </c>
      <c r="P9" s="30">
        <f ca="1">IFERROR(__xludf.DUMMYFUNCTION("XLOOKUP($B9,IMPORTRANGE(""https://docs.google.com/spreadsheets/d/1EjEqG6oc_vmuAWwHnH51YMvSMVUVePUqNn9zZBOmHT8/edit#gid=757525651"",""'Allocation Breakdown'!A4:A187""),IMPORTRANGE(""https://docs.google.com/spreadsheets/d/1EjEqG6oc_vmuAWwHnH51YMvSMVUVePUqNn"&amp;"9zZBOmHT8/edit#gid=757525651"",""'Allocation Breakdown'!o4:o187""))*P$119"),3000)</f>
        <v>3000</v>
      </c>
      <c r="Q9" s="30">
        <f ca="1">IFERROR(__xludf.DUMMYFUNCTION("XLOOKUP($B9,IMPORTRANGE(""https://docs.google.com/spreadsheets/d/1EjEqG6oc_vmuAWwHnH51YMvSMVUVePUqNn9zZBOmHT8/edit#gid=757525651"",""'Allocation Breakdown'!A4:A187""),IMPORTRANGE(""https://docs.google.com/spreadsheets/d/1EjEqG6oc_vmuAWwHnH51YMvSMVUVePUqNn"&amp;"9zZBOmHT8/edit#gid=757525651"",""'Allocation Breakdown'!p4:p187""))*Q$119"),0)</f>
        <v>0</v>
      </c>
      <c r="R9" s="30">
        <f ca="1">IFERROR(__xludf.DUMMYFUNCTION("XLOOKUP($B9,IMPORTRANGE(""https://docs.google.com/spreadsheets/d/1EjEqG6oc_vmuAWwHnH51YMvSMVUVePUqNn9zZBOmHT8/edit#gid=757525651"",""'Allocation Breakdown'!A4:A187""),IMPORTRANGE(""https://docs.google.com/spreadsheets/d/1EjEqG6oc_vmuAWwHnH51YMvSMVUVePUqNn"&amp;"9zZBOmHT8/edit#gid=757525651"",""'Allocation Breakdown'!q4:q187""))*R$119"),0)</f>
        <v>0</v>
      </c>
      <c r="S9" s="30">
        <f ca="1">IFERROR(__xludf.DUMMYFUNCTION("XLOOKUP($B9,IMPORTRANGE(""https://docs.google.com/spreadsheets/d/1EjEqG6oc_vmuAWwHnH51YMvSMVUVePUqNn9zZBOmHT8/edit#gid=757525651"",""'Allocation Breakdown'!A4:A187""),IMPORTRANGE(""https://docs.google.com/spreadsheets/d/1EjEqG6oc_vmuAWwHnH51YMvSMVUVePUqNn"&amp;"9zZBOmHT8/edit#gid=757525651"",""'Allocation Breakdown'!r4:r187""))*S$119"),0)</f>
        <v>0</v>
      </c>
      <c r="T9" s="30">
        <f ca="1">IFERROR(__xludf.DUMMYFUNCTION("XLOOKUP($B9,IMPORTRANGE(""https://docs.google.com/spreadsheets/d/1EjEqG6oc_vmuAWwHnH51YMvSMVUVePUqNn9zZBOmHT8/edit#gid=757525651"",""'Allocation Breakdown'!A4:A187""),IMPORTRANGE(""https://docs.google.com/spreadsheets/d/1EjEqG6oc_vmuAWwHnH51YMvSMVUVePUqNn"&amp;"9zZBOmHT8/edit#gid=757525651"",""'Allocation Breakdown'!t4:t187""))*T$119"),7000)</f>
        <v>7000</v>
      </c>
      <c r="U9" s="30">
        <f ca="1">IFERROR(__xludf.DUMMYFUNCTION("XLOOKUP($B9,IMPORTRANGE(""https://docs.google.com/spreadsheets/d/1EjEqG6oc_vmuAWwHnH51YMvSMVUVePUqNn9zZBOmHT8/edit#gid=757525651"",""'Allocation Breakdown'!A4:A187""),IMPORTRANGE(""https://docs.google.com/spreadsheets/d/1EjEqG6oc_vmuAWwHnH51YMvSMVUVePUqNn"&amp;"9zZBOmHT8/edit#gid=757525651"",""'Allocation Breakdown'!U4:U187""))*U$119"),11000)</f>
        <v>11000</v>
      </c>
      <c r="V9" s="31">
        <f t="shared" ca="1" si="1"/>
        <v>36666.963354399995</v>
      </c>
      <c r="W9" s="31">
        <f t="shared" ca="1" si="2"/>
        <v>43779.759196065497</v>
      </c>
      <c r="Z9" s="32"/>
      <c r="AA9" s="32"/>
      <c r="AB9" s="32"/>
    </row>
    <row r="10" spans="1:28" ht="15.75" customHeight="1">
      <c r="A10" s="25"/>
      <c r="B10" s="28" t="s">
        <v>105</v>
      </c>
      <c r="C10" s="30">
        <f ca="1">IFERROR(__xludf.DUMMYFUNCTION("XLOOKUP($B10,IMPORTRANGE(""https://docs.google.com/spreadsheets/d/1EjEqG6oc_vmuAWwHnH51YMvSMVUVePUqNn9zZBOmHT8/edit#gid=757525651"",""'Allocation Breakdown'!A4:A187""),IMPORTRANGE(""https://docs.google.com/spreadsheets/d/1EjEqG6oc_vmuAWwHnH51YMvSMVUVePUqN"&amp;"n9zZBOmHT8/edit#gid=757525651"",""'Allocation Breakdown'!V4:V187""))*C$119"),4664.28632922)</f>
        <v>4664.28632922</v>
      </c>
      <c r="D10" s="30">
        <f ca="1">IFERROR(__xludf.DUMMYFUNCTION("XLOOKUP($B10,IMPORTRANGE(""https://docs.google.com/spreadsheets/d/1EjEqG6oc_vmuAWwHnH51YMvSMVUVePUqNn9zZBOmHT8/edit#gid=757525651"",""'Allocation Breakdown'!A4:A187""),IMPORTRANGE(""https://docs.google.com/spreadsheets/d/1EjEqG6oc_vmuAWwHnH51YMvSMVUVePUqN"&amp;"n9zZBOmHT8/edit#gid=757525651"",""'Allocation Breakdown'!I4:I187""))*$D$119"),64015.1625749895)</f>
        <v>64015.162574989503</v>
      </c>
      <c r="E10" s="30">
        <f ca="1">IFERROR(__xludf.DUMMYFUNCTION("XLOOKUP($B10,IMPORTRANGE(""https://docs.google.com/spreadsheets/d/1EjEqG6oc_vmuAWwHnH51YMvSMVUVePUqNn9zZBOmHT8/edit#gid=757525651"",""'Allocation Breakdown'!A4:A187""),IMPORTRANGE(""https://docs.google.com/spreadsheets/d/1EjEqG6oc_vmuAWwHnH51YMvSMVUVePUqN"&amp;"n9zZBOmHT8/edit#gid=757525651"",""'Allocation Breakdown'!V4:V187""))*E$119"),1635.71367078)</f>
        <v>1635.71367078</v>
      </c>
      <c r="F10" s="30">
        <f t="shared" ca="1" si="0"/>
        <v>65650.876245769497</v>
      </c>
      <c r="G10" s="30">
        <f ca="1">IFERROR(__xludf.DUMMYFUNCTION("XLOOKUP($B10,IMPORTRANGE(""https://docs.google.com/spreadsheets/d/1EjEqG6oc_vmuAWwHnH51YMvSMVUVePUqNn9zZBOmHT8/edit#gid=757525651"",""'Allocation Breakdown'!A4:A187""),IMPORTRANGE(""https://docs.google.com/spreadsheets/d/1EjEqG6oc_vmuAWwHnH51YMvSMVUVePUqN"&amp;"n9zZBOmHT8/edit#gid=757525651"",""'Allocation Breakdown'!D4:D187""))"),45000)</f>
        <v>45000</v>
      </c>
      <c r="H10" s="30">
        <f ca="1">IFERROR(__xludf.DUMMYFUNCTION("XLOOKUP($B10,IMPORTRANGE(""https://docs.google.com/spreadsheets/d/1EjEqG6oc_vmuAWwHnH51YMvSMVUVePUqNn9zZBOmHT8/edit#gid=757525651"",""'Allocation Breakdown'!A4:A187""),IMPORTRANGE(""https://docs.google.com/spreadsheets/d/1EjEqG6oc_vmuAWwHnH51YMvSMVUVePUqN"&amp;"n9zZBOmHT8/edit#gid=757525651"",""'Allocation Breakdown'!E4:E187""))"),713645)</f>
        <v>713645</v>
      </c>
      <c r="I10" s="30">
        <f ca="1">IFERROR(__xludf.DUMMYFUNCTION("XLOOKUP($B10,IMPORTRANGE(""https://docs.google.com/spreadsheets/d/1EjEqG6oc_vmuAWwHnH51YMvSMVUVePUqNn9zZBOmHT8/edit#gid=757525651"",""'Allocation Breakdown'!A4:A187""),IMPORTRANGE(""https://docs.google.com/spreadsheets/d/1EjEqG6oc_vmuAWwHnH51YMvSMVUVePUqN"&amp;"n9zZBOmHT8/edit#gid=757525651"",""'Allocation Breakdown'!F4:F187""))"),145000)</f>
        <v>145000</v>
      </c>
      <c r="J10" s="30">
        <f ca="1">IFERROR(__xludf.DUMMYFUNCTION("XLOOKUP($B10,IMPORTRANGE(""https://docs.google.com/spreadsheets/d/1EjEqG6oc_vmuAWwHnH51YMvSMVUVePUqNn9zZBOmHT8/edit#gid=757525651"",""'Allocation Breakdown'!A4:A187""),IMPORTRANGE(""https://docs.google.com/spreadsheets/d/1EjEqG6oc_vmuAWwHnH51YMvSMVUVePUqN"&amp;"n9zZBOmHT8/edit#gid=757525651"",""'Allocation Breakdown'!G4:G187""))"),82575)</f>
        <v>82575</v>
      </c>
      <c r="K10" s="30">
        <f ca="1">IFERROR(__xludf.DUMMYFUNCTION("XLOOKUP($B10,IMPORTRANGE(""https://docs.google.com/spreadsheets/d/1EjEqG6oc_vmuAWwHnH51YMvSMVUVePUqNn9zZBOmHT8/edit#gid=757525651"",""'Allocation Breakdown'!A4:A187""),IMPORTRANGE(""https://docs.google.com/spreadsheets/d/1EjEqG6oc_vmuAWwHnH51YMvSMVUVePUqN"&amp;"n9zZBOmHT8/edit#gid=757525651"",""'Allocation Breakdown'!I4:I187""))*K$119"),5624.4461724)</f>
        <v>5624.4461724000003</v>
      </c>
      <c r="L10" s="30">
        <f ca="1">IFERROR(__xludf.DUMMYFUNCTION("XLOOKUP($B10,IMPORTRANGE(""https://docs.google.com/spreadsheets/d/1EjEqG6oc_vmuAWwHnH51YMvSMVUVePUqNn9zZBOmHT8/edit#gid=757525651"",""'Allocation Breakdown'!A4:A187""),IMPORTRANGE(""https://docs.google.com/spreadsheets/d/1EjEqG6oc_vmuAWwHnH51YMvSMVUVePUqN"&amp;"n9zZBOmHT8/edit#gid=757525651"",""'Allocation Breakdown'!j4:j187""))*L$119"),33313.8800745)</f>
        <v>33313.880074499997</v>
      </c>
      <c r="M10" s="30">
        <f ca="1">IFERROR(__xludf.DUMMYFUNCTION("XLOOKUP($B10,IMPORTRANGE(""https://docs.google.com/spreadsheets/d/1EjEqG6oc_vmuAWwHnH51YMvSMVUVePUqNn9zZBOmHT8/edit#gid=757525651"",""'Allocation Breakdown'!A4:A187""),IMPORTRANGE(""https://docs.google.com/spreadsheets/d/1EjEqG6oc_vmuAWwHnH51YMvSMVUVePUqN"&amp;"n9zZBOmHT8/edit#gid=757525651"",""'Allocation Breakdown'!K4:K187""))*M$119"),32297.6034855)</f>
        <v>32297.6034855</v>
      </c>
      <c r="N10" s="30">
        <f ca="1">IFERROR(__xludf.DUMMYFUNCTION("XLOOKUP($B10,IMPORTRANGE(""https://docs.google.com/spreadsheets/d/1EjEqG6oc_vmuAWwHnH51YMvSMVUVePUqNn9zZBOmHT8/edit#gid=757525651"",""'Allocation Breakdown'!A4:A187""),IMPORTRANGE(""https://docs.google.com/spreadsheets/d/1EjEqG6oc_vmuAWwHnH51YMvSMVUVePUqN"&amp;"n9zZBOmHT8/edit#gid=757525651"",""'Allocation Breakdown'!l4:l187""))*N$119"),8566.7404572)</f>
        <v>8566.7404571999996</v>
      </c>
      <c r="O10" s="30">
        <f ca="1">IFERROR(__xludf.DUMMYFUNCTION("XLOOKUP($B10,IMPORTRANGE(""https://docs.google.com/spreadsheets/d/1EjEqG6oc_vmuAWwHnH51YMvSMVUVePUqNn9zZBOmHT8/edit#gid=757525651"",""'Allocation Breakdown'!A4:A187""),IMPORTRANGE(""https://docs.google.com/spreadsheets/d/1EjEqG6oc_vmuAWwHnH51YMvSMVUVePUqN"&amp;"n9zZBOmHT8/edit#gid=757525651"",""'Allocation Breakdown'!n4:n187""))*O$119"),100000)</f>
        <v>100000</v>
      </c>
      <c r="P10" s="30">
        <f ca="1">IFERROR(__xludf.DUMMYFUNCTION("XLOOKUP($B10,IMPORTRANGE(""https://docs.google.com/spreadsheets/d/1EjEqG6oc_vmuAWwHnH51YMvSMVUVePUqNn9zZBOmHT8/edit#gid=757525651"",""'Allocation Breakdown'!A4:A187""),IMPORTRANGE(""https://docs.google.com/spreadsheets/d/1EjEqG6oc_vmuAWwHnH51YMvSMVUVePUqN"&amp;"n9zZBOmHT8/edit#gid=757525651"",""'Allocation Breakdown'!o4:o187""))*P$119"),39600)</f>
        <v>39600</v>
      </c>
      <c r="Q10" s="30">
        <f ca="1">IFERROR(__xludf.DUMMYFUNCTION("XLOOKUP($B10,IMPORTRANGE(""https://docs.google.com/spreadsheets/d/1EjEqG6oc_vmuAWwHnH51YMvSMVUVePUqNn9zZBOmHT8/edit#gid=757525651"",""'Allocation Breakdown'!A4:A187""),IMPORTRANGE(""https://docs.google.com/spreadsheets/d/1EjEqG6oc_vmuAWwHnH51YMvSMVUVePUqN"&amp;"n9zZBOmHT8/edit#gid=757525651"",""'Allocation Breakdown'!p4:p187""))*Q$119"),10000)</f>
        <v>10000</v>
      </c>
      <c r="R10" s="30">
        <f ca="1">IFERROR(__xludf.DUMMYFUNCTION("XLOOKUP($B10,IMPORTRANGE(""https://docs.google.com/spreadsheets/d/1EjEqG6oc_vmuAWwHnH51YMvSMVUVePUqNn9zZBOmHT8/edit#gid=757525651"",""'Allocation Breakdown'!A4:A187""),IMPORTRANGE(""https://docs.google.com/spreadsheets/d/1EjEqG6oc_vmuAWwHnH51YMvSMVUVePUqN"&amp;"n9zZBOmHT8/edit#gid=757525651"",""'Allocation Breakdown'!q4:q187""))*R$119"),18000)</f>
        <v>18000</v>
      </c>
      <c r="S10" s="30">
        <f ca="1">IFERROR(__xludf.DUMMYFUNCTION("XLOOKUP($B10,IMPORTRANGE(""https://docs.google.com/spreadsheets/d/1EjEqG6oc_vmuAWwHnH51YMvSMVUVePUqNn9zZBOmHT8/edit#gid=757525651"",""'Allocation Breakdown'!A4:A187""),IMPORTRANGE(""https://docs.google.com/spreadsheets/d/1EjEqG6oc_vmuAWwHnH51YMvSMVUVePUqN"&amp;"n9zZBOmHT8/edit#gid=757525651"",""'Allocation Breakdown'!r4:r187""))*S$119"),0)</f>
        <v>0</v>
      </c>
      <c r="T10" s="30">
        <f ca="1">IFERROR(__xludf.DUMMYFUNCTION("XLOOKUP($B10,IMPORTRANGE(""https://docs.google.com/spreadsheets/d/1EjEqG6oc_vmuAWwHnH51YMvSMVUVePUqNn9zZBOmHT8/edit#gid=757525651"",""'Allocation Breakdown'!A4:A187""),IMPORTRANGE(""https://docs.google.com/spreadsheets/d/1EjEqG6oc_vmuAWwHnH51YMvSMVUVePUqN"&amp;"n9zZBOmHT8/edit#gid=757525651"",""'Allocation Breakdown'!t4:t187""))*T$119"),63000)</f>
        <v>63000</v>
      </c>
      <c r="U10" s="30">
        <f ca="1">IFERROR(__xludf.DUMMYFUNCTION("XLOOKUP($B10,IMPORTRANGE(""https://docs.google.com/spreadsheets/d/1EjEqG6oc_vmuAWwHnH51YMvSMVUVePUqNn9zZBOmHT8/edit#gid=757525651"",""'Allocation Breakdown'!A4:A187""),IMPORTRANGE(""https://docs.google.com/spreadsheets/d/1EjEqG6oc_vmuAWwHnH51YMvSMVUVePUqN"&amp;"n9zZBOmHT8/edit#gid=757525651"",""'Allocation Breakdown'!U4:U187""))*U$119"),99000)</f>
        <v>99000</v>
      </c>
      <c r="V10" s="31">
        <f t="shared" ca="1" si="1"/>
        <v>1395622.6701896</v>
      </c>
      <c r="W10" s="31">
        <f t="shared" ca="1" si="2"/>
        <v>1465937.8327645895</v>
      </c>
      <c r="Z10" s="32"/>
      <c r="AA10" s="32"/>
      <c r="AB10" s="32"/>
    </row>
    <row r="11" spans="1:28" ht="15.75" customHeight="1">
      <c r="A11" s="25"/>
      <c r="B11" s="28" t="s">
        <v>106</v>
      </c>
      <c r="C11" s="30">
        <f ca="1">IFERROR(__xludf.DUMMYFUNCTION("XLOOKUP($B11,IMPORTRANGE(""https://docs.google.com/spreadsheets/d/1EjEqG6oc_vmuAWwHnH51YMvSMVUVePUqNn9zZBOmHT8/edit#gid=757525651"",""'Allocation Breakdown'!A4:A187""),IMPORTRANGE(""https://docs.google.com/spreadsheets/d/1EjEqG6oc_vmuAWwHnH51YMvSMVUVePUqN"&amp;"n9zZBOmHT8/edit#gid=757525651"",""'Allocation Breakdown'!V4:V187""))*C$119"),20211.9074266199)</f>
        <v>20211.907426619899</v>
      </c>
      <c r="D11" s="30">
        <f ca="1">IFERROR(__xludf.DUMMYFUNCTION("XLOOKUP($B11,IMPORTRANGE(""https://docs.google.com/spreadsheets/d/1EjEqG6oc_vmuAWwHnH51YMvSMVUVePUqNn9zZBOmHT8/edit#gid=757525651"",""'Allocation Breakdown'!A4:A187""),IMPORTRANGE(""https://docs.google.com/spreadsheets/d/1EjEqG6oc_vmuAWwHnH51YMvSMVUVePUqN"&amp;"n9zZBOmHT8/edit#gid=757525651"",""'Allocation Breakdown'!I4:I187""))*$D$119"),213383.875249965)</f>
        <v>213383.875249965</v>
      </c>
      <c r="E11" s="30">
        <f ca="1">IFERROR(__xludf.DUMMYFUNCTION("XLOOKUP($B11,IMPORTRANGE(""https://docs.google.com/spreadsheets/d/1EjEqG6oc_vmuAWwHnH51YMvSMVUVePUqNn9zZBOmHT8/edit#gid=757525651"",""'Allocation Breakdown'!A4:A187""),IMPORTRANGE(""https://docs.google.com/spreadsheets/d/1EjEqG6oc_vmuAWwHnH51YMvSMVUVePUqN"&amp;"n9zZBOmHT8/edit#gid=757525651"",""'Allocation Breakdown'!V4:V187""))*E$119"),7088.09257338)</f>
        <v>7088.0925733800004</v>
      </c>
      <c r="F11" s="30">
        <f t="shared" ca="1" si="0"/>
        <v>220471.96782334501</v>
      </c>
      <c r="G11" s="30">
        <f ca="1">IFERROR(__xludf.DUMMYFUNCTION("XLOOKUP($B11,IMPORTRANGE(""https://docs.google.com/spreadsheets/d/1EjEqG6oc_vmuAWwHnH51YMvSMVUVePUqNn9zZBOmHT8/edit#gid=757525651"",""'Allocation Breakdown'!A4:A187""),IMPORTRANGE(""https://docs.google.com/spreadsheets/d/1EjEqG6oc_vmuAWwHnH51YMvSMVUVePUqN"&amp;"n9zZBOmHT8/edit#gid=757525651"",""'Allocation Breakdown'!D4:D187""))"),30000)</f>
        <v>30000</v>
      </c>
      <c r="H11" s="30">
        <f ca="1">IFERROR(__xludf.DUMMYFUNCTION("XLOOKUP($B11,IMPORTRANGE(""https://docs.google.com/spreadsheets/d/1EjEqG6oc_vmuAWwHnH51YMvSMVUVePUqNn9zZBOmHT8/edit#gid=757525651"",""'Allocation Breakdown'!A4:A187""),IMPORTRANGE(""https://docs.google.com/spreadsheets/d/1EjEqG6oc_vmuAWwHnH51YMvSMVUVePUqN"&amp;"n9zZBOmHT8/edit#gid=757525651"",""'Allocation Breakdown'!E4:E187""))"),20000)</f>
        <v>20000</v>
      </c>
      <c r="I11" s="30">
        <f ca="1">IFERROR(__xludf.DUMMYFUNCTION("XLOOKUP($B11,IMPORTRANGE(""https://docs.google.com/spreadsheets/d/1EjEqG6oc_vmuAWwHnH51YMvSMVUVePUqNn9zZBOmHT8/edit#gid=757525651"",""'Allocation Breakdown'!A4:A187""),IMPORTRANGE(""https://docs.google.com/spreadsheets/d/1EjEqG6oc_vmuAWwHnH51YMvSMVUVePUqN"&amp;"n9zZBOmHT8/edit#gid=757525651"",""'Allocation Breakdown'!F4:F187""))"),121000)</f>
        <v>121000</v>
      </c>
      <c r="J11" s="30" t="str">
        <f ca="1">IFERROR(__xludf.DUMMYFUNCTION("XLOOKUP($B11,IMPORTRANGE(""https://docs.google.com/spreadsheets/d/1EjEqG6oc_vmuAWwHnH51YMvSMVUVePUqNn9zZBOmHT8/edit#gid=757525651"",""'Allocation Breakdown'!A4:A187""),IMPORTRANGE(""https://docs.google.com/spreadsheets/d/1EjEqG6oc_vmuAWwHnH51YMvSMVUVePUqN"&amp;"n9zZBOmHT8/edit#gid=757525651"",""'Allocation Breakdown'!G4:G187""))"),"")</f>
        <v/>
      </c>
      <c r="K11" s="30">
        <f ca="1">IFERROR(__xludf.DUMMYFUNCTION("XLOOKUP($B11,IMPORTRANGE(""https://docs.google.com/spreadsheets/d/1EjEqG6oc_vmuAWwHnH51YMvSMVUVePUqNn9zZBOmHT8/edit#gid=757525651"",""'Allocation Breakdown'!A4:A187""),IMPORTRANGE(""https://docs.google.com/spreadsheets/d/1EjEqG6oc_vmuAWwHnH51YMvSMVUVePUqN"&amp;"n9zZBOmHT8/edit#gid=757525651"",""'Allocation Breakdown'!I4:I187""))*K$119"),18748.153908)</f>
        <v>18748.153908</v>
      </c>
      <c r="L11" s="30">
        <f ca="1">IFERROR(__xludf.DUMMYFUNCTION("XLOOKUP($B11,IMPORTRANGE(""https://docs.google.com/spreadsheets/d/1EjEqG6oc_vmuAWwHnH51YMvSMVUVePUqNn9zZBOmHT8/edit#gid=757525651"",""'Allocation Breakdown'!A4:A187""),IMPORTRANGE(""https://docs.google.com/spreadsheets/d/1EjEqG6oc_vmuAWwHnH51YMvSMVUVePUqN"&amp;"n9zZBOmHT8/edit#gid=757525651"",""'Allocation Breakdown'!j4:j187""))*L$119"),111046.266915)</f>
        <v>111046.266915</v>
      </c>
      <c r="M11" s="30">
        <f ca="1">IFERROR(__xludf.DUMMYFUNCTION("XLOOKUP($B11,IMPORTRANGE(""https://docs.google.com/spreadsheets/d/1EjEqG6oc_vmuAWwHnH51YMvSMVUVePUqNn9zZBOmHT8/edit#gid=757525651"",""'Allocation Breakdown'!A4:A187""),IMPORTRANGE(""https://docs.google.com/spreadsheets/d/1EjEqG6oc_vmuAWwHnH51YMvSMVUVePUqN"&amp;"n9zZBOmHT8/edit#gid=757525651"",""'Allocation Breakdown'!K4:K187""))*M$119"),107658.678285)</f>
        <v>107658.678285</v>
      </c>
      <c r="N11" s="30">
        <f ca="1">IFERROR(__xludf.DUMMYFUNCTION("XLOOKUP($B11,IMPORTRANGE(""https://docs.google.com/spreadsheets/d/1EjEqG6oc_vmuAWwHnH51YMvSMVUVePUqNn9zZBOmHT8/edit#gid=757525651"",""'Allocation Breakdown'!A4:A187""),IMPORTRANGE(""https://docs.google.com/spreadsheets/d/1EjEqG6oc_vmuAWwHnH51YMvSMVUVePUqN"&amp;"n9zZBOmHT8/edit#gid=757525651"",""'Allocation Breakdown'!l4:l187""))*N$119"),0)</f>
        <v>0</v>
      </c>
      <c r="O11" s="30">
        <f ca="1">IFERROR(__xludf.DUMMYFUNCTION("XLOOKUP($B11,IMPORTRANGE(""https://docs.google.com/spreadsheets/d/1EjEqG6oc_vmuAWwHnH51YMvSMVUVePUqNn9zZBOmHT8/edit#gid=757525651"",""'Allocation Breakdown'!A4:A187""),IMPORTRANGE(""https://docs.google.com/spreadsheets/d/1EjEqG6oc_vmuAWwHnH51YMvSMVUVePUqN"&amp;"n9zZBOmHT8/edit#gid=757525651"",""'Allocation Breakdown'!n4:n187""))*O$119"),0)</f>
        <v>0</v>
      </c>
      <c r="P11" s="30">
        <f ca="1">IFERROR(__xludf.DUMMYFUNCTION("XLOOKUP($B11,IMPORTRANGE(""https://docs.google.com/spreadsheets/d/1EjEqG6oc_vmuAWwHnH51YMvSMVUVePUqNn9zZBOmHT8/edit#gid=757525651"",""'Allocation Breakdown'!A4:A187""),IMPORTRANGE(""https://docs.google.com/spreadsheets/d/1EjEqG6oc_vmuAWwHnH51YMvSMVUVePUqN"&amp;"n9zZBOmHT8/edit#gid=757525651"",""'Allocation Breakdown'!o4:o187""))*P$119"),24200)</f>
        <v>24200</v>
      </c>
      <c r="Q11" s="30">
        <f ca="1">IFERROR(__xludf.DUMMYFUNCTION("XLOOKUP($B11,IMPORTRANGE(""https://docs.google.com/spreadsheets/d/1EjEqG6oc_vmuAWwHnH51YMvSMVUVePUqNn9zZBOmHT8/edit#gid=757525651"",""'Allocation Breakdown'!A4:A187""),IMPORTRANGE(""https://docs.google.com/spreadsheets/d/1EjEqG6oc_vmuAWwHnH51YMvSMVUVePUqN"&amp;"n9zZBOmHT8/edit#gid=757525651"",""'Allocation Breakdown'!p4:p187""))*Q$119"),29000)</f>
        <v>29000</v>
      </c>
      <c r="R11" s="30">
        <f ca="1">IFERROR(__xludf.DUMMYFUNCTION("XLOOKUP($B11,IMPORTRANGE(""https://docs.google.com/spreadsheets/d/1EjEqG6oc_vmuAWwHnH51YMvSMVUVePUqNn9zZBOmHT8/edit#gid=757525651"",""'Allocation Breakdown'!A4:A187""),IMPORTRANGE(""https://docs.google.com/spreadsheets/d/1EjEqG6oc_vmuAWwHnH51YMvSMVUVePUqN"&amp;"n9zZBOmHT8/edit#gid=757525651"",""'Allocation Breakdown'!q4:q187""))*R$119"),58000)</f>
        <v>58000</v>
      </c>
      <c r="S11" s="30">
        <f ca="1">IFERROR(__xludf.DUMMYFUNCTION("XLOOKUP($B11,IMPORTRANGE(""https://docs.google.com/spreadsheets/d/1EjEqG6oc_vmuAWwHnH51YMvSMVUVePUqNn9zZBOmHT8/edit#gid=757525651"",""'Allocation Breakdown'!A4:A187""),IMPORTRANGE(""https://docs.google.com/spreadsheets/d/1EjEqG6oc_vmuAWwHnH51YMvSMVUVePUqN"&amp;"n9zZBOmHT8/edit#gid=757525651"",""'Allocation Breakdown'!r4:r187""))*S$119"),60000)</f>
        <v>60000</v>
      </c>
      <c r="T11" s="30">
        <f ca="1">IFERROR(__xludf.DUMMYFUNCTION("XLOOKUP($B11,IMPORTRANGE(""https://docs.google.com/spreadsheets/d/1EjEqG6oc_vmuAWwHnH51YMvSMVUVePUqNn9zZBOmHT8/edit#gid=757525651"",""'Allocation Breakdown'!A4:A187""),IMPORTRANGE(""https://docs.google.com/spreadsheets/d/1EjEqG6oc_vmuAWwHnH51YMvSMVUVePUqN"&amp;"n9zZBOmHT8/edit#gid=757525651"",""'Allocation Breakdown'!t4:t187""))*T$119"),210000)</f>
        <v>210000</v>
      </c>
      <c r="U11" s="30">
        <f ca="1">IFERROR(__xludf.DUMMYFUNCTION("XLOOKUP($B11,IMPORTRANGE(""https://docs.google.com/spreadsheets/d/1EjEqG6oc_vmuAWwHnH51YMvSMVUVePUqNn9zZBOmHT8/edit#gid=757525651"",""'Allocation Breakdown'!A4:A187""),IMPORTRANGE(""https://docs.google.com/spreadsheets/d/1EjEqG6oc_vmuAWwHnH51YMvSMVUVePUqN"&amp;"n9zZBOmHT8/edit#gid=757525651"",""'Allocation Breakdown'!U4:U187""))*U$119"),297000)</f>
        <v>297000</v>
      </c>
      <c r="V11" s="31">
        <f t="shared" ca="1" si="1"/>
        <v>1086653.0991080001</v>
      </c>
      <c r="W11" s="31">
        <f t="shared" ca="1" si="2"/>
        <v>1327336.9743579649</v>
      </c>
      <c r="Z11" s="32"/>
      <c r="AA11" s="32"/>
      <c r="AB11" s="32"/>
    </row>
    <row r="12" spans="1:28" ht="15.75" customHeight="1">
      <c r="B12" s="28" t="s">
        <v>107</v>
      </c>
      <c r="C12" s="30">
        <f ca="1">IFERROR(__xludf.DUMMYFUNCTION("XLOOKUP($B12,IMPORTRANGE(""https://docs.google.com/spreadsheets/d/1EjEqG6oc_vmuAWwHnH51YMvSMVUVePUqNn9zZBOmHT8/edit#gid=757525651"",""'Allocation Breakdown'!A4:A187""),IMPORTRANGE(""https://docs.google.com/spreadsheets/d/1EjEqG6oc_vmuAWwHnH51YMvSMVUVePUqN"&amp;"n9zZBOmHT8/edit#gid=757525651"",""'Allocation Breakdown'!V4:V187""))*C$119"),10883.3347681799)</f>
        <v>10883.3347681799</v>
      </c>
      <c r="D12" s="30">
        <f ca="1">IFERROR(__xludf.DUMMYFUNCTION("XLOOKUP($B12,IMPORTRANGE(""https://docs.google.com/spreadsheets/d/1EjEqG6oc_vmuAWwHnH51YMvSMVUVePUqNn9zZBOmHT8/edit#gid=757525651"",""'Allocation Breakdown'!A4:A187""),IMPORTRANGE(""https://docs.google.com/spreadsheets/d/1EjEqG6oc_vmuAWwHnH51YMvSMVUVePUqN"&amp;"n9zZBOmHT8/edit#gid=757525651"",""'Allocation Breakdown'!I4:I187""))*$D$119"),142255.91683331)</f>
        <v>142255.91683331001</v>
      </c>
      <c r="E12" s="30">
        <f ca="1">IFERROR(__xludf.DUMMYFUNCTION("XLOOKUP($B12,IMPORTRANGE(""https://docs.google.com/spreadsheets/d/1EjEqG6oc_vmuAWwHnH51YMvSMVUVePUqNn9zZBOmHT8/edit#gid=757525651"",""'Allocation Breakdown'!A4:A187""),IMPORTRANGE(""https://docs.google.com/spreadsheets/d/1EjEqG6oc_vmuAWwHnH51YMvSMVUVePUqN"&amp;"n9zZBOmHT8/edit#gid=757525651"",""'Allocation Breakdown'!V4:V187""))*E$119"),3816.66523182)</f>
        <v>3816.6652318199999</v>
      </c>
      <c r="F12" s="30">
        <f t="shared" ca="1" si="0"/>
        <v>146072.58206513</v>
      </c>
      <c r="G12" s="30" t="str">
        <f ca="1">IFERROR(__xludf.DUMMYFUNCTION("XLOOKUP($B12,IMPORTRANGE(""https://docs.google.com/spreadsheets/d/1EjEqG6oc_vmuAWwHnH51YMvSMVUVePUqNn9zZBOmHT8/edit#gid=757525651"",""'Allocation Breakdown'!A4:A187""),IMPORTRANGE(""https://docs.google.com/spreadsheets/d/1EjEqG6oc_vmuAWwHnH51YMvSMVUVePUqN"&amp;"n9zZBOmHT8/edit#gid=757525651"",""'Allocation Breakdown'!D4:D187""))"),"")</f>
        <v/>
      </c>
      <c r="H12" s="30" t="str">
        <f ca="1">IFERROR(__xludf.DUMMYFUNCTION("XLOOKUP($B12,IMPORTRANGE(""https://docs.google.com/spreadsheets/d/1EjEqG6oc_vmuAWwHnH51YMvSMVUVePUqNn9zZBOmHT8/edit#gid=757525651"",""'Allocation Breakdown'!A4:A187""),IMPORTRANGE(""https://docs.google.com/spreadsheets/d/1EjEqG6oc_vmuAWwHnH51YMvSMVUVePUqN"&amp;"n9zZBOmHT8/edit#gid=757525651"",""'Allocation Breakdown'!E4:E187""))"),"")</f>
        <v/>
      </c>
      <c r="I12" s="30">
        <f ca="1">IFERROR(__xludf.DUMMYFUNCTION("XLOOKUP($B12,IMPORTRANGE(""https://docs.google.com/spreadsheets/d/1EjEqG6oc_vmuAWwHnH51YMvSMVUVePUqNn9zZBOmHT8/edit#gid=757525651"",""'Allocation Breakdown'!A4:A187""),IMPORTRANGE(""https://docs.google.com/spreadsheets/d/1EjEqG6oc_vmuAWwHnH51YMvSMVUVePUqN"&amp;"n9zZBOmHT8/edit#gid=757525651"",""'Allocation Breakdown'!F4:F187""))"),320000)</f>
        <v>320000</v>
      </c>
      <c r="J12" s="30">
        <f ca="1">IFERROR(__xludf.DUMMYFUNCTION("XLOOKUP($B12,IMPORTRANGE(""https://docs.google.com/spreadsheets/d/1EjEqG6oc_vmuAWwHnH51YMvSMVUVePUqNn9zZBOmHT8/edit#gid=757525651"",""'Allocation Breakdown'!A4:A187""),IMPORTRANGE(""https://docs.google.com/spreadsheets/d/1EjEqG6oc_vmuAWwHnH51YMvSMVUVePUqN"&amp;"n9zZBOmHT8/edit#gid=757525651"",""'Allocation Breakdown'!G4:G187""))"),3000)</f>
        <v>3000</v>
      </c>
      <c r="K12" s="30">
        <f ca="1">IFERROR(__xludf.DUMMYFUNCTION("XLOOKUP($B12,IMPORTRANGE(""https://docs.google.com/spreadsheets/d/1EjEqG6oc_vmuAWwHnH51YMvSMVUVePUqNn9zZBOmHT8/edit#gid=757525651"",""'Allocation Breakdown'!A4:A187""),IMPORTRANGE(""https://docs.google.com/spreadsheets/d/1EjEqG6oc_vmuAWwHnH51YMvSMVUVePUqN"&amp;"n9zZBOmHT8/edit#gid=757525651"",""'Allocation Breakdown'!I4:I187""))*K$119"),12498.769272)</f>
        <v>12498.769272</v>
      </c>
      <c r="L12" s="30">
        <f ca="1">IFERROR(__xludf.DUMMYFUNCTION("XLOOKUP($B12,IMPORTRANGE(""https://docs.google.com/spreadsheets/d/1EjEqG6oc_vmuAWwHnH51YMvSMVUVePUqNn9zZBOmHT8/edit#gid=757525651"",""'Allocation Breakdown'!A4:A187""),IMPORTRANGE(""https://docs.google.com/spreadsheets/d/1EjEqG6oc_vmuAWwHnH51YMvSMVUVePUqN"&amp;"n9zZBOmHT8/edit#gid=757525651"",""'Allocation Breakdown'!j4:j187""))*L$119"),74030.84461)</f>
        <v>74030.84461</v>
      </c>
      <c r="M12" s="30">
        <f ca="1">IFERROR(__xludf.DUMMYFUNCTION("XLOOKUP($B12,IMPORTRANGE(""https://docs.google.com/spreadsheets/d/1EjEqG6oc_vmuAWwHnH51YMvSMVUVePUqNn9zZBOmHT8/edit#gid=757525651"",""'Allocation Breakdown'!A4:A187""),IMPORTRANGE(""https://docs.google.com/spreadsheets/d/1EjEqG6oc_vmuAWwHnH51YMvSMVUVePUqN"&amp;"n9zZBOmHT8/edit#gid=757525651"",""'Allocation Breakdown'!K4:K187""))*M$119"),0)</f>
        <v>0</v>
      </c>
      <c r="N12" s="30">
        <f ca="1">IFERROR(__xludf.DUMMYFUNCTION("XLOOKUP($B12,IMPORTRANGE(""https://docs.google.com/spreadsheets/d/1EjEqG6oc_vmuAWwHnH51YMvSMVUVePUqNn9zZBOmHT8/edit#gid=757525651"",""'Allocation Breakdown'!A4:A187""),IMPORTRANGE(""https://docs.google.com/spreadsheets/d/1EjEqG6oc_vmuAWwHnH51YMvSMVUVePUqN"&amp;"n9zZBOmHT8/edit#gid=757525651"",""'Allocation Breakdown'!l4:l187""))*N$119"),19037.201016)</f>
        <v>19037.201015999999</v>
      </c>
      <c r="O12" s="30">
        <f ca="1">IFERROR(__xludf.DUMMYFUNCTION("XLOOKUP($B12,IMPORTRANGE(""https://docs.google.com/spreadsheets/d/1EjEqG6oc_vmuAWwHnH51YMvSMVUVePUqNn9zZBOmHT8/edit#gid=757525651"",""'Allocation Breakdown'!A4:A187""),IMPORTRANGE(""https://docs.google.com/spreadsheets/d/1EjEqG6oc_vmuAWwHnH51YMvSMVUVePUqN"&amp;"n9zZBOmHT8/edit#gid=757525651"",""'Allocation Breakdown'!n4:n187""))*O$119"),14000)</f>
        <v>14000</v>
      </c>
      <c r="P12" s="30">
        <f ca="1">IFERROR(__xludf.DUMMYFUNCTION("XLOOKUP($B12,IMPORTRANGE(""https://docs.google.com/spreadsheets/d/1EjEqG6oc_vmuAWwHnH51YMvSMVUVePUqNn9zZBOmHT8/edit#gid=757525651"",""'Allocation Breakdown'!A4:A187""),IMPORTRANGE(""https://docs.google.com/spreadsheets/d/1EjEqG6oc_vmuAWwHnH51YMvSMVUVePUqN"&amp;"n9zZBOmHT8/edit#gid=757525651"",""'Allocation Breakdown'!o4:o187""))*P$119"),88000)</f>
        <v>88000</v>
      </c>
      <c r="Q12" s="30">
        <f ca="1">IFERROR(__xludf.DUMMYFUNCTION("XLOOKUP($B12,IMPORTRANGE(""https://docs.google.com/spreadsheets/d/1EjEqG6oc_vmuAWwHnH51YMvSMVUVePUqNn9zZBOmHT8/edit#gid=757525651"",""'Allocation Breakdown'!A4:A187""),IMPORTRANGE(""https://docs.google.com/spreadsheets/d/1EjEqG6oc_vmuAWwHnH51YMvSMVUVePUqN"&amp;"n9zZBOmHT8/edit#gid=757525651"",""'Allocation Breakdown'!p4:p187""))*Q$119"),40000)</f>
        <v>40000</v>
      </c>
      <c r="R12" s="30">
        <f ca="1">IFERROR(__xludf.DUMMYFUNCTION("XLOOKUP($B12,IMPORTRANGE(""https://docs.google.com/spreadsheets/d/1EjEqG6oc_vmuAWwHnH51YMvSMVUVePUqNn9zZBOmHT8/edit#gid=757525651"",""'Allocation Breakdown'!A4:A187""),IMPORTRANGE(""https://docs.google.com/spreadsheets/d/1EjEqG6oc_vmuAWwHnH51YMvSMVUVePUqN"&amp;"n9zZBOmHT8/edit#gid=757525651"",""'Allocation Breakdown'!q4:q187""))*R$119"),40000)</f>
        <v>40000</v>
      </c>
      <c r="S12" s="30">
        <f ca="1">IFERROR(__xludf.DUMMYFUNCTION("XLOOKUP($B12,IMPORTRANGE(""https://docs.google.com/spreadsheets/d/1EjEqG6oc_vmuAWwHnH51YMvSMVUVePUqNn9zZBOmHT8/edit#gid=757525651"",""'Allocation Breakdown'!A4:A187""),IMPORTRANGE(""https://docs.google.com/spreadsheets/d/1EjEqG6oc_vmuAWwHnH51YMvSMVUVePUqN"&amp;"n9zZBOmHT8/edit#gid=757525651"",""'Allocation Breakdown'!r4:r187""))*S$119"),0)</f>
        <v>0</v>
      </c>
      <c r="T12" s="30">
        <f ca="1">IFERROR(__xludf.DUMMYFUNCTION("XLOOKUP($B12,IMPORTRANGE(""https://docs.google.com/spreadsheets/d/1EjEqG6oc_vmuAWwHnH51YMvSMVUVePUqNn9zZBOmHT8/edit#gid=757525651"",""'Allocation Breakdown'!A4:A187""),IMPORTRANGE(""https://docs.google.com/spreadsheets/d/1EjEqG6oc_vmuAWwHnH51YMvSMVUVePUqN"&amp;"n9zZBOmHT8/edit#gid=757525651"",""'Allocation Breakdown'!t4:t187""))*T$119"),140000)</f>
        <v>140000</v>
      </c>
      <c r="U12" s="30">
        <f ca="1">IFERROR(__xludf.DUMMYFUNCTION("XLOOKUP($B12,IMPORTRANGE(""https://docs.google.com/spreadsheets/d/1EjEqG6oc_vmuAWwHnH51YMvSMVUVePUqNn9zZBOmHT8/edit#gid=757525651"",""'Allocation Breakdown'!A4:A187""),IMPORTRANGE(""https://docs.google.com/spreadsheets/d/1EjEqG6oc_vmuAWwHnH51YMvSMVUVePUqN"&amp;"n9zZBOmHT8/edit#gid=757525651"",""'Allocation Breakdown'!U4:U187""))*U$119"),220000)</f>
        <v>220000</v>
      </c>
      <c r="V12" s="31">
        <f t="shared" ca="1" si="1"/>
        <v>970566.81489799998</v>
      </c>
      <c r="W12" s="31">
        <f t="shared" ca="1" si="2"/>
        <v>1127522.7317313098</v>
      </c>
      <c r="Z12" s="32"/>
      <c r="AA12" s="32"/>
      <c r="AB12" s="32"/>
    </row>
    <row r="13" spans="1:28" ht="15.75" customHeight="1">
      <c r="B13" s="28" t="s">
        <v>108</v>
      </c>
      <c r="C13" s="30">
        <f ca="1">IFERROR(__xludf.DUMMYFUNCTION("XLOOKUP($B13,IMPORTRANGE(""https://docs.google.com/spreadsheets/d/1EjEqG6oc_vmuAWwHnH51YMvSMVUVePUqNn9zZBOmHT8/edit#gid=757525651"",""'Allocation Breakdown'!A4:A187""),IMPORTRANGE(""https://docs.google.com/spreadsheets/d/1EjEqG6oc_vmuAWwHnH51YMvSMVUVePUqN"&amp;"n9zZBOmHT8/edit#gid=757525651"",""'Allocation Breakdown'!V4:V187""))*C$119"),2332.14316461)</f>
        <v>2332.14316461</v>
      </c>
      <c r="D13" s="30">
        <f ca="1">IFERROR(__xludf.DUMMYFUNCTION("XLOOKUP($B13,IMPORTRANGE(""https://docs.google.com/spreadsheets/d/1EjEqG6oc_vmuAWwHnH51YMvSMVUVePUqNn9zZBOmHT8/edit#gid=757525651"",""'Allocation Breakdown'!A4:A187""),IMPORTRANGE(""https://docs.google.com/spreadsheets/d/1EjEqG6oc_vmuAWwHnH51YMvSMVUVePUqN"&amp;"n9zZBOmHT8/edit#gid=757525651"",""'Allocation Breakdown'!I4:I187""))*$D$119"),14225.591683331)</f>
        <v>14225.591683331</v>
      </c>
      <c r="E13" s="30">
        <f ca="1">IFERROR(__xludf.DUMMYFUNCTION("XLOOKUP($B13,IMPORTRANGE(""https://docs.google.com/spreadsheets/d/1EjEqG6oc_vmuAWwHnH51YMvSMVUVePUqNn9zZBOmHT8/edit#gid=757525651"",""'Allocation Breakdown'!A4:A187""),IMPORTRANGE(""https://docs.google.com/spreadsheets/d/1EjEqG6oc_vmuAWwHnH51YMvSMVUVePUqN"&amp;"n9zZBOmHT8/edit#gid=757525651"",""'Allocation Breakdown'!V4:V187""))*E$119"),817.85683539)</f>
        <v>817.85683539000001</v>
      </c>
      <c r="F13" s="30">
        <f t="shared" ca="1" si="0"/>
        <v>15043.448518721001</v>
      </c>
      <c r="G13" s="30" t="str">
        <f ca="1">IFERROR(__xludf.DUMMYFUNCTION("XLOOKUP($B13,IMPORTRANGE(""https://docs.google.com/spreadsheets/d/1EjEqG6oc_vmuAWwHnH51YMvSMVUVePUqNn9zZBOmHT8/edit#gid=757525651"",""'Allocation Breakdown'!A4:A187""),IMPORTRANGE(""https://docs.google.com/spreadsheets/d/1EjEqG6oc_vmuAWwHnH51YMvSMVUVePUqN"&amp;"n9zZBOmHT8/edit#gid=757525651"",""'Allocation Breakdown'!D4:D187""))"),"")</f>
        <v/>
      </c>
      <c r="H13" s="30">
        <f ca="1">IFERROR(__xludf.DUMMYFUNCTION("XLOOKUP($B13,IMPORTRANGE(""https://docs.google.com/spreadsheets/d/1EjEqG6oc_vmuAWwHnH51YMvSMVUVePUqNn9zZBOmHT8/edit#gid=757525651"",""'Allocation Breakdown'!A4:A187""),IMPORTRANGE(""https://docs.google.com/spreadsheets/d/1EjEqG6oc_vmuAWwHnH51YMvSMVUVePUqN"&amp;"n9zZBOmHT8/edit#gid=757525651"",""'Allocation Breakdown'!E4:E187""))"),200000)</f>
        <v>200000</v>
      </c>
      <c r="I13" s="30">
        <f ca="1">IFERROR(__xludf.DUMMYFUNCTION("XLOOKUP($B13,IMPORTRANGE(""https://docs.google.com/spreadsheets/d/1EjEqG6oc_vmuAWwHnH51YMvSMVUVePUqNn9zZBOmHT8/edit#gid=757525651"",""'Allocation Breakdown'!A4:A187""),IMPORTRANGE(""https://docs.google.com/spreadsheets/d/1EjEqG6oc_vmuAWwHnH51YMvSMVUVePUqN"&amp;"n9zZBOmHT8/edit#gid=757525651"",""'Allocation Breakdown'!F4:F187""))"),8000)</f>
        <v>8000</v>
      </c>
      <c r="J13" s="30">
        <f ca="1">IFERROR(__xludf.DUMMYFUNCTION("XLOOKUP($B13,IMPORTRANGE(""https://docs.google.com/spreadsheets/d/1EjEqG6oc_vmuAWwHnH51YMvSMVUVePUqNn9zZBOmHT8/edit#gid=757525651"",""'Allocation Breakdown'!A4:A187""),IMPORTRANGE(""https://docs.google.com/spreadsheets/d/1EjEqG6oc_vmuAWwHnH51YMvSMVUVePUqN"&amp;"n9zZBOmHT8/edit#gid=757525651"",""'Allocation Breakdown'!G4:G187""))"),8925)</f>
        <v>8925</v>
      </c>
      <c r="K13" s="30">
        <f ca="1">IFERROR(__xludf.DUMMYFUNCTION("XLOOKUP($B13,IMPORTRANGE(""https://docs.google.com/spreadsheets/d/1EjEqG6oc_vmuAWwHnH51YMvSMVUVePUqNn9zZBOmHT8/edit#gid=757525651"",""'Allocation Breakdown'!A4:A187""),IMPORTRANGE(""https://docs.google.com/spreadsheets/d/1EjEqG6oc_vmuAWwHnH51YMvSMVUVePUqN"&amp;"n9zZBOmHT8/edit#gid=757525651"",""'Allocation Breakdown'!I4:I187""))*K$119"),1249.8769272)</f>
        <v>1249.8769272</v>
      </c>
      <c r="L13" s="30">
        <f ca="1">IFERROR(__xludf.DUMMYFUNCTION("XLOOKUP($B13,IMPORTRANGE(""https://docs.google.com/spreadsheets/d/1EjEqG6oc_vmuAWwHnH51YMvSMVUVePUqNn9zZBOmHT8/edit#gid=757525651"",""'Allocation Breakdown'!A4:A187""),IMPORTRANGE(""https://docs.google.com/spreadsheets/d/1EjEqG6oc_vmuAWwHnH51YMvSMVUVePUqN"&amp;"n9zZBOmHT8/edit#gid=757525651"",""'Allocation Breakdown'!j4:j187""))*L$119"),7403.084461)</f>
        <v>7403.0844610000004</v>
      </c>
      <c r="M13" s="30">
        <f ca="1">IFERROR(__xludf.DUMMYFUNCTION("XLOOKUP($B13,IMPORTRANGE(""https://docs.google.com/spreadsheets/d/1EjEqG6oc_vmuAWwHnH51YMvSMVUVePUqNn9zZBOmHT8/edit#gid=757525651"",""'Allocation Breakdown'!A4:A187""),IMPORTRANGE(""https://docs.google.com/spreadsheets/d/1EjEqG6oc_vmuAWwHnH51YMvSMVUVePUqN"&amp;"n9zZBOmHT8/edit#gid=757525651"",""'Allocation Breakdown'!K4:K187""))*M$119"),7177.245219)</f>
        <v>7177.2452190000004</v>
      </c>
      <c r="N13" s="30">
        <f ca="1">IFERROR(__xludf.DUMMYFUNCTION("XLOOKUP($B13,IMPORTRANGE(""https://docs.google.com/spreadsheets/d/1EjEqG6oc_vmuAWwHnH51YMvSMVUVePUqNn9zZBOmHT8/edit#gid=757525651"",""'Allocation Breakdown'!A4:A187""),IMPORTRANGE(""https://docs.google.com/spreadsheets/d/1EjEqG6oc_vmuAWwHnH51YMvSMVUVePUqN"&amp;"n9zZBOmHT8/edit#gid=757525651"",""'Allocation Breakdown'!l4:l187""))*N$119"),1903.7201016)</f>
        <v>1903.7201015999999</v>
      </c>
      <c r="O13" s="30">
        <f ca="1">IFERROR(__xludf.DUMMYFUNCTION("XLOOKUP($B13,IMPORTRANGE(""https://docs.google.com/spreadsheets/d/1EjEqG6oc_vmuAWwHnH51YMvSMVUVePUqNn9zZBOmHT8/edit#gid=757525651"",""'Allocation Breakdown'!A4:A187""),IMPORTRANGE(""https://docs.google.com/spreadsheets/d/1EjEqG6oc_vmuAWwHnH51YMvSMVUVePUqN"&amp;"n9zZBOmHT8/edit#gid=757525651"",""'Allocation Breakdown'!n4:n187""))*O$119"),0)</f>
        <v>0</v>
      </c>
      <c r="P13" s="30">
        <f ca="1">IFERROR(__xludf.DUMMYFUNCTION("XLOOKUP($B13,IMPORTRANGE(""https://docs.google.com/spreadsheets/d/1EjEqG6oc_vmuAWwHnH51YMvSMVUVePUqNn9zZBOmHT8/edit#gid=757525651"",""'Allocation Breakdown'!A4:A187""),IMPORTRANGE(""https://docs.google.com/spreadsheets/d/1EjEqG6oc_vmuAWwHnH51YMvSMVUVePUqN"&amp;"n9zZBOmHT8/edit#gid=757525651"",""'Allocation Breakdown'!o4:o187""))*P$119"),1200)</f>
        <v>1200</v>
      </c>
      <c r="Q13" s="30">
        <f ca="1">IFERROR(__xludf.DUMMYFUNCTION("XLOOKUP($B13,IMPORTRANGE(""https://docs.google.com/spreadsheets/d/1EjEqG6oc_vmuAWwHnH51YMvSMVUVePUqNn9zZBOmHT8/edit#gid=757525651"",""'Allocation Breakdown'!A4:A187""),IMPORTRANGE(""https://docs.google.com/spreadsheets/d/1EjEqG6oc_vmuAWwHnH51YMvSMVUVePUqN"&amp;"n9zZBOmHT8/edit#gid=757525651"",""'Allocation Breakdown'!p4:p187""))*Q$119"),0)</f>
        <v>0</v>
      </c>
      <c r="R13" s="30">
        <f ca="1">IFERROR(__xludf.DUMMYFUNCTION("XLOOKUP($B13,IMPORTRANGE(""https://docs.google.com/spreadsheets/d/1EjEqG6oc_vmuAWwHnH51YMvSMVUVePUqNn9zZBOmHT8/edit#gid=757525651"",""'Allocation Breakdown'!A4:A187""),IMPORTRANGE(""https://docs.google.com/spreadsheets/d/1EjEqG6oc_vmuAWwHnH51YMvSMVUVePUqN"&amp;"n9zZBOmHT8/edit#gid=757525651"",""'Allocation Breakdown'!q4:q187""))*R$119"),0)</f>
        <v>0</v>
      </c>
      <c r="S13" s="30">
        <f ca="1">IFERROR(__xludf.DUMMYFUNCTION("XLOOKUP($B13,IMPORTRANGE(""https://docs.google.com/spreadsheets/d/1EjEqG6oc_vmuAWwHnH51YMvSMVUVePUqNn9zZBOmHT8/edit#gid=757525651"",""'Allocation Breakdown'!A4:A187""),IMPORTRANGE(""https://docs.google.com/spreadsheets/d/1EjEqG6oc_vmuAWwHnH51YMvSMVUVePUqN"&amp;"n9zZBOmHT8/edit#gid=757525651"",""'Allocation Breakdown'!r4:r187""))*S$119"),1200)</f>
        <v>1200</v>
      </c>
      <c r="T13" s="30">
        <f ca="1">IFERROR(__xludf.DUMMYFUNCTION("XLOOKUP($B13,IMPORTRANGE(""https://docs.google.com/spreadsheets/d/1EjEqG6oc_vmuAWwHnH51YMvSMVUVePUqNn9zZBOmHT8/edit#gid=757525651"",""'Allocation Breakdown'!A4:A187""),IMPORTRANGE(""https://docs.google.com/spreadsheets/d/1EjEqG6oc_vmuAWwHnH51YMvSMVUVePUqN"&amp;"n9zZBOmHT8/edit#gid=757525651"",""'Allocation Breakdown'!t4:t187""))*T$119"),14000)</f>
        <v>14000</v>
      </c>
      <c r="U13" s="30">
        <f ca="1">IFERROR(__xludf.DUMMYFUNCTION("XLOOKUP($B13,IMPORTRANGE(""https://docs.google.com/spreadsheets/d/1EjEqG6oc_vmuAWwHnH51YMvSMVUVePUqNn9zZBOmHT8/edit#gid=757525651"",""'Allocation Breakdown'!A4:A187""),IMPORTRANGE(""https://docs.google.com/spreadsheets/d/1EjEqG6oc_vmuAWwHnH51YMvSMVUVePUqN"&amp;"n9zZBOmHT8/edit#gid=757525651"",""'Allocation Breakdown'!U4:U187""))*U$119"),10000)</f>
        <v>10000</v>
      </c>
      <c r="V13" s="31">
        <f t="shared" ca="1" si="1"/>
        <v>261058.92670879999</v>
      </c>
      <c r="W13" s="31">
        <f t="shared" ca="1" si="2"/>
        <v>278434.51839213102</v>
      </c>
      <c r="Z13" s="32"/>
      <c r="AA13" s="32"/>
      <c r="AB13" s="32"/>
    </row>
    <row r="14" spans="1:28" ht="15.75" customHeight="1">
      <c r="B14" s="28" t="s">
        <v>109</v>
      </c>
      <c r="C14" s="30">
        <f ca="1">IFERROR(__xludf.DUMMYFUNCTION("XLOOKUP($B14,IMPORTRANGE(""https://docs.google.com/spreadsheets/d/1EjEqG6oc_vmuAWwHnH51YMvSMVUVePUqNn9zZBOmHT8/edit#gid=757525651"",""'Allocation Breakdown'!A4:A187""),IMPORTRANGE(""https://docs.google.com/spreadsheets/d/1EjEqG6oc_vmuAWwHnH51YMvSMVUVePUqN"&amp;"n9zZBOmHT8/edit#gid=757525651"",""'Allocation Breakdown'!V4:V187""))*C$119"),777.38105487)</f>
        <v>777.38105486999996</v>
      </c>
      <c r="D14" s="30">
        <f ca="1">IFERROR(__xludf.DUMMYFUNCTION("XLOOKUP($B14,IMPORTRANGE(""https://docs.google.com/spreadsheets/d/1EjEqG6oc_vmuAWwHnH51YMvSMVUVePUqNn9zZBOmHT8/edit#gid=757525651"",""'Allocation Breakdown'!A4:A187""),IMPORTRANGE(""https://docs.google.com/spreadsheets/d/1EjEqG6oc_vmuAWwHnH51YMvSMVUVePUqN"&amp;"n9zZBOmHT8/edit#gid=757525651"",""'Allocation Breakdown'!I4:I187""))*$D$119"),7112.7958416655)</f>
        <v>7112.7958416655001</v>
      </c>
      <c r="E14" s="30">
        <f ca="1">IFERROR(__xludf.DUMMYFUNCTION("XLOOKUP($B14,IMPORTRANGE(""https://docs.google.com/spreadsheets/d/1EjEqG6oc_vmuAWwHnH51YMvSMVUVePUqNn9zZBOmHT8/edit#gid=757525651"",""'Allocation Breakdown'!A4:A187""),IMPORTRANGE(""https://docs.google.com/spreadsheets/d/1EjEqG6oc_vmuAWwHnH51YMvSMVUVePUqN"&amp;"n9zZBOmHT8/edit#gid=757525651"",""'Allocation Breakdown'!V4:V187""))*E$119"),272.61894513)</f>
        <v>272.61894512999999</v>
      </c>
      <c r="F14" s="30">
        <f t="shared" ca="1" si="0"/>
        <v>7385.4147867954998</v>
      </c>
      <c r="G14" s="30">
        <f ca="1">IFERROR(__xludf.DUMMYFUNCTION("XLOOKUP($B14,IMPORTRANGE(""https://docs.google.com/spreadsheets/d/1EjEqG6oc_vmuAWwHnH51YMvSMVUVePUqNn9zZBOmHT8/edit#gid=757525651"",""'Allocation Breakdown'!A4:A187""),IMPORTRANGE(""https://docs.google.com/spreadsheets/d/1EjEqG6oc_vmuAWwHnH51YMvSMVUVePUqN"&amp;"n9zZBOmHT8/edit#gid=757525651"",""'Allocation Breakdown'!D4:D187""))"),5000)</f>
        <v>5000</v>
      </c>
      <c r="H14" s="30">
        <f ca="1">IFERROR(__xludf.DUMMYFUNCTION("XLOOKUP($B14,IMPORTRANGE(""https://docs.google.com/spreadsheets/d/1EjEqG6oc_vmuAWwHnH51YMvSMVUVePUqNn9zZBOmHT8/edit#gid=757525651"",""'Allocation Breakdown'!A4:A187""),IMPORTRANGE(""https://docs.google.com/spreadsheets/d/1EjEqG6oc_vmuAWwHnH51YMvSMVUVePUqN"&amp;"n9zZBOmHT8/edit#gid=757525651"",""'Allocation Breakdown'!E4:E187""))"),75000)</f>
        <v>75000</v>
      </c>
      <c r="I14" s="30">
        <f ca="1">IFERROR(__xludf.DUMMYFUNCTION("XLOOKUP($B14,IMPORTRANGE(""https://docs.google.com/spreadsheets/d/1EjEqG6oc_vmuAWwHnH51YMvSMVUVePUqNn9zZBOmHT8/edit#gid=757525651"",""'Allocation Breakdown'!A4:A187""),IMPORTRANGE(""https://docs.google.com/spreadsheets/d/1EjEqG6oc_vmuAWwHnH51YMvSMVUVePUqN"&amp;"n9zZBOmHT8/edit#gid=757525651"",""'Allocation Breakdown'!F4:F187""))"),18000)</f>
        <v>18000</v>
      </c>
      <c r="J14" s="30">
        <f ca="1">IFERROR(__xludf.DUMMYFUNCTION("XLOOKUP($B14,IMPORTRANGE(""https://docs.google.com/spreadsheets/d/1EjEqG6oc_vmuAWwHnH51YMvSMVUVePUqNn9zZBOmHT8/edit#gid=757525651"",""'Allocation Breakdown'!A4:A187""),IMPORTRANGE(""https://docs.google.com/spreadsheets/d/1EjEqG6oc_vmuAWwHnH51YMvSMVUVePUqN"&amp;"n9zZBOmHT8/edit#gid=757525651"",""'Allocation Breakdown'!G4:G187""))"),9175)</f>
        <v>9175</v>
      </c>
      <c r="K14" s="30">
        <f ca="1">IFERROR(__xludf.DUMMYFUNCTION("XLOOKUP($B14,IMPORTRANGE(""https://docs.google.com/spreadsheets/d/1EjEqG6oc_vmuAWwHnH51YMvSMVUVePUqNn9zZBOmHT8/edit#gid=757525651"",""'Allocation Breakdown'!A4:A187""),IMPORTRANGE(""https://docs.google.com/spreadsheets/d/1EjEqG6oc_vmuAWwHnH51YMvSMVUVePUqN"&amp;"n9zZBOmHT8/edit#gid=757525651"",""'Allocation Breakdown'!I4:I187""))*K$119"),624.9384636)</f>
        <v>624.93846359999998</v>
      </c>
      <c r="L14" s="30">
        <f ca="1">IFERROR(__xludf.DUMMYFUNCTION("XLOOKUP($B14,IMPORTRANGE(""https://docs.google.com/spreadsheets/d/1EjEqG6oc_vmuAWwHnH51YMvSMVUVePUqNn9zZBOmHT8/edit#gid=757525651"",""'Allocation Breakdown'!A4:A187""),IMPORTRANGE(""https://docs.google.com/spreadsheets/d/1EjEqG6oc_vmuAWwHnH51YMvSMVUVePUqN"&amp;"n9zZBOmHT8/edit#gid=757525651"",""'Allocation Breakdown'!j4:j187""))*L$119"),3701.5422305)</f>
        <v>3701.5422305000002</v>
      </c>
      <c r="M14" s="30">
        <f ca="1">IFERROR(__xludf.DUMMYFUNCTION("XLOOKUP($B14,IMPORTRANGE(""https://docs.google.com/spreadsheets/d/1EjEqG6oc_vmuAWwHnH51YMvSMVUVePUqNn9zZBOmHT8/edit#gid=757525651"",""'Allocation Breakdown'!A4:A187""),IMPORTRANGE(""https://docs.google.com/spreadsheets/d/1EjEqG6oc_vmuAWwHnH51YMvSMVUVePUqN"&amp;"n9zZBOmHT8/edit#gid=757525651"",""'Allocation Breakdown'!K4:K187""))*M$119"),3588.6226095)</f>
        <v>3588.6226095000002</v>
      </c>
      <c r="N14" s="30">
        <f ca="1">IFERROR(__xludf.DUMMYFUNCTION("XLOOKUP($B14,IMPORTRANGE(""https://docs.google.com/spreadsheets/d/1EjEqG6oc_vmuAWwHnH51YMvSMVUVePUqNn9zZBOmHT8/edit#gid=757525651"",""'Allocation Breakdown'!A4:A187""),IMPORTRANGE(""https://docs.google.com/spreadsheets/d/1EjEqG6oc_vmuAWwHnH51YMvSMVUVePUqN"&amp;"n9zZBOmHT8/edit#gid=757525651"",""'Allocation Breakdown'!l4:l187""))*N$119"),951.8600508)</f>
        <v>951.86005079999995</v>
      </c>
      <c r="O14" s="30">
        <f ca="1">IFERROR(__xludf.DUMMYFUNCTION("XLOOKUP($B14,IMPORTRANGE(""https://docs.google.com/spreadsheets/d/1EjEqG6oc_vmuAWwHnH51YMvSMVUVePUqNn9zZBOmHT8/edit#gid=757525651"",""'Allocation Breakdown'!A4:A187""),IMPORTRANGE(""https://docs.google.com/spreadsheets/d/1EjEqG6oc_vmuAWwHnH51YMvSMVUVePUqN"&amp;"n9zZBOmHT8/edit#gid=757525651"",""'Allocation Breakdown'!n4:n187""))*O$119"),0)</f>
        <v>0</v>
      </c>
      <c r="P14" s="30">
        <f ca="1">IFERROR(__xludf.DUMMYFUNCTION("XLOOKUP($B14,IMPORTRANGE(""https://docs.google.com/spreadsheets/d/1EjEqG6oc_vmuAWwHnH51YMvSMVUVePUqNn9zZBOmHT8/edit#gid=757525651"",""'Allocation Breakdown'!A4:A187""),IMPORTRANGE(""https://docs.google.com/spreadsheets/d/1EjEqG6oc_vmuAWwHnH51YMvSMVUVePUqN"&amp;"n9zZBOmHT8/edit#gid=757525651"",""'Allocation Breakdown'!o4:o187""))*P$119"),4400)</f>
        <v>4400</v>
      </c>
      <c r="Q14" s="30">
        <f ca="1">IFERROR(__xludf.DUMMYFUNCTION("XLOOKUP($B14,IMPORTRANGE(""https://docs.google.com/spreadsheets/d/1EjEqG6oc_vmuAWwHnH51YMvSMVUVePUqNn9zZBOmHT8/edit#gid=757525651"",""'Allocation Breakdown'!A4:A187""),IMPORTRANGE(""https://docs.google.com/spreadsheets/d/1EjEqG6oc_vmuAWwHnH51YMvSMVUVePUqN"&amp;"n9zZBOmHT8/edit#gid=757525651"",""'Allocation Breakdown'!p4:p187""))*Q$119"),2000)</f>
        <v>2000</v>
      </c>
      <c r="R14" s="30">
        <f ca="1">IFERROR(__xludf.DUMMYFUNCTION("XLOOKUP($B14,IMPORTRANGE(""https://docs.google.com/spreadsheets/d/1EjEqG6oc_vmuAWwHnH51YMvSMVUVePUqNn9zZBOmHT8/edit#gid=757525651"",""'Allocation Breakdown'!A4:A187""),IMPORTRANGE(""https://docs.google.com/spreadsheets/d/1EjEqG6oc_vmuAWwHnH51YMvSMVUVePUqN"&amp;"n9zZBOmHT8/edit#gid=757525651"",""'Allocation Breakdown'!q4:q187""))*R$119"),2000)</f>
        <v>2000</v>
      </c>
      <c r="S14" s="30">
        <f ca="1">IFERROR(__xludf.DUMMYFUNCTION("XLOOKUP($B14,IMPORTRANGE(""https://docs.google.com/spreadsheets/d/1EjEqG6oc_vmuAWwHnH51YMvSMVUVePUqNn9zZBOmHT8/edit#gid=757525651"",""'Allocation Breakdown'!A4:A187""),IMPORTRANGE(""https://docs.google.com/spreadsheets/d/1EjEqG6oc_vmuAWwHnH51YMvSMVUVePUqN"&amp;"n9zZBOmHT8/edit#gid=757525651"",""'Allocation Breakdown'!r4:r187""))*S$119"),2000)</f>
        <v>2000</v>
      </c>
      <c r="T14" s="30">
        <f ca="1">IFERROR(__xludf.DUMMYFUNCTION("XLOOKUP($B14,IMPORTRANGE(""https://docs.google.com/spreadsheets/d/1EjEqG6oc_vmuAWwHnH51YMvSMVUVePUqNn9zZBOmHT8/edit#gid=757525651"",""'Allocation Breakdown'!A4:A187""),IMPORTRANGE(""https://docs.google.com/spreadsheets/d/1EjEqG6oc_vmuAWwHnH51YMvSMVUVePUqN"&amp;"n9zZBOmHT8/edit#gid=757525651"",""'Allocation Breakdown'!t4:t187""))*T$119"),7000)</f>
        <v>7000</v>
      </c>
      <c r="U14" s="30">
        <f ca="1">IFERROR(__xludf.DUMMYFUNCTION("XLOOKUP($B14,IMPORTRANGE(""https://docs.google.com/spreadsheets/d/1EjEqG6oc_vmuAWwHnH51YMvSMVUVePUqNn9zZBOmHT8/edit#gid=757525651"",""'Allocation Breakdown'!A4:A187""),IMPORTRANGE(""https://docs.google.com/spreadsheets/d/1EjEqG6oc_vmuAWwHnH51YMvSMVUVePUqN"&amp;"n9zZBOmHT8/edit#gid=757525651"",""'Allocation Breakdown'!U4:U187""))*U$119"),11000)</f>
        <v>11000</v>
      </c>
      <c r="V14" s="31">
        <f t="shared" ca="1" si="1"/>
        <v>144441.96335440001</v>
      </c>
      <c r="W14" s="31">
        <f t="shared" ca="1" si="2"/>
        <v>152604.75919606551</v>
      </c>
      <c r="Z14" s="32"/>
      <c r="AA14" s="32"/>
      <c r="AB14" s="32"/>
    </row>
    <row r="15" spans="1:28" ht="15.75" customHeight="1">
      <c r="B15" s="28" t="s">
        <v>110</v>
      </c>
      <c r="C15" s="30">
        <f ca="1">IFERROR(__xludf.DUMMYFUNCTION("XLOOKUP($B15,IMPORTRANGE(""https://docs.google.com/spreadsheets/d/1EjEqG6oc_vmuAWwHnH51YMvSMVUVePUqNn9zZBOmHT8/edit#gid=757525651"",""'Allocation Breakdown'!A4:A187""),IMPORTRANGE(""https://docs.google.com/spreadsheets/d/1EjEqG6oc_vmuAWwHnH51YMvSMVUVePUqN"&amp;"n9zZBOmHT8/edit#gid=757525651"",""'Allocation Breakdown'!V4:V187""))*C$119"),2332.14316461)</f>
        <v>2332.14316461</v>
      </c>
      <c r="D15" s="30">
        <f ca="1">IFERROR(__xludf.DUMMYFUNCTION("XLOOKUP($B15,IMPORTRANGE(""https://docs.google.com/spreadsheets/d/1EjEqG6oc_vmuAWwHnH51YMvSMVUVePUqNn9zZBOmHT8/edit#gid=757525651"",""'Allocation Breakdown'!A4:A187""),IMPORTRANGE(""https://docs.google.com/spreadsheets/d/1EjEqG6oc_vmuAWwHnH51YMvSMVUVePUqN"&amp;"n9zZBOmHT8/edit#gid=757525651"",""'Allocation Breakdown'!I4:I187""))*$D$119"),21338.3875249965)</f>
        <v>21338.387524996499</v>
      </c>
      <c r="E15" s="30">
        <f ca="1">IFERROR(__xludf.DUMMYFUNCTION("XLOOKUP($B15,IMPORTRANGE(""https://docs.google.com/spreadsheets/d/1EjEqG6oc_vmuAWwHnH51YMvSMVUVePUqNn9zZBOmHT8/edit#gid=757525651"",""'Allocation Breakdown'!A4:A187""),IMPORTRANGE(""https://docs.google.com/spreadsheets/d/1EjEqG6oc_vmuAWwHnH51YMvSMVUVePUqN"&amp;"n9zZBOmHT8/edit#gid=757525651"",""'Allocation Breakdown'!V4:V187""))*E$119"),817.85683539)</f>
        <v>817.85683539000001</v>
      </c>
      <c r="F15" s="30">
        <f t="shared" ca="1" si="0"/>
        <v>22156.244360386499</v>
      </c>
      <c r="G15" s="30">
        <f ca="1">IFERROR(__xludf.DUMMYFUNCTION("XLOOKUP($B15,IMPORTRANGE(""https://docs.google.com/spreadsheets/d/1EjEqG6oc_vmuAWwHnH51YMvSMVUVePUqNn9zZBOmHT8/edit#gid=757525651"",""'Allocation Breakdown'!A4:A187""),IMPORTRANGE(""https://docs.google.com/spreadsheets/d/1EjEqG6oc_vmuAWwHnH51YMvSMVUVePUqN"&amp;"n9zZBOmHT8/edit#gid=757525651"",""'Allocation Breakdown'!D4:D187""))"),15000)</f>
        <v>15000</v>
      </c>
      <c r="H15" s="30">
        <f ca="1">IFERROR(__xludf.DUMMYFUNCTION("XLOOKUP($B15,IMPORTRANGE(""https://docs.google.com/spreadsheets/d/1EjEqG6oc_vmuAWwHnH51YMvSMVUVePUqNn9zZBOmHT8/edit#gid=757525651"",""'Allocation Breakdown'!A4:A187""),IMPORTRANGE(""https://docs.google.com/spreadsheets/d/1EjEqG6oc_vmuAWwHnH51YMvSMVUVePUqN"&amp;"n9zZBOmHT8/edit#gid=757525651"",""'Allocation Breakdown'!E4:E187""))"),89250)</f>
        <v>89250</v>
      </c>
      <c r="I15" s="30">
        <f ca="1">IFERROR(__xludf.DUMMYFUNCTION("XLOOKUP($B15,IMPORTRANGE(""https://docs.google.com/spreadsheets/d/1EjEqG6oc_vmuAWwHnH51YMvSMVUVePUqNn9zZBOmHT8/edit#gid=757525651"",""'Allocation Breakdown'!A4:A187""),IMPORTRANGE(""https://docs.google.com/spreadsheets/d/1EjEqG6oc_vmuAWwHnH51YMvSMVUVePUqN"&amp;"n9zZBOmHT8/edit#gid=757525651"",""'Allocation Breakdown'!F4:F187""))"),54000)</f>
        <v>54000</v>
      </c>
      <c r="J15" s="30">
        <f ca="1">IFERROR(__xludf.DUMMYFUNCTION("XLOOKUP($B15,IMPORTRANGE(""https://docs.google.com/spreadsheets/d/1EjEqG6oc_vmuAWwHnH51YMvSMVUVePUqNn9zZBOmHT8/edit#gid=757525651"",""'Allocation Breakdown'!A4:A187""),IMPORTRANGE(""https://docs.google.com/spreadsheets/d/1EjEqG6oc_vmuAWwHnH51YMvSMVUVePUqN"&amp;"n9zZBOmHT8/edit#gid=757525651"",""'Allocation Breakdown'!G4:G187""))"),10000)</f>
        <v>10000</v>
      </c>
      <c r="K15" s="30">
        <f ca="1">IFERROR(__xludf.DUMMYFUNCTION("XLOOKUP($B15,IMPORTRANGE(""https://docs.google.com/spreadsheets/d/1EjEqG6oc_vmuAWwHnH51YMvSMVUVePUqNn9zZBOmHT8/edit#gid=757525651"",""'Allocation Breakdown'!A4:A187""),IMPORTRANGE(""https://docs.google.com/spreadsheets/d/1EjEqG6oc_vmuAWwHnH51YMvSMVUVePUqN"&amp;"n9zZBOmHT8/edit#gid=757525651"",""'Allocation Breakdown'!I4:I187""))*K$119"),1874.8153908)</f>
        <v>1874.8153907999999</v>
      </c>
      <c r="L15" s="30">
        <f ca="1">IFERROR(__xludf.DUMMYFUNCTION("XLOOKUP($B15,IMPORTRANGE(""https://docs.google.com/spreadsheets/d/1EjEqG6oc_vmuAWwHnH51YMvSMVUVePUqNn9zZBOmHT8/edit#gid=757525651"",""'Allocation Breakdown'!A4:A187""),IMPORTRANGE(""https://docs.google.com/spreadsheets/d/1EjEqG6oc_vmuAWwHnH51YMvSMVUVePUqN"&amp;"n9zZBOmHT8/edit#gid=757525651"",""'Allocation Breakdown'!j4:j187""))*L$119"),11104.6266915)</f>
        <v>11104.6266915</v>
      </c>
      <c r="M15" s="30">
        <f ca="1">IFERROR(__xludf.DUMMYFUNCTION("XLOOKUP($B15,IMPORTRANGE(""https://docs.google.com/spreadsheets/d/1EjEqG6oc_vmuAWwHnH51YMvSMVUVePUqNn9zZBOmHT8/edit#gid=757525651"",""'Allocation Breakdown'!A4:A187""),IMPORTRANGE(""https://docs.google.com/spreadsheets/d/1EjEqG6oc_vmuAWwHnH51YMvSMVUVePUqN"&amp;"n9zZBOmHT8/edit#gid=757525651"",""'Allocation Breakdown'!K4:K187""))*M$119"),10765.8678285)</f>
        <v>10765.867828500001</v>
      </c>
      <c r="N15" s="30">
        <f ca="1">IFERROR(__xludf.DUMMYFUNCTION("XLOOKUP($B15,IMPORTRANGE(""https://docs.google.com/spreadsheets/d/1EjEqG6oc_vmuAWwHnH51YMvSMVUVePUqNn9zZBOmHT8/edit#gid=757525651"",""'Allocation Breakdown'!A4:A187""),IMPORTRANGE(""https://docs.google.com/spreadsheets/d/1EjEqG6oc_vmuAWwHnH51YMvSMVUVePUqN"&amp;"n9zZBOmHT8/edit#gid=757525651"",""'Allocation Breakdown'!l4:l187""))*N$119"),2855.5801524)</f>
        <v>2855.5801523999999</v>
      </c>
      <c r="O15" s="30">
        <f ca="1">IFERROR(__xludf.DUMMYFUNCTION("XLOOKUP($B15,IMPORTRANGE(""https://docs.google.com/spreadsheets/d/1EjEqG6oc_vmuAWwHnH51YMvSMVUVePUqNn9zZBOmHT8/edit#gid=757525651"",""'Allocation Breakdown'!A4:A187""),IMPORTRANGE(""https://docs.google.com/spreadsheets/d/1EjEqG6oc_vmuAWwHnH51YMvSMVUVePUqN"&amp;"n9zZBOmHT8/edit#gid=757525651"",""'Allocation Breakdown'!n4:n187""))*O$119"),0)</f>
        <v>0</v>
      </c>
      <c r="P15" s="30">
        <f ca="1">IFERROR(__xludf.DUMMYFUNCTION("XLOOKUP($B15,IMPORTRANGE(""https://docs.google.com/spreadsheets/d/1EjEqG6oc_vmuAWwHnH51YMvSMVUVePUqNn9zZBOmHT8/edit#gid=757525651"",""'Allocation Breakdown'!A4:A187""),IMPORTRANGE(""https://docs.google.com/spreadsheets/d/1EjEqG6oc_vmuAWwHnH51YMvSMVUVePUqN"&amp;"n9zZBOmHT8/edit#gid=757525651"",""'Allocation Breakdown'!o4:o187""))*P$119"),6600)</f>
        <v>6600</v>
      </c>
      <c r="Q15" s="30">
        <f ca="1">IFERROR(__xludf.DUMMYFUNCTION("XLOOKUP($B15,IMPORTRANGE(""https://docs.google.com/spreadsheets/d/1EjEqG6oc_vmuAWwHnH51YMvSMVUVePUqNn9zZBOmHT8/edit#gid=757525651"",""'Allocation Breakdown'!A4:A187""),IMPORTRANGE(""https://docs.google.com/spreadsheets/d/1EjEqG6oc_vmuAWwHnH51YMvSMVUVePUqN"&amp;"n9zZBOmHT8/edit#gid=757525651"",""'Allocation Breakdown'!p4:p187""))*Q$119"),3000)</f>
        <v>3000</v>
      </c>
      <c r="R15" s="30">
        <f ca="1">IFERROR(__xludf.DUMMYFUNCTION("XLOOKUP($B15,IMPORTRANGE(""https://docs.google.com/spreadsheets/d/1EjEqG6oc_vmuAWwHnH51YMvSMVUVePUqNn9zZBOmHT8/edit#gid=757525651"",""'Allocation Breakdown'!A4:A187""),IMPORTRANGE(""https://docs.google.com/spreadsheets/d/1EjEqG6oc_vmuAWwHnH51YMvSMVUVePUqN"&amp;"n9zZBOmHT8/edit#gid=757525651"",""'Allocation Breakdown'!q4:q187""))*R$119"),6000)</f>
        <v>6000</v>
      </c>
      <c r="S15" s="30">
        <f ca="1">IFERROR(__xludf.DUMMYFUNCTION("XLOOKUP($B15,IMPORTRANGE(""https://docs.google.com/spreadsheets/d/1EjEqG6oc_vmuAWwHnH51YMvSMVUVePUqNn9zZBOmHT8/edit#gid=757525651"",""'Allocation Breakdown'!A4:A187""),IMPORTRANGE(""https://docs.google.com/spreadsheets/d/1EjEqG6oc_vmuAWwHnH51YMvSMVUVePUqN"&amp;"n9zZBOmHT8/edit#gid=757525651"",""'Allocation Breakdown'!r4:r187""))*S$119"),6000)</f>
        <v>6000</v>
      </c>
      <c r="T15" s="30">
        <f ca="1">IFERROR(__xludf.DUMMYFUNCTION("XLOOKUP($B15,IMPORTRANGE(""https://docs.google.com/spreadsheets/d/1EjEqG6oc_vmuAWwHnH51YMvSMVUVePUqNn9zZBOmHT8/edit#gid=757525651"",""'Allocation Breakdown'!A4:A187""),IMPORTRANGE(""https://docs.google.com/spreadsheets/d/1EjEqG6oc_vmuAWwHnH51YMvSMVUVePUqN"&amp;"n9zZBOmHT8/edit#gid=757525651"",""'Allocation Breakdown'!t4:t187""))*T$119"),21000)</f>
        <v>21000</v>
      </c>
      <c r="U15" s="30">
        <f ca="1">IFERROR(__xludf.DUMMYFUNCTION("XLOOKUP($B15,IMPORTRANGE(""https://docs.google.com/spreadsheets/d/1EjEqG6oc_vmuAWwHnH51YMvSMVUVePUqNn9zZBOmHT8/edit#gid=757525651"",""'Allocation Breakdown'!A4:A187""),IMPORTRANGE(""https://docs.google.com/spreadsheets/d/1EjEqG6oc_vmuAWwHnH51YMvSMVUVePUqN"&amp;"n9zZBOmHT8/edit#gid=757525651"",""'Allocation Breakdown'!U4:U187""))*U$119"),33000)</f>
        <v>33000</v>
      </c>
      <c r="V15" s="31">
        <f t="shared" ca="1" si="1"/>
        <v>270450.89006320003</v>
      </c>
      <c r="W15" s="31">
        <f t="shared" ca="1" si="2"/>
        <v>294939.27758819656</v>
      </c>
      <c r="Z15" s="32"/>
      <c r="AA15" s="32"/>
      <c r="AB15" s="32"/>
    </row>
    <row r="16" spans="1:28" ht="15.75" customHeight="1">
      <c r="B16" s="28" t="s">
        <v>111</v>
      </c>
      <c r="C16" s="30">
        <f ca="1">IFERROR(__xludf.DUMMYFUNCTION("XLOOKUP($B16,IMPORTRANGE(""https://docs.google.com/spreadsheets/d/1EjEqG6oc_vmuAWwHnH51YMvSMVUVePUqNn9zZBOmHT8/edit#gid=757525651"",""'Allocation Breakdown'!A4:A187""),IMPORTRANGE(""https://docs.google.com/spreadsheets/d/1EjEqG6oc_vmuAWwHnH51YMvSMVUVePUqN"&amp;"n9zZBOmHT8/edit#gid=757525651"",""'Allocation Breakdown'!V4:V187""))*C$119"),3109.52421948)</f>
        <v>3109.5242194799998</v>
      </c>
      <c r="D16" s="30">
        <f ca="1">IFERROR(__xludf.DUMMYFUNCTION("XLOOKUP($B16,IMPORTRANGE(""https://docs.google.com/spreadsheets/d/1EjEqG6oc_vmuAWwHnH51YMvSMVUVePUqNn9zZBOmHT8/edit#gid=757525651"",""'Allocation Breakdown'!A4:A187""),IMPORTRANGE(""https://docs.google.com/spreadsheets/d/1EjEqG6oc_vmuAWwHnH51YMvSMVUVePUqN"&amp;"n9zZBOmHT8/edit#gid=757525651"",""'Allocation Breakdown'!I4:I187""))*$D$119"),28451.183366662)</f>
        <v>28451.183366662</v>
      </c>
      <c r="E16" s="30">
        <f ca="1">IFERROR(__xludf.DUMMYFUNCTION("XLOOKUP($B16,IMPORTRANGE(""https://docs.google.com/spreadsheets/d/1EjEqG6oc_vmuAWwHnH51YMvSMVUVePUqNn9zZBOmHT8/edit#gid=757525651"",""'Allocation Breakdown'!A4:A187""),IMPORTRANGE(""https://docs.google.com/spreadsheets/d/1EjEqG6oc_vmuAWwHnH51YMvSMVUVePUqN"&amp;"n9zZBOmHT8/edit#gid=757525651"",""'Allocation Breakdown'!V4:V187""))*E$119"),1090.47578052)</f>
        <v>1090.4757805199999</v>
      </c>
      <c r="F16" s="30">
        <f t="shared" ca="1" si="0"/>
        <v>29541.659147181999</v>
      </c>
      <c r="G16" s="30">
        <f ca="1">IFERROR(__xludf.DUMMYFUNCTION("XLOOKUP($B16,IMPORTRANGE(""https://docs.google.com/spreadsheets/d/1EjEqG6oc_vmuAWwHnH51YMvSMVUVePUqNn9zZBOmHT8/edit#gid=757525651"",""'Allocation Breakdown'!A4:A187""),IMPORTRANGE(""https://docs.google.com/spreadsheets/d/1EjEqG6oc_vmuAWwHnH51YMvSMVUVePUqN"&amp;"n9zZBOmHT8/edit#gid=757525651"",""'Allocation Breakdown'!D4:D187""))"),10000)</f>
        <v>10000</v>
      </c>
      <c r="H16" s="30">
        <f ca="1">IFERROR(__xludf.DUMMYFUNCTION("XLOOKUP($B16,IMPORTRANGE(""https://docs.google.com/spreadsheets/d/1EjEqG6oc_vmuAWwHnH51YMvSMVUVePUqNn9zZBOmHT8/edit#gid=757525651"",""'Allocation Breakdown'!A4:A187""),IMPORTRANGE(""https://docs.google.com/spreadsheets/d/1EjEqG6oc_vmuAWwHnH51YMvSMVUVePUqN"&amp;"n9zZBOmHT8/edit#gid=757525651"",""'Allocation Breakdown'!E4:E187""))"),60000)</f>
        <v>60000</v>
      </c>
      <c r="I16" s="30">
        <f ca="1">IFERROR(__xludf.DUMMYFUNCTION("XLOOKUP($B16,IMPORTRANGE(""https://docs.google.com/spreadsheets/d/1EjEqG6oc_vmuAWwHnH51YMvSMVUVePUqNn9zZBOmHT8/edit#gid=757525651"",""'Allocation Breakdown'!A4:A187""),IMPORTRANGE(""https://docs.google.com/spreadsheets/d/1EjEqG6oc_vmuAWwHnH51YMvSMVUVePUqN"&amp;"n9zZBOmHT8/edit#gid=757525651"",""'Allocation Breakdown'!F4:F187""))"),30000)</f>
        <v>30000</v>
      </c>
      <c r="J16" s="30">
        <f ca="1">IFERROR(__xludf.DUMMYFUNCTION("XLOOKUP($B16,IMPORTRANGE(""https://docs.google.com/spreadsheets/d/1EjEqG6oc_vmuAWwHnH51YMvSMVUVePUqNn9zZBOmHT8/edit#gid=757525651"",""'Allocation Breakdown'!A4:A187""),IMPORTRANGE(""https://docs.google.com/spreadsheets/d/1EjEqG6oc_vmuAWwHnH51YMvSMVUVePUqN"&amp;"n9zZBOmHT8/edit#gid=757525651"",""'Allocation Breakdown'!G4:G187""))"),36700)</f>
        <v>36700</v>
      </c>
      <c r="K16" s="30">
        <f ca="1">IFERROR(__xludf.DUMMYFUNCTION("XLOOKUP($B16,IMPORTRANGE(""https://docs.google.com/spreadsheets/d/1EjEqG6oc_vmuAWwHnH51YMvSMVUVePUqNn9zZBOmHT8/edit#gid=757525651"",""'Allocation Breakdown'!A4:A187""),IMPORTRANGE(""https://docs.google.com/spreadsheets/d/1EjEqG6oc_vmuAWwHnH51YMvSMVUVePUqN"&amp;"n9zZBOmHT8/edit#gid=757525651"",""'Allocation Breakdown'!I4:I187""))*K$119"),2499.7538544)</f>
        <v>2499.7538543999999</v>
      </c>
      <c r="L16" s="30">
        <f ca="1">IFERROR(__xludf.DUMMYFUNCTION("XLOOKUP($B16,IMPORTRANGE(""https://docs.google.com/spreadsheets/d/1EjEqG6oc_vmuAWwHnH51YMvSMVUVePUqNn9zZBOmHT8/edit#gid=757525651"",""'Allocation Breakdown'!A4:A187""),IMPORTRANGE(""https://docs.google.com/spreadsheets/d/1EjEqG6oc_vmuAWwHnH51YMvSMVUVePUqN"&amp;"n9zZBOmHT8/edit#gid=757525651"",""'Allocation Breakdown'!j4:j187""))*L$119"),14806.168922)</f>
        <v>14806.168922000001</v>
      </c>
      <c r="M16" s="30">
        <f ca="1">IFERROR(__xludf.DUMMYFUNCTION("XLOOKUP($B16,IMPORTRANGE(""https://docs.google.com/spreadsheets/d/1EjEqG6oc_vmuAWwHnH51YMvSMVUVePUqNn9zZBOmHT8/edit#gid=757525651"",""'Allocation Breakdown'!A4:A187""),IMPORTRANGE(""https://docs.google.com/spreadsheets/d/1EjEqG6oc_vmuAWwHnH51YMvSMVUVePUqN"&amp;"n9zZBOmHT8/edit#gid=757525651"",""'Allocation Breakdown'!K4:K187""))*M$119"),14354.490438)</f>
        <v>14354.490438000001</v>
      </c>
      <c r="N16" s="30">
        <f ca="1">IFERROR(__xludf.DUMMYFUNCTION("XLOOKUP($B16,IMPORTRANGE(""https://docs.google.com/spreadsheets/d/1EjEqG6oc_vmuAWwHnH51YMvSMVUVePUqNn9zZBOmHT8/edit#gid=757525651"",""'Allocation Breakdown'!A4:A187""),IMPORTRANGE(""https://docs.google.com/spreadsheets/d/1EjEqG6oc_vmuAWwHnH51YMvSMVUVePUqN"&amp;"n9zZBOmHT8/edit#gid=757525651"",""'Allocation Breakdown'!l4:l187""))*N$119"),3807.4402032)</f>
        <v>3807.4402031999998</v>
      </c>
      <c r="O16" s="30">
        <f ca="1">IFERROR(__xludf.DUMMYFUNCTION("XLOOKUP($B16,IMPORTRANGE(""https://docs.google.com/spreadsheets/d/1EjEqG6oc_vmuAWwHnH51YMvSMVUVePUqNn9zZBOmHT8/edit#gid=757525651"",""'Allocation Breakdown'!A4:A187""),IMPORTRANGE(""https://docs.google.com/spreadsheets/d/1EjEqG6oc_vmuAWwHnH51YMvSMVUVePUqN"&amp;"n9zZBOmHT8/edit#gid=757525651"",""'Allocation Breakdown'!n4:n187""))*O$119"),0)</f>
        <v>0</v>
      </c>
      <c r="P16" s="30">
        <f ca="1">IFERROR(__xludf.DUMMYFUNCTION("XLOOKUP($B16,IMPORTRANGE(""https://docs.google.com/spreadsheets/d/1EjEqG6oc_vmuAWwHnH51YMvSMVUVePUqNn9zZBOmHT8/edit#gid=757525651"",""'Allocation Breakdown'!A4:A187""),IMPORTRANGE(""https://docs.google.com/spreadsheets/d/1EjEqG6oc_vmuAWwHnH51YMvSMVUVePUqN"&amp;"n9zZBOmHT8/edit#gid=757525651"",""'Allocation Breakdown'!o4:o187""))*P$119"),8800)</f>
        <v>8800</v>
      </c>
      <c r="Q16" s="30">
        <f ca="1">IFERROR(__xludf.DUMMYFUNCTION("XLOOKUP($B16,IMPORTRANGE(""https://docs.google.com/spreadsheets/d/1EjEqG6oc_vmuAWwHnH51YMvSMVUVePUqNn9zZBOmHT8/edit#gid=757525651"",""'Allocation Breakdown'!A4:A187""),IMPORTRANGE(""https://docs.google.com/spreadsheets/d/1EjEqG6oc_vmuAWwHnH51YMvSMVUVePUqN"&amp;"n9zZBOmHT8/edit#gid=757525651"",""'Allocation Breakdown'!p4:p187""))*Q$119"),5000)</f>
        <v>5000</v>
      </c>
      <c r="R16" s="30">
        <f ca="1">IFERROR(__xludf.DUMMYFUNCTION("XLOOKUP($B16,IMPORTRANGE(""https://docs.google.com/spreadsheets/d/1EjEqG6oc_vmuAWwHnH51YMvSMVUVePUqNn9zZBOmHT8/edit#gid=757525651"",""'Allocation Breakdown'!A4:A187""),IMPORTRANGE(""https://docs.google.com/spreadsheets/d/1EjEqG6oc_vmuAWwHnH51YMvSMVUVePUqN"&amp;"n9zZBOmHT8/edit#gid=757525651"",""'Allocation Breakdown'!q4:q187""))*R$119"),8000)</f>
        <v>8000</v>
      </c>
      <c r="S16" s="30">
        <f ca="1">IFERROR(__xludf.DUMMYFUNCTION("XLOOKUP($B16,IMPORTRANGE(""https://docs.google.com/spreadsheets/d/1EjEqG6oc_vmuAWwHnH51YMvSMVUVePUqNn9zZBOmHT8/edit#gid=757525651"",""'Allocation Breakdown'!A4:A187""),IMPORTRANGE(""https://docs.google.com/spreadsheets/d/1EjEqG6oc_vmuAWwHnH51YMvSMVUVePUqN"&amp;"n9zZBOmHT8/edit#gid=757525651"",""'Allocation Breakdown'!r4:r187""))*S$119"),8000)</f>
        <v>8000</v>
      </c>
      <c r="T16" s="30">
        <f ca="1">IFERROR(__xludf.DUMMYFUNCTION("XLOOKUP($B16,IMPORTRANGE(""https://docs.google.com/spreadsheets/d/1EjEqG6oc_vmuAWwHnH51YMvSMVUVePUqNn9zZBOmHT8/edit#gid=757525651"",""'Allocation Breakdown'!A4:A187""),IMPORTRANGE(""https://docs.google.com/spreadsheets/d/1EjEqG6oc_vmuAWwHnH51YMvSMVUVePUqN"&amp;"n9zZBOmHT8/edit#gid=757525651"",""'Allocation Breakdown'!t4:t187""))*T$119"),28000)</f>
        <v>28000</v>
      </c>
      <c r="U16" s="30">
        <f ca="1">IFERROR(__xludf.DUMMYFUNCTION("XLOOKUP($B16,IMPORTRANGE(""https://docs.google.com/spreadsheets/d/1EjEqG6oc_vmuAWwHnH51YMvSMVUVePUqNn9zZBOmHT8/edit#gid=757525651"",""'Allocation Breakdown'!A4:A187""),IMPORTRANGE(""https://docs.google.com/spreadsheets/d/1EjEqG6oc_vmuAWwHnH51YMvSMVUVePUqN"&amp;"n9zZBOmHT8/edit#gid=757525651"",""'Allocation Breakdown'!U4:U187""))*U$119"),44000)</f>
        <v>44000</v>
      </c>
      <c r="V16" s="31">
        <f t="shared" ca="1" si="1"/>
        <v>273967.85341760004</v>
      </c>
      <c r="W16" s="31">
        <f t="shared" ca="1" si="2"/>
        <v>306619.03678426205</v>
      </c>
      <c r="Z16" s="32"/>
      <c r="AA16" s="32"/>
      <c r="AB16" s="32"/>
    </row>
    <row r="17" spans="2:28" ht="15.75" customHeight="1">
      <c r="B17" s="28" t="s">
        <v>112</v>
      </c>
      <c r="C17" s="30">
        <f ca="1">IFERROR(__xludf.DUMMYFUNCTION("XLOOKUP($B17,IMPORTRANGE(""https://docs.google.com/spreadsheets/d/1EjEqG6oc_vmuAWwHnH51YMvSMVUVePUqNn9zZBOmHT8/edit#gid=757525651"",""'Allocation Breakdown'!A4:A187""),IMPORTRANGE(""https://docs.google.com/spreadsheets/d/1EjEqG6oc_vmuAWwHnH51YMvSMVUVePUqN"&amp;"n9zZBOmHT8/edit#gid=757525651"",""'Allocation Breakdown'!V4:V187""))*C$119"),7773.81054869999)</f>
        <v>7773.8105486999902</v>
      </c>
      <c r="D17" s="30">
        <f ca="1">IFERROR(__xludf.DUMMYFUNCTION("XLOOKUP($B17,IMPORTRANGE(""https://docs.google.com/spreadsheets/d/1EjEqG6oc_vmuAWwHnH51YMvSMVUVePUqNn9zZBOmHT8/edit#gid=757525651"",""'Allocation Breakdown'!A4:A187""),IMPORTRANGE(""https://docs.google.com/spreadsheets/d/1EjEqG6oc_vmuAWwHnH51YMvSMVUVePUqN"&amp;"n9zZBOmHT8/edit#gid=757525651"",""'Allocation Breakdown'!I4:I187""))*$D$119"),83361.9672643197)</f>
        <v>83361.967264319697</v>
      </c>
      <c r="E17" s="30">
        <f ca="1">IFERROR(__xludf.DUMMYFUNCTION("XLOOKUP($B17,IMPORTRANGE(""https://docs.google.com/spreadsheets/d/1EjEqG6oc_vmuAWwHnH51YMvSMVUVePUqNn9zZBOmHT8/edit#gid=757525651"",""'Allocation Breakdown'!A4:A187""),IMPORTRANGE(""https://docs.google.com/spreadsheets/d/1EjEqG6oc_vmuAWwHnH51YMvSMVUVePUqN"&amp;"n9zZBOmHT8/edit#gid=757525651"",""'Allocation Breakdown'!V4:V187""))*E$119"),2726.1894513)</f>
        <v>2726.1894513000002</v>
      </c>
      <c r="F17" s="30">
        <f t="shared" ca="1" si="0"/>
        <v>86088.156715619698</v>
      </c>
      <c r="G17" s="30" t="str">
        <f ca="1">IFERROR(__xludf.DUMMYFUNCTION("XLOOKUP($B17,IMPORTRANGE(""https://docs.google.com/spreadsheets/d/1EjEqG6oc_vmuAWwHnH51YMvSMVUVePUqNn9zZBOmHT8/edit#gid=757525651"",""'Allocation Breakdown'!A4:A187""),IMPORTRANGE(""https://docs.google.com/spreadsheets/d/1EjEqG6oc_vmuAWwHnH51YMvSMVUVePUqN"&amp;"n9zZBOmHT8/edit#gid=757525651"",""'Allocation Breakdown'!D4:D187""))"),"")</f>
        <v/>
      </c>
      <c r="H17" s="30" t="str">
        <f ca="1">IFERROR(__xludf.DUMMYFUNCTION("XLOOKUP($B17,IMPORTRANGE(""https://docs.google.com/spreadsheets/d/1EjEqG6oc_vmuAWwHnH51YMvSMVUVePUqNn9zZBOmHT8/edit#gid=757525651"",""'Allocation Breakdown'!A4:A187""),IMPORTRANGE(""https://docs.google.com/spreadsheets/d/1EjEqG6oc_vmuAWwHnH51YMvSMVUVePUqN"&amp;"n9zZBOmHT8/edit#gid=757525651"",""'Allocation Breakdown'!E4:E187""))"),"")</f>
        <v/>
      </c>
      <c r="I17" s="30">
        <f ca="1">IFERROR(__xludf.DUMMYFUNCTION("XLOOKUP($B17,IMPORTRANGE(""https://docs.google.com/spreadsheets/d/1EjEqG6oc_vmuAWwHnH51YMvSMVUVePUqNn9zZBOmHT8/edit#gid=757525651"",""'Allocation Breakdown'!A4:A187""),IMPORTRANGE(""https://docs.google.com/spreadsheets/d/1EjEqG6oc_vmuAWwHnH51YMvSMVUVePUqN"&amp;"n9zZBOmHT8/edit#gid=757525651"",""'Allocation Breakdown'!F4:F187""))"),92838)</f>
        <v>92838</v>
      </c>
      <c r="J17" s="30" t="str">
        <f ca="1">IFERROR(__xludf.DUMMYFUNCTION("XLOOKUP($B17,IMPORTRANGE(""https://docs.google.com/spreadsheets/d/1EjEqG6oc_vmuAWwHnH51YMvSMVUVePUqNn9zZBOmHT8/edit#gid=757525651"",""'Allocation Breakdown'!A4:A187""),IMPORTRANGE(""https://docs.google.com/spreadsheets/d/1EjEqG6oc_vmuAWwHnH51YMvSMVUVePUqN"&amp;"n9zZBOmHT8/edit#gid=757525651"",""'Allocation Breakdown'!G4:G187""))"),"")</f>
        <v/>
      </c>
      <c r="K17" s="30">
        <f ca="1">IFERROR(__xludf.DUMMYFUNCTION("XLOOKUP($B17,IMPORTRANGE(""https://docs.google.com/spreadsheets/d/1EjEqG6oc_vmuAWwHnH51YMvSMVUVePUqNn9zZBOmHT8/edit#gid=757525651"",""'Allocation Breakdown'!A4:A187""),IMPORTRANGE(""https://docs.google.com/spreadsheets/d/1EjEqG6oc_vmuAWwHnH51YMvSMVUVePUqN"&amp;"n9zZBOmHT8/edit#gid=757525651"",""'Allocation Breakdown'!I4:I187""))*K$119"),7324.278793392)</f>
        <v>7324.2787933919999</v>
      </c>
      <c r="L17" s="30">
        <f ca="1">IFERROR(__xludf.DUMMYFUNCTION("XLOOKUP($B17,IMPORTRANGE(""https://docs.google.com/spreadsheets/d/1EjEqG6oc_vmuAWwHnH51YMvSMVUVePUqNn9zZBOmHT8/edit#gid=757525651"",""'Allocation Breakdown'!A4:A187""),IMPORTRANGE(""https://docs.google.com/spreadsheets/d/1EjEqG6oc_vmuAWwHnH51YMvSMVUVePUqN"&amp;"n9zZBOmHT8/edit#gid=757525651"",""'Allocation Breakdown'!j4:j187""))*L$119"),34646.43527748)</f>
        <v>34646.435277479999</v>
      </c>
      <c r="M17" s="30">
        <f ca="1">IFERROR(__xludf.DUMMYFUNCTION("XLOOKUP($B17,IMPORTRANGE(""https://docs.google.com/spreadsheets/d/1EjEqG6oc_vmuAWwHnH51YMvSMVUVePUqNn9zZBOmHT8/edit#gid=757525651"",""'Allocation Breakdown'!A4:A187""),IMPORTRANGE(""https://docs.google.com/spreadsheets/d/1EjEqG6oc_vmuAWwHnH51YMvSMVUVePUqN"&amp;"n9zZBOmHT8/edit#gid=757525651"",""'Allocation Breakdown'!K4:K187""))*M$119"),25838.0827884)</f>
        <v>25838.082788399999</v>
      </c>
      <c r="N17" s="30">
        <f ca="1">IFERROR(__xludf.DUMMYFUNCTION("XLOOKUP($B17,IMPORTRANGE(""https://docs.google.com/spreadsheets/d/1EjEqG6oc_vmuAWwHnH51YMvSMVUVePUqNn9zZBOmHT8/edit#gid=757525651"",""'Allocation Breakdown'!A4:A187""),IMPORTRANGE(""https://docs.google.com/spreadsheets/d/1EjEqG6oc_vmuAWwHnH51YMvSMVUVePUqN"&amp;"n9zZBOmHT8/edit#gid=757525651"",""'Allocation Breakdown'!l4:l187""))*N$119"),11422.3206096)</f>
        <v>11422.320609599999</v>
      </c>
      <c r="O17" s="30">
        <f ca="1">IFERROR(__xludf.DUMMYFUNCTION("XLOOKUP($B17,IMPORTRANGE(""https://docs.google.com/spreadsheets/d/1EjEqG6oc_vmuAWwHnH51YMvSMVUVePUqNn9zZBOmHT8/edit#gid=757525651"",""'Allocation Breakdown'!A4:A187""),IMPORTRANGE(""https://docs.google.com/spreadsheets/d/1EjEqG6oc_vmuAWwHnH51YMvSMVUVePUqN"&amp;"n9zZBOmHT8/edit#gid=757525651"",""'Allocation Breakdown'!n4:n187""))*O$119"),20000)</f>
        <v>20000</v>
      </c>
      <c r="P17" s="30">
        <f ca="1">IFERROR(__xludf.DUMMYFUNCTION("XLOOKUP($B17,IMPORTRANGE(""https://docs.google.com/spreadsheets/d/1EjEqG6oc_vmuAWwHnH51YMvSMVUVePUqNn9zZBOmHT8/edit#gid=757525651"",""'Allocation Breakdown'!A4:A187""),IMPORTRANGE(""https://docs.google.com/spreadsheets/d/1EjEqG6oc_vmuAWwHnH51YMvSMVUVePUqN"&amp;"n9zZBOmHT8/edit#gid=757525651"",""'Allocation Breakdown'!o4:o187""))*P$119"),26400)</f>
        <v>26400</v>
      </c>
      <c r="Q17" s="30">
        <f ca="1">IFERROR(__xludf.DUMMYFUNCTION("XLOOKUP($B17,IMPORTRANGE(""https://docs.google.com/spreadsheets/d/1EjEqG6oc_vmuAWwHnH51YMvSMVUVePUqNn9zZBOmHT8/edit#gid=757525651"",""'Allocation Breakdown'!A4:A187""),IMPORTRANGE(""https://docs.google.com/spreadsheets/d/1EjEqG6oc_vmuAWwHnH51YMvSMVUVePUqN"&amp;"n9zZBOmHT8/edit#gid=757525651"",""'Allocation Breakdown'!p4:p187""))*Q$119"),23000)</f>
        <v>23000</v>
      </c>
      <c r="R17" s="30">
        <f ca="1">IFERROR(__xludf.DUMMYFUNCTION("XLOOKUP($B17,IMPORTRANGE(""https://docs.google.com/spreadsheets/d/1EjEqG6oc_vmuAWwHnH51YMvSMVUVePUqNn9zZBOmHT8/edit#gid=757525651"",""'Allocation Breakdown'!A4:A187""),IMPORTRANGE(""https://docs.google.com/spreadsheets/d/1EjEqG6oc_vmuAWwHnH51YMvSMVUVePUqN"&amp;"n9zZBOmHT8/edit#gid=757525651"",""'Allocation Breakdown'!q4:q187""))*R$119"),11000)</f>
        <v>11000</v>
      </c>
      <c r="S17" s="30">
        <f ca="1">IFERROR(__xludf.DUMMYFUNCTION("XLOOKUP($B17,IMPORTRANGE(""https://docs.google.com/spreadsheets/d/1EjEqG6oc_vmuAWwHnH51YMvSMVUVePUqNn9zZBOmHT8/edit#gid=757525651"",""'Allocation Breakdown'!A4:A187""),IMPORTRANGE(""https://docs.google.com/spreadsheets/d/1EjEqG6oc_vmuAWwHnH51YMvSMVUVePUqN"&amp;"n9zZBOmHT8/edit#gid=757525651"",""'Allocation Breakdown'!r4:r187""))*S$119"),24000)</f>
        <v>24000</v>
      </c>
      <c r="T17" s="30">
        <f ca="1">IFERROR(__xludf.DUMMYFUNCTION("XLOOKUP($B17,IMPORTRANGE(""https://docs.google.com/spreadsheets/d/1EjEqG6oc_vmuAWwHnH51YMvSMVUVePUqNn9zZBOmHT8/edit#gid=757525651"",""'Allocation Breakdown'!A4:A187""),IMPORTRANGE(""https://docs.google.com/spreadsheets/d/1EjEqG6oc_vmuAWwHnH51YMvSMVUVePUqN"&amp;"n9zZBOmHT8/edit#gid=757525651"",""'Allocation Breakdown'!t4:t187""))*T$119"),84000)</f>
        <v>84000</v>
      </c>
      <c r="U17" s="30">
        <f ca="1">IFERROR(__xludf.DUMMYFUNCTION("XLOOKUP($B17,IMPORTRANGE(""https://docs.google.com/spreadsheets/d/1EjEqG6oc_vmuAWwHnH51YMvSMVUVePUqNn9zZBOmHT8/edit#gid=757525651"",""'Allocation Breakdown'!A4:A187""),IMPORTRANGE(""https://docs.google.com/spreadsheets/d/1EjEqG6oc_vmuAWwHnH51YMvSMVUVePUqN"&amp;"n9zZBOmHT8/edit#gid=757525651"",""'Allocation Breakdown'!U4:U187""))*U$119"),132000)</f>
        <v>132000</v>
      </c>
      <c r="V17" s="31">
        <f t="shared" ca="1" si="1"/>
        <v>492469.11746887199</v>
      </c>
      <c r="W17" s="31">
        <f t="shared" ca="1" si="2"/>
        <v>586331.08473319176</v>
      </c>
      <c r="Z17" s="32"/>
      <c r="AA17" s="32"/>
      <c r="AB17" s="32"/>
    </row>
    <row r="18" spans="2:28" ht="15.75" customHeight="1">
      <c r="B18" s="28" t="s">
        <v>113</v>
      </c>
      <c r="C18" s="30">
        <f ca="1">IFERROR(__xludf.DUMMYFUNCTION("XLOOKUP($B18,IMPORTRANGE(""https://docs.google.com/spreadsheets/d/1EjEqG6oc_vmuAWwHnH51YMvSMVUVePUqNn9zZBOmHT8/edit#gid=757525651"",""'Allocation Breakdown'!A4:A187""),IMPORTRANGE(""https://docs.google.com/spreadsheets/d/1EjEqG6oc_vmuAWwHnH51YMvSMVUVePUqN"&amp;"n9zZBOmHT8/edit#gid=757525651"",""'Allocation Breakdown'!V4:V187""))*C$119"),1554.76210974)</f>
        <v>1554.7621097399999</v>
      </c>
      <c r="D18" s="30">
        <f ca="1">IFERROR(__xludf.DUMMYFUNCTION("XLOOKUP($B18,IMPORTRANGE(""https://docs.google.com/spreadsheets/d/1EjEqG6oc_vmuAWwHnH51YMvSMVUVePUqNn9zZBOmHT8/edit#gid=757525651"",""'Allocation Breakdown'!A4:A187""),IMPORTRANGE(""https://docs.google.com/spreadsheets/d/1EjEqG6oc_vmuAWwHnH51YMvSMVUVePUqN"&amp;"n9zZBOmHT8/edit#gid=757525651"",""'Allocation Breakdown'!I4:I187""))*$D$119"),14225.591683331)</f>
        <v>14225.591683331</v>
      </c>
      <c r="E18" s="30">
        <f ca="1">IFERROR(__xludf.DUMMYFUNCTION("XLOOKUP($B18,IMPORTRANGE(""https://docs.google.com/spreadsheets/d/1EjEqG6oc_vmuAWwHnH51YMvSMVUVePUqNn9zZBOmHT8/edit#gid=757525651"",""'Allocation Breakdown'!A4:A187""),IMPORTRANGE(""https://docs.google.com/spreadsheets/d/1EjEqG6oc_vmuAWwHnH51YMvSMVUVePUqN"&amp;"n9zZBOmHT8/edit#gid=757525651"",""'Allocation Breakdown'!V4:V187""))*E$119"),545.23789026)</f>
        <v>545.23789025999997</v>
      </c>
      <c r="F18" s="30">
        <f t="shared" ca="1" si="0"/>
        <v>14770.829573591</v>
      </c>
      <c r="G18" s="30" t="str">
        <f ca="1">IFERROR(__xludf.DUMMYFUNCTION("XLOOKUP($B18,IMPORTRANGE(""https://docs.google.com/spreadsheets/d/1EjEqG6oc_vmuAWwHnH51YMvSMVUVePUqNn9zZBOmHT8/edit#gid=757525651"",""'Allocation Breakdown'!A4:A187""),IMPORTRANGE(""https://docs.google.com/spreadsheets/d/1EjEqG6oc_vmuAWwHnH51YMvSMVUVePUqN"&amp;"n9zZBOmHT8/edit#gid=757525651"",""'Allocation Breakdown'!D4:D187""))"),"")</f>
        <v/>
      </c>
      <c r="H18" s="30" t="str">
        <f ca="1">IFERROR(__xludf.DUMMYFUNCTION("XLOOKUP($B18,IMPORTRANGE(""https://docs.google.com/spreadsheets/d/1EjEqG6oc_vmuAWwHnH51YMvSMVUVePUqNn9zZBOmHT8/edit#gid=757525651"",""'Allocation Breakdown'!A4:A187""),IMPORTRANGE(""https://docs.google.com/spreadsheets/d/1EjEqG6oc_vmuAWwHnH51YMvSMVUVePUqN"&amp;"n9zZBOmHT8/edit#gid=757525651"",""'Allocation Breakdown'!E4:E187""))"),"")</f>
        <v/>
      </c>
      <c r="I18" s="30">
        <f ca="1">IFERROR(__xludf.DUMMYFUNCTION("XLOOKUP($B18,IMPORTRANGE(""https://docs.google.com/spreadsheets/d/1EjEqG6oc_vmuAWwHnH51YMvSMVUVePUqNn9zZBOmHT8/edit#gid=757525651"",""'Allocation Breakdown'!A4:A187""),IMPORTRANGE(""https://docs.google.com/spreadsheets/d/1EjEqG6oc_vmuAWwHnH51YMvSMVUVePUqN"&amp;"n9zZBOmHT8/edit#gid=757525651"",""'Allocation Breakdown'!F4:F187""))"),36000)</f>
        <v>36000</v>
      </c>
      <c r="J18" s="30" t="str">
        <f ca="1">IFERROR(__xludf.DUMMYFUNCTION("XLOOKUP($B18,IMPORTRANGE(""https://docs.google.com/spreadsheets/d/1EjEqG6oc_vmuAWwHnH51YMvSMVUVePUqNn9zZBOmHT8/edit#gid=757525651"",""'Allocation Breakdown'!A4:A187""),IMPORTRANGE(""https://docs.google.com/spreadsheets/d/1EjEqG6oc_vmuAWwHnH51YMvSMVUVePUqN"&amp;"n9zZBOmHT8/edit#gid=757525651"",""'Allocation Breakdown'!G4:G187""))"),"")</f>
        <v/>
      </c>
      <c r="K18" s="30">
        <f ca="1">IFERROR(__xludf.DUMMYFUNCTION("XLOOKUP($B18,IMPORTRANGE(""https://docs.google.com/spreadsheets/d/1EjEqG6oc_vmuAWwHnH51YMvSMVUVePUqNn9zZBOmHT8/edit#gid=757525651"",""'Allocation Breakdown'!A4:A187""),IMPORTRANGE(""https://docs.google.com/spreadsheets/d/1EjEqG6oc_vmuAWwHnH51YMvSMVUVePUqN"&amp;"n9zZBOmHT8/edit#gid=757525651"",""'Allocation Breakdown'!I4:I187""))*K$119"),1249.8769272)</f>
        <v>1249.8769272</v>
      </c>
      <c r="L18" s="30">
        <f ca="1">IFERROR(__xludf.DUMMYFUNCTION("XLOOKUP($B18,IMPORTRANGE(""https://docs.google.com/spreadsheets/d/1EjEqG6oc_vmuAWwHnH51YMvSMVUVePUqNn9zZBOmHT8/edit#gid=757525651"",""'Allocation Breakdown'!A4:A187""),IMPORTRANGE(""https://docs.google.com/spreadsheets/d/1EjEqG6oc_vmuAWwHnH51YMvSMVUVePUqN"&amp;"n9zZBOmHT8/edit#gid=757525651"",""'Allocation Breakdown'!j4:j187""))*L$119"),7403.084461)</f>
        <v>7403.0844610000004</v>
      </c>
      <c r="M18" s="30">
        <f ca="1">IFERROR(__xludf.DUMMYFUNCTION("XLOOKUP($B18,IMPORTRANGE(""https://docs.google.com/spreadsheets/d/1EjEqG6oc_vmuAWwHnH51YMvSMVUVePUqNn9zZBOmHT8/edit#gid=757525651"",""'Allocation Breakdown'!A4:A187""),IMPORTRANGE(""https://docs.google.com/spreadsheets/d/1EjEqG6oc_vmuAWwHnH51YMvSMVUVePUqN"&amp;"n9zZBOmHT8/edit#gid=757525651"",""'Allocation Breakdown'!K4:K187""))*M$119"),7177.245219)</f>
        <v>7177.2452190000004</v>
      </c>
      <c r="N18" s="30">
        <f ca="1">IFERROR(__xludf.DUMMYFUNCTION("XLOOKUP($B18,IMPORTRANGE(""https://docs.google.com/spreadsheets/d/1EjEqG6oc_vmuAWwHnH51YMvSMVUVePUqNn9zZBOmHT8/edit#gid=757525651"",""'Allocation Breakdown'!A4:A187""),IMPORTRANGE(""https://docs.google.com/spreadsheets/d/1EjEqG6oc_vmuAWwHnH51YMvSMVUVePUqN"&amp;"n9zZBOmHT8/edit#gid=757525651"",""'Allocation Breakdown'!l4:l187""))*N$119"),1903.7201016)</f>
        <v>1903.7201015999999</v>
      </c>
      <c r="O18" s="30">
        <f ca="1">IFERROR(__xludf.DUMMYFUNCTION("XLOOKUP($B18,IMPORTRANGE(""https://docs.google.com/spreadsheets/d/1EjEqG6oc_vmuAWwHnH51YMvSMVUVePUqNn9zZBOmHT8/edit#gid=757525651"",""'Allocation Breakdown'!A4:A187""),IMPORTRANGE(""https://docs.google.com/spreadsheets/d/1EjEqG6oc_vmuAWwHnH51YMvSMVUVePUqN"&amp;"n9zZBOmHT8/edit#gid=757525651"",""'Allocation Breakdown'!n4:n187""))*O$119"),0)</f>
        <v>0</v>
      </c>
      <c r="P18" s="30">
        <f ca="1">IFERROR(__xludf.DUMMYFUNCTION("XLOOKUP($B18,IMPORTRANGE(""https://docs.google.com/spreadsheets/d/1EjEqG6oc_vmuAWwHnH51YMvSMVUVePUqNn9zZBOmHT8/edit#gid=757525651"",""'Allocation Breakdown'!A4:A187""),IMPORTRANGE(""https://docs.google.com/spreadsheets/d/1EjEqG6oc_vmuAWwHnH51YMvSMVUVePUqN"&amp;"n9zZBOmHT8/edit#gid=757525651"",""'Allocation Breakdown'!o4:o187""))*P$119"),0)</f>
        <v>0</v>
      </c>
      <c r="Q18" s="30">
        <f ca="1">IFERROR(__xludf.DUMMYFUNCTION("XLOOKUP($B18,IMPORTRANGE(""https://docs.google.com/spreadsheets/d/1EjEqG6oc_vmuAWwHnH51YMvSMVUVePUqNn9zZBOmHT8/edit#gid=757525651"",""'Allocation Breakdown'!A4:A187""),IMPORTRANGE(""https://docs.google.com/spreadsheets/d/1EjEqG6oc_vmuAWwHnH51YMvSMVUVePUqN"&amp;"n9zZBOmHT8/edit#gid=757525651"",""'Allocation Breakdown'!p4:p187""))*Q$119"),4000)</f>
        <v>4000</v>
      </c>
      <c r="R18" s="30">
        <f ca="1">IFERROR(__xludf.DUMMYFUNCTION("XLOOKUP($B18,IMPORTRANGE(""https://docs.google.com/spreadsheets/d/1EjEqG6oc_vmuAWwHnH51YMvSMVUVePUqNn9zZBOmHT8/edit#gid=757525651"",""'Allocation Breakdown'!A4:A187""),IMPORTRANGE(""https://docs.google.com/spreadsheets/d/1EjEqG6oc_vmuAWwHnH51YMvSMVUVePUqN"&amp;"n9zZBOmHT8/edit#gid=757525651"",""'Allocation Breakdown'!q4:q187""))*R$119"),4000)</f>
        <v>4000</v>
      </c>
      <c r="S18" s="30">
        <f ca="1">IFERROR(__xludf.DUMMYFUNCTION("XLOOKUP($B18,IMPORTRANGE(""https://docs.google.com/spreadsheets/d/1EjEqG6oc_vmuAWwHnH51YMvSMVUVePUqNn9zZBOmHT8/edit#gid=757525651"",""'Allocation Breakdown'!A4:A187""),IMPORTRANGE(""https://docs.google.com/spreadsheets/d/1EjEqG6oc_vmuAWwHnH51YMvSMVUVePUqN"&amp;"n9zZBOmHT8/edit#gid=757525651"",""'Allocation Breakdown'!r4:r187""))*S$119"),0)</f>
        <v>0</v>
      </c>
      <c r="T18" s="30">
        <f ca="1">IFERROR(__xludf.DUMMYFUNCTION("XLOOKUP($B18,IMPORTRANGE(""https://docs.google.com/spreadsheets/d/1EjEqG6oc_vmuAWwHnH51YMvSMVUVePUqNn9zZBOmHT8/edit#gid=757525651"",""'Allocation Breakdown'!A4:A187""),IMPORTRANGE(""https://docs.google.com/spreadsheets/d/1EjEqG6oc_vmuAWwHnH51YMvSMVUVePUqN"&amp;"n9zZBOmHT8/edit#gid=757525651"",""'Allocation Breakdown'!t4:t187""))*T$119"),14000)</f>
        <v>14000</v>
      </c>
      <c r="U18" s="30">
        <f ca="1">IFERROR(__xludf.DUMMYFUNCTION("XLOOKUP($B18,IMPORTRANGE(""https://docs.google.com/spreadsheets/d/1EjEqG6oc_vmuAWwHnH51YMvSMVUVePUqNn9zZBOmHT8/edit#gid=757525651"",""'Allocation Breakdown'!A4:A187""),IMPORTRANGE(""https://docs.google.com/spreadsheets/d/1EjEqG6oc_vmuAWwHnH51YMvSMVUVePUqN"&amp;"n9zZBOmHT8/edit#gid=757525651"",""'Allocation Breakdown'!U4:U187""))*U$119"),11000)</f>
        <v>11000</v>
      </c>
      <c r="V18" s="31">
        <f t="shared" ca="1" si="1"/>
        <v>86733.926708800005</v>
      </c>
      <c r="W18" s="31">
        <f t="shared" ca="1" si="2"/>
        <v>103059.51839213099</v>
      </c>
      <c r="Z18" s="32"/>
      <c r="AA18" s="32"/>
      <c r="AB18" s="32"/>
    </row>
    <row r="19" spans="2:28" ht="15.75" customHeight="1">
      <c r="B19" s="28" t="s">
        <v>114</v>
      </c>
      <c r="C19" s="30">
        <f ca="1">IFERROR(__xludf.DUMMYFUNCTION("XLOOKUP($B19,IMPORTRANGE(""https://docs.google.com/spreadsheets/d/1EjEqG6oc_vmuAWwHnH51YMvSMVUVePUqNn9zZBOmHT8/edit#gid=757525651"",""'Allocation Breakdown'!A4:A187""),IMPORTRANGE(""https://docs.google.com/spreadsheets/d/1EjEqG6oc_vmuAWwHnH51YMvSMVUVePUqN"&amp;"n9zZBOmHT8/edit#gid=757525651"",""'Allocation Breakdown'!V4:V187""))*C$119"),3109.52421948)</f>
        <v>3109.5242194799998</v>
      </c>
      <c r="D19" s="30">
        <f ca="1">IFERROR(__xludf.DUMMYFUNCTION("XLOOKUP($B19,IMPORTRANGE(""https://docs.google.com/spreadsheets/d/1EjEqG6oc_vmuAWwHnH51YMvSMVUVePUqNn9zZBOmHT8/edit#gid=757525651"",""'Allocation Breakdown'!A4:A187""),IMPORTRANGE(""https://docs.google.com/spreadsheets/d/1EjEqG6oc_vmuAWwHnH51YMvSMVUVePUqN"&amp;"n9zZBOmHT8/edit#gid=757525651"",""'Allocation Breakdown'!I4:I187""))*$D$119"),42676.775049993)</f>
        <v>42676.775049992997</v>
      </c>
      <c r="E19" s="30">
        <f ca="1">IFERROR(__xludf.DUMMYFUNCTION("XLOOKUP($B19,IMPORTRANGE(""https://docs.google.com/spreadsheets/d/1EjEqG6oc_vmuAWwHnH51YMvSMVUVePUqNn9zZBOmHT8/edit#gid=757525651"",""'Allocation Breakdown'!A4:A187""),IMPORTRANGE(""https://docs.google.com/spreadsheets/d/1EjEqG6oc_vmuAWwHnH51YMvSMVUVePUqN"&amp;"n9zZBOmHT8/edit#gid=757525651"",""'Allocation Breakdown'!V4:V187""))*E$119"),1090.47578052)</f>
        <v>1090.4757805199999</v>
      </c>
      <c r="F19" s="30">
        <f t="shared" ca="1" si="0"/>
        <v>43767.250830512996</v>
      </c>
      <c r="G19" s="30">
        <f ca="1">IFERROR(__xludf.DUMMYFUNCTION("XLOOKUP($B19,IMPORTRANGE(""https://docs.google.com/spreadsheets/d/1EjEqG6oc_vmuAWwHnH51YMvSMVUVePUqNn9zZBOmHT8/edit#gid=757525651"",""'Allocation Breakdown'!A4:A187""),IMPORTRANGE(""https://docs.google.com/spreadsheets/d/1EjEqG6oc_vmuAWwHnH51YMvSMVUVePUqN"&amp;"n9zZBOmHT8/edit#gid=757525651"",""'Allocation Breakdown'!D4:D187""))"),10000)</f>
        <v>10000</v>
      </c>
      <c r="H19" s="30">
        <f ca="1">IFERROR(__xludf.DUMMYFUNCTION("XLOOKUP($B19,IMPORTRANGE(""https://docs.google.com/spreadsheets/d/1EjEqG6oc_vmuAWwHnH51YMvSMVUVePUqNn9zZBOmHT8/edit#gid=757525651"",""'Allocation Breakdown'!A4:A187""),IMPORTRANGE(""https://docs.google.com/spreadsheets/d/1EjEqG6oc_vmuAWwHnH51YMvSMVUVePUqN"&amp;"n9zZBOmHT8/edit#gid=757525651"",""'Allocation Breakdown'!E4:E187""))"),109000)</f>
        <v>109000</v>
      </c>
      <c r="I19" s="30">
        <f ca="1">IFERROR(__xludf.DUMMYFUNCTION("XLOOKUP($B19,IMPORTRANGE(""https://docs.google.com/spreadsheets/d/1EjEqG6oc_vmuAWwHnH51YMvSMVUVePUqNn9zZBOmHT8/edit#gid=757525651"",""'Allocation Breakdown'!A4:A187""),IMPORTRANGE(""https://docs.google.com/spreadsheets/d/1EjEqG6oc_vmuAWwHnH51YMvSMVUVePUqN"&amp;"n9zZBOmHT8/edit#gid=757525651"",""'Allocation Breakdown'!F4:F187""))"),80000)</f>
        <v>80000</v>
      </c>
      <c r="J19" s="30" t="str">
        <f ca="1">IFERROR(__xludf.DUMMYFUNCTION("XLOOKUP($B19,IMPORTRANGE(""https://docs.google.com/spreadsheets/d/1EjEqG6oc_vmuAWwHnH51YMvSMVUVePUqNn9zZBOmHT8/edit#gid=757525651"",""'Allocation Breakdown'!A4:A187""),IMPORTRANGE(""https://docs.google.com/spreadsheets/d/1EjEqG6oc_vmuAWwHnH51YMvSMVUVePUqN"&amp;"n9zZBOmHT8/edit#gid=757525651"",""'Allocation Breakdown'!G4:G187""))"),"")</f>
        <v/>
      </c>
      <c r="K19" s="30">
        <f ca="1">IFERROR(__xludf.DUMMYFUNCTION("XLOOKUP($B19,IMPORTRANGE(""https://docs.google.com/spreadsheets/d/1EjEqG6oc_vmuAWwHnH51YMvSMVUVePUqNn9zZBOmHT8/edit#gid=757525651"",""'Allocation Breakdown'!A4:A187""),IMPORTRANGE(""https://docs.google.com/spreadsheets/d/1EjEqG6oc_vmuAWwHnH51YMvSMVUVePUqN"&amp;"n9zZBOmHT8/edit#gid=757525651"",""'Allocation Breakdown'!I4:I187""))*K$119"),3749.6307816)</f>
        <v>3749.6307815999999</v>
      </c>
      <c r="L19" s="30">
        <f ca="1">IFERROR(__xludf.DUMMYFUNCTION("XLOOKUP($B19,IMPORTRANGE(""https://docs.google.com/spreadsheets/d/1EjEqG6oc_vmuAWwHnH51YMvSMVUVePUqNn9zZBOmHT8/edit#gid=757525651"",""'Allocation Breakdown'!A4:A187""),IMPORTRANGE(""https://docs.google.com/spreadsheets/d/1EjEqG6oc_vmuAWwHnH51YMvSMVUVePUqN"&amp;"n9zZBOmHT8/edit#gid=757525651"",""'Allocation Breakdown'!j4:j187""))*L$119"),22209.253383)</f>
        <v>22209.253382999999</v>
      </c>
      <c r="M19" s="30">
        <f ca="1">IFERROR(__xludf.DUMMYFUNCTION("XLOOKUP($B19,IMPORTRANGE(""https://docs.google.com/spreadsheets/d/1EjEqG6oc_vmuAWwHnH51YMvSMVUVePUqNn9zZBOmHT8/edit#gid=757525651"",""'Allocation Breakdown'!A4:A187""),IMPORTRANGE(""https://docs.google.com/spreadsheets/d/1EjEqG6oc_vmuAWwHnH51YMvSMVUVePUqN"&amp;"n9zZBOmHT8/edit#gid=757525651"",""'Allocation Breakdown'!K4:K187""))*M$119"),12201.3168723)</f>
        <v>12201.3168723</v>
      </c>
      <c r="N19" s="30">
        <f ca="1">IFERROR(__xludf.DUMMYFUNCTION("XLOOKUP($B19,IMPORTRANGE(""https://docs.google.com/spreadsheets/d/1EjEqG6oc_vmuAWwHnH51YMvSMVUVePUqNn9zZBOmHT8/edit#gid=757525651"",""'Allocation Breakdown'!A4:A187""),IMPORTRANGE(""https://docs.google.com/spreadsheets/d/1EjEqG6oc_vmuAWwHnH51YMvSMVUVePUqN"&amp;"n9zZBOmHT8/edit#gid=757525651"",""'Allocation Breakdown'!l4:l187""))*N$119"),5711.1603048)</f>
        <v>5711.1603047999997</v>
      </c>
      <c r="O19" s="30">
        <f ca="1">IFERROR(__xludf.DUMMYFUNCTION("XLOOKUP($B19,IMPORTRANGE(""https://docs.google.com/spreadsheets/d/1EjEqG6oc_vmuAWwHnH51YMvSMVUVePUqNn9zZBOmHT8/edit#gid=757525651"",""'Allocation Breakdown'!A4:A187""),IMPORTRANGE(""https://docs.google.com/spreadsheets/d/1EjEqG6oc_vmuAWwHnH51YMvSMVUVePUqN"&amp;"n9zZBOmHT8/edit#gid=757525651"",""'Allocation Breakdown'!n4:n187""))*O$119"),10000)</f>
        <v>10000</v>
      </c>
      <c r="P19" s="30">
        <f ca="1">IFERROR(__xludf.DUMMYFUNCTION("XLOOKUP($B19,IMPORTRANGE(""https://docs.google.com/spreadsheets/d/1EjEqG6oc_vmuAWwHnH51YMvSMVUVePUqNn9zZBOmHT8/edit#gid=757525651"",""'Allocation Breakdown'!A4:A187""),IMPORTRANGE(""https://docs.google.com/spreadsheets/d/1EjEqG6oc_vmuAWwHnH51YMvSMVUVePUqN"&amp;"n9zZBOmHT8/edit#gid=757525651"",""'Allocation Breakdown'!o4:o187""))*P$119"),11000)</f>
        <v>11000</v>
      </c>
      <c r="Q19" s="30">
        <f ca="1">IFERROR(__xludf.DUMMYFUNCTION("XLOOKUP($B19,IMPORTRANGE(""https://docs.google.com/spreadsheets/d/1EjEqG6oc_vmuAWwHnH51YMvSMVUVePUqNn9zZBOmHT8/edit#gid=757525651"",""'Allocation Breakdown'!A4:A187""),IMPORTRANGE(""https://docs.google.com/spreadsheets/d/1EjEqG6oc_vmuAWwHnH51YMvSMVUVePUqN"&amp;"n9zZBOmHT8/edit#gid=757525651"",""'Allocation Breakdown'!p4:p187""))*Q$119"),5000)</f>
        <v>5000</v>
      </c>
      <c r="R19" s="30">
        <f ca="1">IFERROR(__xludf.DUMMYFUNCTION("XLOOKUP($B19,IMPORTRANGE(""https://docs.google.com/spreadsheets/d/1EjEqG6oc_vmuAWwHnH51YMvSMVUVePUqNn9zZBOmHT8/edit#gid=757525651"",""'Allocation Breakdown'!A4:A187""),IMPORTRANGE(""https://docs.google.com/spreadsheets/d/1EjEqG6oc_vmuAWwHnH51YMvSMVUVePUqN"&amp;"n9zZBOmHT8/edit#gid=757525651"",""'Allocation Breakdown'!q4:q187""))*R$119"),10000)</f>
        <v>10000</v>
      </c>
      <c r="S19" s="30">
        <f ca="1">IFERROR(__xludf.DUMMYFUNCTION("XLOOKUP($B19,IMPORTRANGE(""https://docs.google.com/spreadsheets/d/1EjEqG6oc_vmuAWwHnH51YMvSMVUVePUqNn9zZBOmHT8/edit#gid=757525651"",""'Allocation Breakdown'!A4:A187""),IMPORTRANGE(""https://docs.google.com/spreadsheets/d/1EjEqG6oc_vmuAWwHnH51YMvSMVUVePUqN"&amp;"n9zZBOmHT8/edit#gid=757525651"",""'Allocation Breakdown'!r4:r187""))*S$119"),12000)</f>
        <v>12000</v>
      </c>
      <c r="T19" s="30">
        <f ca="1">IFERROR(__xludf.DUMMYFUNCTION("XLOOKUP($B19,IMPORTRANGE(""https://docs.google.com/spreadsheets/d/1EjEqG6oc_vmuAWwHnH51YMvSMVUVePUqNn9zZBOmHT8/edit#gid=757525651"",""'Allocation Breakdown'!A4:A187""),IMPORTRANGE(""https://docs.google.com/spreadsheets/d/1EjEqG6oc_vmuAWwHnH51YMvSMVUVePUqN"&amp;"n9zZBOmHT8/edit#gid=757525651"",""'Allocation Breakdown'!t4:t187""))*T$119"),42000)</f>
        <v>42000</v>
      </c>
      <c r="U19" s="30">
        <f ca="1">IFERROR(__xludf.DUMMYFUNCTION("XLOOKUP($B19,IMPORTRANGE(""https://docs.google.com/spreadsheets/d/1EjEqG6oc_vmuAWwHnH51YMvSMVUVePUqNn9zZBOmHT8/edit#gid=757525651"",""'Allocation Breakdown'!A4:A187""),IMPORTRANGE(""https://docs.google.com/spreadsheets/d/1EjEqG6oc_vmuAWwHnH51YMvSMVUVePUqN"&amp;"n9zZBOmHT8/edit#gid=757525651"",""'Allocation Breakdown'!U4:U187""))*U$119"),66000)</f>
        <v>66000</v>
      </c>
      <c r="V19" s="31">
        <f t="shared" ca="1" si="1"/>
        <v>398871.36134169996</v>
      </c>
      <c r="W19" s="31">
        <f t="shared" ca="1" si="2"/>
        <v>445748.13639169297</v>
      </c>
      <c r="Z19" s="32"/>
      <c r="AA19" s="32"/>
      <c r="AB19" s="32"/>
    </row>
    <row r="20" spans="2:28" ht="15.75" customHeight="1">
      <c r="B20" s="28" t="s">
        <v>115</v>
      </c>
      <c r="C20" s="30">
        <f ca="1">IFERROR(__xludf.DUMMYFUNCTION("XLOOKUP($B20,IMPORTRANGE(""https://docs.google.com/spreadsheets/d/1EjEqG6oc_vmuAWwHnH51YMvSMVUVePUqNn9zZBOmHT8/edit#gid=757525651"",""'Allocation Breakdown'!A4:A187""),IMPORTRANGE(""https://docs.google.com/spreadsheets/d/1EjEqG6oc_vmuAWwHnH51YMvSMVUVePUqN"&amp;"n9zZBOmHT8/edit#gid=757525651"",""'Allocation Breakdown'!V4:V187""))*C$119"),0)</f>
        <v>0</v>
      </c>
      <c r="D20" s="30">
        <f ca="1">IFERROR(__xludf.DUMMYFUNCTION("XLOOKUP($B20,IMPORTRANGE(""https://docs.google.com/spreadsheets/d/1EjEqG6oc_vmuAWwHnH51YMvSMVUVePUqNn9zZBOmHT8/edit#gid=757525651"",""'Allocation Breakdown'!A4:A187""),IMPORTRANGE(""https://docs.google.com/spreadsheets/d/1EjEqG6oc_vmuAWwHnH51YMvSMVUVePUqN"&amp;"n9zZBOmHT8/edit#gid=757525651"",""'Allocation Breakdown'!I4:I187""))*$D$119"),7112.7958416655)</f>
        <v>7112.7958416655001</v>
      </c>
      <c r="E20" s="30">
        <f ca="1">IFERROR(__xludf.DUMMYFUNCTION("XLOOKUP($B20,IMPORTRANGE(""https://docs.google.com/spreadsheets/d/1EjEqG6oc_vmuAWwHnH51YMvSMVUVePUqNn9zZBOmHT8/edit#gid=757525651"",""'Allocation Breakdown'!A4:A187""),IMPORTRANGE(""https://docs.google.com/spreadsheets/d/1EjEqG6oc_vmuAWwHnH51YMvSMVUVePUqN"&amp;"n9zZBOmHT8/edit#gid=757525651"",""'Allocation Breakdown'!V4:V187""))*E$119"),0)</f>
        <v>0</v>
      </c>
      <c r="F20" s="30">
        <f t="shared" ca="1" si="0"/>
        <v>7112.7958416655001</v>
      </c>
      <c r="G20" s="30" t="str">
        <f ca="1">IFERROR(__xludf.DUMMYFUNCTION("XLOOKUP($B20,IMPORTRANGE(""https://docs.google.com/spreadsheets/d/1EjEqG6oc_vmuAWwHnH51YMvSMVUVePUqNn9zZBOmHT8/edit#gid=757525651"",""'Allocation Breakdown'!A4:A187""),IMPORTRANGE(""https://docs.google.com/spreadsheets/d/1EjEqG6oc_vmuAWwHnH51YMvSMVUVePUqN"&amp;"n9zZBOmHT8/edit#gid=757525651"",""'Allocation Breakdown'!D4:D187""))"),"")</f>
        <v/>
      </c>
      <c r="H20" s="30" t="str">
        <f ca="1">IFERROR(__xludf.DUMMYFUNCTION("XLOOKUP($B20,IMPORTRANGE(""https://docs.google.com/spreadsheets/d/1EjEqG6oc_vmuAWwHnH51YMvSMVUVePUqNn9zZBOmHT8/edit#gid=757525651"",""'Allocation Breakdown'!A4:A187""),IMPORTRANGE(""https://docs.google.com/spreadsheets/d/1EjEqG6oc_vmuAWwHnH51YMvSMVUVePUqN"&amp;"n9zZBOmHT8/edit#gid=757525651"",""'Allocation Breakdown'!E4:E187""))"),"")</f>
        <v/>
      </c>
      <c r="I20" s="30">
        <f ca="1">IFERROR(__xludf.DUMMYFUNCTION("XLOOKUP($B20,IMPORTRANGE(""https://docs.google.com/spreadsheets/d/1EjEqG6oc_vmuAWwHnH51YMvSMVUVePUqNn9zZBOmHT8/edit#gid=757525651"",""'Allocation Breakdown'!A4:A187""),IMPORTRANGE(""https://docs.google.com/spreadsheets/d/1EjEqG6oc_vmuAWwHnH51YMvSMVUVePUqN"&amp;"n9zZBOmHT8/edit#gid=757525651"",""'Allocation Breakdown'!F4:F187""))"),6000)</f>
        <v>6000</v>
      </c>
      <c r="J20" s="30" t="str">
        <f ca="1">IFERROR(__xludf.DUMMYFUNCTION("XLOOKUP($B20,IMPORTRANGE(""https://docs.google.com/spreadsheets/d/1EjEqG6oc_vmuAWwHnH51YMvSMVUVePUqNn9zZBOmHT8/edit#gid=757525651"",""'Allocation Breakdown'!A4:A187""),IMPORTRANGE(""https://docs.google.com/spreadsheets/d/1EjEqG6oc_vmuAWwHnH51YMvSMVUVePUqN"&amp;"n9zZBOmHT8/edit#gid=757525651"",""'Allocation Breakdown'!G4:G187""))"),"")</f>
        <v/>
      </c>
      <c r="K20" s="30">
        <f ca="1">IFERROR(__xludf.DUMMYFUNCTION("XLOOKUP($B20,IMPORTRANGE(""https://docs.google.com/spreadsheets/d/1EjEqG6oc_vmuAWwHnH51YMvSMVUVePUqNn9zZBOmHT8/edit#gid=757525651"",""'Allocation Breakdown'!A4:A187""),IMPORTRANGE(""https://docs.google.com/spreadsheets/d/1EjEqG6oc_vmuAWwHnH51YMvSMVUVePUqN"&amp;"n9zZBOmHT8/edit#gid=757525651"",""'Allocation Breakdown'!I4:I187""))*K$119"),624.9384636)</f>
        <v>624.93846359999998</v>
      </c>
      <c r="L20" s="30">
        <f ca="1">IFERROR(__xludf.DUMMYFUNCTION("XLOOKUP($B20,IMPORTRANGE(""https://docs.google.com/spreadsheets/d/1EjEqG6oc_vmuAWwHnH51YMvSMVUVePUqNn9zZBOmHT8/edit#gid=757525651"",""'Allocation Breakdown'!A4:A187""),IMPORTRANGE(""https://docs.google.com/spreadsheets/d/1EjEqG6oc_vmuAWwHnH51YMvSMVUVePUqN"&amp;"n9zZBOmHT8/edit#gid=757525651"",""'Allocation Breakdown'!j4:j187""))*L$119"),3701.5422305)</f>
        <v>3701.5422305000002</v>
      </c>
      <c r="M20" s="30">
        <f ca="1">IFERROR(__xludf.DUMMYFUNCTION("XLOOKUP($B20,IMPORTRANGE(""https://docs.google.com/spreadsheets/d/1EjEqG6oc_vmuAWwHnH51YMvSMVUVePUqNn9zZBOmHT8/edit#gid=757525651"",""'Allocation Breakdown'!A4:A187""),IMPORTRANGE(""https://docs.google.com/spreadsheets/d/1EjEqG6oc_vmuAWwHnH51YMvSMVUVePUqN"&amp;"n9zZBOmHT8/edit#gid=757525651"",""'Allocation Breakdown'!K4:K187""))*M$119"),3588.6226095)</f>
        <v>3588.6226095000002</v>
      </c>
      <c r="N20" s="30">
        <f ca="1">IFERROR(__xludf.DUMMYFUNCTION("XLOOKUP($B20,IMPORTRANGE(""https://docs.google.com/spreadsheets/d/1EjEqG6oc_vmuAWwHnH51YMvSMVUVePUqNn9zZBOmHT8/edit#gid=757525651"",""'Allocation Breakdown'!A4:A187""),IMPORTRANGE(""https://docs.google.com/spreadsheets/d/1EjEqG6oc_vmuAWwHnH51YMvSMVUVePUqN"&amp;"n9zZBOmHT8/edit#gid=757525651"",""'Allocation Breakdown'!l4:l187""))*N$119"),951.8600508)</f>
        <v>951.86005079999995</v>
      </c>
      <c r="O20" s="30">
        <f ca="1">IFERROR(__xludf.DUMMYFUNCTION("XLOOKUP($B20,IMPORTRANGE(""https://docs.google.com/spreadsheets/d/1EjEqG6oc_vmuAWwHnH51YMvSMVUVePUqNn9zZBOmHT8/edit#gid=757525651"",""'Allocation Breakdown'!A4:A187""),IMPORTRANGE(""https://docs.google.com/spreadsheets/d/1EjEqG6oc_vmuAWwHnH51YMvSMVUVePUqN"&amp;"n9zZBOmHT8/edit#gid=757525651"",""'Allocation Breakdown'!n4:n187""))*O$119"),0)</f>
        <v>0</v>
      </c>
      <c r="P20" s="30">
        <f ca="1">IFERROR(__xludf.DUMMYFUNCTION("XLOOKUP($B20,IMPORTRANGE(""https://docs.google.com/spreadsheets/d/1EjEqG6oc_vmuAWwHnH51YMvSMVUVePUqNn9zZBOmHT8/edit#gid=757525651"",""'Allocation Breakdown'!A4:A187""),IMPORTRANGE(""https://docs.google.com/spreadsheets/d/1EjEqG6oc_vmuAWwHnH51YMvSMVUVePUqN"&amp;"n9zZBOmHT8/edit#gid=757525651"",""'Allocation Breakdown'!o4:o187""))*P$119"),0)</f>
        <v>0</v>
      </c>
      <c r="Q20" s="30">
        <f ca="1">IFERROR(__xludf.DUMMYFUNCTION("XLOOKUP($B20,IMPORTRANGE(""https://docs.google.com/spreadsheets/d/1EjEqG6oc_vmuAWwHnH51YMvSMVUVePUqNn9zZBOmHT8/edit#gid=757525651"",""'Allocation Breakdown'!A4:A187""),IMPORTRANGE(""https://docs.google.com/spreadsheets/d/1EjEqG6oc_vmuAWwHnH51YMvSMVUVePUqN"&amp;"n9zZBOmHT8/edit#gid=757525651"",""'Allocation Breakdown'!p4:p187""))*Q$119"),0)</f>
        <v>0</v>
      </c>
      <c r="R20" s="30">
        <f ca="1">IFERROR(__xludf.DUMMYFUNCTION("XLOOKUP($B20,IMPORTRANGE(""https://docs.google.com/spreadsheets/d/1EjEqG6oc_vmuAWwHnH51YMvSMVUVePUqNn9zZBOmHT8/edit#gid=757525651"",""'Allocation Breakdown'!A4:A187""),IMPORTRANGE(""https://docs.google.com/spreadsheets/d/1EjEqG6oc_vmuAWwHnH51YMvSMVUVePUqN"&amp;"n9zZBOmHT8/edit#gid=757525651"",""'Allocation Breakdown'!q4:q187""))*R$119"),0)</f>
        <v>0</v>
      </c>
      <c r="S20" s="30">
        <f ca="1">IFERROR(__xludf.DUMMYFUNCTION("XLOOKUP($B20,IMPORTRANGE(""https://docs.google.com/spreadsheets/d/1EjEqG6oc_vmuAWwHnH51YMvSMVUVePUqNn9zZBOmHT8/edit#gid=757525651"",""'Allocation Breakdown'!A4:A187""),IMPORTRANGE(""https://docs.google.com/spreadsheets/d/1EjEqG6oc_vmuAWwHnH51YMvSMVUVePUqN"&amp;"n9zZBOmHT8/edit#gid=757525651"",""'Allocation Breakdown'!r4:r187""))*S$119"),2000)</f>
        <v>2000</v>
      </c>
      <c r="T20" s="30">
        <f ca="1">IFERROR(__xludf.DUMMYFUNCTION("XLOOKUP($B20,IMPORTRANGE(""https://docs.google.com/spreadsheets/d/1EjEqG6oc_vmuAWwHnH51YMvSMVUVePUqNn9zZBOmHT8/edit#gid=757525651"",""'Allocation Breakdown'!A4:A187""),IMPORTRANGE(""https://docs.google.com/spreadsheets/d/1EjEqG6oc_vmuAWwHnH51YMvSMVUVePUqN"&amp;"n9zZBOmHT8/edit#gid=757525651"",""'Allocation Breakdown'!t4:t187""))*T$119"),7000)</f>
        <v>7000</v>
      </c>
      <c r="U20" s="30">
        <f ca="1">IFERROR(__xludf.DUMMYFUNCTION("XLOOKUP($B20,IMPORTRANGE(""https://docs.google.com/spreadsheets/d/1EjEqG6oc_vmuAWwHnH51YMvSMVUVePUqNn9zZBOmHT8/edit#gid=757525651"",""'Allocation Breakdown'!A4:A187""),IMPORTRANGE(""https://docs.google.com/spreadsheets/d/1EjEqG6oc_vmuAWwHnH51YMvSMVUVePUqN"&amp;"n9zZBOmHT8/edit#gid=757525651"",""'Allocation Breakdown'!U4:U187""))*U$119"),5000)</f>
        <v>5000</v>
      </c>
      <c r="V20" s="31">
        <f t="shared" ca="1" si="1"/>
        <v>28866.963354399999</v>
      </c>
      <c r="W20" s="31">
        <f t="shared" ca="1" si="2"/>
        <v>35979.759196065497</v>
      </c>
      <c r="Z20" s="32"/>
      <c r="AA20" s="32"/>
      <c r="AB20" s="32"/>
    </row>
    <row r="21" spans="2:28">
      <c r="B21" s="28" t="s">
        <v>116</v>
      </c>
      <c r="C21" s="30">
        <f ca="1">IFERROR(__xludf.DUMMYFUNCTION("XLOOKUP($B21,IMPORTRANGE(""https://docs.google.com/spreadsheets/d/1EjEqG6oc_vmuAWwHnH51YMvSMVUVePUqNn9zZBOmHT8/edit#gid=757525651"",""'Allocation Breakdown'!A4:A187""),IMPORTRANGE(""https://docs.google.com/spreadsheets/d/1EjEqG6oc_vmuAWwHnH51YMvSMVUVePUqN"&amp;"n9zZBOmHT8/edit#gid=757525651"",""'Allocation Breakdown'!V4:V187""))*C$119"),27985.7179753199)</f>
        <v>27985.717975319902</v>
      </c>
      <c r="D21" s="30">
        <f ca="1">IFERROR(__xludf.DUMMYFUNCTION("XLOOKUP($B21,IMPORTRANGE(""https://docs.google.com/spreadsheets/d/1EjEqG6oc_vmuAWwHnH51YMvSMVUVePUqNn9zZBOmHT8/edit#gid=757525651"",""'Allocation Breakdown'!A4:A187""),IMPORTRANGE(""https://docs.google.com/spreadsheets/d/1EjEqG6oc_vmuAWwHnH51YMvSMVUVePUqN"&amp;"n9zZBOmHT8/edit#gid=757525651"",""'Allocation Breakdown'!I4:I187""))*$D$119"),320075.812874947)</f>
        <v>320075.81287494698</v>
      </c>
      <c r="E21" s="30">
        <f ca="1">IFERROR(__xludf.DUMMYFUNCTION("XLOOKUP($B21,IMPORTRANGE(""https://docs.google.com/spreadsheets/d/1EjEqG6oc_vmuAWwHnH51YMvSMVUVePUqNn9zZBOmHT8/edit#gid=757525651"",""'Allocation Breakdown'!A4:A187""),IMPORTRANGE(""https://docs.google.com/spreadsheets/d/1EjEqG6oc_vmuAWwHnH51YMvSMVUVePUqN"&amp;"n9zZBOmHT8/edit#gid=757525651"",""'Allocation Breakdown'!V4:V187""))*E$119"),9814.28202468)</f>
        <v>9814.2820246800002</v>
      </c>
      <c r="F21" s="30">
        <f t="shared" ca="1" si="0"/>
        <v>329890.09489962697</v>
      </c>
      <c r="G21" s="30">
        <f ca="1">IFERROR(__xludf.DUMMYFUNCTION("XLOOKUP($B21,IMPORTRANGE(""https://docs.google.com/spreadsheets/d/1EjEqG6oc_vmuAWwHnH51YMvSMVUVePUqNn9zZBOmHT8/edit#gid=757525651"",""'Allocation Breakdown'!A4:A187""),IMPORTRANGE(""https://docs.google.com/spreadsheets/d/1EjEqG6oc_vmuAWwHnH51YMvSMVUVePUqN"&amp;"n9zZBOmHT8/edit#gid=757525651"",""'Allocation Breakdown'!D4:D187""))"),225000)</f>
        <v>225000</v>
      </c>
      <c r="H21" s="30">
        <f ca="1">IFERROR(__xludf.DUMMYFUNCTION("XLOOKUP($B21,IMPORTRANGE(""https://docs.google.com/spreadsheets/d/1EjEqG6oc_vmuAWwHnH51YMvSMVUVePUqNn9zZBOmHT8/edit#gid=757525651"",""'Allocation Breakdown'!A4:A187""),IMPORTRANGE(""https://docs.google.com/spreadsheets/d/1EjEqG6oc_vmuAWwHnH51YMvSMVUVePUqN"&amp;"n9zZBOmHT8/edit#gid=757525651"",""'Allocation Breakdown'!E4:E187""))"),117000)</f>
        <v>117000</v>
      </c>
      <c r="I21" s="30">
        <f ca="1">IFERROR(__xludf.DUMMYFUNCTION("XLOOKUP($B21,IMPORTRANGE(""https://docs.google.com/spreadsheets/d/1EjEqG6oc_vmuAWwHnH51YMvSMVUVePUqNn9zZBOmHT8/edit#gid=757525651"",""'Allocation Breakdown'!A4:A187""),IMPORTRANGE(""https://docs.google.com/spreadsheets/d/1EjEqG6oc_vmuAWwHnH51YMvSMVUVePUqN"&amp;"n9zZBOmHT8/edit#gid=757525651"",""'Allocation Breakdown'!F4:F187""))"),810000)</f>
        <v>810000</v>
      </c>
      <c r="J21" s="30">
        <f ca="1">IFERROR(__xludf.DUMMYFUNCTION("XLOOKUP($B21,IMPORTRANGE(""https://docs.google.com/spreadsheets/d/1EjEqG6oc_vmuAWwHnH51YMvSMVUVePUqNn9zZBOmHT8/edit#gid=757525651"",""'Allocation Breakdown'!A4:A187""),IMPORTRANGE(""https://docs.google.com/spreadsheets/d/1EjEqG6oc_vmuAWwHnH51YMvSMVUVePUqN"&amp;"n9zZBOmHT8/edit#gid=757525651"",""'Allocation Breakdown'!G4:G187""))"),150000)</f>
        <v>150000</v>
      </c>
      <c r="K21" s="30">
        <f ca="1">IFERROR(__xludf.DUMMYFUNCTION("XLOOKUP($B21,IMPORTRANGE(""https://docs.google.com/spreadsheets/d/1EjEqG6oc_vmuAWwHnH51YMvSMVUVePUqNn9zZBOmHT8/edit#gid=757525651"",""'Allocation Breakdown'!A4:A187""),IMPORTRANGE(""https://docs.google.com/spreadsheets/d/1EjEqG6oc_vmuAWwHnH51YMvSMVUVePUqN"&amp;"n9zZBOmHT8/edit#gid=757525651"",""'Allocation Breakdown'!I4:I187""))*K$119"),28122.230862)</f>
        <v>28122.230862</v>
      </c>
      <c r="L21" s="30">
        <f ca="1">IFERROR(__xludf.DUMMYFUNCTION("XLOOKUP($B21,IMPORTRANGE(""https://docs.google.com/spreadsheets/d/1EjEqG6oc_vmuAWwHnH51YMvSMVUVePUqNn9zZBOmHT8/edit#gid=757525651"",""'Allocation Breakdown'!A4:A187""),IMPORTRANGE(""https://docs.google.com/spreadsheets/d/1EjEqG6oc_vmuAWwHnH51YMvSMVUVePUqN"&amp;"n9zZBOmHT8/edit#gid=757525651"",""'Allocation Breakdown'!j4:j187""))*L$119"),166569.4003725)</f>
        <v>166569.40037250001</v>
      </c>
      <c r="M21" s="30">
        <f ca="1">IFERROR(__xludf.DUMMYFUNCTION("XLOOKUP($B21,IMPORTRANGE(""https://docs.google.com/spreadsheets/d/1EjEqG6oc_vmuAWwHnH51YMvSMVUVePUqNn9zZBOmHT8/edit#gid=757525651"",""'Allocation Breakdown'!A4:A187""),IMPORTRANGE(""https://docs.google.com/spreadsheets/d/1EjEqG6oc_vmuAWwHnH51YMvSMVUVePUqN"&amp;"n9zZBOmHT8/edit#gid=757525651"",""'Allocation Breakdown'!K4:K187""))*M$119"),49522.9920111)</f>
        <v>49522.992011100003</v>
      </c>
      <c r="N21" s="30">
        <f ca="1">IFERROR(__xludf.DUMMYFUNCTION("XLOOKUP($B21,IMPORTRANGE(""https://docs.google.com/spreadsheets/d/1EjEqG6oc_vmuAWwHnH51YMvSMVUVePUqNn9zZBOmHT8/edit#gid=757525651"",""'Allocation Breakdown'!A4:A187""),IMPORTRANGE(""https://docs.google.com/spreadsheets/d/1EjEqG6oc_vmuAWwHnH51YMvSMVUVePUqN"&amp;"n9zZBOmHT8/edit#gid=757525651"",""'Allocation Breakdown'!l4:l187""))*N$119"),42833.702286)</f>
        <v>42833.702286</v>
      </c>
      <c r="O21" s="30">
        <f ca="1">IFERROR(__xludf.DUMMYFUNCTION("XLOOKUP($B21,IMPORTRANGE(""https://docs.google.com/spreadsheets/d/1EjEqG6oc_vmuAWwHnH51YMvSMVUVePUqNn9zZBOmHT8/edit#gid=757525651"",""'Allocation Breakdown'!A4:A187""),IMPORTRANGE(""https://docs.google.com/spreadsheets/d/1EjEqG6oc_vmuAWwHnH51YMvSMVUVePUqN"&amp;"n9zZBOmHT8/edit#gid=757525651"",""'Allocation Breakdown'!n4:n187""))*O$119"),200000)</f>
        <v>200000</v>
      </c>
      <c r="P21" s="30">
        <f ca="1">IFERROR(__xludf.DUMMYFUNCTION("XLOOKUP($B21,IMPORTRANGE(""https://docs.google.com/spreadsheets/d/1EjEqG6oc_vmuAWwHnH51YMvSMVUVePUqNn9zZBOmHT8/edit#gid=757525651"",""'Allocation Breakdown'!A4:A187""),IMPORTRANGE(""https://docs.google.com/spreadsheets/d/1EjEqG6oc_vmuAWwHnH51YMvSMVUVePUqN"&amp;"n9zZBOmHT8/edit#gid=757525651"",""'Allocation Breakdown'!o4:o187""))*P$119"),80574)</f>
        <v>80574</v>
      </c>
      <c r="Q21" s="30">
        <f ca="1">IFERROR(__xludf.DUMMYFUNCTION("XLOOKUP($B21,IMPORTRANGE(""https://docs.google.com/spreadsheets/d/1EjEqG6oc_vmuAWwHnH51YMvSMVUVePUqNn9zZBOmHT8/edit#gid=757525651"",""'Allocation Breakdown'!A4:A187""),IMPORTRANGE(""https://docs.google.com/spreadsheets/d/1EjEqG6oc_vmuAWwHnH51YMvSMVUVePUqN"&amp;"n9zZBOmHT8/edit#gid=757525651"",""'Allocation Breakdown'!p4:p187""))*Q$119"),47000)</f>
        <v>47000</v>
      </c>
      <c r="R21" s="30">
        <f ca="1">IFERROR(__xludf.DUMMYFUNCTION("XLOOKUP($B21,IMPORTRANGE(""https://docs.google.com/spreadsheets/d/1EjEqG6oc_vmuAWwHnH51YMvSMVUVePUqNn9zZBOmHT8/edit#gid=757525651"",""'Allocation Breakdown'!A4:A187""),IMPORTRANGE(""https://docs.google.com/spreadsheets/d/1EjEqG6oc_vmuAWwHnH51YMvSMVUVePUqN"&amp;"n9zZBOmHT8/edit#gid=757525651"",""'Allocation Breakdown'!q4:q187""))*R$119"),90000)</f>
        <v>90000</v>
      </c>
      <c r="S21" s="30">
        <f ca="1">IFERROR(__xludf.DUMMYFUNCTION("XLOOKUP($B21,IMPORTRANGE(""https://docs.google.com/spreadsheets/d/1EjEqG6oc_vmuAWwHnH51YMvSMVUVePUqNn9zZBOmHT8/edit#gid=757525651"",""'Allocation Breakdown'!A4:A187""),IMPORTRANGE(""https://docs.google.com/spreadsheets/d/1EjEqG6oc_vmuAWwHnH51YMvSMVUVePUqN"&amp;"n9zZBOmHT8/edit#gid=757525651"",""'Allocation Breakdown'!r4:r187""))*S$119"),90000)</f>
        <v>90000</v>
      </c>
      <c r="T21" s="30">
        <f ca="1">IFERROR(__xludf.DUMMYFUNCTION("XLOOKUP($B21,IMPORTRANGE(""https://docs.google.com/spreadsheets/d/1EjEqG6oc_vmuAWwHnH51YMvSMVUVePUqNn9zZBOmHT8/edit#gid=757525651"",""'Allocation Breakdown'!A4:A187""),IMPORTRANGE(""https://docs.google.com/spreadsheets/d/1EjEqG6oc_vmuAWwHnH51YMvSMVUVePUqN"&amp;"n9zZBOmHT8/edit#gid=757525651"",""'Allocation Breakdown'!t4:t187""))*T$119"),315000)</f>
        <v>315000</v>
      </c>
      <c r="U21" s="30">
        <f ca="1">IFERROR(__xludf.DUMMYFUNCTION("XLOOKUP($B21,IMPORTRANGE(""https://docs.google.com/spreadsheets/d/1EjEqG6oc_vmuAWwHnH51YMvSMVUVePUqNn9zZBOmHT8/edit#gid=757525651"",""'Allocation Breakdown'!A4:A187""),IMPORTRANGE(""https://docs.google.com/spreadsheets/d/1EjEqG6oc_vmuAWwHnH51YMvSMVUVePUqN"&amp;"n9zZBOmHT8/edit#gid=757525651"",""'Allocation Breakdown'!U4:U187""))*U$119"),495000)</f>
        <v>495000</v>
      </c>
      <c r="V21" s="31">
        <f t="shared" ca="1" si="1"/>
        <v>2906622.3255316</v>
      </c>
      <c r="W21" s="31">
        <f t="shared" ca="1" si="2"/>
        <v>3264498.1384065468</v>
      </c>
      <c r="Z21" s="32"/>
      <c r="AA21" s="32"/>
      <c r="AB21" s="32"/>
    </row>
    <row r="22" spans="2:28" ht="15.75" customHeight="1">
      <c r="B22" s="28" t="s">
        <v>117</v>
      </c>
      <c r="C22" s="30">
        <f ca="1">IFERROR(__xludf.DUMMYFUNCTION("XLOOKUP($B22,IMPORTRANGE(""https://docs.google.com/spreadsheets/d/1EjEqG6oc_vmuAWwHnH51YMvSMVUVePUqNn9zZBOmHT8/edit#gid=757525651"",""'Allocation Breakdown'!A4:A187""),IMPORTRANGE(""https://docs.google.com/spreadsheets/d/1EjEqG6oc_vmuAWwHnH51YMvSMVUVePUqN"&amp;"n9zZBOmHT8/edit#gid=757525651"",""'Allocation Breakdown'!V4:V187""))*C$119"),1554.76210974)</f>
        <v>1554.7621097399999</v>
      </c>
      <c r="D22" s="30">
        <f ca="1">IFERROR(__xludf.DUMMYFUNCTION("XLOOKUP($B22,IMPORTRANGE(""https://docs.google.com/spreadsheets/d/1EjEqG6oc_vmuAWwHnH51YMvSMVUVePUqNn9zZBOmHT8/edit#gid=757525651"",""'Allocation Breakdown'!A4:A187""),IMPORTRANGE(""https://docs.google.com/spreadsheets/d/1EjEqG6oc_vmuAWwHnH51YMvSMVUVePUqN"&amp;"n9zZBOmHT8/edit#gid=757525651"",""'Allocation Breakdown'!I4:I187""))*$D$119"),14225.591683331)</f>
        <v>14225.591683331</v>
      </c>
      <c r="E22" s="30">
        <f ca="1">IFERROR(__xludf.DUMMYFUNCTION("XLOOKUP($B22,IMPORTRANGE(""https://docs.google.com/spreadsheets/d/1EjEqG6oc_vmuAWwHnH51YMvSMVUVePUqNn9zZBOmHT8/edit#gid=757525651"",""'Allocation Breakdown'!A4:A187""),IMPORTRANGE(""https://docs.google.com/spreadsheets/d/1EjEqG6oc_vmuAWwHnH51YMvSMVUVePUqN"&amp;"n9zZBOmHT8/edit#gid=757525651"",""'Allocation Breakdown'!V4:V187""))*E$119"),545.23789026)</f>
        <v>545.23789025999997</v>
      </c>
      <c r="F22" s="30">
        <f t="shared" ca="1" si="0"/>
        <v>14770.829573591</v>
      </c>
      <c r="G22" s="30" t="str">
        <f ca="1">IFERROR(__xludf.DUMMYFUNCTION("XLOOKUP($B22,IMPORTRANGE(""https://docs.google.com/spreadsheets/d/1EjEqG6oc_vmuAWwHnH51YMvSMVUVePUqNn9zZBOmHT8/edit#gid=757525651"",""'Allocation Breakdown'!A4:A187""),IMPORTRANGE(""https://docs.google.com/spreadsheets/d/1EjEqG6oc_vmuAWwHnH51YMvSMVUVePUqN"&amp;"n9zZBOmHT8/edit#gid=757525651"",""'Allocation Breakdown'!D4:D187""))"),"")</f>
        <v/>
      </c>
      <c r="H22" s="30" t="str">
        <f ca="1">IFERROR(__xludf.DUMMYFUNCTION("XLOOKUP($B22,IMPORTRANGE(""https://docs.google.com/spreadsheets/d/1EjEqG6oc_vmuAWwHnH51YMvSMVUVePUqNn9zZBOmHT8/edit#gid=757525651"",""'Allocation Breakdown'!A4:A187""),IMPORTRANGE(""https://docs.google.com/spreadsheets/d/1EjEqG6oc_vmuAWwHnH51YMvSMVUVePUqN"&amp;"n9zZBOmHT8/edit#gid=757525651"",""'Allocation Breakdown'!E4:E187""))"),"")</f>
        <v/>
      </c>
      <c r="I22" s="30">
        <f ca="1">IFERROR(__xludf.DUMMYFUNCTION("XLOOKUP($B22,IMPORTRANGE(""https://docs.google.com/spreadsheets/d/1EjEqG6oc_vmuAWwHnH51YMvSMVUVePUqNn9zZBOmHT8/edit#gid=757525651"",""'Allocation Breakdown'!A4:A187""),IMPORTRANGE(""https://docs.google.com/spreadsheets/d/1EjEqG6oc_vmuAWwHnH51YMvSMVUVePUqN"&amp;"n9zZBOmHT8/edit#gid=757525651"",""'Allocation Breakdown'!F4:F187""))"),36000)</f>
        <v>36000</v>
      </c>
      <c r="J22" s="30">
        <f ca="1">IFERROR(__xludf.DUMMYFUNCTION("XLOOKUP($B22,IMPORTRANGE(""https://docs.google.com/spreadsheets/d/1EjEqG6oc_vmuAWwHnH51YMvSMVUVePUqNn9zZBOmHT8/edit#gid=757525651"",""'Allocation Breakdown'!A4:A187""),IMPORTRANGE(""https://docs.google.com/spreadsheets/d/1EjEqG6oc_vmuAWwHnH51YMvSMVUVePUqN"&amp;"n9zZBOmHT8/edit#gid=757525651"",""'Allocation Breakdown'!G4:G187""))"),18350)</f>
        <v>18350</v>
      </c>
      <c r="K22" s="30">
        <f ca="1">IFERROR(__xludf.DUMMYFUNCTION("XLOOKUP($B22,IMPORTRANGE(""https://docs.google.com/spreadsheets/d/1EjEqG6oc_vmuAWwHnH51YMvSMVUVePUqNn9zZBOmHT8/edit#gid=757525651"",""'Allocation Breakdown'!A4:A187""),IMPORTRANGE(""https://docs.google.com/spreadsheets/d/1EjEqG6oc_vmuAWwHnH51YMvSMVUVePUqN"&amp;"n9zZBOmHT8/edit#gid=757525651"",""'Allocation Breakdown'!I4:I187""))*K$119"),1249.8769272)</f>
        <v>1249.8769272</v>
      </c>
      <c r="L22" s="30">
        <f ca="1">IFERROR(__xludf.DUMMYFUNCTION("XLOOKUP($B22,IMPORTRANGE(""https://docs.google.com/spreadsheets/d/1EjEqG6oc_vmuAWwHnH51YMvSMVUVePUqNn9zZBOmHT8/edit#gid=757525651"",""'Allocation Breakdown'!A4:A187""),IMPORTRANGE(""https://docs.google.com/spreadsheets/d/1EjEqG6oc_vmuAWwHnH51YMvSMVUVePUqN"&amp;"n9zZBOmHT8/edit#gid=757525651"",""'Allocation Breakdown'!j4:j187""))*L$119"),7403.084461)</f>
        <v>7403.0844610000004</v>
      </c>
      <c r="M22" s="30">
        <f ca="1">IFERROR(__xludf.DUMMYFUNCTION("XLOOKUP($B22,IMPORTRANGE(""https://docs.google.com/spreadsheets/d/1EjEqG6oc_vmuAWwHnH51YMvSMVUVePUqNn9zZBOmHT8/edit#gid=757525651"",""'Allocation Breakdown'!A4:A187""),IMPORTRANGE(""https://docs.google.com/spreadsheets/d/1EjEqG6oc_vmuAWwHnH51YMvSMVUVePUqN"&amp;"n9zZBOmHT8/edit#gid=757525651"",""'Allocation Breakdown'!K4:K187""))*M$119"),7177.245219)</f>
        <v>7177.2452190000004</v>
      </c>
      <c r="N22" s="30">
        <f ca="1">IFERROR(__xludf.DUMMYFUNCTION("XLOOKUP($B22,IMPORTRANGE(""https://docs.google.com/spreadsheets/d/1EjEqG6oc_vmuAWwHnH51YMvSMVUVePUqNn9zZBOmHT8/edit#gid=757525651"",""'Allocation Breakdown'!A4:A187""),IMPORTRANGE(""https://docs.google.com/spreadsheets/d/1EjEqG6oc_vmuAWwHnH51YMvSMVUVePUqN"&amp;"n9zZBOmHT8/edit#gid=757525651"",""'Allocation Breakdown'!l4:l187""))*N$119"),1903.7201016)</f>
        <v>1903.7201015999999</v>
      </c>
      <c r="O22" s="30">
        <f ca="1">IFERROR(__xludf.DUMMYFUNCTION("XLOOKUP($B22,IMPORTRANGE(""https://docs.google.com/spreadsheets/d/1EjEqG6oc_vmuAWwHnH51YMvSMVUVePUqNn9zZBOmHT8/edit#gid=757525651"",""'Allocation Breakdown'!A4:A187""),IMPORTRANGE(""https://docs.google.com/spreadsheets/d/1EjEqG6oc_vmuAWwHnH51YMvSMVUVePUqN"&amp;"n9zZBOmHT8/edit#gid=757525651"",""'Allocation Breakdown'!n4:n187""))*O$119"),0)</f>
        <v>0</v>
      </c>
      <c r="P22" s="30">
        <f ca="1">IFERROR(__xludf.DUMMYFUNCTION("XLOOKUP($B22,IMPORTRANGE(""https://docs.google.com/spreadsheets/d/1EjEqG6oc_vmuAWwHnH51YMvSMVUVePUqNn9zZBOmHT8/edit#gid=757525651"",""'Allocation Breakdown'!A4:A187""),IMPORTRANGE(""https://docs.google.com/spreadsheets/d/1EjEqG6oc_vmuAWwHnH51YMvSMVUVePUqN"&amp;"n9zZBOmHT8/edit#gid=757525651"",""'Allocation Breakdown'!o4:o187""))*P$119"),6600)</f>
        <v>6600</v>
      </c>
      <c r="Q22" s="30">
        <f ca="1">IFERROR(__xludf.DUMMYFUNCTION("XLOOKUP($B22,IMPORTRANGE(""https://docs.google.com/spreadsheets/d/1EjEqG6oc_vmuAWwHnH51YMvSMVUVePUqNn9zZBOmHT8/edit#gid=757525651"",""'Allocation Breakdown'!A4:A187""),IMPORTRANGE(""https://docs.google.com/spreadsheets/d/1EjEqG6oc_vmuAWwHnH51YMvSMVUVePUqN"&amp;"n9zZBOmHT8/edit#gid=757525651"",""'Allocation Breakdown'!p4:p187""))*Q$119"),3000)</f>
        <v>3000</v>
      </c>
      <c r="R22" s="30">
        <f ca="1">IFERROR(__xludf.DUMMYFUNCTION("XLOOKUP($B22,IMPORTRANGE(""https://docs.google.com/spreadsheets/d/1EjEqG6oc_vmuAWwHnH51YMvSMVUVePUqNn9zZBOmHT8/edit#gid=757525651"",""'Allocation Breakdown'!A4:A187""),IMPORTRANGE(""https://docs.google.com/spreadsheets/d/1EjEqG6oc_vmuAWwHnH51YMvSMVUVePUqN"&amp;"n9zZBOmHT8/edit#gid=757525651"",""'Allocation Breakdown'!q4:q187""))*R$119"),4000)</f>
        <v>4000</v>
      </c>
      <c r="S22" s="30">
        <f ca="1">IFERROR(__xludf.DUMMYFUNCTION("XLOOKUP($B22,IMPORTRANGE(""https://docs.google.com/spreadsheets/d/1EjEqG6oc_vmuAWwHnH51YMvSMVUVePUqNn9zZBOmHT8/edit#gid=757525651"",""'Allocation Breakdown'!A4:A187""),IMPORTRANGE(""https://docs.google.com/spreadsheets/d/1EjEqG6oc_vmuAWwHnH51YMvSMVUVePUqN"&amp;"n9zZBOmHT8/edit#gid=757525651"",""'Allocation Breakdown'!r4:r187""))*S$119"),4000)</f>
        <v>4000</v>
      </c>
      <c r="T22" s="30">
        <f ca="1">IFERROR(__xludf.DUMMYFUNCTION("XLOOKUP($B22,IMPORTRANGE(""https://docs.google.com/spreadsheets/d/1EjEqG6oc_vmuAWwHnH51YMvSMVUVePUqNn9zZBOmHT8/edit#gid=757525651"",""'Allocation Breakdown'!A4:A187""),IMPORTRANGE(""https://docs.google.com/spreadsheets/d/1EjEqG6oc_vmuAWwHnH51YMvSMVUVePUqN"&amp;"n9zZBOmHT8/edit#gid=757525651"",""'Allocation Breakdown'!t4:t187""))*T$119"),14000)</f>
        <v>14000</v>
      </c>
      <c r="U22" s="30">
        <f ca="1">IFERROR(__xludf.DUMMYFUNCTION("XLOOKUP($B22,IMPORTRANGE(""https://docs.google.com/spreadsheets/d/1EjEqG6oc_vmuAWwHnH51YMvSMVUVePUqNn9zZBOmHT8/edit#gid=757525651"",""'Allocation Breakdown'!A4:A187""),IMPORTRANGE(""https://docs.google.com/spreadsheets/d/1EjEqG6oc_vmuAWwHnH51YMvSMVUVePUqN"&amp;"n9zZBOmHT8/edit#gid=757525651"",""'Allocation Breakdown'!U4:U187""))*U$119"),22000)</f>
        <v>22000</v>
      </c>
      <c r="V22" s="31">
        <f t="shared" ca="1" si="1"/>
        <v>125683.92670880001</v>
      </c>
      <c r="W22" s="31">
        <f t="shared" ca="1" si="2"/>
        <v>142009.51839213099</v>
      </c>
      <c r="Z22" s="32"/>
      <c r="AA22" s="32"/>
      <c r="AB22" s="32"/>
    </row>
    <row r="23" spans="2:28">
      <c r="B23" s="28" t="s">
        <v>118</v>
      </c>
      <c r="C23" s="30">
        <f ca="1">IFERROR(__xludf.DUMMYFUNCTION("XLOOKUP($B23,IMPORTRANGE(""https://docs.google.com/spreadsheets/d/1EjEqG6oc_vmuAWwHnH51YMvSMVUVePUqNn9zZBOmHT8/edit#gid=757525651"",""'Allocation Breakdown'!A4:A187""),IMPORTRANGE(""https://docs.google.com/spreadsheets/d/1EjEqG6oc_vmuAWwHnH51YMvSMVUVePUqN"&amp;"n9zZBOmHT8/edit#gid=757525651"",""'Allocation Breakdown'!V4:V187""))*C$119"),3109.52421948)</f>
        <v>3109.5242194799998</v>
      </c>
      <c r="D23" s="30">
        <f ca="1">IFERROR(__xludf.DUMMYFUNCTION("XLOOKUP($B23,IMPORTRANGE(""https://docs.google.com/spreadsheets/d/1EjEqG6oc_vmuAWwHnH51YMvSMVUVePUqNn9zZBOmHT8/edit#gid=757525651"",""'Allocation Breakdown'!A4:A187""),IMPORTRANGE(""https://docs.google.com/spreadsheets/d/1EjEqG6oc_vmuAWwHnH51YMvSMVUVePUqN"&amp;"n9zZBOmHT8/edit#gid=757525651"",""'Allocation Breakdown'!I4:I187""))*$D$119"),28451.183366662)</f>
        <v>28451.183366662</v>
      </c>
      <c r="E23" s="30">
        <f ca="1">IFERROR(__xludf.DUMMYFUNCTION("XLOOKUP($B23,IMPORTRANGE(""https://docs.google.com/spreadsheets/d/1EjEqG6oc_vmuAWwHnH51YMvSMVUVePUqNn9zZBOmHT8/edit#gid=757525651"",""'Allocation Breakdown'!A4:A187""),IMPORTRANGE(""https://docs.google.com/spreadsheets/d/1EjEqG6oc_vmuAWwHnH51YMvSMVUVePUqN"&amp;"n9zZBOmHT8/edit#gid=757525651"",""'Allocation Breakdown'!V4:V187""))*E$119"),1090.47578052)</f>
        <v>1090.4757805199999</v>
      </c>
      <c r="F23" s="30">
        <f t="shared" ca="1" si="0"/>
        <v>29541.659147181999</v>
      </c>
      <c r="G23" s="30" t="str">
        <f ca="1">IFERROR(__xludf.DUMMYFUNCTION("XLOOKUP($B23,IMPORTRANGE(""https://docs.google.com/spreadsheets/d/1EjEqG6oc_vmuAWwHnH51YMvSMVUVePUqNn9zZBOmHT8/edit#gid=757525651"",""'Allocation Breakdown'!A4:A187""),IMPORTRANGE(""https://docs.google.com/spreadsheets/d/1EjEqG6oc_vmuAWwHnH51YMvSMVUVePUqN"&amp;"n9zZBOmHT8/edit#gid=757525651"",""'Allocation Breakdown'!D4:D187""))"),"")</f>
        <v/>
      </c>
      <c r="H23" s="30" t="str">
        <f ca="1">IFERROR(__xludf.DUMMYFUNCTION("XLOOKUP($B23,IMPORTRANGE(""https://docs.google.com/spreadsheets/d/1EjEqG6oc_vmuAWwHnH51YMvSMVUVePUqNn9zZBOmHT8/edit#gid=757525651"",""'Allocation Breakdown'!A4:A187""),IMPORTRANGE(""https://docs.google.com/spreadsheets/d/1EjEqG6oc_vmuAWwHnH51YMvSMVUVePUqN"&amp;"n9zZBOmHT8/edit#gid=757525651"",""'Allocation Breakdown'!E4:E187""))"),"")</f>
        <v/>
      </c>
      <c r="I23" s="30">
        <f ca="1">IFERROR(__xludf.DUMMYFUNCTION("XLOOKUP($B23,IMPORTRANGE(""https://docs.google.com/spreadsheets/d/1EjEqG6oc_vmuAWwHnH51YMvSMVUVePUqNn9zZBOmHT8/edit#gid=757525651"",""'Allocation Breakdown'!A4:A187""),IMPORTRANGE(""https://docs.google.com/spreadsheets/d/1EjEqG6oc_vmuAWwHnH51YMvSMVUVePUqN"&amp;"n9zZBOmHT8/edit#gid=757525651"",""'Allocation Breakdown'!F4:F187""))"),8010)</f>
        <v>8010</v>
      </c>
      <c r="J23" s="30">
        <f ca="1">IFERROR(__xludf.DUMMYFUNCTION("XLOOKUP($B23,IMPORTRANGE(""https://docs.google.com/spreadsheets/d/1EjEqG6oc_vmuAWwHnH51YMvSMVUVePUqNn9zZBOmHT8/edit#gid=757525651"",""'Allocation Breakdown'!A4:A187""),IMPORTRANGE(""https://docs.google.com/spreadsheets/d/1EjEqG6oc_vmuAWwHnH51YMvSMVUVePUqN"&amp;"n9zZBOmHT8/edit#gid=757525651"",""'Allocation Breakdown'!G4:G187""))"),23000)</f>
        <v>23000</v>
      </c>
      <c r="K23" s="30">
        <f ca="1">IFERROR(__xludf.DUMMYFUNCTION("XLOOKUP($B23,IMPORTRANGE(""https://docs.google.com/spreadsheets/d/1EjEqG6oc_vmuAWwHnH51YMvSMVUVePUqNn9zZBOmHT8/edit#gid=757525651"",""'Allocation Breakdown'!A4:A187""),IMPORTRANGE(""https://docs.google.com/spreadsheets/d/1EjEqG6oc_vmuAWwHnH51YMvSMVUVePUqN"&amp;"n9zZBOmHT8/edit#gid=757525651"",""'Allocation Breakdown'!I4:I187""))*K$119"),2499.7538544)</f>
        <v>2499.7538543999999</v>
      </c>
      <c r="L23" s="30">
        <f ca="1">IFERROR(__xludf.DUMMYFUNCTION("XLOOKUP($B23,IMPORTRANGE(""https://docs.google.com/spreadsheets/d/1EjEqG6oc_vmuAWwHnH51YMvSMVUVePUqNn9zZBOmHT8/edit#gid=757525651"",""'Allocation Breakdown'!A4:A187""),IMPORTRANGE(""https://docs.google.com/spreadsheets/d/1EjEqG6oc_vmuAWwHnH51YMvSMVUVePUqN"&amp;"n9zZBOmHT8/edit#gid=757525651"",""'Allocation Breakdown'!j4:j187""))*L$119"),7106.96108256)</f>
        <v>7106.9610825600002</v>
      </c>
      <c r="M23" s="30">
        <f ca="1">IFERROR(__xludf.DUMMYFUNCTION("XLOOKUP($B23,IMPORTRANGE(""https://docs.google.com/spreadsheets/d/1EjEqG6oc_vmuAWwHnH51YMvSMVUVePUqNn9zZBOmHT8/edit#gid=757525651"",""'Allocation Breakdown'!A4:A187""),IMPORTRANGE(""https://docs.google.com/spreadsheets/d/1EjEqG6oc_vmuAWwHnH51YMvSMVUVePUqN"&amp;"n9zZBOmHT8/edit#gid=757525651"",""'Allocation Breakdown'!K4:K187""))*M$119"),14354.490438)</f>
        <v>14354.490438000001</v>
      </c>
      <c r="N23" s="30">
        <f ca="1">IFERROR(__xludf.DUMMYFUNCTION("XLOOKUP($B23,IMPORTRANGE(""https://docs.google.com/spreadsheets/d/1EjEqG6oc_vmuAWwHnH51YMvSMVUVePUqNn9zZBOmHT8/edit#gid=757525651"",""'Allocation Breakdown'!A4:A187""),IMPORTRANGE(""https://docs.google.com/spreadsheets/d/1EjEqG6oc_vmuAWwHnH51YMvSMVUVePUqN"&amp;"n9zZBOmHT8/edit#gid=757525651"",""'Allocation Breakdown'!l4:l187""))*N$119"),3807.4402032)</f>
        <v>3807.4402031999998</v>
      </c>
      <c r="O23" s="30">
        <f ca="1">IFERROR(__xludf.DUMMYFUNCTION("XLOOKUP($B23,IMPORTRANGE(""https://docs.google.com/spreadsheets/d/1EjEqG6oc_vmuAWwHnH51YMvSMVUVePUqNn9zZBOmHT8/edit#gid=757525651"",""'Allocation Breakdown'!A4:A187""),IMPORTRANGE(""https://docs.google.com/spreadsheets/d/1EjEqG6oc_vmuAWwHnH51YMvSMVUVePUqN"&amp;"n9zZBOmHT8/edit#gid=757525651"",""'Allocation Breakdown'!n4:n187""))*O$119"),0)</f>
        <v>0</v>
      </c>
      <c r="P23" s="30">
        <f ca="1">IFERROR(__xludf.DUMMYFUNCTION("XLOOKUP($B23,IMPORTRANGE(""https://docs.google.com/spreadsheets/d/1EjEqG6oc_vmuAWwHnH51YMvSMVUVePUqNn9zZBOmHT8/edit#gid=757525651"",""'Allocation Breakdown'!A4:A187""),IMPORTRANGE(""https://docs.google.com/spreadsheets/d/1EjEqG6oc_vmuAWwHnH51YMvSMVUVePUqN"&amp;"n9zZBOmHT8/edit#gid=757525651"",""'Allocation Breakdown'!o4:o187""))*P$119"),0)</f>
        <v>0</v>
      </c>
      <c r="Q23" s="30">
        <f ca="1">IFERROR(__xludf.DUMMYFUNCTION("XLOOKUP($B23,IMPORTRANGE(""https://docs.google.com/spreadsheets/d/1EjEqG6oc_vmuAWwHnH51YMvSMVUVePUqNn9zZBOmHT8/edit#gid=757525651"",""'Allocation Breakdown'!A4:A187""),IMPORTRANGE(""https://docs.google.com/spreadsheets/d/1EjEqG6oc_vmuAWwHnH51YMvSMVUVePUqN"&amp;"n9zZBOmHT8/edit#gid=757525651"",""'Allocation Breakdown'!p4:p187""))*Q$119"),8000)</f>
        <v>8000</v>
      </c>
      <c r="R23" s="30">
        <f ca="1">IFERROR(__xludf.DUMMYFUNCTION("XLOOKUP($B23,IMPORTRANGE(""https://docs.google.com/spreadsheets/d/1EjEqG6oc_vmuAWwHnH51YMvSMVUVePUqNn9zZBOmHT8/edit#gid=757525651"",""'Allocation Breakdown'!A4:A187""),IMPORTRANGE(""https://docs.google.com/spreadsheets/d/1EjEqG6oc_vmuAWwHnH51YMvSMVUVePUqN"&amp;"n9zZBOmHT8/edit#gid=757525651"",""'Allocation Breakdown'!q4:q187""))*R$119"),8000)</f>
        <v>8000</v>
      </c>
      <c r="S23" s="30">
        <f ca="1">IFERROR(__xludf.DUMMYFUNCTION("XLOOKUP($B23,IMPORTRANGE(""https://docs.google.com/spreadsheets/d/1EjEqG6oc_vmuAWwHnH51YMvSMVUVePUqNn9zZBOmHT8/edit#gid=757525651"",""'Allocation Breakdown'!A4:A187""),IMPORTRANGE(""https://docs.google.com/spreadsheets/d/1EjEqG6oc_vmuAWwHnH51YMvSMVUVePUqN"&amp;"n9zZBOmHT8/edit#gid=757525651"",""'Allocation Breakdown'!r4:r187""))*S$119"),0)</f>
        <v>0</v>
      </c>
      <c r="T23" s="30">
        <f ca="1">IFERROR(__xludf.DUMMYFUNCTION("XLOOKUP($B23,IMPORTRANGE(""https://docs.google.com/spreadsheets/d/1EjEqG6oc_vmuAWwHnH51YMvSMVUVePUqNn9zZBOmHT8/edit#gid=757525651"",""'Allocation Breakdown'!A4:A187""),IMPORTRANGE(""https://docs.google.com/spreadsheets/d/1EjEqG6oc_vmuAWwHnH51YMvSMVUVePUqN"&amp;"n9zZBOmHT8/edit#gid=757525651"",""'Allocation Breakdown'!t4:t187""))*T$119"),28000)</f>
        <v>28000</v>
      </c>
      <c r="U23" s="30">
        <f ca="1">IFERROR(__xludf.DUMMYFUNCTION("XLOOKUP($B23,IMPORTRANGE(""https://docs.google.com/spreadsheets/d/1EjEqG6oc_vmuAWwHnH51YMvSMVUVePUqNn9zZBOmHT8/edit#gid=757525651"",""'Allocation Breakdown'!A4:A187""),IMPORTRANGE(""https://docs.google.com/spreadsheets/d/1EjEqG6oc_vmuAWwHnH51YMvSMVUVePUqN"&amp;"n9zZBOmHT8/edit#gid=757525651"",""'Allocation Breakdown'!U4:U187""))*U$119"),44000)</f>
        <v>44000</v>
      </c>
      <c r="V23" s="31">
        <f t="shared" ca="1" si="1"/>
        <v>146778.64557816001</v>
      </c>
      <c r="W23" s="31">
        <f t="shared" ca="1" si="2"/>
        <v>179429.82894482202</v>
      </c>
      <c r="Z23" s="32"/>
      <c r="AA23" s="32"/>
      <c r="AB23" s="32"/>
    </row>
    <row r="24" spans="2:28" ht="15.75" customHeight="1">
      <c r="B24" s="28" t="s">
        <v>119</v>
      </c>
      <c r="C24" s="30">
        <f ca="1">IFERROR(__xludf.DUMMYFUNCTION("XLOOKUP($B24,IMPORTRANGE(""https://docs.google.com/spreadsheets/d/1EjEqG6oc_vmuAWwHnH51YMvSMVUVePUqNn9zZBOmHT8/edit#gid=757525651"",""'Allocation Breakdown'!A4:A187""),IMPORTRANGE(""https://docs.google.com/spreadsheets/d/1EjEqG6oc_vmuAWwHnH51YMvSMVUVePUqN"&amp;"n9zZBOmHT8/edit#gid=757525651"",""'Allocation Breakdown'!V4:V187""))*C$119"),777.38105487)</f>
        <v>777.38105486999996</v>
      </c>
      <c r="D24" s="30">
        <f ca="1">IFERROR(__xludf.DUMMYFUNCTION("XLOOKUP($B24,IMPORTRANGE(""https://docs.google.com/spreadsheets/d/1EjEqG6oc_vmuAWwHnH51YMvSMVUVePUqNn9zZBOmHT8/edit#gid=757525651"",""'Allocation Breakdown'!A4:A187""),IMPORTRANGE(""https://docs.google.com/spreadsheets/d/1EjEqG6oc_vmuAWwHnH51YMvSMVUVePUqN"&amp;"n9zZBOmHT8/edit#gid=757525651"",""'Allocation Breakdown'!I4:I187""))*$D$119"),14225.591683331)</f>
        <v>14225.591683331</v>
      </c>
      <c r="E24" s="30">
        <f ca="1">IFERROR(__xludf.DUMMYFUNCTION("XLOOKUP($B24,IMPORTRANGE(""https://docs.google.com/spreadsheets/d/1EjEqG6oc_vmuAWwHnH51YMvSMVUVePUqNn9zZBOmHT8/edit#gid=757525651"",""'Allocation Breakdown'!A4:A187""),IMPORTRANGE(""https://docs.google.com/spreadsheets/d/1EjEqG6oc_vmuAWwHnH51YMvSMVUVePUqN"&amp;"n9zZBOmHT8/edit#gid=757525651"",""'Allocation Breakdown'!V4:V187""))*E$119"),272.61894513)</f>
        <v>272.61894512999999</v>
      </c>
      <c r="F24" s="30">
        <f t="shared" ca="1" si="0"/>
        <v>14498.210628461</v>
      </c>
      <c r="G24" s="30" t="str">
        <f ca="1">IFERROR(__xludf.DUMMYFUNCTION("XLOOKUP($B24,IMPORTRANGE(""https://docs.google.com/spreadsheets/d/1EjEqG6oc_vmuAWwHnH51YMvSMVUVePUqNn9zZBOmHT8/edit#gid=757525651"",""'Allocation Breakdown'!A4:A187""),IMPORTRANGE(""https://docs.google.com/spreadsheets/d/1EjEqG6oc_vmuAWwHnH51YMvSMVUVePUqN"&amp;"n9zZBOmHT8/edit#gid=757525651"",""'Allocation Breakdown'!D4:D187""))"),"")</f>
        <v/>
      </c>
      <c r="H24" s="30" t="str">
        <f ca="1">IFERROR(__xludf.DUMMYFUNCTION("XLOOKUP($B24,IMPORTRANGE(""https://docs.google.com/spreadsheets/d/1EjEqG6oc_vmuAWwHnH51YMvSMVUVePUqNn9zZBOmHT8/edit#gid=757525651"",""'Allocation Breakdown'!A4:A187""),IMPORTRANGE(""https://docs.google.com/spreadsheets/d/1EjEqG6oc_vmuAWwHnH51YMvSMVUVePUqN"&amp;"n9zZBOmHT8/edit#gid=757525651"",""'Allocation Breakdown'!E4:E187""))"),"")</f>
        <v/>
      </c>
      <c r="I24" s="30">
        <f ca="1">IFERROR(__xludf.DUMMYFUNCTION("XLOOKUP($B24,IMPORTRANGE(""https://docs.google.com/spreadsheets/d/1EjEqG6oc_vmuAWwHnH51YMvSMVUVePUqNn9zZBOmHT8/edit#gid=757525651"",""'Allocation Breakdown'!A4:A187""),IMPORTRANGE(""https://docs.google.com/spreadsheets/d/1EjEqG6oc_vmuAWwHnH51YMvSMVUVePUqN"&amp;"n9zZBOmHT8/edit#gid=757525651"",""'Allocation Breakdown'!F4:F187""))"),36000)</f>
        <v>36000</v>
      </c>
      <c r="J24" s="30" t="str">
        <f ca="1">IFERROR(__xludf.DUMMYFUNCTION("XLOOKUP($B24,IMPORTRANGE(""https://docs.google.com/spreadsheets/d/1EjEqG6oc_vmuAWwHnH51YMvSMVUVePUqNn9zZBOmHT8/edit#gid=757525651"",""'Allocation Breakdown'!A4:A187""),IMPORTRANGE(""https://docs.google.com/spreadsheets/d/1EjEqG6oc_vmuAWwHnH51YMvSMVUVePUqN"&amp;"n9zZBOmHT8/edit#gid=757525651"",""'Allocation Breakdown'!G4:G187""))"),"")</f>
        <v/>
      </c>
      <c r="K24" s="30">
        <f ca="1">IFERROR(__xludf.DUMMYFUNCTION("XLOOKUP($B24,IMPORTRANGE(""https://docs.google.com/spreadsheets/d/1EjEqG6oc_vmuAWwHnH51YMvSMVUVePUqNn9zZBOmHT8/edit#gid=757525651"",""'Allocation Breakdown'!A4:A187""),IMPORTRANGE(""https://docs.google.com/spreadsheets/d/1EjEqG6oc_vmuAWwHnH51YMvSMVUVePUqN"&amp;"n9zZBOmHT8/edit#gid=757525651"",""'Allocation Breakdown'!I4:I187""))*K$119"),1249.8769272)</f>
        <v>1249.8769272</v>
      </c>
      <c r="L24" s="30">
        <f ca="1">IFERROR(__xludf.DUMMYFUNCTION("XLOOKUP($B24,IMPORTRANGE(""https://docs.google.com/spreadsheets/d/1EjEqG6oc_vmuAWwHnH51YMvSMVUVePUqNn9zZBOmHT8/edit#gid=757525651"",""'Allocation Breakdown'!A4:A187""),IMPORTRANGE(""https://docs.google.com/spreadsheets/d/1EjEqG6oc_vmuAWwHnH51YMvSMVUVePUqN"&amp;"n9zZBOmHT8/edit#gid=757525651"",""'Allocation Breakdown'!j4:j187""))*L$119"),7403.084461)</f>
        <v>7403.0844610000004</v>
      </c>
      <c r="M24" s="30">
        <f ca="1">IFERROR(__xludf.DUMMYFUNCTION("XLOOKUP($B24,IMPORTRANGE(""https://docs.google.com/spreadsheets/d/1EjEqG6oc_vmuAWwHnH51YMvSMVUVePUqNn9zZBOmHT8/edit#gid=757525651"",""'Allocation Breakdown'!A4:A187""),IMPORTRANGE(""https://docs.google.com/spreadsheets/d/1EjEqG6oc_vmuAWwHnH51YMvSMVUVePUqN"&amp;"n9zZBOmHT8/edit#gid=757525651"",""'Allocation Breakdown'!K4:K187""))*M$119"),7177.245219)</f>
        <v>7177.2452190000004</v>
      </c>
      <c r="N24" s="30">
        <f ca="1">IFERROR(__xludf.DUMMYFUNCTION("XLOOKUP($B24,IMPORTRANGE(""https://docs.google.com/spreadsheets/d/1EjEqG6oc_vmuAWwHnH51YMvSMVUVePUqNn9zZBOmHT8/edit#gid=757525651"",""'Allocation Breakdown'!A4:A187""),IMPORTRANGE(""https://docs.google.com/spreadsheets/d/1EjEqG6oc_vmuAWwHnH51YMvSMVUVePUqN"&amp;"n9zZBOmHT8/edit#gid=757525651"",""'Allocation Breakdown'!l4:l187""))*N$119"),1903.7201016)</f>
        <v>1903.7201015999999</v>
      </c>
      <c r="O24" s="30">
        <f ca="1">IFERROR(__xludf.DUMMYFUNCTION("XLOOKUP($B24,IMPORTRANGE(""https://docs.google.com/spreadsheets/d/1EjEqG6oc_vmuAWwHnH51YMvSMVUVePUqNn9zZBOmHT8/edit#gid=757525651"",""'Allocation Breakdown'!A4:A187""),IMPORTRANGE(""https://docs.google.com/spreadsheets/d/1EjEqG6oc_vmuAWwHnH51YMvSMVUVePUqN"&amp;"n9zZBOmHT8/edit#gid=757525651"",""'Allocation Breakdown'!n4:n187""))*O$119"),0)</f>
        <v>0</v>
      </c>
      <c r="P24" s="30">
        <f ca="1">IFERROR(__xludf.DUMMYFUNCTION("XLOOKUP($B24,IMPORTRANGE(""https://docs.google.com/spreadsheets/d/1EjEqG6oc_vmuAWwHnH51YMvSMVUVePUqNn9zZBOmHT8/edit#gid=757525651"",""'Allocation Breakdown'!A4:A187""),IMPORTRANGE(""https://docs.google.com/spreadsheets/d/1EjEqG6oc_vmuAWwHnH51YMvSMVUVePUqN"&amp;"n9zZBOmHT8/edit#gid=757525651"",""'Allocation Breakdown'!o4:o187""))*P$119"),6000)</f>
        <v>6000</v>
      </c>
      <c r="Q24" s="30">
        <f ca="1">IFERROR(__xludf.DUMMYFUNCTION("XLOOKUP($B24,IMPORTRANGE(""https://docs.google.com/spreadsheets/d/1EjEqG6oc_vmuAWwHnH51YMvSMVUVePUqNn9zZBOmHT8/edit#gid=757525651"",""'Allocation Breakdown'!A4:A187""),IMPORTRANGE(""https://docs.google.com/spreadsheets/d/1EjEqG6oc_vmuAWwHnH51YMvSMVUVePUqN"&amp;"n9zZBOmHT8/edit#gid=757525651"",""'Allocation Breakdown'!p4:p187""))*Q$119"),4000)</f>
        <v>4000</v>
      </c>
      <c r="R24" s="30">
        <f ca="1">IFERROR(__xludf.DUMMYFUNCTION("XLOOKUP($B24,IMPORTRANGE(""https://docs.google.com/spreadsheets/d/1EjEqG6oc_vmuAWwHnH51YMvSMVUVePUqNn9zZBOmHT8/edit#gid=757525651"",""'Allocation Breakdown'!A4:A187""),IMPORTRANGE(""https://docs.google.com/spreadsheets/d/1EjEqG6oc_vmuAWwHnH51YMvSMVUVePUqN"&amp;"n9zZBOmHT8/edit#gid=757525651"",""'Allocation Breakdown'!q4:q187""))*R$119"),4000)</f>
        <v>4000</v>
      </c>
      <c r="S24" s="30">
        <f ca="1">IFERROR(__xludf.DUMMYFUNCTION("XLOOKUP($B24,IMPORTRANGE(""https://docs.google.com/spreadsheets/d/1EjEqG6oc_vmuAWwHnH51YMvSMVUVePUqNn9zZBOmHT8/edit#gid=757525651"",""'Allocation Breakdown'!A4:A187""),IMPORTRANGE(""https://docs.google.com/spreadsheets/d/1EjEqG6oc_vmuAWwHnH51YMvSMVUVePUqN"&amp;"n9zZBOmHT8/edit#gid=757525651"",""'Allocation Breakdown'!r4:r187""))*S$119"),4000)</f>
        <v>4000</v>
      </c>
      <c r="T24" s="30">
        <f ca="1">IFERROR(__xludf.DUMMYFUNCTION("XLOOKUP($B24,IMPORTRANGE(""https://docs.google.com/spreadsheets/d/1EjEqG6oc_vmuAWwHnH51YMvSMVUVePUqNn9zZBOmHT8/edit#gid=757525651"",""'Allocation Breakdown'!A4:A187""),IMPORTRANGE(""https://docs.google.com/spreadsheets/d/1EjEqG6oc_vmuAWwHnH51YMvSMVUVePUqN"&amp;"n9zZBOmHT8/edit#gid=757525651"",""'Allocation Breakdown'!t4:t187""))*T$119"),14000)</f>
        <v>14000</v>
      </c>
      <c r="U24" s="30">
        <f ca="1">IFERROR(__xludf.DUMMYFUNCTION("XLOOKUP($B24,IMPORTRANGE(""https://docs.google.com/spreadsheets/d/1EjEqG6oc_vmuAWwHnH51YMvSMVUVePUqNn9zZBOmHT8/edit#gid=757525651"",""'Allocation Breakdown'!A4:A187""),IMPORTRANGE(""https://docs.google.com/spreadsheets/d/1EjEqG6oc_vmuAWwHnH51YMvSMVUVePUqN"&amp;"n9zZBOmHT8/edit#gid=757525651"",""'Allocation Breakdown'!U4:U187""))*U$119"),11000)</f>
        <v>11000</v>
      </c>
      <c r="V24" s="31">
        <f t="shared" ca="1" si="1"/>
        <v>96733.926708800005</v>
      </c>
      <c r="W24" s="31">
        <f t="shared" ca="1" si="2"/>
        <v>112009.51839213101</v>
      </c>
      <c r="Z24" s="32"/>
      <c r="AA24" s="32"/>
      <c r="AB24" s="32"/>
    </row>
    <row r="25" spans="2:28">
      <c r="B25" s="28" t="s">
        <v>120</v>
      </c>
      <c r="C25" s="30">
        <f ca="1">IFERROR(__xludf.DUMMYFUNCTION("XLOOKUP($B25,IMPORTRANGE(""https://docs.google.com/spreadsheets/d/1EjEqG6oc_vmuAWwHnH51YMvSMVUVePUqNn9zZBOmHT8/edit#gid=757525651"",""'Allocation Breakdown'!A4:A187""),IMPORTRANGE(""https://docs.google.com/spreadsheets/d/1EjEqG6oc_vmuAWwHnH51YMvSMVUVePUqN"&amp;"n9zZBOmHT8/edit#gid=757525651"",""'Allocation Breakdown'!V4:V187""))*C$119"),3109.52421948)</f>
        <v>3109.5242194799998</v>
      </c>
      <c r="D25" s="30">
        <f ca="1">IFERROR(__xludf.DUMMYFUNCTION("XLOOKUP($B25,IMPORTRANGE(""https://docs.google.com/spreadsheets/d/1EjEqG6oc_vmuAWwHnH51YMvSMVUVePUqNn9zZBOmHT8/edit#gid=757525651"",""'Allocation Breakdown'!A4:A187""),IMPORTRANGE(""https://docs.google.com/spreadsheets/d/1EjEqG6oc_vmuAWwHnH51YMvSMVUVePUqN"&amp;"n9zZBOmHT8/edit#gid=757525651"",""'Allocation Breakdown'!I4:I187""))*$D$119"),42676.775049993)</f>
        <v>42676.775049992997</v>
      </c>
      <c r="E25" s="30">
        <f ca="1">IFERROR(__xludf.DUMMYFUNCTION("XLOOKUP($B25,IMPORTRANGE(""https://docs.google.com/spreadsheets/d/1EjEqG6oc_vmuAWwHnH51YMvSMVUVePUqNn9zZBOmHT8/edit#gid=757525651"",""'Allocation Breakdown'!A4:A187""),IMPORTRANGE(""https://docs.google.com/spreadsheets/d/1EjEqG6oc_vmuAWwHnH51YMvSMVUVePUqN"&amp;"n9zZBOmHT8/edit#gid=757525651"",""'Allocation Breakdown'!V4:V187""))*E$119"),1090.47578052)</f>
        <v>1090.4757805199999</v>
      </c>
      <c r="F25" s="30">
        <f t="shared" ca="1" si="0"/>
        <v>43767.250830512996</v>
      </c>
      <c r="G25" s="30">
        <f ca="1">IFERROR(__xludf.DUMMYFUNCTION("XLOOKUP($B25,IMPORTRANGE(""https://docs.google.com/spreadsheets/d/1EjEqG6oc_vmuAWwHnH51YMvSMVUVePUqNn9zZBOmHT8/edit#gid=757525651"",""'Allocation Breakdown'!A4:A187""),IMPORTRANGE(""https://docs.google.com/spreadsheets/d/1EjEqG6oc_vmuAWwHnH51YMvSMVUVePUqN"&amp;"n9zZBOmHT8/edit#gid=757525651"",""'Allocation Breakdown'!D4:D187""))"),10000)</f>
        <v>10000</v>
      </c>
      <c r="H25" s="30" t="str">
        <f ca="1">IFERROR(__xludf.DUMMYFUNCTION("XLOOKUP($B25,IMPORTRANGE(""https://docs.google.com/spreadsheets/d/1EjEqG6oc_vmuAWwHnH51YMvSMVUVePUqNn9zZBOmHT8/edit#gid=757525651"",""'Allocation Breakdown'!A4:A187""),IMPORTRANGE(""https://docs.google.com/spreadsheets/d/1EjEqG6oc_vmuAWwHnH51YMvSMVUVePUqN"&amp;"n9zZBOmHT8/edit#gid=757525651"",""'Allocation Breakdown'!E4:E187""))"),"")</f>
        <v/>
      </c>
      <c r="I25" s="30">
        <f ca="1">IFERROR(__xludf.DUMMYFUNCTION("XLOOKUP($B25,IMPORTRANGE(""https://docs.google.com/spreadsheets/d/1EjEqG6oc_vmuAWwHnH51YMvSMVUVePUqNn9zZBOmHT8/edit#gid=757525651"",""'Allocation Breakdown'!A4:A187""),IMPORTRANGE(""https://docs.google.com/spreadsheets/d/1EjEqG6oc_vmuAWwHnH51YMvSMVUVePUqN"&amp;"n9zZBOmHT8/edit#gid=757525651"",""'Allocation Breakdown'!F4:F187""))"),45000)</f>
        <v>45000</v>
      </c>
      <c r="J25" s="30">
        <f ca="1">IFERROR(__xludf.DUMMYFUNCTION("XLOOKUP($B25,IMPORTRANGE(""https://docs.google.com/spreadsheets/d/1EjEqG6oc_vmuAWwHnH51YMvSMVUVePUqNn9zZBOmHT8/edit#gid=757525651"",""'Allocation Breakdown'!A4:A187""),IMPORTRANGE(""https://docs.google.com/spreadsheets/d/1EjEqG6oc_vmuAWwHnH51YMvSMVUVePUqN"&amp;"n9zZBOmHT8/edit#gid=757525651"",""'Allocation Breakdown'!G4:G187""))"),9175)</f>
        <v>9175</v>
      </c>
      <c r="K25" s="30">
        <f ca="1">IFERROR(__xludf.DUMMYFUNCTION("XLOOKUP($B25,IMPORTRANGE(""https://docs.google.com/spreadsheets/d/1EjEqG6oc_vmuAWwHnH51YMvSMVUVePUqNn9zZBOmHT8/edit#gid=757525651"",""'Allocation Breakdown'!A4:A187""),IMPORTRANGE(""https://docs.google.com/spreadsheets/d/1EjEqG6oc_vmuAWwHnH51YMvSMVUVePUqN"&amp;"n9zZBOmHT8/edit#gid=757525651"",""'Allocation Breakdown'!I4:I187""))*K$119"),3749.6307816)</f>
        <v>3749.6307815999999</v>
      </c>
      <c r="L25" s="30">
        <f ca="1">IFERROR(__xludf.DUMMYFUNCTION("XLOOKUP($B25,IMPORTRANGE(""https://docs.google.com/spreadsheets/d/1EjEqG6oc_vmuAWwHnH51YMvSMVUVePUqNn9zZBOmHT8/edit#gid=757525651"",""'Allocation Breakdown'!A4:A187""),IMPORTRANGE(""https://docs.google.com/spreadsheets/d/1EjEqG6oc_vmuAWwHnH51YMvSMVUVePUqN"&amp;"n9zZBOmHT8/edit#gid=757525651"",""'Allocation Breakdown'!j4:j187""))*L$119"),22209.253383)</f>
        <v>22209.253382999999</v>
      </c>
      <c r="M25" s="30">
        <f ca="1">IFERROR(__xludf.DUMMYFUNCTION("XLOOKUP($B25,IMPORTRANGE(""https://docs.google.com/spreadsheets/d/1EjEqG6oc_vmuAWwHnH51YMvSMVUVePUqNn9zZBOmHT8/edit#gid=757525651"",""'Allocation Breakdown'!A4:A187""),IMPORTRANGE(""https://docs.google.com/spreadsheets/d/1EjEqG6oc_vmuAWwHnH51YMvSMVUVePUqN"&amp;"n9zZBOmHT8/edit#gid=757525651"",""'Allocation Breakdown'!K4:K187""))*M$119"),21531.735657)</f>
        <v>21531.735657000001</v>
      </c>
      <c r="N25" s="30">
        <f ca="1">IFERROR(__xludf.DUMMYFUNCTION("XLOOKUP($B25,IMPORTRANGE(""https://docs.google.com/spreadsheets/d/1EjEqG6oc_vmuAWwHnH51YMvSMVUVePUqNn9zZBOmHT8/edit#gid=757525651"",""'Allocation Breakdown'!A4:A187""),IMPORTRANGE(""https://docs.google.com/spreadsheets/d/1EjEqG6oc_vmuAWwHnH51YMvSMVUVePUqN"&amp;"n9zZBOmHT8/edit#gid=757525651"",""'Allocation Breakdown'!l4:l187""))*N$119"),5711.1603048)</f>
        <v>5711.1603047999997</v>
      </c>
      <c r="O25" s="30">
        <f ca="1">IFERROR(__xludf.DUMMYFUNCTION("XLOOKUP($B25,IMPORTRANGE(""https://docs.google.com/spreadsheets/d/1EjEqG6oc_vmuAWwHnH51YMvSMVUVePUqNn9zZBOmHT8/edit#gid=757525651"",""'Allocation Breakdown'!A4:A187""),IMPORTRANGE(""https://docs.google.com/spreadsheets/d/1EjEqG6oc_vmuAWwHnH51YMvSMVUVePUqN"&amp;"n9zZBOmHT8/edit#gid=757525651"",""'Allocation Breakdown'!n4:n187""))*O$119"),0)</f>
        <v>0</v>
      </c>
      <c r="P25" s="30">
        <f ca="1">IFERROR(__xludf.DUMMYFUNCTION("XLOOKUP($B25,IMPORTRANGE(""https://docs.google.com/spreadsheets/d/1EjEqG6oc_vmuAWwHnH51YMvSMVUVePUqNn9zZBOmHT8/edit#gid=757525651"",""'Allocation Breakdown'!A4:A187""),IMPORTRANGE(""https://docs.google.com/spreadsheets/d/1EjEqG6oc_vmuAWwHnH51YMvSMVUVePUqN"&amp;"n9zZBOmHT8/edit#gid=757525651"",""'Allocation Breakdown'!o4:o187""))*P$119"),24000)</f>
        <v>24000</v>
      </c>
      <c r="Q25" s="30">
        <f ca="1">IFERROR(__xludf.DUMMYFUNCTION("XLOOKUP($B25,IMPORTRANGE(""https://docs.google.com/spreadsheets/d/1EjEqG6oc_vmuAWwHnH51YMvSMVUVePUqNn9zZBOmHT8/edit#gid=757525651"",""'Allocation Breakdown'!A4:A187""),IMPORTRANGE(""https://docs.google.com/spreadsheets/d/1EjEqG6oc_vmuAWwHnH51YMvSMVUVePUqN"&amp;"n9zZBOmHT8/edit#gid=757525651"",""'Allocation Breakdown'!p4:p187""))*Q$119"),12000)</f>
        <v>12000</v>
      </c>
      <c r="R25" s="30">
        <f ca="1">IFERROR(__xludf.DUMMYFUNCTION("XLOOKUP($B25,IMPORTRANGE(""https://docs.google.com/spreadsheets/d/1EjEqG6oc_vmuAWwHnH51YMvSMVUVePUqNn9zZBOmHT8/edit#gid=757525651"",""'Allocation Breakdown'!A4:A187""),IMPORTRANGE(""https://docs.google.com/spreadsheets/d/1EjEqG6oc_vmuAWwHnH51YMvSMVUVePUqN"&amp;"n9zZBOmHT8/edit#gid=757525651"",""'Allocation Breakdown'!q4:q187""))*R$119"),12000)</f>
        <v>12000</v>
      </c>
      <c r="S25" s="30">
        <f ca="1">IFERROR(__xludf.DUMMYFUNCTION("XLOOKUP($B25,IMPORTRANGE(""https://docs.google.com/spreadsheets/d/1EjEqG6oc_vmuAWwHnH51YMvSMVUVePUqNn9zZBOmHT8/edit#gid=757525651"",""'Allocation Breakdown'!A4:A187""),IMPORTRANGE(""https://docs.google.com/spreadsheets/d/1EjEqG6oc_vmuAWwHnH51YMvSMVUVePUqN"&amp;"n9zZBOmHT8/edit#gid=757525651"",""'Allocation Breakdown'!r4:r187""))*S$119"),12000)</f>
        <v>12000</v>
      </c>
      <c r="T25" s="30">
        <f ca="1">IFERROR(__xludf.DUMMYFUNCTION("XLOOKUP($B25,IMPORTRANGE(""https://docs.google.com/spreadsheets/d/1EjEqG6oc_vmuAWwHnH51YMvSMVUVePUqNn9zZBOmHT8/edit#gid=757525651"",""'Allocation Breakdown'!A4:A187""),IMPORTRANGE(""https://docs.google.com/spreadsheets/d/1EjEqG6oc_vmuAWwHnH51YMvSMVUVePUqN"&amp;"n9zZBOmHT8/edit#gid=757525651"",""'Allocation Breakdown'!t4:t187""))*T$119"),42000)</f>
        <v>42000</v>
      </c>
      <c r="U25" s="30">
        <f ca="1">IFERROR(__xludf.DUMMYFUNCTION("XLOOKUP($B25,IMPORTRANGE(""https://docs.google.com/spreadsheets/d/1EjEqG6oc_vmuAWwHnH51YMvSMVUVePUqNn9zZBOmHT8/edit#gid=757525651"",""'Allocation Breakdown'!A4:A187""),IMPORTRANGE(""https://docs.google.com/spreadsheets/d/1EjEqG6oc_vmuAWwHnH51YMvSMVUVePUqN"&amp;"n9zZBOmHT8/edit#gid=757525651"",""'Allocation Breakdown'!U4:U187""))*U$119"),10000)</f>
        <v>10000</v>
      </c>
      <c r="V25" s="31">
        <f t="shared" ca="1" si="1"/>
        <v>229376.7801264</v>
      </c>
      <c r="W25" s="31">
        <f t="shared" ca="1" si="2"/>
        <v>276253.55517639301</v>
      </c>
      <c r="Z25" s="32"/>
      <c r="AA25" s="32"/>
      <c r="AB25" s="32"/>
    </row>
    <row r="26" spans="2:28" ht="15.75" customHeight="1">
      <c r="B26" s="28" t="s">
        <v>121</v>
      </c>
      <c r="C26" s="30">
        <f ca="1">IFERROR(__xludf.DUMMYFUNCTION("XLOOKUP($B26,IMPORTRANGE(""https://docs.google.com/spreadsheets/d/1EjEqG6oc_vmuAWwHnH51YMvSMVUVePUqNn9zZBOmHT8/edit#gid=757525651"",""'Allocation Breakdown'!A4:A187""),IMPORTRANGE(""https://docs.google.com/spreadsheets/d/1EjEqG6oc_vmuAWwHnH51YMvSMVUVePUqN"&amp;"n9zZBOmHT8/edit#gid=757525651"",""'Allocation Breakdown'!V4:V187""))*C$119"),777.38105487)</f>
        <v>777.38105486999996</v>
      </c>
      <c r="D26" s="30">
        <f ca="1">IFERROR(__xludf.DUMMYFUNCTION("XLOOKUP($B26,IMPORTRANGE(""https://docs.google.com/spreadsheets/d/1EjEqG6oc_vmuAWwHnH51YMvSMVUVePUqNn9zZBOmHT8/edit#gid=757525651"",""'Allocation Breakdown'!A4:A187""),IMPORTRANGE(""https://docs.google.com/spreadsheets/d/1EjEqG6oc_vmuAWwHnH51YMvSMVUVePUqN"&amp;"n9zZBOmHT8/edit#gid=757525651"",""'Allocation Breakdown'!I4:I187""))*$D$119"),14225.591683331)</f>
        <v>14225.591683331</v>
      </c>
      <c r="E26" s="30">
        <f ca="1">IFERROR(__xludf.DUMMYFUNCTION("XLOOKUP($B26,IMPORTRANGE(""https://docs.google.com/spreadsheets/d/1EjEqG6oc_vmuAWwHnH51YMvSMVUVePUqNn9zZBOmHT8/edit#gid=757525651"",""'Allocation Breakdown'!A4:A187""),IMPORTRANGE(""https://docs.google.com/spreadsheets/d/1EjEqG6oc_vmuAWwHnH51YMvSMVUVePUqN"&amp;"n9zZBOmHT8/edit#gid=757525651"",""'Allocation Breakdown'!V4:V187""))*E$119"),272.61894513)</f>
        <v>272.61894512999999</v>
      </c>
      <c r="F26" s="30">
        <f t="shared" ca="1" si="0"/>
        <v>14498.210628461</v>
      </c>
      <c r="G26" s="30" t="str">
        <f ca="1">IFERROR(__xludf.DUMMYFUNCTION("XLOOKUP($B26,IMPORTRANGE(""https://docs.google.com/spreadsheets/d/1EjEqG6oc_vmuAWwHnH51YMvSMVUVePUqNn9zZBOmHT8/edit#gid=757525651"",""'Allocation Breakdown'!A4:A187""),IMPORTRANGE(""https://docs.google.com/spreadsheets/d/1EjEqG6oc_vmuAWwHnH51YMvSMVUVePUqN"&amp;"n9zZBOmHT8/edit#gid=757525651"",""'Allocation Breakdown'!D4:D187""))"),"")</f>
        <v/>
      </c>
      <c r="H26" s="30">
        <f ca="1">IFERROR(__xludf.DUMMYFUNCTION("XLOOKUP($B26,IMPORTRANGE(""https://docs.google.com/spreadsheets/d/1EjEqG6oc_vmuAWwHnH51YMvSMVUVePUqNn9zZBOmHT8/edit#gid=757525651"",""'Allocation Breakdown'!A4:A187""),IMPORTRANGE(""https://docs.google.com/spreadsheets/d/1EjEqG6oc_vmuAWwHnH51YMvSMVUVePUqN"&amp;"n9zZBOmHT8/edit#gid=757525651"",""'Allocation Breakdown'!E4:E187""))"),22000)</f>
        <v>22000</v>
      </c>
      <c r="I26" s="30">
        <f ca="1">IFERROR(__xludf.DUMMYFUNCTION("XLOOKUP($B26,IMPORTRANGE(""https://docs.google.com/spreadsheets/d/1EjEqG6oc_vmuAWwHnH51YMvSMVUVePUqNn9zZBOmHT8/edit#gid=757525651"",""'Allocation Breakdown'!A4:A187""),IMPORTRANGE(""https://docs.google.com/spreadsheets/d/1EjEqG6oc_vmuAWwHnH51YMvSMVUVePUqN"&amp;"n9zZBOmHT8/edit#gid=757525651"",""'Allocation Breakdown'!F4:F187""))"),12650)</f>
        <v>12650</v>
      </c>
      <c r="J26" s="30">
        <f ca="1">IFERROR(__xludf.DUMMYFUNCTION("XLOOKUP($B26,IMPORTRANGE(""https://docs.google.com/spreadsheets/d/1EjEqG6oc_vmuAWwHnH51YMvSMVUVePUqNn9zZBOmHT8/edit#gid=757525651"",""'Allocation Breakdown'!A4:A187""),IMPORTRANGE(""https://docs.google.com/spreadsheets/d/1EjEqG6oc_vmuAWwHnH51YMvSMVUVePUqN"&amp;"n9zZBOmHT8/edit#gid=757525651"",""'Allocation Breakdown'!G4:G187""))"),9175)</f>
        <v>9175</v>
      </c>
      <c r="K26" s="30">
        <f ca="1">IFERROR(__xludf.DUMMYFUNCTION("XLOOKUP($B26,IMPORTRANGE(""https://docs.google.com/spreadsheets/d/1EjEqG6oc_vmuAWwHnH51YMvSMVUVePUqNn9zZBOmHT8/edit#gid=757525651"",""'Allocation Breakdown'!A4:A187""),IMPORTRANGE(""https://docs.google.com/spreadsheets/d/1EjEqG6oc_vmuAWwHnH51YMvSMVUVePUqN"&amp;"n9zZBOmHT8/edit#gid=757525651"",""'Allocation Breakdown'!I4:I187""))*K$119"),1249.8769272)</f>
        <v>1249.8769272</v>
      </c>
      <c r="L26" s="30">
        <f ca="1">IFERROR(__xludf.DUMMYFUNCTION("XLOOKUP($B26,IMPORTRANGE(""https://docs.google.com/spreadsheets/d/1EjEqG6oc_vmuAWwHnH51YMvSMVUVePUqNn9zZBOmHT8/edit#gid=757525651"",""'Allocation Breakdown'!A4:A187""),IMPORTRANGE(""https://docs.google.com/spreadsheets/d/1EjEqG6oc_vmuAWwHnH51YMvSMVUVePUqN"&amp;"n9zZBOmHT8/edit#gid=757525651"",""'Allocation Breakdown'!j4:j187""))*L$119"),7403.084461)</f>
        <v>7403.0844610000004</v>
      </c>
      <c r="M26" s="30">
        <f ca="1">IFERROR(__xludf.DUMMYFUNCTION("XLOOKUP($B26,IMPORTRANGE(""https://docs.google.com/spreadsheets/d/1EjEqG6oc_vmuAWwHnH51YMvSMVUVePUqNn9zZBOmHT8/edit#gid=757525651"",""'Allocation Breakdown'!A4:A187""),IMPORTRANGE(""https://docs.google.com/spreadsheets/d/1EjEqG6oc_vmuAWwHnH51YMvSMVUVePUqN"&amp;"n9zZBOmHT8/edit#gid=757525651"",""'Allocation Breakdown'!K4:K187""))*M$119"),7177.245219)</f>
        <v>7177.2452190000004</v>
      </c>
      <c r="N26" s="30">
        <f ca="1">IFERROR(__xludf.DUMMYFUNCTION("XLOOKUP($B26,IMPORTRANGE(""https://docs.google.com/spreadsheets/d/1EjEqG6oc_vmuAWwHnH51YMvSMVUVePUqNn9zZBOmHT8/edit#gid=757525651"",""'Allocation Breakdown'!A4:A187""),IMPORTRANGE(""https://docs.google.com/spreadsheets/d/1EjEqG6oc_vmuAWwHnH51YMvSMVUVePUqN"&amp;"n9zZBOmHT8/edit#gid=757525651"",""'Allocation Breakdown'!l4:l187""))*N$119"),1903.7201016)</f>
        <v>1903.7201015999999</v>
      </c>
      <c r="O26" s="30">
        <f ca="1">IFERROR(__xludf.DUMMYFUNCTION("XLOOKUP($B26,IMPORTRANGE(""https://docs.google.com/spreadsheets/d/1EjEqG6oc_vmuAWwHnH51YMvSMVUVePUqNn9zZBOmHT8/edit#gid=757525651"",""'Allocation Breakdown'!A4:A187""),IMPORTRANGE(""https://docs.google.com/spreadsheets/d/1EjEqG6oc_vmuAWwHnH51YMvSMVUVePUqN"&amp;"n9zZBOmHT8/edit#gid=757525651"",""'Allocation Breakdown'!n4:n187""))*O$119"),0)</f>
        <v>0</v>
      </c>
      <c r="P26" s="30">
        <f ca="1">IFERROR(__xludf.DUMMYFUNCTION("XLOOKUP($B26,IMPORTRANGE(""https://docs.google.com/spreadsheets/d/1EjEqG6oc_vmuAWwHnH51YMvSMVUVePUqNn9zZBOmHT8/edit#gid=757525651"",""'Allocation Breakdown'!A4:A187""),IMPORTRANGE(""https://docs.google.com/spreadsheets/d/1EjEqG6oc_vmuAWwHnH51YMvSMVUVePUqN"&amp;"n9zZBOmHT8/edit#gid=757525651"",""'Allocation Breakdown'!o4:o187""))*P$119"),8800)</f>
        <v>8800</v>
      </c>
      <c r="Q26" s="30">
        <f ca="1">IFERROR(__xludf.DUMMYFUNCTION("XLOOKUP($B26,IMPORTRANGE(""https://docs.google.com/spreadsheets/d/1EjEqG6oc_vmuAWwHnH51YMvSMVUVePUqNn9zZBOmHT8/edit#gid=757525651"",""'Allocation Breakdown'!A4:A187""),IMPORTRANGE(""https://docs.google.com/spreadsheets/d/1EjEqG6oc_vmuAWwHnH51YMvSMVUVePUqN"&amp;"n9zZBOmHT8/edit#gid=757525651"",""'Allocation Breakdown'!p4:p187""))*Q$119"),4000)</f>
        <v>4000</v>
      </c>
      <c r="R26" s="30">
        <f ca="1">IFERROR(__xludf.DUMMYFUNCTION("XLOOKUP($B26,IMPORTRANGE(""https://docs.google.com/spreadsheets/d/1EjEqG6oc_vmuAWwHnH51YMvSMVUVePUqNn9zZBOmHT8/edit#gid=757525651"",""'Allocation Breakdown'!A4:A187""),IMPORTRANGE(""https://docs.google.com/spreadsheets/d/1EjEqG6oc_vmuAWwHnH51YMvSMVUVePUqN"&amp;"n9zZBOmHT8/edit#gid=757525651"",""'Allocation Breakdown'!q4:q187""))*R$119"),4000)</f>
        <v>4000</v>
      </c>
      <c r="S26" s="30">
        <f ca="1">IFERROR(__xludf.DUMMYFUNCTION("XLOOKUP($B26,IMPORTRANGE(""https://docs.google.com/spreadsheets/d/1EjEqG6oc_vmuAWwHnH51YMvSMVUVePUqNn9zZBOmHT8/edit#gid=757525651"",""'Allocation Breakdown'!A4:A187""),IMPORTRANGE(""https://docs.google.com/spreadsheets/d/1EjEqG6oc_vmuAWwHnH51YMvSMVUVePUqN"&amp;"n9zZBOmHT8/edit#gid=757525651"",""'Allocation Breakdown'!r4:r187""))*S$119"),4000)</f>
        <v>4000</v>
      </c>
      <c r="T26" s="30">
        <f ca="1">IFERROR(__xludf.DUMMYFUNCTION("XLOOKUP($B26,IMPORTRANGE(""https://docs.google.com/spreadsheets/d/1EjEqG6oc_vmuAWwHnH51YMvSMVUVePUqNn9zZBOmHT8/edit#gid=757525651"",""'Allocation Breakdown'!A4:A187""),IMPORTRANGE(""https://docs.google.com/spreadsheets/d/1EjEqG6oc_vmuAWwHnH51YMvSMVUVePUqN"&amp;"n9zZBOmHT8/edit#gid=757525651"",""'Allocation Breakdown'!t4:t187""))*T$119"),14000)</f>
        <v>14000</v>
      </c>
      <c r="U26" s="30">
        <f ca="1">IFERROR(__xludf.DUMMYFUNCTION("XLOOKUP($B26,IMPORTRANGE(""https://docs.google.com/spreadsheets/d/1EjEqG6oc_vmuAWwHnH51YMvSMVUVePUqNn9zZBOmHT8/edit#gid=757525651"",""'Allocation Breakdown'!A4:A187""),IMPORTRANGE(""https://docs.google.com/spreadsheets/d/1EjEqG6oc_vmuAWwHnH51YMvSMVUVePUqN"&amp;"n9zZBOmHT8/edit#gid=757525651"",""'Allocation Breakdown'!U4:U187""))*U$119"),22000)</f>
        <v>22000</v>
      </c>
      <c r="V26" s="31">
        <f t="shared" ca="1" si="1"/>
        <v>118358.92670880001</v>
      </c>
      <c r="W26" s="31">
        <f t="shared" ca="1" si="2"/>
        <v>133634.51839213099</v>
      </c>
      <c r="Z26" s="32"/>
      <c r="AA26" s="32"/>
      <c r="AB26" s="32"/>
    </row>
    <row r="27" spans="2:28" ht="15.75" customHeight="1">
      <c r="B27" s="28" t="s">
        <v>122</v>
      </c>
      <c r="C27" s="30">
        <f ca="1">IFERROR(__xludf.DUMMYFUNCTION("XLOOKUP($B27,IMPORTRANGE(""https://docs.google.com/spreadsheets/d/1EjEqG6oc_vmuAWwHnH51YMvSMVUVePUqNn9zZBOmHT8/edit#gid=757525651"",""'Allocation Breakdown'!A4:A187""),IMPORTRANGE(""https://docs.google.com/spreadsheets/d/1EjEqG6oc_vmuAWwHnH51YMvSMVUVePUqN"&amp;"n9zZBOmHT8/edit#gid=757525651"",""'Allocation Breakdown'!V4:V187""))*C$119"),1554.76210974)</f>
        <v>1554.7621097399999</v>
      </c>
      <c r="D27" s="30">
        <f ca="1">IFERROR(__xludf.DUMMYFUNCTION("XLOOKUP($B27,IMPORTRANGE(""https://docs.google.com/spreadsheets/d/1EjEqG6oc_vmuAWwHnH51YMvSMVUVePUqNn9zZBOmHT8/edit#gid=757525651"",""'Allocation Breakdown'!A4:A187""),IMPORTRANGE(""https://docs.google.com/spreadsheets/d/1EjEqG6oc_vmuAWwHnH51YMvSMVUVePUqN"&amp;"n9zZBOmHT8/edit#gid=757525651"",""'Allocation Breakdown'!I4:I187""))*$D$119"),35563.9792083275)</f>
        <v>35563.979208327502</v>
      </c>
      <c r="E27" s="30">
        <f ca="1">IFERROR(__xludf.DUMMYFUNCTION("XLOOKUP($B27,IMPORTRANGE(""https://docs.google.com/spreadsheets/d/1EjEqG6oc_vmuAWwHnH51YMvSMVUVePUqNn9zZBOmHT8/edit#gid=757525651"",""'Allocation Breakdown'!A4:A187""),IMPORTRANGE(""https://docs.google.com/spreadsheets/d/1EjEqG6oc_vmuAWwHnH51YMvSMVUVePUqN"&amp;"n9zZBOmHT8/edit#gid=757525651"",""'Allocation Breakdown'!V4:V187""))*E$119"),545.23789026)</f>
        <v>545.23789025999997</v>
      </c>
      <c r="F27" s="30">
        <f t="shared" ca="1" si="0"/>
        <v>36109.217098587505</v>
      </c>
      <c r="G27" s="30" t="str">
        <f ca="1">IFERROR(__xludf.DUMMYFUNCTION("XLOOKUP($B27,IMPORTRANGE(""https://docs.google.com/spreadsheets/d/1EjEqG6oc_vmuAWwHnH51YMvSMVUVePUqNn9zZBOmHT8/edit#gid=757525651"",""'Allocation Breakdown'!A4:A187""),IMPORTRANGE(""https://docs.google.com/spreadsheets/d/1EjEqG6oc_vmuAWwHnH51YMvSMVUVePUqN"&amp;"n9zZBOmHT8/edit#gid=757525651"",""'Allocation Breakdown'!D4:D187""))"),"")</f>
        <v/>
      </c>
      <c r="H27" s="30">
        <f ca="1">IFERROR(__xludf.DUMMYFUNCTION("XLOOKUP($B27,IMPORTRANGE(""https://docs.google.com/spreadsheets/d/1EjEqG6oc_vmuAWwHnH51YMvSMVUVePUqNn9zZBOmHT8/edit#gid=757525651"",""'Allocation Breakdown'!A4:A187""),IMPORTRANGE(""https://docs.google.com/spreadsheets/d/1EjEqG6oc_vmuAWwHnH51YMvSMVUVePUqN"&amp;"n9zZBOmHT8/edit#gid=757525651"",""'Allocation Breakdown'!E4:E187""))"),15000)</f>
        <v>15000</v>
      </c>
      <c r="I27" s="30">
        <f ca="1">IFERROR(__xludf.DUMMYFUNCTION("XLOOKUP($B27,IMPORTRANGE(""https://docs.google.com/spreadsheets/d/1EjEqG6oc_vmuAWwHnH51YMvSMVUVePUqNn9zZBOmHT8/edit#gid=757525651"",""'Allocation Breakdown'!A4:A187""),IMPORTRANGE(""https://docs.google.com/spreadsheets/d/1EjEqG6oc_vmuAWwHnH51YMvSMVUVePUqN"&amp;"n9zZBOmHT8/edit#gid=757525651"",""'Allocation Breakdown'!F4:F187""))"),40000)</f>
        <v>40000</v>
      </c>
      <c r="J27" s="30" t="str">
        <f ca="1">IFERROR(__xludf.DUMMYFUNCTION("XLOOKUP($B27,IMPORTRANGE(""https://docs.google.com/spreadsheets/d/1EjEqG6oc_vmuAWwHnH51YMvSMVUVePUqNn9zZBOmHT8/edit#gid=757525651"",""'Allocation Breakdown'!A4:A187""),IMPORTRANGE(""https://docs.google.com/spreadsheets/d/1EjEqG6oc_vmuAWwHnH51YMvSMVUVePUqN"&amp;"n9zZBOmHT8/edit#gid=757525651"",""'Allocation Breakdown'!G4:G187""))"),"")</f>
        <v/>
      </c>
      <c r="K27" s="30">
        <f ca="1">IFERROR(__xludf.DUMMYFUNCTION("XLOOKUP($B27,IMPORTRANGE(""https://docs.google.com/spreadsheets/d/1EjEqG6oc_vmuAWwHnH51YMvSMVUVePUqNn9zZBOmHT8/edit#gid=757525651"",""'Allocation Breakdown'!A4:A187""),IMPORTRANGE(""https://docs.google.com/spreadsheets/d/1EjEqG6oc_vmuAWwHnH51YMvSMVUVePUqN"&amp;"n9zZBOmHT8/edit#gid=757525651"",""'Allocation Breakdown'!I4:I187""))*K$119"),3124.692318)</f>
        <v>3124.6923179999999</v>
      </c>
      <c r="L27" s="30">
        <f ca="1">IFERROR(__xludf.DUMMYFUNCTION("XLOOKUP($B27,IMPORTRANGE(""https://docs.google.com/spreadsheets/d/1EjEqG6oc_vmuAWwHnH51YMvSMVUVePUqNn9zZBOmHT8/edit#gid=757525651"",""'Allocation Breakdown'!A4:A187""),IMPORTRANGE(""https://docs.google.com/spreadsheets/d/1EjEqG6oc_vmuAWwHnH51YMvSMVUVePUqN"&amp;"n9zZBOmHT8/edit#gid=757525651"",""'Allocation Breakdown'!j4:j187""))*L$119"),18507.7111525)</f>
        <v>18507.7111525</v>
      </c>
      <c r="M27" s="30">
        <f ca="1">IFERROR(__xludf.DUMMYFUNCTION("XLOOKUP($B27,IMPORTRANGE(""https://docs.google.com/spreadsheets/d/1EjEqG6oc_vmuAWwHnH51YMvSMVUVePUqNn9zZBOmHT8/edit#gid=757525651"",""'Allocation Breakdown'!A4:A187""),IMPORTRANGE(""https://docs.google.com/spreadsheets/d/1EjEqG6oc_vmuAWwHnH51YMvSMVUVePUqN"&amp;"n9zZBOmHT8/edit#gid=757525651"",""'Allocation Breakdown'!K4:K187""))*M$119"),17943.1130475)</f>
        <v>17943.113047499999</v>
      </c>
      <c r="N27" s="30">
        <f ca="1">IFERROR(__xludf.DUMMYFUNCTION("XLOOKUP($B27,IMPORTRANGE(""https://docs.google.com/spreadsheets/d/1EjEqG6oc_vmuAWwHnH51YMvSMVUVePUqNn9zZBOmHT8/edit#gid=757525651"",""'Allocation Breakdown'!A4:A187""),IMPORTRANGE(""https://docs.google.com/spreadsheets/d/1EjEqG6oc_vmuAWwHnH51YMvSMVUVePUqN"&amp;"n9zZBOmHT8/edit#gid=757525651"",""'Allocation Breakdown'!l4:l187""))*N$119"),4759.300254)</f>
        <v>4759.3002539999998</v>
      </c>
      <c r="O27" s="30">
        <f ca="1">IFERROR(__xludf.DUMMYFUNCTION("XLOOKUP($B27,IMPORTRANGE(""https://docs.google.com/spreadsheets/d/1EjEqG6oc_vmuAWwHnH51YMvSMVUVePUqNn9zZBOmHT8/edit#gid=757525651"",""'Allocation Breakdown'!A4:A187""),IMPORTRANGE(""https://docs.google.com/spreadsheets/d/1EjEqG6oc_vmuAWwHnH51YMvSMVUVePUqN"&amp;"n9zZBOmHT8/edit#gid=757525651"",""'Allocation Breakdown'!n4:n187""))*O$119"),0)</f>
        <v>0</v>
      </c>
      <c r="P27" s="30">
        <f ca="1">IFERROR(__xludf.DUMMYFUNCTION("XLOOKUP($B27,IMPORTRANGE(""https://docs.google.com/spreadsheets/d/1EjEqG6oc_vmuAWwHnH51YMvSMVUVePUqNn9zZBOmHT8/edit#gid=757525651"",""'Allocation Breakdown'!A4:A187""),IMPORTRANGE(""https://docs.google.com/spreadsheets/d/1EjEqG6oc_vmuAWwHnH51YMvSMVUVePUqN"&amp;"n9zZBOmHT8/edit#gid=757525651"",""'Allocation Breakdown'!o4:o187""))*P$119"),11000)</f>
        <v>11000</v>
      </c>
      <c r="Q27" s="30">
        <f ca="1">IFERROR(__xludf.DUMMYFUNCTION("XLOOKUP($B27,IMPORTRANGE(""https://docs.google.com/spreadsheets/d/1EjEqG6oc_vmuAWwHnH51YMvSMVUVePUqNn9zZBOmHT8/edit#gid=757525651"",""'Allocation Breakdown'!A4:A187""),IMPORTRANGE(""https://docs.google.com/spreadsheets/d/1EjEqG6oc_vmuAWwHnH51YMvSMVUVePUqN"&amp;"n9zZBOmHT8/edit#gid=757525651"",""'Allocation Breakdown'!p4:p187""))*Q$119"),9000)</f>
        <v>9000</v>
      </c>
      <c r="R27" s="30">
        <f ca="1">IFERROR(__xludf.DUMMYFUNCTION("XLOOKUP($B27,IMPORTRANGE(""https://docs.google.com/spreadsheets/d/1EjEqG6oc_vmuAWwHnH51YMvSMVUVePUqNn9zZBOmHT8/edit#gid=757525651"",""'Allocation Breakdown'!A4:A187""),IMPORTRANGE(""https://docs.google.com/spreadsheets/d/1EjEqG6oc_vmuAWwHnH51YMvSMVUVePUqN"&amp;"n9zZBOmHT8/edit#gid=757525651"",""'Allocation Breakdown'!q4:q187""))*R$119"),10000)</f>
        <v>10000</v>
      </c>
      <c r="S27" s="30">
        <f ca="1">IFERROR(__xludf.DUMMYFUNCTION("XLOOKUP($B27,IMPORTRANGE(""https://docs.google.com/spreadsheets/d/1EjEqG6oc_vmuAWwHnH51YMvSMVUVePUqNn9zZBOmHT8/edit#gid=757525651"",""'Allocation Breakdown'!A4:A187""),IMPORTRANGE(""https://docs.google.com/spreadsheets/d/1EjEqG6oc_vmuAWwHnH51YMvSMVUVePUqN"&amp;"n9zZBOmHT8/edit#gid=757525651"",""'Allocation Breakdown'!r4:r187""))*S$119"),10000)</f>
        <v>10000</v>
      </c>
      <c r="T27" s="30">
        <f ca="1">IFERROR(__xludf.DUMMYFUNCTION("XLOOKUP($B27,IMPORTRANGE(""https://docs.google.com/spreadsheets/d/1EjEqG6oc_vmuAWwHnH51YMvSMVUVePUqNn9zZBOmHT8/edit#gid=757525651"",""'Allocation Breakdown'!A4:A187""),IMPORTRANGE(""https://docs.google.com/spreadsheets/d/1EjEqG6oc_vmuAWwHnH51YMvSMVUVePUqN"&amp;"n9zZBOmHT8/edit#gid=757525651"",""'Allocation Breakdown'!t4:t187""))*T$119"),35000)</f>
        <v>35000</v>
      </c>
      <c r="U27" s="30">
        <f ca="1">IFERROR(__xludf.DUMMYFUNCTION("XLOOKUP($B27,IMPORTRANGE(""https://docs.google.com/spreadsheets/d/1EjEqG6oc_vmuAWwHnH51YMvSMVUVePUqNn9zZBOmHT8/edit#gid=757525651"",""'Allocation Breakdown'!A4:A187""),IMPORTRANGE(""https://docs.google.com/spreadsheets/d/1EjEqG6oc_vmuAWwHnH51YMvSMVUVePUqN"&amp;"n9zZBOmHT8/edit#gid=757525651"",""'Allocation Breakdown'!U4:U187""))*U$119"),30000)</f>
        <v>30000</v>
      </c>
      <c r="V27" s="31">
        <f t="shared" ca="1" si="1"/>
        <v>204334.81677199999</v>
      </c>
      <c r="W27" s="31">
        <f t="shared" ca="1" si="2"/>
        <v>241998.7959803275</v>
      </c>
      <c r="Z27" s="32"/>
      <c r="AA27" s="32"/>
      <c r="AB27" s="32"/>
    </row>
    <row r="28" spans="2:28" ht="15.75" customHeight="1">
      <c r="B28" s="28" t="s">
        <v>123</v>
      </c>
      <c r="C28" s="30">
        <f ca="1">IFERROR(__xludf.DUMMYFUNCTION("XLOOKUP($B28,IMPORTRANGE(""https://docs.google.com/spreadsheets/d/1EjEqG6oc_vmuAWwHnH51YMvSMVUVePUqNn9zZBOmHT8/edit#gid=757525651"",""'Allocation Breakdown'!A4:A187""),IMPORTRANGE(""https://docs.google.com/spreadsheets/d/1EjEqG6oc_vmuAWwHnH51YMvSMVUVePUqN"&amp;"n9zZBOmHT8/edit#gid=757525651"",""'Allocation Breakdown'!V4:V187""))*C$119"),0)</f>
        <v>0</v>
      </c>
      <c r="D28" s="30">
        <f ca="1">IFERROR(__xludf.DUMMYFUNCTION("XLOOKUP($B28,IMPORTRANGE(""https://docs.google.com/spreadsheets/d/1EjEqG6oc_vmuAWwHnH51YMvSMVUVePUqNn9zZBOmHT8/edit#gid=757525651"",""'Allocation Breakdown'!A4:A187""),IMPORTRANGE(""https://docs.google.com/spreadsheets/d/1EjEqG6oc_vmuAWwHnH51YMvSMVUVePUqN"&amp;"n9zZBOmHT8/edit#gid=757525651"",""'Allocation Breakdown'!I4:I187""))*$D$119"),0)</f>
        <v>0</v>
      </c>
      <c r="E28" s="30">
        <f ca="1">IFERROR(__xludf.DUMMYFUNCTION("XLOOKUP($B28,IMPORTRANGE(""https://docs.google.com/spreadsheets/d/1EjEqG6oc_vmuAWwHnH51YMvSMVUVePUqNn9zZBOmHT8/edit#gid=757525651"",""'Allocation Breakdown'!A4:A187""),IMPORTRANGE(""https://docs.google.com/spreadsheets/d/1EjEqG6oc_vmuAWwHnH51YMvSMVUVePUqN"&amp;"n9zZBOmHT8/edit#gid=757525651"",""'Allocation Breakdown'!V4:V187""))*E$119"),0)</f>
        <v>0</v>
      </c>
      <c r="F28" s="30">
        <f t="shared" ca="1" si="0"/>
        <v>0</v>
      </c>
      <c r="G28" s="30" t="str">
        <f ca="1">IFERROR(__xludf.DUMMYFUNCTION("XLOOKUP($B28,IMPORTRANGE(""https://docs.google.com/spreadsheets/d/1EjEqG6oc_vmuAWwHnH51YMvSMVUVePUqNn9zZBOmHT8/edit#gid=757525651"",""'Allocation Breakdown'!A4:A187""),IMPORTRANGE(""https://docs.google.com/spreadsheets/d/1EjEqG6oc_vmuAWwHnH51YMvSMVUVePUqN"&amp;"n9zZBOmHT8/edit#gid=757525651"",""'Allocation Breakdown'!D4:D187""))"),"")</f>
        <v/>
      </c>
      <c r="H28" s="30" t="str">
        <f ca="1">IFERROR(__xludf.DUMMYFUNCTION("XLOOKUP($B28,IMPORTRANGE(""https://docs.google.com/spreadsheets/d/1EjEqG6oc_vmuAWwHnH51YMvSMVUVePUqNn9zZBOmHT8/edit#gid=757525651"",""'Allocation Breakdown'!A4:A187""),IMPORTRANGE(""https://docs.google.com/spreadsheets/d/1EjEqG6oc_vmuAWwHnH51YMvSMVUVePUqN"&amp;"n9zZBOmHT8/edit#gid=757525651"",""'Allocation Breakdown'!E4:E187""))"),"")</f>
        <v/>
      </c>
      <c r="I28" s="30">
        <f ca="1">IFERROR(__xludf.DUMMYFUNCTION("XLOOKUP($B28,IMPORTRANGE(""https://docs.google.com/spreadsheets/d/1EjEqG6oc_vmuAWwHnH51YMvSMVUVePUqNn9zZBOmHT8/edit#gid=757525651"",""'Allocation Breakdown'!A4:A187""),IMPORTRANGE(""https://docs.google.com/spreadsheets/d/1EjEqG6oc_vmuAWwHnH51YMvSMVUVePUqN"&amp;"n9zZBOmHT8/edit#gid=757525651"",""'Allocation Breakdown'!F4:F187""))"),15000)</f>
        <v>15000</v>
      </c>
      <c r="J28" s="30">
        <f ca="1">IFERROR(__xludf.DUMMYFUNCTION("XLOOKUP($B28,IMPORTRANGE(""https://docs.google.com/spreadsheets/d/1EjEqG6oc_vmuAWwHnH51YMvSMVUVePUqNn9zZBOmHT8/edit#gid=757525651"",""'Allocation Breakdown'!A4:A187""),IMPORTRANGE(""https://docs.google.com/spreadsheets/d/1EjEqG6oc_vmuAWwHnH51YMvSMVUVePUqN"&amp;"n9zZBOmHT8/edit#gid=757525651"",""'Allocation Breakdown'!G4:G187""))"),9175)</f>
        <v>9175</v>
      </c>
      <c r="K28" s="30">
        <f ca="1">IFERROR(__xludf.DUMMYFUNCTION("XLOOKUP($B28,IMPORTRANGE(""https://docs.google.com/spreadsheets/d/1EjEqG6oc_vmuAWwHnH51YMvSMVUVePUqNn9zZBOmHT8/edit#gid=757525651"",""'Allocation Breakdown'!A4:A187""),IMPORTRANGE(""https://docs.google.com/spreadsheets/d/1EjEqG6oc_vmuAWwHnH51YMvSMVUVePUqN"&amp;"n9zZBOmHT8/edit#gid=757525651"",""'Allocation Breakdown'!I4:I187""))*K$119"),0)</f>
        <v>0</v>
      </c>
      <c r="L28" s="30">
        <f ca="1">IFERROR(__xludf.DUMMYFUNCTION("XLOOKUP($B28,IMPORTRANGE(""https://docs.google.com/spreadsheets/d/1EjEqG6oc_vmuAWwHnH51YMvSMVUVePUqNn9zZBOmHT8/edit#gid=757525651"",""'Allocation Breakdown'!A4:A187""),IMPORTRANGE(""https://docs.google.com/spreadsheets/d/1EjEqG6oc_vmuAWwHnH51YMvSMVUVePUqN"&amp;"n9zZBOmHT8/edit#gid=757525651"",""'Allocation Breakdown'!j4:j187""))*L$119"),0)</f>
        <v>0</v>
      </c>
      <c r="M28" s="30">
        <f ca="1">IFERROR(__xludf.DUMMYFUNCTION("XLOOKUP($B28,IMPORTRANGE(""https://docs.google.com/spreadsheets/d/1EjEqG6oc_vmuAWwHnH51YMvSMVUVePUqNn9zZBOmHT8/edit#gid=757525651"",""'Allocation Breakdown'!A4:A187""),IMPORTRANGE(""https://docs.google.com/spreadsheets/d/1EjEqG6oc_vmuAWwHnH51YMvSMVUVePUqN"&amp;"n9zZBOmHT8/edit#gid=757525651"",""'Allocation Breakdown'!K4:K187""))*M$119"),3588.6226095)</f>
        <v>3588.6226095000002</v>
      </c>
      <c r="N28" s="30">
        <f ca="1">IFERROR(__xludf.DUMMYFUNCTION("XLOOKUP($B28,IMPORTRANGE(""https://docs.google.com/spreadsheets/d/1EjEqG6oc_vmuAWwHnH51YMvSMVUVePUqNn9zZBOmHT8/edit#gid=757525651"",""'Allocation Breakdown'!A4:A187""),IMPORTRANGE(""https://docs.google.com/spreadsheets/d/1EjEqG6oc_vmuAWwHnH51YMvSMVUVePUqN"&amp;"n9zZBOmHT8/edit#gid=757525651"",""'Allocation Breakdown'!l4:l187""))*N$119"),951.8600508)</f>
        <v>951.86005079999995</v>
      </c>
      <c r="O28" s="30">
        <f ca="1">IFERROR(__xludf.DUMMYFUNCTION("XLOOKUP($B28,IMPORTRANGE(""https://docs.google.com/spreadsheets/d/1EjEqG6oc_vmuAWwHnH51YMvSMVUVePUqNn9zZBOmHT8/edit#gid=757525651"",""'Allocation Breakdown'!A4:A187""),IMPORTRANGE(""https://docs.google.com/spreadsheets/d/1EjEqG6oc_vmuAWwHnH51YMvSMVUVePUqN"&amp;"n9zZBOmHT8/edit#gid=757525651"",""'Allocation Breakdown'!n4:n187""))*O$119"),0)</f>
        <v>0</v>
      </c>
      <c r="P28" s="30">
        <f ca="1">IFERROR(__xludf.DUMMYFUNCTION("XLOOKUP($B28,IMPORTRANGE(""https://docs.google.com/spreadsheets/d/1EjEqG6oc_vmuAWwHnH51YMvSMVUVePUqNn9zZBOmHT8/edit#gid=757525651"",""'Allocation Breakdown'!A4:A187""),IMPORTRANGE(""https://docs.google.com/spreadsheets/d/1EjEqG6oc_vmuAWwHnH51YMvSMVUVePUqN"&amp;"n9zZBOmHT8/edit#gid=757525651"",""'Allocation Breakdown'!o4:o187""))*P$119"),4400)</f>
        <v>4400</v>
      </c>
      <c r="Q28" s="30">
        <f ca="1">IFERROR(__xludf.DUMMYFUNCTION("XLOOKUP($B28,IMPORTRANGE(""https://docs.google.com/spreadsheets/d/1EjEqG6oc_vmuAWwHnH51YMvSMVUVePUqNn9zZBOmHT8/edit#gid=757525651"",""'Allocation Breakdown'!A4:A187""),IMPORTRANGE(""https://docs.google.com/spreadsheets/d/1EjEqG6oc_vmuAWwHnH51YMvSMVUVePUqN"&amp;"n9zZBOmHT8/edit#gid=757525651"",""'Allocation Breakdown'!p4:p187""))*Q$119"),0)</f>
        <v>0</v>
      </c>
      <c r="R28" s="30">
        <f ca="1">IFERROR(__xludf.DUMMYFUNCTION("XLOOKUP($B28,IMPORTRANGE(""https://docs.google.com/spreadsheets/d/1EjEqG6oc_vmuAWwHnH51YMvSMVUVePUqNn9zZBOmHT8/edit#gid=757525651"",""'Allocation Breakdown'!A4:A187""),IMPORTRANGE(""https://docs.google.com/spreadsheets/d/1EjEqG6oc_vmuAWwHnH51YMvSMVUVePUqN"&amp;"n9zZBOmHT8/edit#gid=757525651"",""'Allocation Breakdown'!q4:q187""))*R$119"),0)</f>
        <v>0</v>
      </c>
      <c r="S28" s="30">
        <f ca="1">IFERROR(__xludf.DUMMYFUNCTION("XLOOKUP($B28,IMPORTRANGE(""https://docs.google.com/spreadsheets/d/1EjEqG6oc_vmuAWwHnH51YMvSMVUVePUqNn9zZBOmHT8/edit#gid=757525651"",""'Allocation Breakdown'!A4:A187""),IMPORTRANGE(""https://docs.google.com/spreadsheets/d/1EjEqG6oc_vmuAWwHnH51YMvSMVUVePUqN"&amp;"n9zZBOmHT8/edit#gid=757525651"",""'Allocation Breakdown'!r4:r187""))*S$119"),0)</f>
        <v>0</v>
      </c>
      <c r="T28" s="30">
        <f ca="1">IFERROR(__xludf.DUMMYFUNCTION("XLOOKUP($B28,IMPORTRANGE(""https://docs.google.com/spreadsheets/d/1EjEqG6oc_vmuAWwHnH51YMvSMVUVePUqNn9zZBOmHT8/edit#gid=757525651"",""'Allocation Breakdown'!A4:A187""),IMPORTRANGE(""https://docs.google.com/spreadsheets/d/1EjEqG6oc_vmuAWwHnH51YMvSMVUVePUqN"&amp;"n9zZBOmHT8/edit#gid=757525651"",""'Allocation Breakdown'!t4:t187""))*T$119"),7000)</f>
        <v>7000</v>
      </c>
      <c r="U28" s="30">
        <f ca="1">IFERROR(__xludf.DUMMYFUNCTION("XLOOKUP($B28,IMPORTRANGE(""https://docs.google.com/spreadsheets/d/1EjEqG6oc_vmuAWwHnH51YMvSMVUVePUqNn9zZBOmHT8/edit#gid=757525651"",""'Allocation Breakdown'!A4:A187""),IMPORTRANGE(""https://docs.google.com/spreadsheets/d/1EjEqG6oc_vmuAWwHnH51YMvSMVUVePUqN"&amp;"n9zZBOmHT8/edit#gid=757525651"",""'Allocation Breakdown'!U4:U187""))*U$119"),11000)</f>
        <v>11000</v>
      </c>
      <c r="V28" s="31">
        <f t="shared" ca="1" si="1"/>
        <v>51115.482660300004</v>
      </c>
      <c r="W28" s="31">
        <f t="shared" ca="1" si="2"/>
        <v>51115.482660300004</v>
      </c>
      <c r="Z28" s="32"/>
      <c r="AA28" s="32"/>
      <c r="AB28" s="32"/>
    </row>
    <row r="29" spans="2:28">
      <c r="B29" s="28" t="s">
        <v>124</v>
      </c>
      <c r="C29" s="30">
        <f ca="1">IFERROR(__xludf.DUMMYFUNCTION("XLOOKUP($B29,IMPORTRANGE(""https://docs.google.com/spreadsheets/d/1EjEqG6oc_vmuAWwHnH51YMvSMVUVePUqNn9zZBOmHT8/edit#gid=757525651"",""'Allocation Breakdown'!A4:A187""),IMPORTRANGE(""https://docs.google.com/spreadsheets/d/1EjEqG6oc_vmuAWwHnH51YMvSMVUVePUqN"&amp;"n9zZBOmHT8/edit#gid=757525651"",""'Allocation Breakdown'!V4:V187""))*C$119"),1554.76210974)</f>
        <v>1554.7621097399999</v>
      </c>
      <c r="D29" s="30">
        <f ca="1">IFERROR(__xludf.DUMMYFUNCTION("XLOOKUP($B29,IMPORTRANGE(""https://docs.google.com/spreadsheets/d/1EjEqG6oc_vmuAWwHnH51YMvSMVUVePUqNn9zZBOmHT8/edit#gid=757525651"",""'Allocation Breakdown'!A4:A187""),IMPORTRANGE(""https://docs.google.com/spreadsheets/d/1EjEqG6oc_vmuAWwHnH51YMvSMVUVePUqN"&amp;"n9zZBOmHT8/edit#gid=757525651"",""'Allocation Breakdown'!I4:I187""))*$D$119"),14225.591683331)</f>
        <v>14225.591683331</v>
      </c>
      <c r="E29" s="30">
        <f ca="1">IFERROR(__xludf.DUMMYFUNCTION("XLOOKUP($B29,IMPORTRANGE(""https://docs.google.com/spreadsheets/d/1EjEqG6oc_vmuAWwHnH51YMvSMVUVePUqNn9zZBOmHT8/edit#gid=757525651"",""'Allocation Breakdown'!A4:A187""),IMPORTRANGE(""https://docs.google.com/spreadsheets/d/1EjEqG6oc_vmuAWwHnH51YMvSMVUVePUqN"&amp;"n9zZBOmHT8/edit#gid=757525651"",""'Allocation Breakdown'!V4:V187""))*E$119"),545.23789026)</f>
        <v>545.23789025999997</v>
      </c>
      <c r="F29" s="30">
        <f t="shared" ca="1" si="0"/>
        <v>14770.829573591</v>
      </c>
      <c r="G29" s="30" t="str">
        <f ca="1">IFERROR(__xludf.DUMMYFUNCTION("XLOOKUP($B29,IMPORTRANGE(""https://docs.google.com/spreadsheets/d/1EjEqG6oc_vmuAWwHnH51YMvSMVUVePUqNn9zZBOmHT8/edit#gid=757525651"",""'Allocation Breakdown'!A4:A187""),IMPORTRANGE(""https://docs.google.com/spreadsheets/d/1EjEqG6oc_vmuAWwHnH51YMvSMVUVePUqN"&amp;"n9zZBOmHT8/edit#gid=757525651"",""'Allocation Breakdown'!D4:D187""))"),"")</f>
        <v/>
      </c>
      <c r="H29" s="30" t="str">
        <f ca="1">IFERROR(__xludf.DUMMYFUNCTION("XLOOKUP($B29,IMPORTRANGE(""https://docs.google.com/spreadsheets/d/1EjEqG6oc_vmuAWwHnH51YMvSMVUVePUqNn9zZBOmHT8/edit#gid=757525651"",""'Allocation Breakdown'!A4:A187""),IMPORTRANGE(""https://docs.google.com/spreadsheets/d/1EjEqG6oc_vmuAWwHnH51YMvSMVUVePUqN"&amp;"n9zZBOmHT8/edit#gid=757525651"",""'Allocation Breakdown'!E4:E187""))"),"")</f>
        <v/>
      </c>
      <c r="I29" s="30">
        <f ca="1">IFERROR(__xludf.DUMMYFUNCTION("XLOOKUP($B29,IMPORTRANGE(""https://docs.google.com/spreadsheets/d/1EjEqG6oc_vmuAWwHnH51YMvSMVUVePUqNn9zZBOmHT8/edit#gid=757525651"",""'Allocation Breakdown'!A4:A187""),IMPORTRANGE(""https://docs.google.com/spreadsheets/d/1EjEqG6oc_vmuAWwHnH51YMvSMVUVePUqN"&amp;"n9zZBOmHT8/edit#gid=757525651"",""'Allocation Breakdown'!F4:F187""))"),27000)</f>
        <v>27000</v>
      </c>
      <c r="J29" s="30">
        <f ca="1">IFERROR(__xludf.DUMMYFUNCTION("XLOOKUP($B29,IMPORTRANGE(""https://docs.google.com/spreadsheets/d/1EjEqG6oc_vmuAWwHnH51YMvSMVUVePUqNn9zZBOmHT8/edit#gid=757525651"",""'Allocation Breakdown'!A4:A187""),IMPORTRANGE(""https://docs.google.com/spreadsheets/d/1EjEqG6oc_vmuAWwHnH51YMvSMVUVePUqN"&amp;"n9zZBOmHT8/edit#gid=757525651"",""'Allocation Breakdown'!G4:G187""))"),3500)</f>
        <v>3500</v>
      </c>
      <c r="K29" s="30">
        <f ca="1">IFERROR(__xludf.DUMMYFUNCTION("XLOOKUP($B29,IMPORTRANGE(""https://docs.google.com/spreadsheets/d/1EjEqG6oc_vmuAWwHnH51YMvSMVUVePUqNn9zZBOmHT8/edit#gid=757525651"",""'Allocation Breakdown'!A4:A187""),IMPORTRANGE(""https://docs.google.com/spreadsheets/d/1EjEqG6oc_vmuAWwHnH51YMvSMVUVePUqN"&amp;"n9zZBOmHT8/edit#gid=757525651"",""'Allocation Breakdown'!I4:I187""))*K$119"),1249.8769272)</f>
        <v>1249.8769272</v>
      </c>
      <c r="L29" s="30">
        <f ca="1">IFERROR(__xludf.DUMMYFUNCTION("XLOOKUP($B29,IMPORTRANGE(""https://docs.google.com/spreadsheets/d/1EjEqG6oc_vmuAWwHnH51YMvSMVUVePUqNn9zZBOmHT8/edit#gid=757525651"",""'Allocation Breakdown'!A4:A187""),IMPORTRANGE(""https://docs.google.com/spreadsheets/d/1EjEqG6oc_vmuAWwHnH51YMvSMVUVePUqN"&amp;"n9zZBOmHT8/edit#gid=757525651"",""'Allocation Breakdown'!j4:j187""))*L$119"),6662.7760149)</f>
        <v>6662.7760148999996</v>
      </c>
      <c r="M29" s="30">
        <f ca="1">IFERROR(__xludf.DUMMYFUNCTION("XLOOKUP($B29,IMPORTRANGE(""https://docs.google.com/spreadsheets/d/1EjEqG6oc_vmuAWwHnH51YMvSMVUVePUqNn9zZBOmHT8/edit#gid=757525651"",""'Allocation Breakdown'!A4:A187""),IMPORTRANGE(""https://docs.google.com/spreadsheets/d/1EjEqG6oc_vmuAWwHnH51YMvSMVUVePUqN"&amp;"n9zZBOmHT8/edit#gid=757525651"",""'Allocation Breakdown'!K4:K187""))*M$119"),4736.98184454)</f>
        <v>4736.9818445399997</v>
      </c>
      <c r="N29" s="30">
        <f ca="1">IFERROR(__xludf.DUMMYFUNCTION("XLOOKUP($B29,IMPORTRANGE(""https://docs.google.com/spreadsheets/d/1EjEqG6oc_vmuAWwHnH51YMvSMVUVePUqNn9zZBOmHT8/edit#gid=757525651"",""'Allocation Breakdown'!A4:A187""),IMPORTRANGE(""https://docs.google.com/spreadsheets/d/1EjEqG6oc_vmuAWwHnH51YMvSMVUVePUqN"&amp;"n9zZBOmHT8/edit#gid=757525651"",""'Allocation Breakdown'!l4:l187""))*N$119"),1903.7201016)</f>
        <v>1903.7201015999999</v>
      </c>
      <c r="O29" s="30">
        <f ca="1">IFERROR(__xludf.DUMMYFUNCTION("XLOOKUP($B29,IMPORTRANGE(""https://docs.google.com/spreadsheets/d/1EjEqG6oc_vmuAWwHnH51YMvSMVUVePUqNn9zZBOmHT8/edit#gid=757525651"",""'Allocation Breakdown'!A4:A187""),IMPORTRANGE(""https://docs.google.com/spreadsheets/d/1EjEqG6oc_vmuAWwHnH51YMvSMVUVePUqN"&amp;"n9zZBOmHT8/edit#gid=757525651"",""'Allocation Breakdown'!n4:n187""))*O$119"),0)</f>
        <v>0</v>
      </c>
      <c r="P29" s="30">
        <f ca="1">IFERROR(__xludf.DUMMYFUNCTION("XLOOKUP($B29,IMPORTRANGE(""https://docs.google.com/spreadsheets/d/1EjEqG6oc_vmuAWwHnH51YMvSMVUVePUqNn9zZBOmHT8/edit#gid=757525651"",""'Allocation Breakdown'!A4:A187""),IMPORTRANGE(""https://docs.google.com/spreadsheets/d/1EjEqG6oc_vmuAWwHnH51YMvSMVUVePUqN"&amp;"n9zZBOmHT8/edit#gid=757525651"",""'Allocation Breakdown'!o4:o187""))*P$119"),8800)</f>
        <v>8800</v>
      </c>
      <c r="Q29" s="30">
        <f ca="1">IFERROR(__xludf.DUMMYFUNCTION("XLOOKUP($B29,IMPORTRANGE(""https://docs.google.com/spreadsheets/d/1EjEqG6oc_vmuAWwHnH51YMvSMVUVePUqNn9zZBOmHT8/edit#gid=757525651"",""'Allocation Breakdown'!A4:A187""),IMPORTRANGE(""https://docs.google.com/spreadsheets/d/1EjEqG6oc_vmuAWwHnH51YMvSMVUVePUqN"&amp;"n9zZBOmHT8/edit#gid=757525651"",""'Allocation Breakdown'!p4:p187""))*Q$119"),1000)</f>
        <v>1000</v>
      </c>
      <c r="R29" s="30">
        <f ca="1">IFERROR(__xludf.DUMMYFUNCTION("XLOOKUP($B29,IMPORTRANGE(""https://docs.google.com/spreadsheets/d/1EjEqG6oc_vmuAWwHnH51YMvSMVUVePUqNn9zZBOmHT8/edit#gid=757525651"",""'Allocation Breakdown'!A4:A187""),IMPORTRANGE(""https://docs.google.com/spreadsheets/d/1EjEqG6oc_vmuAWwHnH51YMvSMVUVePUqN"&amp;"n9zZBOmHT8/edit#gid=757525651"",""'Allocation Breakdown'!q4:q187""))*R$119"),4000)</f>
        <v>4000</v>
      </c>
      <c r="S29" s="30">
        <f ca="1">IFERROR(__xludf.DUMMYFUNCTION("XLOOKUP($B29,IMPORTRANGE(""https://docs.google.com/spreadsheets/d/1EjEqG6oc_vmuAWwHnH51YMvSMVUVePUqNn9zZBOmHT8/edit#gid=757525651"",""'Allocation Breakdown'!A4:A187""),IMPORTRANGE(""https://docs.google.com/spreadsheets/d/1EjEqG6oc_vmuAWwHnH51YMvSMVUVePUqN"&amp;"n9zZBOmHT8/edit#gid=757525651"",""'Allocation Breakdown'!r4:r187""))*S$119"),0)</f>
        <v>0</v>
      </c>
      <c r="T29" s="30">
        <f ca="1">IFERROR(__xludf.DUMMYFUNCTION("XLOOKUP($B29,IMPORTRANGE(""https://docs.google.com/spreadsheets/d/1EjEqG6oc_vmuAWwHnH51YMvSMVUVePUqNn9zZBOmHT8/edit#gid=757525651"",""'Allocation Breakdown'!A4:A187""),IMPORTRANGE(""https://docs.google.com/spreadsheets/d/1EjEqG6oc_vmuAWwHnH51YMvSMVUVePUqN"&amp;"n9zZBOmHT8/edit#gid=757525651"",""'Allocation Breakdown'!t4:t187""))*T$119"),14000)</f>
        <v>14000</v>
      </c>
      <c r="U29" s="30">
        <f ca="1">IFERROR(__xludf.DUMMYFUNCTION("XLOOKUP($B29,IMPORTRANGE(""https://docs.google.com/spreadsheets/d/1EjEqG6oc_vmuAWwHnH51YMvSMVUVePUqNn9zZBOmHT8/edit#gid=757525651"",""'Allocation Breakdown'!A4:A187""),IMPORTRANGE(""https://docs.google.com/spreadsheets/d/1EjEqG6oc_vmuAWwHnH51YMvSMVUVePUqN"&amp;"n9zZBOmHT8/edit#gid=757525651"",""'Allocation Breakdown'!U4:U187""))*U$119"),22000)</f>
        <v>22000</v>
      </c>
      <c r="V29" s="31">
        <f t="shared" ca="1" si="1"/>
        <v>94853.354888240006</v>
      </c>
      <c r="W29" s="31">
        <f t="shared" ca="1" si="2"/>
        <v>111178.946571571</v>
      </c>
      <c r="Z29" s="32"/>
      <c r="AA29" s="32"/>
      <c r="AB29" s="32"/>
    </row>
    <row r="30" spans="2:28">
      <c r="B30" s="28" t="s">
        <v>125</v>
      </c>
      <c r="C30" s="30">
        <f ca="1">IFERROR(__xludf.DUMMYFUNCTION("XLOOKUP($B30,IMPORTRANGE(""https://docs.google.com/spreadsheets/d/1EjEqG6oc_vmuAWwHnH51YMvSMVUVePUqNn9zZBOmHT8/edit#gid=757525651"",""'Allocation Breakdown'!A4:A187""),IMPORTRANGE(""https://docs.google.com/spreadsheets/d/1EjEqG6oc_vmuAWwHnH51YMvSMVUVePUqN"&amp;"n9zZBOmHT8/edit#gid=757525651"",""'Allocation Breakdown'!V4:V187""))*C$119"),777.38105487)</f>
        <v>777.38105486999996</v>
      </c>
      <c r="D30" s="30">
        <f ca="1">IFERROR(__xludf.DUMMYFUNCTION("XLOOKUP($B30,IMPORTRANGE(""https://docs.google.com/spreadsheets/d/1EjEqG6oc_vmuAWwHnH51YMvSMVUVePUqNn9zZBOmHT8/edit#gid=757525651"",""'Allocation Breakdown'!A4:A187""),IMPORTRANGE(""https://docs.google.com/spreadsheets/d/1EjEqG6oc_vmuAWwHnH51YMvSMVUVePUqN"&amp;"n9zZBOmHT8/edit#gid=757525651"",""'Allocation Breakdown'!I4:I187""))*$D$119"),7112.7958416655)</f>
        <v>7112.7958416655001</v>
      </c>
      <c r="E30" s="30">
        <f ca="1">IFERROR(__xludf.DUMMYFUNCTION("XLOOKUP($B30,IMPORTRANGE(""https://docs.google.com/spreadsheets/d/1EjEqG6oc_vmuAWwHnH51YMvSMVUVePUqNn9zZBOmHT8/edit#gid=757525651"",""'Allocation Breakdown'!A4:A187""),IMPORTRANGE(""https://docs.google.com/spreadsheets/d/1EjEqG6oc_vmuAWwHnH51YMvSMVUVePUqN"&amp;"n9zZBOmHT8/edit#gid=757525651"",""'Allocation Breakdown'!V4:V187""))*E$119"),272.61894513)</f>
        <v>272.61894512999999</v>
      </c>
      <c r="F30" s="30">
        <f t="shared" ca="1" si="0"/>
        <v>7385.4147867954998</v>
      </c>
      <c r="G30" s="30" t="str">
        <f ca="1">IFERROR(__xludf.DUMMYFUNCTION("XLOOKUP($B30,IMPORTRANGE(""https://docs.google.com/spreadsheets/d/1EjEqG6oc_vmuAWwHnH51YMvSMVUVePUqNn9zZBOmHT8/edit#gid=757525651"",""'Allocation Breakdown'!A4:A187""),IMPORTRANGE(""https://docs.google.com/spreadsheets/d/1EjEqG6oc_vmuAWwHnH51YMvSMVUVePUqN"&amp;"n9zZBOmHT8/edit#gid=757525651"",""'Allocation Breakdown'!D4:D187""))"),"")</f>
        <v/>
      </c>
      <c r="H30" s="30" t="str">
        <f ca="1">IFERROR(__xludf.DUMMYFUNCTION("XLOOKUP($B30,IMPORTRANGE(""https://docs.google.com/spreadsheets/d/1EjEqG6oc_vmuAWwHnH51YMvSMVUVePUqNn9zZBOmHT8/edit#gid=757525651"",""'Allocation Breakdown'!A4:A187""),IMPORTRANGE(""https://docs.google.com/spreadsheets/d/1EjEqG6oc_vmuAWwHnH51YMvSMVUVePUqN"&amp;"n9zZBOmHT8/edit#gid=757525651"",""'Allocation Breakdown'!E4:E187""))"),"")</f>
        <v/>
      </c>
      <c r="I30" s="30">
        <f ca="1">IFERROR(__xludf.DUMMYFUNCTION("XLOOKUP($B30,IMPORTRANGE(""https://docs.google.com/spreadsheets/d/1EjEqG6oc_vmuAWwHnH51YMvSMVUVePUqNn9zZBOmHT8/edit#gid=757525651"",""'Allocation Breakdown'!A4:A187""),IMPORTRANGE(""https://docs.google.com/spreadsheets/d/1EjEqG6oc_vmuAWwHnH51YMvSMVUVePUqN"&amp;"n9zZBOmHT8/edit#gid=757525651"",""'Allocation Breakdown'!F4:F187""))"),5000)</f>
        <v>5000</v>
      </c>
      <c r="J30" s="30" t="str">
        <f ca="1">IFERROR(__xludf.DUMMYFUNCTION("XLOOKUP($B30,IMPORTRANGE(""https://docs.google.com/spreadsheets/d/1EjEqG6oc_vmuAWwHnH51YMvSMVUVePUqNn9zZBOmHT8/edit#gid=757525651"",""'Allocation Breakdown'!A4:A187""),IMPORTRANGE(""https://docs.google.com/spreadsheets/d/1EjEqG6oc_vmuAWwHnH51YMvSMVUVePUqN"&amp;"n9zZBOmHT8/edit#gid=757525651"",""'Allocation Breakdown'!G4:G187""))"),"")</f>
        <v/>
      </c>
      <c r="K30" s="30">
        <f ca="1">IFERROR(__xludf.DUMMYFUNCTION("XLOOKUP($B30,IMPORTRANGE(""https://docs.google.com/spreadsheets/d/1EjEqG6oc_vmuAWwHnH51YMvSMVUVePUqNn9zZBOmHT8/edit#gid=757525651"",""'Allocation Breakdown'!A4:A187""),IMPORTRANGE(""https://docs.google.com/spreadsheets/d/1EjEqG6oc_vmuAWwHnH51YMvSMVUVePUqN"&amp;"n9zZBOmHT8/edit#gid=757525651"",""'Allocation Breakdown'!I4:I187""))*K$119"),624.9384636)</f>
        <v>624.93846359999998</v>
      </c>
      <c r="L30" s="30">
        <f ca="1">IFERROR(__xludf.DUMMYFUNCTION("XLOOKUP($B30,IMPORTRANGE(""https://docs.google.com/spreadsheets/d/1EjEqG6oc_vmuAWwHnH51YMvSMVUVePUqNn9zZBOmHT8/edit#gid=757525651"",""'Allocation Breakdown'!A4:A187""),IMPORTRANGE(""https://docs.google.com/spreadsheets/d/1EjEqG6oc_vmuAWwHnH51YMvSMVUVePUqN"&amp;"n9zZBOmHT8/edit#gid=757525651"",""'Allocation Breakdown'!j4:j187""))*L$119"),3701.5422305)</f>
        <v>3701.5422305000002</v>
      </c>
      <c r="M30" s="30">
        <f ca="1">IFERROR(__xludf.DUMMYFUNCTION("XLOOKUP($B30,IMPORTRANGE(""https://docs.google.com/spreadsheets/d/1EjEqG6oc_vmuAWwHnH51YMvSMVUVePUqNn9zZBOmHT8/edit#gid=757525651"",""'Allocation Breakdown'!A4:A187""),IMPORTRANGE(""https://docs.google.com/spreadsheets/d/1EjEqG6oc_vmuAWwHnH51YMvSMVUVePUqN"&amp;"n9zZBOmHT8/edit#gid=757525651"",""'Allocation Breakdown'!K4:K187""))*M$119"),3588.6226095)</f>
        <v>3588.6226095000002</v>
      </c>
      <c r="N30" s="30">
        <f ca="1">IFERROR(__xludf.DUMMYFUNCTION("XLOOKUP($B30,IMPORTRANGE(""https://docs.google.com/spreadsheets/d/1EjEqG6oc_vmuAWwHnH51YMvSMVUVePUqNn9zZBOmHT8/edit#gid=757525651"",""'Allocation Breakdown'!A4:A187""),IMPORTRANGE(""https://docs.google.com/spreadsheets/d/1EjEqG6oc_vmuAWwHnH51YMvSMVUVePUqN"&amp;"n9zZBOmHT8/edit#gid=757525651"",""'Allocation Breakdown'!l4:l187""))*N$119"),951.8600508)</f>
        <v>951.86005079999995</v>
      </c>
      <c r="O30" s="30">
        <f ca="1">IFERROR(__xludf.DUMMYFUNCTION("XLOOKUP($B30,IMPORTRANGE(""https://docs.google.com/spreadsheets/d/1EjEqG6oc_vmuAWwHnH51YMvSMVUVePUqNn9zZBOmHT8/edit#gid=757525651"",""'Allocation Breakdown'!A4:A187""),IMPORTRANGE(""https://docs.google.com/spreadsheets/d/1EjEqG6oc_vmuAWwHnH51YMvSMVUVePUqN"&amp;"n9zZBOmHT8/edit#gid=757525651"",""'Allocation Breakdown'!n4:n187""))*O$119"),0)</f>
        <v>0</v>
      </c>
      <c r="P30" s="30">
        <f ca="1">IFERROR(__xludf.DUMMYFUNCTION("XLOOKUP($B30,IMPORTRANGE(""https://docs.google.com/spreadsheets/d/1EjEqG6oc_vmuAWwHnH51YMvSMVUVePUqNn9zZBOmHT8/edit#gid=757525651"",""'Allocation Breakdown'!A4:A187""),IMPORTRANGE(""https://docs.google.com/spreadsheets/d/1EjEqG6oc_vmuAWwHnH51YMvSMVUVePUqN"&amp;"n9zZBOmHT8/edit#gid=757525651"",""'Allocation Breakdown'!o4:o187""))*P$119"),4400)</f>
        <v>4400</v>
      </c>
      <c r="Q30" s="30">
        <f ca="1">IFERROR(__xludf.DUMMYFUNCTION("XLOOKUP($B30,IMPORTRANGE(""https://docs.google.com/spreadsheets/d/1EjEqG6oc_vmuAWwHnH51YMvSMVUVePUqNn9zZBOmHT8/edit#gid=757525651"",""'Allocation Breakdown'!A4:A187""),IMPORTRANGE(""https://docs.google.com/spreadsheets/d/1EjEqG6oc_vmuAWwHnH51YMvSMVUVePUqN"&amp;"n9zZBOmHT8/edit#gid=757525651"",""'Allocation Breakdown'!p4:p187""))*Q$119"),0)</f>
        <v>0</v>
      </c>
      <c r="R30" s="30">
        <f ca="1">IFERROR(__xludf.DUMMYFUNCTION("XLOOKUP($B30,IMPORTRANGE(""https://docs.google.com/spreadsheets/d/1EjEqG6oc_vmuAWwHnH51YMvSMVUVePUqNn9zZBOmHT8/edit#gid=757525651"",""'Allocation Breakdown'!A4:A187""),IMPORTRANGE(""https://docs.google.com/spreadsheets/d/1EjEqG6oc_vmuAWwHnH51YMvSMVUVePUqN"&amp;"n9zZBOmHT8/edit#gid=757525651"",""'Allocation Breakdown'!q4:q187""))*R$119"),2000)</f>
        <v>2000</v>
      </c>
      <c r="S30" s="30">
        <f ca="1">IFERROR(__xludf.DUMMYFUNCTION("XLOOKUP($B30,IMPORTRANGE(""https://docs.google.com/spreadsheets/d/1EjEqG6oc_vmuAWwHnH51YMvSMVUVePUqNn9zZBOmHT8/edit#gid=757525651"",""'Allocation Breakdown'!A4:A187""),IMPORTRANGE(""https://docs.google.com/spreadsheets/d/1EjEqG6oc_vmuAWwHnH51YMvSMVUVePUqN"&amp;"n9zZBOmHT8/edit#gid=757525651"",""'Allocation Breakdown'!r4:r187""))*S$119"),2000)</f>
        <v>2000</v>
      </c>
      <c r="T30" s="30">
        <f ca="1">IFERROR(__xludf.DUMMYFUNCTION("XLOOKUP($B30,IMPORTRANGE(""https://docs.google.com/spreadsheets/d/1EjEqG6oc_vmuAWwHnH51YMvSMVUVePUqNn9zZBOmHT8/edit#gid=757525651"",""'Allocation Breakdown'!A4:A187""),IMPORTRANGE(""https://docs.google.com/spreadsheets/d/1EjEqG6oc_vmuAWwHnH51YMvSMVUVePUqN"&amp;"n9zZBOmHT8/edit#gid=757525651"",""'Allocation Breakdown'!t4:t187""))*T$119"),7000)</f>
        <v>7000</v>
      </c>
      <c r="U30" s="30">
        <f ca="1">IFERROR(__xludf.DUMMYFUNCTION("XLOOKUP($B30,IMPORTRANGE(""https://docs.google.com/spreadsheets/d/1EjEqG6oc_vmuAWwHnH51YMvSMVUVePUqNn9zZBOmHT8/edit#gid=757525651"",""'Allocation Breakdown'!A4:A187""),IMPORTRANGE(""https://docs.google.com/spreadsheets/d/1EjEqG6oc_vmuAWwHnH51YMvSMVUVePUqN"&amp;"n9zZBOmHT8/edit#gid=757525651"",""'Allocation Breakdown'!U4:U187""))*U$119"),11000)</f>
        <v>11000</v>
      </c>
      <c r="V30" s="31">
        <f t="shared" ca="1" si="1"/>
        <v>40266.963354399995</v>
      </c>
      <c r="W30" s="31">
        <f t="shared" ca="1" si="2"/>
        <v>48429.759196065497</v>
      </c>
      <c r="Z30" s="32"/>
      <c r="AA30" s="32"/>
      <c r="AB30" s="32"/>
    </row>
    <row r="31" spans="2:28">
      <c r="B31" s="28" t="s">
        <v>126</v>
      </c>
      <c r="C31" s="30">
        <f ca="1">IFERROR(__xludf.DUMMYFUNCTION("XLOOKUP($B31,IMPORTRANGE(""https://docs.google.com/spreadsheets/d/1EjEqG6oc_vmuAWwHnH51YMvSMVUVePUqNn9zZBOmHT8/edit#gid=757525651"",""'Allocation Breakdown'!A4:A187""),IMPORTRANGE(""https://docs.google.com/spreadsheets/d/1EjEqG6oc_vmuAWwHnH51YMvSMVUVePUqN"&amp;"n9zZBOmHT8/edit#gid=757525651"",""'Allocation Breakdown'!V4:V187""))*C$119"),17879.7642620099)</f>
        <v>17879.7642620099</v>
      </c>
      <c r="D31" s="30">
        <f ca="1">IFERROR(__xludf.DUMMYFUNCTION("XLOOKUP($B31,IMPORTRANGE(""https://docs.google.com/spreadsheets/d/1EjEqG6oc_vmuAWwHnH51YMvSMVUVePUqNn9zZBOmHT8/edit#gid=757525651"",""'Allocation Breakdown'!A4:A187""),IMPORTRANGE(""https://docs.google.com/spreadsheets/d/1EjEqG6oc_vmuAWwHnH51YMvSMVUVePUqN"&amp;"n9zZBOmHT8/edit#gid=757525651"",""'Allocation Breakdown'!I4:I187""))*$D$119"),277399.037824954)</f>
        <v>277399.03782495402</v>
      </c>
      <c r="E31" s="30">
        <f ca="1">IFERROR(__xludf.DUMMYFUNCTION("XLOOKUP($B31,IMPORTRANGE(""https://docs.google.com/spreadsheets/d/1EjEqG6oc_vmuAWwHnH51YMvSMVUVePUqNn9zZBOmHT8/edit#gid=757525651"",""'Allocation Breakdown'!A4:A187""),IMPORTRANGE(""https://docs.google.com/spreadsheets/d/1EjEqG6oc_vmuAWwHnH51YMvSMVUVePUqN"&amp;"n9zZBOmHT8/edit#gid=757525651"",""'Allocation Breakdown'!V4:V187""))*E$119"),6270.23573799)</f>
        <v>6270.2357379900004</v>
      </c>
      <c r="F31" s="30">
        <f t="shared" ca="1" si="0"/>
        <v>283669.27356294403</v>
      </c>
      <c r="G31" s="30">
        <f ca="1">IFERROR(__xludf.DUMMYFUNCTION("XLOOKUP($B31,IMPORTRANGE(""https://docs.google.com/spreadsheets/d/1EjEqG6oc_vmuAWwHnH51YMvSMVUVePUqNn9zZBOmHT8/edit#gid=757525651"",""'Allocation Breakdown'!A4:A187""),IMPORTRANGE(""https://docs.google.com/spreadsheets/d/1EjEqG6oc_vmuAWwHnH51YMvSMVUVePUqN"&amp;"n9zZBOmHT8/edit#gid=757525651"",""'Allocation Breakdown'!D4:D187""))"),70000)</f>
        <v>70000</v>
      </c>
      <c r="H31" s="30" t="str">
        <f ca="1">IFERROR(__xludf.DUMMYFUNCTION("XLOOKUP($B31,IMPORTRANGE(""https://docs.google.com/spreadsheets/d/1EjEqG6oc_vmuAWwHnH51YMvSMVUVePUqNn9zZBOmHT8/edit#gid=757525651"",""'Allocation Breakdown'!A4:A187""),IMPORTRANGE(""https://docs.google.com/spreadsheets/d/1EjEqG6oc_vmuAWwHnH51YMvSMVUVePUqN"&amp;"n9zZBOmHT8/edit#gid=757525651"",""'Allocation Breakdown'!E4:E187""))"),"")</f>
        <v/>
      </c>
      <c r="I31" s="30">
        <f ca="1">IFERROR(__xludf.DUMMYFUNCTION("XLOOKUP($B31,IMPORTRANGE(""https://docs.google.com/spreadsheets/d/1EjEqG6oc_vmuAWwHnH51YMvSMVUVePUqNn9zZBOmHT8/edit#gid=757525651"",""'Allocation Breakdown'!A4:A187""),IMPORTRANGE(""https://docs.google.com/spreadsheets/d/1EjEqG6oc_vmuAWwHnH51YMvSMVUVePUqN"&amp;"n9zZBOmHT8/edit#gid=757525651"",""'Allocation Breakdown'!F4:F187""))"),137658)</f>
        <v>137658</v>
      </c>
      <c r="J31" s="30">
        <f ca="1">IFERROR(__xludf.DUMMYFUNCTION("XLOOKUP($B31,IMPORTRANGE(""https://docs.google.com/spreadsheets/d/1EjEqG6oc_vmuAWwHnH51YMvSMVUVePUqNn9zZBOmHT8/edit#gid=757525651"",""'Allocation Breakdown'!A4:A187""),IMPORTRANGE(""https://docs.google.com/spreadsheets/d/1EjEqG6oc_vmuAWwHnH51YMvSMVUVePUqN"&amp;"n9zZBOmHT8/edit#gid=757525651"",""'Allocation Breakdown'!G4:G187""))"),19575)</f>
        <v>19575</v>
      </c>
      <c r="K31" s="30">
        <f ca="1">IFERROR(__xludf.DUMMYFUNCTION("XLOOKUP($B31,IMPORTRANGE(""https://docs.google.com/spreadsheets/d/1EjEqG6oc_vmuAWwHnH51YMvSMVUVePUqNn9zZBOmHT8/edit#gid=757525651"",""'Allocation Breakdown'!A4:A187""),IMPORTRANGE(""https://docs.google.com/spreadsheets/d/1EjEqG6oc_vmuAWwHnH51YMvSMVUVePUqN"&amp;"n9zZBOmHT8/edit#gid=757525651"",""'Allocation Breakdown'!I4:I187""))*K$119"),24372.6000804)</f>
        <v>24372.6000804</v>
      </c>
      <c r="L31" s="30">
        <f ca="1">IFERROR(__xludf.DUMMYFUNCTION("XLOOKUP($B31,IMPORTRANGE(""https://docs.google.com/spreadsheets/d/1EjEqG6oc_vmuAWwHnH51YMvSMVUVePUqNn9zZBOmHT8/edit#gid=757525651"",""'Allocation Breakdown'!A4:A187""),IMPORTRANGE(""https://docs.google.com/spreadsheets/d/1EjEqG6oc_vmuAWwHnH51YMvSMVUVePUqN"&amp;"n9zZBOmHT8/edit#gid=757525651"",""'Allocation Breakdown'!j4:j187""))*L$119"),27391.4125057)</f>
        <v>27391.412505699998</v>
      </c>
      <c r="M31" s="30">
        <f ca="1">IFERROR(__xludf.DUMMYFUNCTION("XLOOKUP($B31,IMPORTRANGE(""https://docs.google.com/spreadsheets/d/1EjEqG6oc_vmuAWwHnH51YMvSMVUVePUqNn9zZBOmHT8/edit#gid=757525651"",""'Allocation Breakdown'!A4:A187""),IMPORTRANGE(""https://docs.google.com/spreadsheets/d/1EjEqG6oc_vmuAWwHnH51YMvSMVUVePUqN"&amp;"n9zZBOmHT8/edit#gid=757525651"",""'Allocation Breakdown'!K4:K187""))*M$119"),107658.678285)</f>
        <v>107658.678285</v>
      </c>
      <c r="N31" s="30">
        <f ca="1">IFERROR(__xludf.DUMMYFUNCTION("XLOOKUP($B31,IMPORTRANGE(""https://docs.google.com/spreadsheets/d/1EjEqG6oc_vmuAWwHnH51YMvSMVUVePUqNn9zZBOmHT8/edit#gid=757525651"",""'Allocation Breakdown'!A4:A187""),IMPORTRANGE(""https://docs.google.com/spreadsheets/d/1EjEqG6oc_vmuAWwHnH51YMvSMVUVePUqN"&amp;"n9zZBOmHT8/edit#gid=757525651"",""'Allocation Breakdown'!l4:l187""))*N$119"),19037.201016)</f>
        <v>19037.201015999999</v>
      </c>
      <c r="O31" s="30">
        <f ca="1">IFERROR(__xludf.DUMMYFUNCTION("XLOOKUP($B31,IMPORTRANGE(""https://docs.google.com/spreadsheets/d/1EjEqG6oc_vmuAWwHnH51YMvSMVUVePUqNn9zZBOmHT8/edit#gid=757525651"",""'Allocation Breakdown'!A4:A187""),IMPORTRANGE(""https://docs.google.com/spreadsheets/d/1EjEqG6oc_vmuAWwHnH51YMvSMVUVePUqN"&amp;"n9zZBOmHT8/edit#gid=757525651"",""'Allocation Breakdown'!n4:n187""))*O$119"),300000)</f>
        <v>300000</v>
      </c>
      <c r="P31" s="30">
        <f ca="1">IFERROR(__xludf.DUMMYFUNCTION("XLOOKUP($B31,IMPORTRANGE(""https://docs.google.com/spreadsheets/d/1EjEqG6oc_vmuAWwHnH51YMvSMVUVePUqNn9zZBOmHT8/edit#gid=757525651"",""'Allocation Breakdown'!A4:A187""),IMPORTRANGE(""https://docs.google.com/spreadsheets/d/1EjEqG6oc_vmuAWwHnH51YMvSMVUVePUqN"&amp;"n9zZBOmHT8/edit#gid=757525651"",""'Allocation Breakdown'!o4:o187""))*P$119"),167200)</f>
        <v>167200</v>
      </c>
      <c r="Q31" s="30">
        <f ca="1">IFERROR(__xludf.DUMMYFUNCTION("XLOOKUP($B31,IMPORTRANGE(""https://docs.google.com/spreadsheets/d/1EjEqG6oc_vmuAWwHnH51YMvSMVUVePUqNn9zZBOmHT8/edit#gid=757525651"",""'Allocation Breakdown'!A4:A187""),IMPORTRANGE(""https://docs.google.com/spreadsheets/d/1EjEqG6oc_vmuAWwHnH51YMvSMVUVePUqN"&amp;"n9zZBOmHT8/edit#gid=757525651"",""'Allocation Breakdown'!p4:p187""))*Q$119"),78000)</f>
        <v>78000</v>
      </c>
      <c r="R31" s="30">
        <f ca="1">IFERROR(__xludf.DUMMYFUNCTION("XLOOKUP($B31,IMPORTRANGE(""https://docs.google.com/spreadsheets/d/1EjEqG6oc_vmuAWwHnH51YMvSMVUVePUqNn9zZBOmHT8/edit#gid=757525651"",""'Allocation Breakdown'!A4:A187""),IMPORTRANGE(""https://docs.google.com/spreadsheets/d/1EjEqG6oc_vmuAWwHnH51YMvSMVUVePUqN"&amp;"n9zZBOmHT8/edit#gid=757525651"",""'Allocation Breakdown'!q4:q187""))*R$119"),22000)</f>
        <v>22000</v>
      </c>
      <c r="S31" s="30">
        <f ca="1">IFERROR(__xludf.DUMMYFUNCTION("XLOOKUP($B31,IMPORTRANGE(""https://docs.google.com/spreadsheets/d/1EjEqG6oc_vmuAWwHnH51YMvSMVUVePUqNn9zZBOmHT8/edit#gid=757525651"",""'Allocation Breakdown'!A4:A187""),IMPORTRANGE(""https://docs.google.com/spreadsheets/d/1EjEqG6oc_vmuAWwHnH51YMvSMVUVePUqN"&amp;"n9zZBOmHT8/edit#gid=757525651"",""'Allocation Breakdown'!r4:r187""))*S$119"),78000)</f>
        <v>78000</v>
      </c>
      <c r="T31" s="30">
        <f ca="1">IFERROR(__xludf.DUMMYFUNCTION("XLOOKUP($B31,IMPORTRANGE(""https://docs.google.com/spreadsheets/d/1EjEqG6oc_vmuAWwHnH51YMvSMVUVePUqNn9zZBOmHT8/edit#gid=757525651"",""'Allocation Breakdown'!A4:A187""),IMPORTRANGE(""https://docs.google.com/spreadsheets/d/1EjEqG6oc_vmuAWwHnH51YMvSMVUVePUqN"&amp;"n9zZBOmHT8/edit#gid=757525651"",""'Allocation Breakdown'!t4:t187""))*T$119"),273000)</f>
        <v>273000</v>
      </c>
      <c r="U31" s="30">
        <f ca="1">IFERROR(__xludf.DUMMYFUNCTION("XLOOKUP($B31,IMPORTRANGE(""https://docs.google.com/spreadsheets/d/1EjEqG6oc_vmuAWwHnH51YMvSMVUVePUqNn9zZBOmHT8/edit#gid=757525651"",""'Allocation Breakdown'!A4:A187""),IMPORTRANGE(""https://docs.google.com/spreadsheets/d/1EjEqG6oc_vmuAWwHnH51YMvSMVUVePUqN"&amp;"n9zZBOmHT8/edit#gid=757525651"",""'Allocation Breakdown'!U4:U187""))*U$119"),429000)</f>
        <v>429000</v>
      </c>
      <c r="V31" s="31">
        <f t="shared" ca="1" si="1"/>
        <v>1752892.8918870999</v>
      </c>
      <c r="W31" s="31">
        <f t="shared" ca="1" si="2"/>
        <v>2054441.9297120539</v>
      </c>
      <c r="Z31" s="32"/>
      <c r="AA31" s="32"/>
      <c r="AB31" s="32"/>
    </row>
    <row r="32" spans="2:28">
      <c r="B32" s="28" t="s">
        <v>127</v>
      </c>
      <c r="C32" s="30">
        <f ca="1">IFERROR(__xludf.DUMMYFUNCTION("XLOOKUP($B32,IMPORTRANGE(""https://docs.google.com/spreadsheets/d/1EjEqG6oc_vmuAWwHnH51YMvSMVUVePUqNn9zZBOmHT8/edit#gid=757525651"",""'Allocation Breakdown'!A4:A187""),IMPORTRANGE(""https://docs.google.com/spreadsheets/d/1EjEqG6oc_vmuAWwHnH51YMvSMVUVePUqN"&amp;"n9zZBOmHT8/edit#gid=757525651"",""'Allocation Breakdown'!V4:V187""))*C$119"),6219.04843896)</f>
        <v>6219.0484389599997</v>
      </c>
      <c r="D32" s="30">
        <f ca="1">IFERROR(__xludf.DUMMYFUNCTION("XLOOKUP($B32,IMPORTRANGE(""https://docs.google.com/spreadsheets/d/1EjEqG6oc_vmuAWwHnH51YMvSMVUVePUqNn9zZBOmHT8/edit#gid=757525651"",""'Allocation Breakdown'!A4:A187""),IMPORTRANGE(""https://docs.google.com/spreadsheets/d/1EjEqG6oc_vmuAWwHnH51YMvSMVUVePUqN"&amp;"n9zZBOmHT8/edit#gid=757525651"",""'Allocation Breakdown'!I4:I187""))*$D$119"),99579.1417833171)</f>
        <v>99579.1417833171</v>
      </c>
      <c r="E32" s="30">
        <f ca="1">IFERROR(__xludf.DUMMYFUNCTION("XLOOKUP($B32,IMPORTRANGE(""https://docs.google.com/spreadsheets/d/1EjEqG6oc_vmuAWwHnH51YMvSMVUVePUqNn9zZBOmHT8/edit#gid=757525651"",""'Allocation Breakdown'!A4:A187""),IMPORTRANGE(""https://docs.google.com/spreadsheets/d/1EjEqG6oc_vmuAWwHnH51YMvSMVUVePUqN"&amp;"n9zZBOmHT8/edit#gid=757525651"",""'Allocation Breakdown'!V4:V187""))*E$119"),2180.95156104)</f>
        <v>2180.9515610399999</v>
      </c>
      <c r="F32" s="30">
        <f t="shared" ca="1" si="0"/>
        <v>101760.0933443571</v>
      </c>
      <c r="G32" s="30" t="str">
        <f ca="1">IFERROR(__xludf.DUMMYFUNCTION("XLOOKUP($B32,IMPORTRANGE(""https://docs.google.com/spreadsheets/d/1EjEqG6oc_vmuAWwHnH51YMvSMVUVePUqNn9zZBOmHT8/edit#gid=757525651"",""'Allocation Breakdown'!A4:A187""),IMPORTRANGE(""https://docs.google.com/spreadsheets/d/1EjEqG6oc_vmuAWwHnH51YMvSMVUVePUqN"&amp;"n9zZBOmHT8/edit#gid=757525651"",""'Allocation Breakdown'!D4:D187""))"),"")</f>
        <v/>
      </c>
      <c r="H32" s="30">
        <f ca="1">IFERROR(__xludf.DUMMYFUNCTION("XLOOKUP($B32,IMPORTRANGE(""https://docs.google.com/spreadsheets/d/1EjEqG6oc_vmuAWwHnH51YMvSMVUVePUqNn9zZBOmHT8/edit#gid=757525651"",""'Allocation Breakdown'!A4:A187""),IMPORTRANGE(""https://docs.google.com/spreadsheets/d/1EjEqG6oc_vmuAWwHnH51YMvSMVUVePUqN"&amp;"n9zZBOmHT8/edit#gid=757525651"",""'Allocation Breakdown'!E4:E187""))"),15000)</f>
        <v>15000</v>
      </c>
      <c r="I32" s="30">
        <f ca="1">IFERROR(__xludf.DUMMYFUNCTION("XLOOKUP($B32,IMPORTRANGE(""https://docs.google.com/spreadsheets/d/1EjEqG6oc_vmuAWwHnH51YMvSMVUVePUqNn9zZBOmHT8/edit#gid=757525651"",""'Allocation Breakdown'!A4:A187""),IMPORTRANGE(""https://docs.google.com/spreadsheets/d/1EjEqG6oc_vmuAWwHnH51YMvSMVUVePUqN"&amp;"n9zZBOmHT8/edit#gid=757525651"",""'Allocation Breakdown'!F4:F187""))"),175000)</f>
        <v>175000</v>
      </c>
      <c r="J32" s="30" t="str">
        <f ca="1">IFERROR(__xludf.DUMMYFUNCTION("XLOOKUP($B32,IMPORTRANGE(""https://docs.google.com/spreadsheets/d/1EjEqG6oc_vmuAWwHnH51YMvSMVUVePUqNn9zZBOmHT8/edit#gid=757525651"",""'Allocation Breakdown'!A4:A187""),IMPORTRANGE(""https://docs.google.com/spreadsheets/d/1EjEqG6oc_vmuAWwHnH51YMvSMVUVePUqN"&amp;"n9zZBOmHT8/edit#gid=757525651"",""'Allocation Breakdown'!G4:G187""))"),"")</f>
        <v/>
      </c>
      <c r="K32" s="30">
        <f ca="1">IFERROR(__xludf.DUMMYFUNCTION("XLOOKUP($B32,IMPORTRANGE(""https://docs.google.com/spreadsheets/d/1EjEqG6oc_vmuAWwHnH51YMvSMVUVePUqNn9zZBOmHT8/edit#gid=757525651"",""'Allocation Breakdown'!A4:A187""),IMPORTRANGE(""https://docs.google.com/spreadsheets/d/1EjEqG6oc_vmuAWwHnH51YMvSMVUVePUqN"&amp;"n9zZBOmHT8/edit#gid=757525651"",""'Allocation Breakdown'!I4:I187""))*K$119"),8749.1384904)</f>
        <v>8749.1384904000006</v>
      </c>
      <c r="L32" s="30">
        <f ca="1">IFERROR(__xludf.DUMMYFUNCTION("XLOOKUP($B32,IMPORTRANGE(""https://docs.google.com/spreadsheets/d/1EjEqG6oc_vmuAWwHnH51YMvSMVUVePUqNn9zZBOmHT8/edit#gid=757525651"",""'Allocation Breakdown'!A4:A187""),IMPORTRANGE(""https://docs.google.com/spreadsheets/d/1EjEqG6oc_vmuAWwHnH51YMvSMVUVePUqN"&amp;"n9zZBOmHT8/edit#gid=757525651"",""'Allocation Breakdown'!j4:j187""))*L$119"),22209.253383)</f>
        <v>22209.253382999999</v>
      </c>
      <c r="M32" s="30">
        <f ca="1">IFERROR(__xludf.DUMMYFUNCTION("XLOOKUP($B32,IMPORTRANGE(""https://docs.google.com/spreadsheets/d/1EjEqG6oc_vmuAWwHnH51YMvSMVUVePUqNn9zZBOmHT8/edit#gid=757525651"",""'Allocation Breakdown'!A4:A187""),IMPORTRANGE(""https://docs.google.com/spreadsheets/d/1EjEqG6oc_vmuAWwHnH51YMvSMVUVePUqN"&amp;"n9zZBOmHT8/edit#gid=757525651"",""'Allocation Breakdown'!K4:K187""))*M$119"),28708.980876)</f>
        <v>28708.980876000001</v>
      </c>
      <c r="N32" s="30">
        <f ca="1">IFERROR(__xludf.DUMMYFUNCTION("XLOOKUP($B32,IMPORTRANGE(""https://docs.google.com/spreadsheets/d/1EjEqG6oc_vmuAWwHnH51YMvSMVUVePUqNn9zZBOmHT8/edit#gid=757525651"",""'Allocation Breakdown'!A4:A187""),IMPORTRANGE(""https://docs.google.com/spreadsheets/d/1EjEqG6oc_vmuAWwHnH51YMvSMVUVePUqN"&amp;"n9zZBOmHT8/edit#gid=757525651"",""'Allocation Breakdown'!l4:l187""))*N$119"),13326.0407112)</f>
        <v>13326.040711199999</v>
      </c>
      <c r="O32" s="30">
        <f ca="1">IFERROR(__xludf.DUMMYFUNCTION("XLOOKUP($B32,IMPORTRANGE(""https://docs.google.com/spreadsheets/d/1EjEqG6oc_vmuAWwHnH51YMvSMVUVePUqNn9zZBOmHT8/edit#gid=757525651"",""'Allocation Breakdown'!A4:A187""),IMPORTRANGE(""https://docs.google.com/spreadsheets/d/1EjEqG6oc_vmuAWwHnH51YMvSMVUVePUqN"&amp;"n9zZBOmHT8/edit#gid=757525651"",""'Allocation Breakdown'!n4:n187""))*O$119"),0)</f>
        <v>0</v>
      </c>
      <c r="P32" s="30">
        <f ca="1">IFERROR(__xludf.DUMMYFUNCTION("XLOOKUP($B32,IMPORTRANGE(""https://docs.google.com/spreadsheets/d/1EjEqG6oc_vmuAWwHnH51YMvSMVUVePUqNn9zZBOmHT8/edit#gid=757525651"",""'Allocation Breakdown'!A4:A187""),IMPORTRANGE(""https://docs.google.com/spreadsheets/d/1EjEqG6oc_vmuAWwHnH51YMvSMVUVePUqN"&amp;"n9zZBOmHT8/edit#gid=757525651"",""'Allocation Breakdown'!o4:o187""))*P$119"),8800)</f>
        <v>8800</v>
      </c>
      <c r="Q32" s="30">
        <f ca="1">IFERROR(__xludf.DUMMYFUNCTION("XLOOKUP($B32,IMPORTRANGE(""https://docs.google.com/spreadsheets/d/1EjEqG6oc_vmuAWwHnH51YMvSMVUVePUqNn9zZBOmHT8/edit#gid=757525651"",""'Allocation Breakdown'!A4:A187""),IMPORTRANGE(""https://docs.google.com/spreadsheets/d/1EjEqG6oc_vmuAWwHnH51YMvSMVUVePUqN"&amp;"n9zZBOmHT8/edit#gid=757525651"",""'Allocation Breakdown'!p4:p187""))*Q$119"),28000)</f>
        <v>28000</v>
      </c>
      <c r="R32" s="30">
        <f ca="1">IFERROR(__xludf.DUMMYFUNCTION("XLOOKUP($B32,IMPORTRANGE(""https://docs.google.com/spreadsheets/d/1EjEqG6oc_vmuAWwHnH51YMvSMVUVePUqNn9zZBOmHT8/edit#gid=757525651"",""'Allocation Breakdown'!A4:A187""),IMPORTRANGE(""https://docs.google.com/spreadsheets/d/1EjEqG6oc_vmuAWwHnH51YMvSMVUVePUqN"&amp;"n9zZBOmHT8/edit#gid=757525651"",""'Allocation Breakdown'!q4:q187""))*R$119"),24000)</f>
        <v>24000</v>
      </c>
      <c r="S32" s="30">
        <f ca="1">IFERROR(__xludf.DUMMYFUNCTION("XLOOKUP($B32,IMPORTRANGE(""https://docs.google.com/spreadsheets/d/1EjEqG6oc_vmuAWwHnH51YMvSMVUVePUqNn9zZBOmHT8/edit#gid=757525651"",""'Allocation Breakdown'!A4:A187""),IMPORTRANGE(""https://docs.google.com/spreadsheets/d/1EjEqG6oc_vmuAWwHnH51YMvSMVUVePUqN"&amp;"n9zZBOmHT8/edit#gid=757525651"",""'Allocation Breakdown'!r4:r187""))*S$119"),8000)</f>
        <v>8000</v>
      </c>
      <c r="T32" s="30">
        <f ca="1">IFERROR(__xludf.DUMMYFUNCTION("XLOOKUP($B32,IMPORTRANGE(""https://docs.google.com/spreadsheets/d/1EjEqG6oc_vmuAWwHnH51YMvSMVUVePUqNn9zZBOmHT8/edit#gid=757525651"",""'Allocation Breakdown'!A4:A187""),IMPORTRANGE(""https://docs.google.com/spreadsheets/d/1EjEqG6oc_vmuAWwHnH51YMvSMVUVePUqN"&amp;"n9zZBOmHT8/edit#gid=757525651"",""'Allocation Breakdown'!t4:t187""))*T$119"),98000)</f>
        <v>98000</v>
      </c>
      <c r="U32" s="30">
        <f ca="1">IFERROR(__xludf.DUMMYFUNCTION("XLOOKUP($B32,IMPORTRANGE(""https://docs.google.com/spreadsheets/d/1EjEqG6oc_vmuAWwHnH51YMvSMVUVePUqNn9zZBOmHT8/edit#gid=757525651"",""'Allocation Breakdown'!A4:A187""),IMPORTRANGE(""https://docs.google.com/spreadsheets/d/1EjEqG6oc_vmuAWwHnH51YMvSMVUVePUqN"&amp;"n9zZBOmHT8/edit#gid=757525651"",""'Allocation Breakdown'!U4:U187""))*U$119"),110000)</f>
        <v>110000</v>
      </c>
      <c r="V32" s="31">
        <f t="shared" ca="1" si="1"/>
        <v>539793.41346059996</v>
      </c>
      <c r="W32" s="31">
        <f t="shared" ca="1" si="2"/>
        <v>647772.55524391704</v>
      </c>
      <c r="Z32" s="32"/>
      <c r="AA32" s="32"/>
      <c r="AB32" s="32"/>
    </row>
    <row r="33" spans="2:28">
      <c r="B33" s="28" t="s">
        <v>128</v>
      </c>
      <c r="C33" s="30">
        <f ca="1">IFERROR(__xludf.DUMMYFUNCTION("XLOOKUP($B33,IMPORTRANGE(""https://docs.google.com/spreadsheets/d/1EjEqG6oc_vmuAWwHnH51YMvSMVUVePUqNn9zZBOmHT8/edit#gid=757525651"",""'Allocation Breakdown'!A4:A187""),IMPORTRANGE(""https://docs.google.com/spreadsheets/d/1EjEqG6oc_vmuAWwHnH51YMvSMVUVePUqN"&amp;"n9zZBOmHT8/edit#gid=757525651"",""'Allocation Breakdown'!V4:V187""))*C$119"),0)</f>
        <v>0</v>
      </c>
      <c r="D33" s="30">
        <f ca="1">IFERROR(__xludf.DUMMYFUNCTION("XLOOKUP($B33,IMPORTRANGE(""https://docs.google.com/spreadsheets/d/1EjEqG6oc_vmuAWwHnH51YMvSMVUVePUqNn9zZBOmHT8/edit#gid=757525651"",""'Allocation Breakdown'!A4:A187""),IMPORTRANGE(""https://docs.google.com/spreadsheets/d/1EjEqG6oc_vmuAWwHnH51YMvSMVUVePUqN"&amp;"n9zZBOmHT8/edit#gid=757525651"",""'Allocation Breakdown'!I4:I187""))*$D$119"),26086.1787493082)</f>
        <v>26086.178749308201</v>
      </c>
      <c r="E33" s="30">
        <f ca="1">IFERROR(__xludf.DUMMYFUNCTION("XLOOKUP($B33,IMPORTRANGE(""https://docs.google.com/spreadsheets/d/1EjEqG6oc_vmuAWwHnH51YMvSMVUVePUqNn9zZBOmHT8/edit#gid=757525651"",""'Allocation Breakdown'!A4:A187""),IMPORTRANGE(""https://docs.google.com/spreadsheets/d/1EjEqG6oc_vmuAWwHnH51YMvSMVUVePUqN"&amp;"n9zZBOmHT8/edit#gid=757525651"",""'Allocation Breakdown'!V4:V187""))*E$119"),0)</f>
        <v>0</v>
      </c>
      <c r="F33" s="30">
        <f t="shared" ca="1" si="0"/>
        <v>26086.178749308201</v>
      </c>
      <c r="G33" s="30" t="str">
        <f ca="1">IFERROR(__xludf.DUMMYFUNCTION("XLOOKUP($B33,IMPORTRANGE(""https://docs.google.com/spreadsheets/d/1EjEqG6oc_vmuAWwHnH51YMvSMVUVePUqNn9zZBOmHT8/edit#gid=757525651"",""'Allocation Breakdown'!A4:A187""),IMPORTRANGE(""https://docs.google.com/spreadsheets/d/1EjEqG6oc_vmuAWwHnH51YMvSMVUVePUqN"&amp;"n9zZBOmHT8/edit#gid=757525651"",""'Allocation Breakdown'!D4:D187""))"),"")</f>
        <v/>
      </c>
      <c r="H33" s="30" t="str">
        <f ca="1">IFERROR(__xludf.DUMMYFUNCTION("XLOOKUP($B33,IMPORTRANGE(""https://docs.google.com/spreadsheets/d/1EjEqG6oc_vmuAWwHnH51YMvSMVUVePUqNn9zZBOmHT8/edit#gid=757525651"",""'Allocation Breakdown'!A4:A187""),IMPORTRANGE(""https://docs.google.com/spreadsheets/d/1EjEqG6oc_vmuAWwHnH51YMvSMVUVePUqN"&amp;"n9zZBOmHT8/edit#gid=757525651"",""'Allocation Breakdown'!E4:E187""))"),"")</f>
        <v/>
      </c>
      <c r="I33" s="30">
        <f ca="1">IFERROR(__xludf.DUMMYFUNCTION("XLOOKUP($B33,IMPORTRANGE(""https://docs.google.com/spreadsheets/d/1EjEqG6oc_vmuAWwHnH51YMvSMVUVePUqNn9zZBOmHT8/edit#gid=757525651"",""'Allocation Breakdown'!A4:A187""),IMPORTRANGE(""https://docs.google.com/spreadsheets/d/1EjEqG6oc_vmuAWwHnH51YMvSMVUVePUqN"&amp;"n9zZBOmHT8/edit#gid=757525651"",""'Allocation Breakdown'!F4:F187""))"),15900)</f>
        <v>15900</v>
      </c>
      <c r="J33" s="30" t="str">
        <f ca="1">IFERROR(__xludf.DUMMYFUNCTION("XLOOKUP($B33,IMPORTRANGE(""https://docs.google.com/spreadsheets/d/1EjEqG6oc_vmuAWwHnH51YMvSMVUVePUqNn9zZBOmHT8/edit#gid=757525651"",""'Allocation Breakdown'!A4:A187""),IMPORTRANGE(""https://docs.google.com/spreadsheets/d/1EjEqG6oc_vmuAWwHnH51YMvSMVUVePUqN"&amp;"n9zZBOmHT8/edit#gid=757525651"",""'Allocation Breakdown'!G4:G187""))"),"")</f>
        <v/>
      </c>
      <c r="K33" s="30">
        <f ca="1">IFERROR(__xludf.DUMMYFUNCTION("XLOOKUP($B33,IMPORTRANGE(""https://docs.google.com/spreadsheets/d/1EjEqG6oc_vmuAWwHnH51YMvSMVUVePUqNn9zZBOmHT8/edit#gid=757525651"",""'Allocation Breakdown'!A4:A187""),IMPORTRANGE(""https://docs.google.com/spreadsheets/d/1EjEqG6oc_vmuAWwHnH51YMvSMVUVePUqN"&amp;"n9zZBOmHT8/edit#gid=757525651"",""'Allocation Breakdown'!I4:I187""))*K$119"),2291.961815253)</f>
        <v>2291.9618152530002</v>
      </c>
      <c r="L33" s="30">
        <f ca="1">IFERROR(__xludf.DUMMYFUNCTION("XLOOKUP($B33,IMPORTRANGE(""https://docs.google.com/spreadsheets/d/1EjEqG6oc_vmuAWwHnH51YMvSMVUVePUqNn9zZBOmHT8/edit#gid=757525651"",""'Allocation Breakdown'!A4:A187""),IMPORTRANGE(""https://docs.google.com/spreadsheets/d/1EjEqG6oc_vmuAWwHnH51YMvSMVUVePUqN"&amp;"n9zZBOmHT8/edit#gid=757525651"",""'Allocation Breakdown'!j4:j187""))*L$119"),0)</f>
        <v>0</v>
      </c>
      <c r="M33" s="30">
        <f ca="1">IFERROR(__xludf.DUMMYFUNCTION("XLOOKUP($B33,IMPORTRANGE(""https://docs.google.com/spreadsheets/d/1EjEqG6oc_vmuAWwHnH51YMvSMVUVePUqNn9zZBOmHT8/edit#gid=757525651"",""'Allocation Breakdown'!A4:A187""),IMPORTRANGE(""https://docs.google.com/spreadsheets/d/1EjEqG6oc_vmuAWwHnH51YMvSMVUVePUqN"&amp;"n9zZBOmHT8/edit#gid=757525651"",""'Allocation Breakdown'!K4:K187""))*M$119"),14354.490438)</f>
        <v>14354.490438000001</v>
      </c>
      <c r="N33" s="30">
        <f ca="1">IFERROR(__xludf.DUMMYFUNCTION("XLOOKUP($B33,IMPORTRANGE(""https://docs.google.com/spreadsheets/d/1EjEqG6oc_vmuAWwHnH51YMvSMVUVePUqNn9zZBOmHT8/edit#gid=757525651"",""'Allocation Breakdown'!A4:A187""),IMPORTRANGE(""https://docs.google.com/spreadsheets/d/1EjEqG6oc_vmuAWwHnH51YMvSMVUVePUqN"&amp;"n9zZBOmHT8/edit#gid=757525651"",""'Allocation Breakdown'!l4:l187""))*N$119"),3807.4402032)</f>
        <v>3807.4402031999998</v>
      </c>
      <c r="O33" s="30">
        <f ca="1">IFERROR(__xludf.DUMMYFUNCTION("XLOOKUP($B33,IMPORTRANGE(""https://docs.google.com/spreadsheets/d/1EjEqG6oc_vmuAWwHnH51YMvSMVUVePUqNn9zZBOmHT8/edit#gid=757525651"",""'Allocation Breakdown'!A4:A187""),IMPORTRANGE(""https://docs.google.com/spreadsheets/d/1EjEqG6oc_vmuAWwHnH51YMvSMVUVePUqN"&amp;"n9zZBOmHT8/edit#gid=757525651"",""'Allocation Breakdown'!n4:n187""))*O$119"),0)</f>
        <v>0</v>
      </c>
      <c r="P33" s="30">
        <f ca="1">IFERROR(__xludf.DUMMYFUNCTION("XLOOKUP($B33,IMPORTRANGE(""https://docs.google.com/spreadsheets/d/1EjEqG6oc_vmuAWwHnH51YMvSMVUVePUqNn9zZBOmHT8/edit#gid=757525651"",""'Allocation Breakdown'!A4:A187""),IMPORTRANGE(""https://docs.google.com/spreadsheets/d/1EjEqG6oc_vmuAWwHnH51YMvSMVUVePUqN"&amp;"n9zZBOmHT8/edit#gid=757525651"",""'Allocation Breakdown'!o4:o187""))*P$119"),0)</f>
        <v>0</v>
      </c>
      <c r="Q33" s="30">
        <f ca="1">IFERROR(__xludf.DUMMYFUNCTION("XLOOKUP($B33,IMPORTRANGE(""https://docs.google.com/spreadsheets/d/1EjEqG6oc_vmuAWwHnH51YMvSMVUVePUqNn9zZBOmHT8/edit#gid=757525651"",""'Allocation Breakdown'!A4:A187""),IMPORTRANGE(""https://docs.google.com/spreadsheets/d/1EjEqG6oc_vmuAWwHnH51YMvSMVUVePUqN"&amp;"n9zZBOmHT8/edit#gid=757525651"",""'Allocation Breakdown'!p4:p187""))*Q$119"),0)</f>
        <v>0</v>
      </c>
      <c r="R33" s="30">
        <f ca="1">IFERROR(__xludf.DUMMYFUNCTION("XLOOKUP($B33,IMPORTRANGE(""https://docs.google.com/spreadsheets/d/1EjEqG6oc_vmuAWwHnH51YMvSMVUVePUqNn9zZBOmHT8/edit#gid=757525651"",""'Allocation Breakdown'!A4:A187""),IMPORTRANGE(""https://docs.google.com/spreadsheets/d/1EjEqG6oc_vmuAWwHnH51YMvSMVUVePUqN"&amp;"n9zZBOmHT8/edit#gid=757525651"",""'Allocation Breakdown'!q4:q187""))*R$119"),0)</f>
        <v>0</v>
      </c>
      <c r="S33" s="30">
        <f ca="1">IFERROR(__xludf.DUMMYFUNCTION("XLOOKUP($B33,IMPORTRANGE(""https://docs.google.com/spreadsheets/d/1EjEqG6oc_vmuAWwHnH51YMvSMVUVePUqNn9zZBOmHT8/edit#gid=757525651"",""'Allocation Breakdown'!A4:A187""),IMPORTRANGE(""https://docs.google.com/spreadsheets/d/1EjEqG6oc_vmuAWwHnH51YMvSMVUVePUqN"&amp;"n9zZBOmHT8/edit#gid=757525651"",""'Allocation Breakdown'!r4:r187""))*S$119"),0)</f>
        <v>0</v>
      </c>
      <c r="T33" s="30">
        <f ca="1">IFERROR(__xludf.DUMMYFUNCTION("XLOOKUP($B33,IMPORTRANGE(""https://docs.google.com/spreadsheets/d/1EjEqG6oc_vmuAWwHnH51YMvSMVUVePUqNn9zZBOmHT8/edit#gid=757525651"",""'Allocation Breakdown'!A4:A187""),IMPORTRANGE(""https://docs.google.com/spreadsheets/d/1EjEqG6oc_vmuAWwHnH51YMvSMVUVePUqN"&amp;"n9zZBOmHT8/edit#gid=757525651"",""'Allocation Breakdown'!t4:t187""))*T$119"),28000)</f>
        <v>28000</v>
      </c>
      <c r="U33" s="30">
        <f ca="1">IFERROR(__xludf.DUMMYFUNCTION("XLOOKUP($B33,IMPORTRANGE(""https://docs.google.com/spreadsheets/d/1EjEqG6oc_vmuAWwHnH51YMvSMVUVePUqNn9zZBOmHT8/edit#gid=757525651"",""'Allocation Breakdown'!A4:A187""),IMPORTRANGE(""https://docs.google.com/spreadsheets/d/1EjEqG6oc_vmuAWwHnH51YMvSMVUVePUqN"&amp;"n9zZBOmHT8/edit#gid=757525651"",""'Allocation Breakdown'!U4:U187""))*U$119"),22000)</f>
        <v>22000</v>
      </c>
      <c r="V33" s="31">
        <f t="shared" ca="1" si="1"/>
        <v>86353.892456453003</v>
      </c>
      <c r="W33" s="31">
        <f t="shared" ca="1" si="2"/>
        <v>112440.0712057612</v>
      </c>
      <c r="Z33" s="32"/>
      <c r="AA33" s="32"/>
      <c r="AB33" s="32"/>
    </row>
    <row r="34" spans="2:28" ht="15.75" customHeight="1">
      <c r="B34" s="28" t="s">
        <v>129</v>
      </c>
      <c r="C34" s="30">
        <f ca="1">IFERROR(__xludf.DUMMYFUNCTION("XLOOKUP($B34,IMPORTRANGE(""https://docs.google.com/spreadsheets/d/1EjEqG6oc_vmuAWwHnH51YMvSMVUVePUqNn9zZBOmHT8/edit#gid=757525651"",""'Allocation Breakdown'!A4:A187""),IMPORTRANGE(""https://docs.google.com/spreadsheets/d/1EjEqG6oc_vmuAWwHnH51YMvSMVUVePUqN"&amp;"n9zZBOmHT8/edit#gid=757525651"",""'Allocation Breakdown'!V4:V187""))*C$119"),777.38105487)</f>
        <v>777.38105486999996</v>
      </c>
      <c r="D34" s="30">
        <f ca="1">IFERROR(__xludf.DUMMYFUNCTION("XLOOKUP($B34,IMPORTRANGE(""https://docs.google.com/spreadsheets/d/1EjEqG6oc_vmuAWwHnH51YMvSMVUVePUqNn9zZBOmHT8/edit#gid=757525651"",""'Allocation Breakdown'!A4:A187""),IMPORTRANGE(""https://docs.google.com/spreadsheets/d/1EjEqG6oc_vmuAWwHnH51YMvSMVUVePUqN"&amp;"n9zZBOmHT8/edit#gid=757525651"",""'Allocation Breakdown'!I4:I187""))*$D$119"),14225.591683331)</f>
        <v>14225.591683331</v>
      </c>
      <c r="E34" s="30">
        <f ca="1">IFERROR(__xludf.DUMMYFUNCTION("XLOOKUP($B34,IMPORTRANGE(""https://docs.google.com/spreadsheets/d/1EjEqG6oc_vmuAWwHnH51YMvSMVUVePUqNn9zZBOmHT8/edit#gid=757525651"",""'Allocation Breakdown'!A4:A187""),IMPORTRANGE(""https://docs.google.com/spreadsheets/d/1EjEqG6oc_vmuAWwHnH51YMvSMVUVePUqN"&amp;"n9zZBOmHT8/edit#gid=757525651"",""'Allocation Breakdown'!V4:V187""))*E$119"),272.61894513)</f>
        <v>272.61894512999999</v>
      </c>
      <c r="F34" s="30">
        <f t="shared" ca="1" si="0"/>
        <v>14498.210628461</v>
      </c>
      <c r="G34" s="30" t="str">
        <f ca="1">IFERROR(__xludf.DUMMYFUNCTION("XLOOKUP($B34,IMPORTRANGE(""https://docs.google.com/spreadsheets/d/1EjEqG6oc_vmuAWwHnH51YMvSMVUVePUqNn9zZBOmHT8/edit#gid=757525651"",""'Allocation Breakdown'!A4:A187""),IMPORTRANGE(""https://docs.google.com/spreadsheets/d/1EjEqG6oc_vmuAWwHnH51YMvSMVUVePUqN"&amp;"n9zZBOmHT8/edit#gid=757525651"",""'Allocation Breakdown'!D4:D187""))"),"")</f>
        <v/>
      </c>
      <c r="H34" s="30" t="str">
        <f ca="1">IFERROR(__xludf.DUMMYFUNCTION("XLOOKUP($B34,IMPORTRANGE(""https://docs.google.com/spreadsheets/d/1EjEqG6oc_vmuAWwHnH51YMvSMVUVePUqNn9zZBOmHT8/edit#gid=757525651"",""'Allocation Breakdown'!A4:A187""),IMPORTRANGE(""https://docs.google.com/spreadsheets/d/1EjEqG6oc_vmuAWwHnH51YMvSMVUVePUqN"&amp;"n9zZBOmHT8/edit#gid=757525651"",""'Allocation Breakdown'!E4:E187""))"),"")</f>
        <v/>
      </c>
      <c r="I34" s="30">
        <f ca="1">IFERROR(__xludf.DUMMYFUNCTION("XLOOKUP($B34,IMPORTRANGE(""https://docs.google.com/spreadsheets/d/1EjEqG6oc_vmuAWwHnH51YMvSMVUVePUqNn9zZBOmHT8/edit#gid=757525651"",""'Allocation Breakdown'!A4:A187""),IMPORTRANGE(""https://docs.google.com/spreadsheets/d/1EjEqG6oc_vmuAWwHnH51YMvSMVUVePUqN"&amp;"n9zZBOmHT8/edit#gid=757525651"",""'Allocation Breakdown'!F4:F187""))"),13000)</f>
        <v>13000</v>
      </c>
      <c r="J34" s="30">
        <f ca="1">IFERROR(__xludf.DUMMYFUNCTION("XLOOKUP($B34,IMPORTRANGE(""https://docs.google.com/spreadsheets/d/1EjEqG6oc_vmuAWwHnH51YMvSMVUVePUqNn9zZBOmHT8/edit#gid=757525651"",""'Allocation Breakdown'!A4:A187""),IMPORTRANGE(""https://docs.google.com/spreadsheets/d/1EjEqG6oc_vmuAWwHnH51YMvSMVUVePUqN"&amp;"n9zZBOmHT8/edit#gid=757525651"",""'Allocation Breakdown'!G4:G187""))"),1180)</f>
        <v>1180</v>
      </c>
      <c r="K34" s="30">
        <f ca="1">IFERROR(__xludf.DUMMYFUNCTION("XLOOKUP($B34,IMPORTRANGE(""https://docs.google.com/spreadsheets/d/1EjEqG6oc_vmuAWwHnH51YMvSMVUVePUqNn9zZBOmHT8/edit#gid=757525651"",""'Allocation Breakdown'!A4:A187""),IMPORTRANGE(""https://docs.google.com/spreadsheets/d/1EjEqG6oc_vmuAWwHnH51YMvSMVUVePUqN"&amp;"n9zZBOmHT8/edit#gid=757525651"",""'Allocation Breakdown'!I4:I187""))*K$119"),1249.8769272)</f>
        <v>1249.8769272</v>
      </c>
      <c r="L34" s="30">
        <f ca="1">IFERROR(__xludf.DUMMYFUNCTION("XLOOKUP($B34,IMPORTRANGE(""https://docs.google.com/spreadsheets/d/1EjEqG6oc_vmuAWwHnH51YMvSMVUVePUqNn9zZBOmHT8/edit#gid=757525651"",""'Allocation Breakdown'!A4:A187""),IMPORTRANGE(""https://docs.google.com/spreadsheets/d/1EjEqG6oc_vmuAWwHnH51YMvSMVUVePUqN"&amp;"n9zZBOmHT8/edit#gid=757525651"",""'Allocation Breakdown'!j4:j187""))*L$119"),7403.084461)</f>
        <v>7403.0844610000004</v>
      </c>
      <c r="M34" s="30">
        <f ca="1">IFERROR(__xludf.DUMMYFUNCTION("XLOOKUP($B34,IMPORTRANGE(""https://docs.google.com/spreadsheets/d/1EjEqG6oc_vmuAWwHnH51YMvSMVUVePUqNn9zZBOmHT8/edit#gid=757525651"",""'Allocation Breakdown'!A4:A187""),IMPORTRANGE(""https://docs.google.com/spreadsheets/d/1EjEqG6oc_vmuAWwHnH51YMvSMVUVePUqN"&amp;"n9zZBOmHT8/edit#gid=757525651"",""'Allocation Breakdown'!K4:K187""))*M$119"),0)</f>
        <v>0</v>
      </c>
      <c r="N34" s="30">
        <f ca="1">IFERROR(__xludf.DUMMYFUNCTION("XLOOKUP($B34,IMPORTRANGE(""https://docs.google.com/spreadsheets/d/1EjEqG6oc_vmuAWwHnH51YMvSMVUVePUqNn9zZBOmHT8/edit#gid=757525651"",""'Allocation Breakdown'!A4:A187""),IMPORTRANGE(""https://docs.google.com/spreadsheets/d/1EjEqG6oc_vmuAWwHnH51YMvSMVUVePUqN"&amp;"n9zZBOmHT8/edit#gid=757525651"",""'Allocation Breakdown'!l4:l187""))*N$119"),1903.7201016)</f>
        <v>1903.7201015999999</v>
      </c>
      <c r="O34" s="30">
        <f ca="1">IFERROR(__xludf.DUMMYFUNCTION("XLOOKUP($B34,IMPORTRANGE(""https://docs.google.com/spreadsheets/d/1EjEqG6oc_vmuAWwHnH51YMvSMVUVePUqNn9zZBOmHT8/edit#gid=757525651"",""'Allocation Breakdown'!A4:A187""),IMPORTRANGE(""https://docs.google.com/spreadsheets/d/1EjEqG6oc_vmuAWwHnH51YMvSMVUVePUqN"&amp;"n9zZBOmHT8/edit#gid=757525651"",""'Allocation Breakdown'!n4:n187""))*O$119"),0)</f>
        <v>0</v>
      </c>
      <c r="P34" s="30">
        <f ca="1">IFERROR(__xludf.DUMMYFUNCTION("XLOOKUP($B34,IMPORTRANGE(""https://docs.google.com/spreadsheets/d/1EjEqG6oc_vmuAWwHnH51YMvSMVUVePUqNn9zZBOmHT8/edit#gid=757525651"",""'Allocation Breakdown'!A4:A187""),IMPORTRANGE(""https://docs.google.com/spreadsheets/d/1EjEqG6oc_vmuAWwHnH51YMvSMVUVePUqN"&amp;"n9zZBOmHT8/edit#gid=757525651"",""'Allocation Breakdown'!o4:o187""))*P$119"),0)</f>
        <v>0</v>
      </c>
      <c r="Q34" s="30">
        <f ca="1">IFERROR(__xludf.DUMMYFUNCTION("XLOOKUP($B34,IMPORTRANGE(""https://docs.google.com/spreadsheets/d/1EjEqG6oc_vmuAWwHnH51YMvSMVUVePUqNn9zZBOmHT8/edit#gid=757525651"",""'Allocation Breakdown'!A4:A187""),IMPORTRANGE(""https://docs.google.com/spreadsheets/d/1EjEqG6oc_vmuAWwHnH51YMvSMVUVePUqN"&amp;"n9zZBOmHT8/edit#gid=757525651"",""'Allocation Breakdown'!p4:p187""))*Q$119"),0)</f>
        <v>0</v>
      </c>
      <c r="R34" s="30">
        <f ca="1">IFERROR(__xludf.DUMMYFUNCTION("XLOOKUP($B34,IMPORTRANGE(""https://docs.google.com/spreadsheets/d/1EjEqG6oc_vmuAWwHnH51YMvSMVUVePUqNn9zZBOmHT8/edit#gid=757525651"",""'Allocation Breakdown'!A4:A187""),IMPORTRANGE(""https://docs.google.com/spreadsheets/d/1EjEqG6oc_vmuAWwHnH51YMvSMVUVePUqN"&amp;"n9zZBOmHT8/edit#gid=757525651"",""'Allocation Breakdown'!q4:q187""))*R$119"),1000)</f>
        <v>1000</v>
      </c>
      <c r="S34" s="30">
        <f ca="1">IFERROR(__xludf.DUMMYFUNCTION("XLOOKUP($B34,IMPORTRANGE(""https://docs.google.com/spreadsheets/d/1EjEqG6oc_vmuAWwHnH51YMvSMVUVePUqNn9zZBOmHT8/edit#gid=757525651"",""'Allocation Breakdown'!A4:A187""),IMPORTRANGE(""https://docs.google.com/spreadsheets/d/1EjEqG6oc_vmuAWwHnH51YMvSMVUVePUqN"&amp;"n9zZBOmHT8/edit#gid=757525651"",""'Allocation Breakdown'!r4:r187""))*S$119"),4000)</f>
        <v>4000</v>
      </c>
      <c r="T34" s="30">
        <f ca="1">IFERROR(__xludf.DUMMYFUNCTION("XLOOKUP($B34,IMPORTRANGE(""https://docs.google.com/spreadsheets/d/1EjEqG6oc_vmuAWwHnH51YMvSMVUVePUqNn9zZBOmHT8/edit#gid=757525651"",""'Allocation Breakdown'!A4:A187""),IMPORTRANGE(""https://docs.google.com/spreadsheets/d/1EjEqG6oc_vmuAWwHnH51YMvSMVUVePUqN"&amp;"n9zZBOmHT8/edit#gid=757525651"",""'Allocation Breakdown'!t4:t187""))*T$119"),14000)</f>
        <v>14000</v>
      </c>
      <c r="U34" s="30">
        <f ca="1">IFERROR(__xludf.DUMMYFUNCTION("XLOOKUP($B34,IMPORTRANGE(""https://docs.google.com/spreadsheets/d/1EjEqG6oc_vmuAWwHnH51YMvSMVUVePUqNn9zZBOmHT8/edit#gid=757525651"",""'Allocation Breakdown'!A4:A187""),IMPORTRANGE(""https://docs.google.com/spreadsheets/d/1EjEqG6oc_vmuAWwHnH51YMvSMVUVePUqN"&amp;"n9zZBOmHT8/edit#gid=757525651"",""'Allocation Breakdown'!U4:U187""))*U$119"),0)</f>
        <v>0</v>
      </c>
      <c r="V34" s="31">
        <f t="shared" ca="1" si="1"/>
        <v>43736.681489800001</v>
      </c>
      <c r="W34" s="31">
        <f t="shared" ca="1" si="2"/>
        <v>59012.273173130998</v>
      </c>
      <c r="Z34" s="32"/>
      <c r="AA34" s="32"/>
      <c r="AB34" s="32"/>
    </row>
    <row r="35" spans="2:28">
      <c r="B35" s="28" t="s">
        <v>130</v>
      </c>
      <c r="C35" s="30">
        <f ca="1">IFERROR(__xludf.DUMMYFUNCTION("XLOOKUP($B35,IMPORTRANGE(""https://docs.google.com/spreadsheets/d/1EjEqG6oc_vmuAWwHnH51YMvSMVUVePUqNn9zZBOmHT8/edit#gid=757525651"",""'Allocation Breakdown'!A4:A187""),IMPORTRANGE(""https://docs.google.com/spreadsheets/d/1EjEqG6oc_vmuAWwHnH51YMvSMVUVePUqN"&amp;"n9zZBOmHT8/edit#gid=757525651"",""'Allocation Breakdown'!V4:V187""))*C$119"),777.38105487)</f>
        <v>777.38105486999996</v>
      </c>
      <c r="D35" s="30">
        <f ca="1">IFERROR(__xludf.DUMMYFUNCTION("XLOOKUP($B35,IMPORTRANGE(""https://docs.google.com/spreadsheets/d/1EjEqG6oc_vmuAWwHnH51YMvSMVUVePUqNn9zZBOmHT8/edit#gid=757525651"",""'Allocation Breakdown'!A4:A187""),IMPORTRANGE(""https://docs.google.com/spreadsheets/d/1EjEqG6oc_vmuAWwHnH51YMvSMVUVePUqN"&amp;"n9zZBOmHT8/edit#gid=757525651"",""'Allocation Breakdown'!I4:I187""))*$D$119"),0)</f>
        <v>0</v>
      </c>
      <c r="E35" s="30">
        <f ca="1">IFERROR(__xludf.DUMMYFUNCTION("XLOOKUP($B35,IMPORTRANGE(""https://docs.google.com/spreadsheets/d/1EjEqG6oc_vmuAWwHnH51YMvSMVUVePUqNn9zZBOmHT8/edit#gid=757525651"",""'Allocation Breakdown'!A4:A187""),IMPORTRANGE(""https://docs.google.com/spreadsheets/d/1EjEqG6oc_vmuAWwHnH51YMvSMVUVePUqN"&amp;"n9zZBOmHT8/edit#gid=757525651"",""'Allocation Breakdown'!V4:V187""))*E$119"),272.61894513)</f>
        <v>272.61894512999999</v>
      </c>
      <c r="F35" s="30">
        <f t="shared" ca="1" si="0"/>
        <v>272.61894512999999</v>
      </c>
      <c r="G35" s="30" t="str">
        <f ca="1">IFERROR(__xludf.DUMMYFUNCTION("XLOOKUP($B35,IMPORTRANGE(""https://docs.google.com/spreadsheets/d/1EjEqG6oc_vmuAWwHnH51YMvSMVUVePUqNn9zZBOmHT8/edit#gid=757525651"",""'Allocation Breakdown'!A4:A187""),IMPORTRANGE(""https://docs.google.com/spreadsheets/d/1EjEqG6oc_vmuAWwHnH51YMvSMVUVePUqN"&amp;"n9zZBOmHT8/edit#gid=757525651"",""'Allocation Breakdown'!D4:D187""))"),"")</f>
        <v/>
      </c>
      <c r="H35" s="30" t="str">
        <f ca="1">IFERROR(__xludf.DUMMYFUNCTION("XLOOKUP($B35,IMPORTRANGE(""https://docs.google.com/spreadsheets/d/1EjEqG6oc_vmuAWwHnH51YMvSMVUVePUqNn9zZBOmHT8/edit#gid=757525651"",""'Allocation Breakdown'!A4:A187""),IMPORTRANGE(""https://docs.google.com/spreadsheets/d/1EjEqG6oc_vmuAWwHnH51YMvSMVUVePUqN"&amp;"n9zZBOmHT8/edit#gid=757525651"",""'Allocation Breakdown'!E4:E187""))"),"")</f>
        <v/>
      </c>
      <c r="I35" s="30" t="str">
        <f ca="1">IFERROR(__xludf.DUMMYFUNCTION("XLOOKUP($B35,IMPORTRANGE(""https://docs.google.com/spreadsheets/d/1EjEqG6oc_vmuAWwHnH51YMvSMVUVePUqNn9zZBOmHT8/edit#gid=757525651"",""'Allocation Breakdown'!A4:A187""),IMPORTRANGE(""https://docs.google.com/spreadsheets/d/1EjEqG6oc_vmuAWwHnH51YMvSMVUVePUqN"&amp;"n9zZBOmHT8/edit#gid=757525651"",""'Allocation Breakdown'!F4:F187""))"),"")</f>
        <v/>
      </c>
      <c r="J35" s="30" t="str">
        <f ca="1">IFERROR(__xludf.DUMMYFUNCTION("XLOOKUP($B35,IMPORTRANGE(""https://docs.google.com/spreadsheets/d/1EjEqG6oc_vmuAWwHnH51YMvSMVUVePUqNn9zZBOmHT8/edit#gid=757525651"",""'Allocation Breakdown'!A4:A187""),IMPORTRANGE(""https://docs.google.com/spreadsheets/d/1EjEqG6oc_vmuAWwHnH51YMvSMVUVePUqN"&amp;"n9zZBOmHT8/edit#gid=757525651"",""'Allocation Breakdown'!G4:G187""))"),"")</f>
        <v/>
      </c>
      <c r="K35" s="30">
        <f ca="1">IFERROR(__xludf.DUMMYFUNCTION("XLOOKUP($B35,IMPORTRANGE(""https://docs.google.com/spreadsheets/d/1EjEqG6oc_vmuAWwHnH51YMvSMVUVePUqNn9zZBOmHT8/edit#gid=757525651"",""'Allocation Breakdown'!A4:A187""),IMPORTRANGE(""https://docs.google.com/spreadsheets/d/1EjEqG6oc_vmuAWwHnH51YMvSMVUVePUqN"&amp;"n9zZBOmHT8/edit#gid=757525651"",""'Allocation Breakdown'!I4:I187""))*K$119"),0)</f>
        <v>0</v>
      </c>
      <c r="L35" s="30">
        <f ca="1">IFERROR(__xludf.DUMMYFUNCTION("XLOOKUP($B35,IMPORTRANGE(""https://docs.google.com/spreadsheets/d/1EjEqG6oc_vmuAWwHnH51YMvSMVUVePUqNn9zZBOmHT8/edit#gid=757525651"",""'Allocation Breakdown'!A4:A187""),IMPORTRANGE(""https://docs.google.com/spreadsheets/d/1EjEqG6oc_vmuAWwHnH51YMvSMVUVePUqN"&amp;"n9zZBOmHT8/edit#gid=757525651"",""'Allocation Breakdown'!j4:j187""))*L$119"),0)</f>
        <v>0</v>
      </c>
      <c r="M35" s="30">
        <f ca="1">IFERROR(__xludf.DUMMYFUNCTION("XLOOKUP($B35,IMPORTRANGE(""https://docs.google.com/spreadsheets/d/1EjEqG6oc_vmuAWwHnH51YMvSMVUVePUqNn9zZBOmHT8/edit#gid=757525651"",""'Allocation Breakdown'!A4:A187""),IMPORTRANGE(""https://docs.google.com/spreadsheets/d/1EjEqG6oc_vmuAWwHnH51YMvSMVUVePUqN"&amp;"n9zZBOmHT8/edit#gid=757525651"",""'Allocation Breakdown'!K4:K187""))*M$119"),0)</f>
        <v>0</v>
      </c>
      <c r="N35" s="30">
        <f ca="1">IFERROR(__xludf.DUMMYFUNCTION("XLOOKUP($B35,IMPORTRANGE(""https://docs.google.com/spreadsheets/d/1EjEqG6oc_vmuAWwHnH51YMvSMVUVePUqNn9zZBOmHT8/edit#gid=757525651"",""'Allocation Breakdown'!A4:A187""),IMPORTRANGE(""https://docs.google.com/spreadsheets/d/1EjEqG6oc_vmuAWwHnH51YMvSMVUVePUqN"&amp;"n9zZBOmHT8/edit#gid=757525651"",""'Allocation Breakdown'!l4:l187""))*N$119"),3807.4402032)</f>
        <v>3807.4402031999998</v>
      </c>
      <c r="O35" s="30">
        <f ca="1">IFERROR(__xludf.DUMMYFUNCTION("XLOOKUP($B35,IMPORTRANGE(""https://docs.google.com/spreadsheets/d/1EjEqG6oc_vmuAWwHnH51YMvSMVUVePUqNn9zZBOmHT8/edit#gid=757525651"",""'Allocation Breakdown'!A4:A187""),IMPORTRANGE(""https://docs.google.com/spreadsheets/d/1EjEqG6oc_vmuAWwHnH51YMvSMVUVePUqN"&amp;"n9zZBOmHT8/edit#gid=757525651"",""'Allocation Breakdown'!n4:n187""))*O$119"),0)</f>
        <v>0</v>
      </c>
      <c r="P35" s="30">
        <f ca="1">IFERROR(__xludf.DUMMYFUNCTION("XLOOKUP($B35,IMPORTRANGE(""https://docs.google.com/spreadsheets/d/1EjEqG6oc_vmuAWwHnH51YMvSMVUVePUqNn9zZBOmHT8/edit#gid=757525651"",""'Allocation Breakdown'!A4:A187""),IMPORTRANGE(""https://docs.google.com/spreadsheets/d/1EjEqG6oc_vmuAWwHnH51YMvSMVUVePUqN"&amp;"n9zZBOmHT8/edit#gid=757525651"",""'Allocation Breakdown'!o4:o187""))*P$119"),2400)</f>
        <v>2400</v>
      </c>
      <c r="Q35" s="30">
        <f ca="1">IFERROR(__xludf.DUMMYFUNCTION("XLOOKUP($B35,IMPORTRANGE(""https://docs.google.com/spreadsheets/d/1EjEqG6oc_vmuAWwHnH51YMvSMVUVePUqNn9zZBOmHT8/edit#gid=757525651"",""'Allocation Breakdown'!A4:A187""),IMPORTRANGE(""https://docs.google.com/spreadsheets/d/1EjEqG6oc_vmuAWwHnH51YMvSMVUVePUqN"&amp;"n9zZBOmHT8/edit#gid=757525651"",""'Allocation Breakdown'!p4:p187""))*Q$119"),0)</f>
        <v>0</v>
      </c>
      <c r="R35" s="30">
        <f ca="1">IFERROR(__xludf.DUMMYFUNCTION("XLOOKUP($B35,IMPORTRANGE(""https://docs.google.com/spreadsheets/d/1EjEqG6oc_vmuAWwHnH51YMvSMVUVePUqNn9zZBOmHT8/edit#gid=757525651"",""'Allocation Breakdown'!A4:A187""),IMPORTRANGE(""https://docs.google.com/spreadsheets/d/1EjEqG6oc_vmuAWwHnH51YMvSMVUVePUqN"&amp;"n9zZBOmHT8/edit#gid=757525651"",""'Allocation Breakdown'!q4:q187""))*R$119"),0)</f>
        <v>0</v>
      </c>
      <c r="S35" s="30">
        <f ca="1">IFERROR(__xludf.DUMMYFUNCTION("XLOOKUP($B35,IMPORTRANGE(""https://docs.google.com/spreadsheets/d/1EjEqG6oc_vmuAWwHnH51YMvSMVUVePUqNn9zZBOmHT8/edit#gid=757525651"",""'Allocation Breakdown'!A4:A187""),IMPORTRANGE(""https://docs.google.com/spreadsheets/d/1EjEqG6oc_vmuAWwHnH51YMvSMVUVePUqN"&amp;"n9zZBOmHT8/edit#gid=757525651"",""'Allocation Breakdown'!r4:r187""))*S$119"),8000)</f>
        <v>8000</v>
      </c>
      <c r="T35" s="30">
        <f ca="1">IFERROR(__xludf.DUMMYFUNCTION("XLOOKUP($B35,IMPORTRANGE(""https://docs.google.com/spreadsheets/d/1EjEqG6oc_vmuAWwHnH51YMvSMVUVePUqNn9zZBOmHT8/edit#gid=757525651"",""'Allocation Breakdown'!A4:A187""),IMPORTRANGE(""https://docs.google.com/spreadsheets/d/1EjEqG6oc_vmuAWwHnH51YMvSMVUVePUqN"&amp;"n9zZBOmHT8/edit#gid=757525651"",""'Allocation Breakdown'!t4:t187""))*T$119"),28000)</f>
        <v>28000</v>
      </c>
      <c r="U35" s="30">
        <f ca="1">IFERROR(__xludf.DUMMYFUNCTION("XLOOKUP($B35,IMPORTRANGE(""https://docs.google.com/spreadsheets/d/1EjEqG6oc_vmuAWwHnH51YMvSMVUVePUqNn9zZBOmHT8/edit#gid=757525651"",""'Allocation Breakdown'!A4:A187""),IMPORTRANGE(""https://docs.google.com/spreadsheets/d/1EjEqG6oc_vmuAWwHnH51YMvSMVUVePUqN"&amp;"n9zZBOmHT8/edit#gid=757525651"",""'Allocation Breakdown'!U4:U187""))*U$119"),44000)</f>
        <v>44000</v>
      </c>
      <c r="V35" s="31">
        <f t="shared" ca="1" si="1"/>
        <v>86207.440203200007</v>
      </c>
      <c r="W35" s="31">
        <f t="shared" ca="1" si="2"/>
        <v>87257.440203200007</v>
      </c>
      <c r="Z35" s="32"/>
      <c r="AA35" s="32"/>
      <c r="AB35" s="32"/>
    </row>
    <row r="36" spans="2:28" ht="15.75" customHeight="1">
      <c r="B36" s="28" t="s">
        <v>131</v>
      </c>
      <c r="C36" s="30">
        <f ca="1">IFERROR(__xludf.DUMMYFUNCTION("XLOOKUP($B36,IMPORTRANGE(""https://docs.google.com/spreadsheets/d/1EjEqG6oc_vmuAWwHnH51YMvSMVUVePUqNn9zZBOmHT8/edit#gid=757525651"",""'Allocation Breakdown'!A4:A187""),IMPORTRANGE(""https://docs.google.com/spreadsheets/d/1EjEqG6oc_vmuAWwHnH51YMvSMVUVePUqN"&amp;"n9zZBOmHT8/edit#gid=757525651"",""'Allocation Breakdown'!V4:V187""))*C$119"),777.38105487)</f>
        <v>777.38105486999996</v>
      </c>
      <c r="D36" s="30">
        <f ca="1">IFERROR(__xludf.DUMMYFUNCTION("XLOOKUP($B36,IMPORTRANGE(""https://docs.google.com/spreadsheets/d/1EjEqG6oc_vmuAWwHnH51YMvSMVUVePUqNn9zZBOmHT8/edit#gid=757525651"",""'Allocation Breakdown'!A4:A187""),IMPORTRANGE(""https://docs.google.com/spreadsheets/d/1EjEqG6oc_vmuAWwHnH51YMvSMVUVePUqN"&amp;"n9zZBOmHT8/edit#gid=757525651"",""'Allocation Breakdown'!I4:I187""))*$D$119"),28451.183366662)</f>
        <v>28451.183366662</v>
      </c>
      <c r="E36" s="30">
        <f ca="1">IFERROR(__xludf.DUMMYFUNCTION("XLOOKUP($B36,IMPORTRANGE(""https://docs.google.com/spreadsheets/d/1EjEqG6oc_vmuAWwHnH51YMvSMVUVePUqNn9zZBOmHT8/edit#gid=757525651"",""'Allocation Breakdown'!A4:A187""),IMPORTRANGE(""https://docs.google.com/spreadsheets/d/1EjEqG6oc_vmuAWwHnH51YMvSMVUVePUqN"&amp;"n9zZBOmHT8/edit#gid=757525651"",""'Allocation Breakdown'!V4:V187""))*E$119"),272.61894513)</f>
        <v>272.61894512999999</v>
      </c>
      <c r="F36" s="30">
        <f t="shared" ca="1" si="0"/>
        <v>28723.802311792002</v>
      </c>
      <c r="G36" s="30">
        <f ca="1">IFERROR(__xludf.DUMMYFUNCTION("XLOOKUP($B36,IMPORTRANGE(""https://docs.google.com/spreadsheets/d/1EjEqG6oc_vmuAWwHnH51YMvSMVUVePUqNn9zZBOmHT8/edit#gid=757525651"",""'Allocation Breakdown'!A4:A187""),IMPORTRANGE(""https://docs.google.com/spreadsheets/d/1EjEqG6oc_vmuAWwHnH51YMvSMVUVePUqN"&amp;"n9zZBOmHT8/edit#gid=757525651"",""'Allocation Breakdown'!D4:D187""))"),20000)</f>
        <v>20000</v>
      </c>
      <c r="H36" s="30" t="str">
        <f ca="1">IFERROR(__xludf.DUMMYFUNCTION("XLOOKUP($B36,IMPORTRANGE(""https://docs.google.com/spreadsheets/d/1EjEqG6oc_vmuAWwHnH51YMvSMVUVePUqNn9zZBOmHT8/edit#gid=757525651"",""'Allocation Breakdown'!A4:A187""),IMPORTRANGE(""https://docs.google.com/spreadsheets/d/1EjEqG6oc_vmuAWwHnH51YMvSMVUVePUqN"&amp;"n9zZBOmHT8/edit#gid=757525651"",""'Allocation Breakdown'!E4:E187""))"),"")</f>
        <v/>
      </c>
      <c r="I36" s="30">
        <f ca="1">IFERROR(__xludf.DUMMYFUNCTION("XLOOKUP($B36,IMPORTRANGE(""https://docs.google.com/spreadsheets/d/1EjEqG6oc_vmuAWwHnH51YMvSMVUVePUqNn9zZBOmHT8/edit#gid=757525651"",""'Allocation Breakdown'!A4:A187""),IMPORTRANGE(""https://docs.google.com/spreadsheets/d/1EjEqG6oc_vmuAWwHnH51YMvSMVUVePUqN"&amp;"n9zZBOmHT8/edit#gid=757525651"",""'Allocation Breakdown'!F4:F187""))"),72000)</f>
        <v>72000</v>
      </c>
      <c r="J36" s="30">
        <f ca="1">IFERROR(__xludf.DUMMYFUNCTION("XLOOKUP($B36,IMPORTRANGE(""https://docs.google.com/spreadsheets/d/1EjEqG6oc_vmuAWwHnH51YMvSMVUVePUqNn9zZBOmHT8/edit#gid=757525651"",""'Allocation Breakdown'!A4:A187""),IMPORTRANGE(""https://docs.google.com/spreadsheets/d/1EjEqG6oc_vmuAWwHnH51YMvSMVUVePUqN"&amp;"n9zZBOmHT8/edit#gid=757525651"",""'Allocation Breakdown'!G4:G187""))"),27000)</f>
        <v>27000</v>
      </c>
      <c r="K36" s="30">
        <f ca="1">IFERROR(__xludf.DUMMYFUNCTION("XLOOKUP($B36,IMPORTRANGE(""https://docs.google.com/spreadsheets/d/1EjEqG6oc_vmuAWwHnH51YMvSMVUVePUqNn9zZBOmHT8/edit#gid=757525651"",""'Allocation Breakdown'!A4:A187""),IMPORTRANGE(""https://docs.google.com/spreadsheets/d/1EjEqG6oc_vmuAWwHnH51YMvSMVUVePUqN"&amp;"n9zZBOmHT8/edit#gid=757525651"",""'Allocation Breakdown'!I4:I187""))*K$119"),2499.7538544)</f>
        <v>2499.7538543999999</v>
      </c>
      <c r="L36" s="30">
        <f ca="1">IFERROR(__xludf.DUMMYFUNCTION("XLOOKUP($B36,IMPORTRANGE(""https://docs.google.com/spreadsheets/d/1EjEqG6oc_vmuAWwHnH51YMvSMVUVePUqNn9zZBOmHT8/edit#gid=757525651"",""'Allocation Breakdown'!A4:A187""),IMPORTRANGE(""https://docs.google.com/spreadsheets/d/1EjEqG6oc_vmuAWwHnH51YMvSMVUVePUqN"&amp;"n9zZBOmHT8/edit#gid=757525651"",""'Allocation Breakdown'!j4:j187""))*L$119"),14806.168922)</f>
        <v>14806.168922000001</v>
      </c>
      <c r="M36" s="30">
        <f ca="1">IFERROR(__xludf.DUMMYFUNCTION("XLOOKUP($B36,IMPORTRANGE(""https://docs.google.com/spreadsheets/d/1EjEqG6oc_vmuAWwHnH51YMvSMVUVePUqNn9zZBOmHT8/edit#gid=757525651"",""'Allocation Breakdown'!A4:A187""),IMPORTRANGE(""https://docs.google.com/spreadsheets/d/1EjEqG6oc_vmuAWwHnH51YMvSMVUVePUqN"&amp;"n9zZBOmHT8/edit#gid=757525651"",""'Allocation Breakdown'!K4:K187""))*M$119"),14354.490438)</f>
        <v>14354.490438000001</v>
      </c>
      <c r="N36" s="30">
        <f ca="1">IFERROR(__xludf.DUMMYFUNCTION("XLOOKUP($B36,IMPORTRANGE(""https://docs.google.com/spreadsheets/d/1EjEqG6oc_vmuAWwHnH51YMvSMVUVePUqNn9zZBOmHT8/edit#gid=757525651"",""'Allocation Breakdown'!A4:A187""),IMPORTRANGE(""https://docs.google.com/spreadsheets/d/1EjEqG6oc_vmuAWwHnH51YMvSMVUVePUqN"&amp;"n9zZBOmHT8/edit#gid=757525651"",""'Allocation Breakdown'!l4:l187""))*N$119"),3807.4402032)</f>
        <v>3807.4402031999998</v>
      </c>
      <c r="O36" s="30">
        <f ca="1">IFERROR(__xludf.DUMMYFUNCTION("XLOOKUP($B36,IMPORTRANGE(""https://docs.google.com/spreadsheets/d/1EjEqG6oc_vmuAWwHnH51YMvSMVUVePUqNn9zZBOmHT8/edit#gid=757525651"",""'Allocation Breakdown'!A4:A187""),IMPORTRANGE(""https://docs.google.com/spreadsheets/d/1EjEqG6oc_vmuAWwHnH51YMvSMVUVePUqN"&amp;"n9zZBOmHT8/edit#gid=757525651"",""'Allocation Breakdown'!n4:n187""))*O$119"),15000)</f>
        <v>15000</v>
      </c>
      <c r="P36" s="30">
        <f ca="1">IFERROR(__xludf.DUMMYFUNCTION("XLOOKUP($B36,IMPORTRANGE(""https://docs.google.com/spreadsheets/d/1EjEqG6oc_vmuAWwHnH51YMvSMVUVePUqNn9zZBOmHT8/edit#gid=757525651"",""'Allocation Breakdown'!A4:A187""),IMPORTRANGE(""https://docs.google.com/spreadsheets/d/1EjEqG6oc_vmuAWwHnH51YMvSMVUVePUqN"&amp;"n9zZBOmHT8/edit#gid=757525651"",""'Allocation Breakdown'!o4:o187""))*P$119"),12000)</f>
        <v>12000</v>
      </c>
      <c r="Q36" s="30">
        <f ca="1">IFERROR(__xludf.DUMMYFUNCTION("XLOOKUP($B36,IMPORTRANGE(""https://docs.google.com/spreadsheets/d/1EjEqG6oc_vmuAWwHnH51YMvSMVUVePUqNn9zZBOmHT8/edit#gid=757525651"",""'Allocation Breakdown'!A4:A187""),IMPORTRANGE(""https://docs.google.com/spreadsheets/d/1EjEqG6oc_vmuAWwHnH51YMvSMVUVePUqN"&amp;"n9zZBOmHT8/edit#gid=757525651"",""'Allocation Breakdown'!p4:p187""))*Q$119"),3500)</f>
        <v>3500</v>
      </c>
      <c r="R36" s="30">
        <f ca="1">IFERROR(__xludf.DUMMYFUNCTION("XLOOKUP($B36,IMPORTRANGE(""https://docs.google.com/spreadsheets/d/1EjEqG6oc_vmuAWwHnH51YMvSMVUVePUqNn9zZBOmHT8/edit#gid=757525651"",""'Allocation Breakdown'!A4:A187""),IMPORTRANGE(""https://docs.google.com/spreadsheets/d/1EjEqG6oc_vmuAWwHnH51YMvSMVUVePUqN"&amp;"n9zZBOmHT8/edit#gid=757525651"",""'Allocation Breakdown'!q4:q187""))*R$119"),8000)</f>
        <v>8000</v>
      </c>
      <c r="S36" s="30">
        <f ca="1">IFERROR(__xludf.DUMMYFUNCTION("XLOOKUP($B36,IMPORTRANGE(""https://docs.google.com/spreadsheets/d/1EjEqG6oc_vmuAWwHnH51YMvSMVUVePUqNn9zZBOmHT8/edit#gid=757525651"",""'Allocation Breakdown'!A4:A187""),IMPORTRANGE(""https://docs.google.com/spreadsheets/d/1EjEqG6oc_vmuAWwHnH51YMvSMVUVePUqN"&amp;"n9zZBOmHT8/edit#gid=757525651"",""'Allocation Breakdown'!r4:r187""))*S$119"),8000)</f>
        <v>8000</v>
      </c>
      <c r="T36" s="30">
        <f ca="1">IFERROR(__xludf.DUMMYFUNCTION("XLOOKUP($B36,IMPORTRANGE(""https://docs.google.com/spreadsheets/d/1EjEqG6oc_vmuAWwHnH51YMvSMVUVePUqNn9zZBOmHT8/edit#gid=757525651"",""'Allocation Breakdown'!A4:A187""),IMPORTRANGE(""https://docs.google.com/spreadsheets/d/1EjEqG6oc_vmuAWwHnH51YMvSMVUVePUqN"&amp;"n9zZBOmHT8/edit#gid=757525651"",""'Allocation Breakdown'!t4:t187""))*T$119"),28000)</f>
        <v>28000</v>
      </c>
      <c r="U36" s="30">
        <f ca="1">IFERROR(__xludf.DUMMYFUNCTION("XLOOKUP($B36,IMPORTRANGE(""https://docs.google.com/spreadsheets/d/1EjEqG6oc_vmuAWwHnH51YMvSMVUVePUqNn9zZBOmHT8/edit#gid=757525651"",""'Allocation Breakdown'!A4:A187""),IMPORTRANGE(""https://docs.google.com/spreadsheets/d/1EjEqG6oc_vmuAWwHnH51YMvSMVUVePUqN"&amp;"n9zZBOmHT8/edit#gid=757525651"",""'Allocation Breakdown'!U4:U187""))*U$119"),44000)</f>
        <v>44000</v>
      </c>
      <c r="V36" s="31">
        <f t="shared" ca="1" si="1"/>
        <v>272967.85341760004</v>
      </c>
      <c r="W36" s="31">
        <f t="shared" ca="1" si="2"/>
        <v>302469.03678426205</v>
      </c>
      <c r="Z36" s="32"/>
      <c r="AA36" s="32"/>
      <c r="AB36" s="32"/>
    </row>
    <row r="37" spans="2:28" ht="15.75" customHeight="1">
      <c r="B37" s="28" t="s">
        <v>132</v>
      </c>
      <c r="C37" s="30">
        <f ca="1">IFERROR(__xludf.DUMMYFUNCTION("XLOOKUP($B37,IMPORTRANGE(""https://docs.google.com/spreadsheets/d/1EjEqG6oc_vmuAWwHnH51YMvSMVUVePUqNn9zZBOmHT8/edit#gid=757525651"",""'Allocation Breakdown'!A4:A187""),IMPORTRANGE(""https://docs.google.com/spreadsheets/d/1EjEqG6oc_vmuAWwHnH51YMvSMVUVePUqN"&amp;"n9zZBOmHT8/edit#gid=757525651"",""'Allocation Breakdown'!V4:V187""))*C$119"),2332.14316461)</f>
        <v>2332.14316461</v>
      </c>
      <c r="D37" s="30">
        <f ca="1">IFERROR(__xludf.DUMMYFUNCTION("XLOOKUP($B37,IMPORTRANGE(""https://docs.google.com/spreadsheets/d/1EjEqG6oc_vmuAWwHnH51YMvSMVUVePUqNn9zZBOmHT8/edit#gid=757525651"",""'Allocation Breakdown'!A4:A187""),IMPORTRANGE(""https://docs.google.com/spreadsheets/d/1EjEqG6oc_vmuAWwHnH51YMvSMVUVePUqN"&amp;"n9zZBOmHT8/edit#gid=757525651"",""'Allocation Breakdown'!I4:I187""))*$D$119"),21338.3875249965)</f>
        <v>21338.387524996499</v>
      </c>
      <c r="E37" s="30">
        <f ca="1">IFERROR(__xludf.DUMMYFUNCTION("XLOOKUP($B37,IMPORTRANGE(""https://docs.google.com/spreadsheets/d/1EjEqG6oc_vmuAWwHnH51YMvSMVUVePUqNn9zZBOmHT8/edit#gid=757525651"",""'Allocation Breakdown'!A4:A187""),IMPORTRANGE(""https://docs.google.com/spreadsheets/d/1EjEqG6oc_vmuAWwHnH51YMvSMVUVePUqN"&amp;"n9zZBOmHT8/edit#gid=757525651"",""'Allocation Breakdown'!V4:V187""))*E$119"),817.85683539)</f>
        <v>817.85683539000001</v>
      </c>
      <c r="F37" s="30">
        <f t="shared" ca="1" si="0"/>
        <v>22156.244360386499</v>
      </c>
      <c r="G37" s="30">
        <f ca="1">IFERROR(__xludf.DUMMYFUNCTION("XLOOKUP($B37,IMPORTRANGE(""https://docs.google.com/spreadsheets/d/1EjEqG6oc_vmuAWwHnH51YMvSMVUVePUqNn9zZBOmHT8/edit#gid=757525651"",""'Allocation Breakdown'!A4:A187""),IMPORTRANGE(""https://docs.google.com/spreadsheets/d/1EjEqG6oc_vmuAWwHnH51YMvSMVUVePUqN"&amp;"n9zZBOmHT8/edit#gid=757525651"",""'Allocation Breakdown'!D4:D187""))"),15000)</f>
        <v>15000</v>
      </c>
      <c r="H37" s="30">
        <f ca="1">IFERROR(__xludf.DUMMYFUNCTION("XLOOKUP($B37,IMPORTRANGE(""https://docs.google.com/spreadsheets/d/1EjEqG6oc_vmuAWwHnH51YMvSMVUVePUqNn9zZBOmHT8/edit#gid=757525651"",""'Allocation Breakdown'!A4:A187""),IMPORTRANGE(""https://docs.google.com/spreadsheets/d/1EjEqG6oc_vmuAWwHnH51YMvSMVUVePUqN"&amp;"n9zZBOmHT8/edit#gid=757525651"",""'Allocation Breakdown'!E4:E187""))"),90000)</f>
        <v>90000</v>
      </c>
      <c r="I37" s="30">
        <f ca="1">IFERROR(__xludf.DUMMYFUNCTION("XLOOKUP($B37,IMPORTRANGE(""https://docs.google.com/spreadsheets/d/1EjEqG6oc_vmuAWwHnH51YMvSMVUVePUqNn9zZBOmHT8/edit#gid=757525651"",""'Allocation Breakdown'!A4:A187""),IMPORTRANGE(""https://docs.google.com/spreadsheets/d/1EjEqG6oc_vmuAWwHnH51YMvSMVUVePUqN"&amp;"n9zZBOmHT8/edit#gid=757525651"",""'Allocation Breakdown'!F4:F187""))"),54000)</f>
        <v>54000</v>
      </c>
      <c r="J37" s="30">
        <f ca="1">IFERROR(__xludf.DUMMYFUNCTION("XLOOKUP($B37,IMPORTRANGE(""https://docs.google.com/spreadsheets/d/1EjEqG6oc_vmuAWwHnH51YMvSMVUVePUqNn9zZBOmHT8/edit#gid=757525651"",""'Allocation Breakdown'!A4:A187""),IMPORTRANGE(""https://docs.google.com/spreadsheets/d/1EjEqG6oc_vmuAWwHnH51YMvSMVUVePUqN"&amp;"n9zZBOmHT8/edit#gid=757525651"",""'Allocation Breakdown'!G4:G187""))"),27525)</f>
        <v>27525</v>
      </c>
      <c r="K37" s="30">
        <f ca="1">IFERROR(__xludf.DUMMYFUNCTION("XLOOKUP($B37,IMPORTRANGE(""https://docs.google.com/spreadsheets/d/1EjEqG6oc_vmuAWwHnH51YMvSMVUVePUqNn9zZBOmHT8/edit#gid=757525651"",""'Allocation Breakdown'!A4:A187""),IMPORTRANGE(""https://docs.google.com/spreadsheets/d/1EjEqG6oc_vmuAWwHnH51YMvSMVUVePUqN"&amp;"n9zZBOmHT8/edit#gid=757525651"",""'Allocation Breakdown'!I4:I187""))*K$119"),1874.8153908)</f>
        <v>1874.8153907999999</v>
      </c>
      <c r="L37" s="30">
        <f ca="1">IFERROR(__xludf.DUMMYFUNCTION("XLOOKUP($B37,IMPORTRANGE(""https://docs.google.com/spreadsheets/d/1EjEqG6oc_vmuAWwHnH51YMvSMVUVePUqNn9zZBOmHT8/edit#gid=757525651"",""'Allocation Breakdown'!A4:A187""),IMPORTRANGE(""https://docs.google.com/spreadsheets/d/1EjEqG6oc_vmuAWwHnH51YMvSMVUVePUqN"&amp;"n9zZBOmHT8/edit#gid=757525651"",""'Allocation Breakdown'!j4:j187""))*L$119"),11104.6266915)</f>
        <v>11104.6266915</v>
      </c>
      <c r="M37" s="30">
        <f ca="1">IFERROR(__xludf.DUMMYFUNCTION("XLOOKUP($B37,IMPORTRANGE(""https://docs.google.com/spreadsheets/d/1EjEqG6oc_vmuAWwHnH51YMvSMVUVePUqNn9zZBOmHT8/edit#gid=757525651"",""'Allocation Breakdown'!A4:A187""),IMPORTRANGE(""https://docs.google.com/spreadsheets/d/1EjEqG6oc_vmuAWwHnH51YMvSMVUVePUqN"&amp;"n9zZBOmHT8/edit#gid=757525651"",""'Allocation Breakdown'!K4:K187""))*M$119"),10765.8678285)</f>
        <v>10765.867828500001</v>
      </c>
      <c r="N37" s="30">
        <f ca="1">IFERROR(__xludf.DUMMYFUNCTION("XLOOKUP($B37,IMPORTRANGE(""https://docs.google.com/spreadsheets/d/1EjEqG6oc_vmuAWwHnH51YMvSMVUVePUqNn9zZBOmHT8/edit#gid=757525651"",""'Allocation Breakdown'!A4:A187""),IMPORTRANGE(""https://docs.google.com/spreadsheets/d/1EjEqG6oc_vmuAWwHnH51YMvSMVUVePUqN"&amp;"n9zZBOmHT8/edit#gid=757525651"",""'Allocation Breakdown'!l4:l187""))*N$119"),2855.5801524)</f>
        <v>2855.5801523999999</v>
      </c>
      <c r="O37" s="30">
        <f ca="1">IFERROR(__xludf.DUMMYFUNCTION("XLOOKUP($B37,IMPORTRANGE(""https://docs.google.com/spreadsheets/d/1EjEqG6oc_vmuAWwHnH51YMvSMVUVePUqNn9zZBOmHT8/edit#gid=757525651"",""'Allocation Breakdown'!A4:A187""),IMPORTRANGE(""https://docs.google.com/spreadsheets/d/1EjEqG6oc_vmuAWwHnH51YMvSMVUVePUqN"&amp;"n9zZBOmHT8/edit#gid=757525651"",""'Allocation Breakdown'!n4:n187""))*O$119"),0)</f>
        <v>0</v>
      </c>
      <c r="P37" s="30">
        <f ca="1">IFERROR(__xludf.DUMMYFUNCTION("XLOOKUP($B37,IMPORTRANGE(""https://docs.google.com/spreadsheets/d/1EjEqG6oc_vmuAWwHnH51YMvSMVUVePUqNn9zZBOmHT8/edit#gid=757525651"",""'Allocation Breakdown'!A4:A187""),IMPORTRANGE(""https://docs.google.com/spreadsheets/d/1EjEqG6oc_vmuAWwHnH51YMvSMVUVePUqN"&amp;"n9zZBOmHT8/edit#gid=757525651"",""'Allocation Breakdown'!o4:o187""))*P$119"),6000)</f>
        <v>6000</v>
      </c>
      <c r="Q37" s="30">
        <f ca="1">IFERROR(__xludf.DUMMYFUNCTION("XLOOKUP($B37,IMPORTRANGE(""https://docs.google.com/spreadsheets/d/1EjEqG6oc_vmuAWwHnH51YMvSMVUVePUqNn9zZBOmHT8/edit#gid=757525651"",""'Allocation Breakdown'!A4:A187""),IMPORTRANGE(""https://docs.google.com/spreadsheets/d/1EjEqG6oc_vmuAWwHnH51YMvSMVUVePUqN"&amp;"n9zZBOmHT8/edit#gid=757525651"",""'Allocation Breakdown'!p4:p187""))*Q$119"),3000)</f>
        <v>3000</v>
      </c>
      <c r="R37" s="30">
        <f ca="1">IFERROR(__xludf.DUMMYFUNCTION("XLOOKUP($B37,IMPORTRANGE(""https://docs.google.com/spreadsheets/d/1EjEqG6oc_vmuAWwHnH51YMvSMVUVePUqNn9zZBOmHT8/edit#gid=757525651"",""'Allocation Breakdown'!A4:A187""),IMPORTRANGE(""https://docs.google.com/spreadsheets/d/1EjEqG6oc_vmuAWwHnH51YMvSMVUVePUqN"&amp;"n9zZBOmHT8/edit#gid=757525651"",""'Allocation Breakdown'!q4:q187""))*R$119"),6000)</f>
        <v>6000</v>
      </c>
      <c r="S37" s="30">
        <f ca="1">IFERROR(__xludf.DUMMYFUNCTION("XLOOKUP($B37,IMPORTRANGE(""https://docs.google.com/spreadsheets/d/1EjEqG6oc_vmuAWwHnH51YMvSMVUVePUqNn9zZBOmHT8/edit#gid=757525651"",""'Allocation Breakdown'!A4:A187""),IMPORTRANGE(""https://docs.google.com/spreadsheets/d/1EjEqG6oc_vmuAWwHnH51YMvSMVUVePUqN"&amp;"n9zZBOmHT8/edit#gid=757525651"",""'Allocation Breakdown'!r4:r187""))*S$119"),3000)</f>
        <v>3000</v>
      </c>
      <c r="T37" s="30">
        <f ca="1">IFERROR(__xludf.DUMMYFUNCTION("XLOOKUP($B37,IMPORTRANGE(""https://docs.google.com/spreadsheets/d/1EjEqG6oc_vmuAWwHnH51YMvSMVUVePUqNn9zZBOmHT8/edit#gid=757525651"",""'Allocation Breakdown'!A4:A187""),IMPORTRANGE(""https://docs.google.com/spreadsheets/d/1EjEqG6oc_vmuAWwHnH51YMvSMVUVePUqN"&amp;"n9zZBOmHT8/edit#gid=757525651"",""'Allocation Breakdown'!t4:t187""))*T$119"),21000)</f>
        <v>21000</v>
      </c>
      <c r="U37" s="30">
        <f ca="1">IFERROR(__xludf.DUMMYFUNCTION("XLOOKUP($B37,IMPORTRANGE(""https://docs.google.com/spreadsheets/d/1EjEqG6oc_vmuAWwHnH51YMvSMVUVePUqNn9zZBOmHT8/edit#gid=757525651"",""'Allocation Breakdown'!A4:A187""),IMPORTRANGE(""https://docs.google.com/spreadsheets/d/1EjEqG6oc_vmuAWwHnH51YMvSMVUVePUqN"&amp;"n9zZBOmHT8/edit#gid=757525651"",""'Allocation Breakdown'!U4:U187""))*U$119"),33000)</f>
        <v>33000</v>
      </c>
      <c r="V37" s="31">
        <f t="shared" ca="1" si="1"/>
        <v>285125.89006320003</v>
      </c>
      <c r="W37" s="31">
        <f t="shared" ca="1" si="2"/>
        <v>309614.27758819656</v>
      </c>
      <c r="Z37" s="32"/>
      <c r="AA37" s="32"/>
      <c r="AB37" s="32"/>
    </row>
    <row r="38" spans="2:28">
      <c r="B38" s="28" t="s">
        <v>133</v>
      </c>
      <c r="C38" s="30">
        <f ca="1">IFERROR(__xludf.DUMMYFUNCTION("XLOOKUP($B38,IMPORTRANGE(""https://docs.google.com/spreadsheets/d/1EjEqG6oc_vmuAWwHnH51YMvSMVUVePUqNn9zZBOmHT8/edit#gid=757525651"",""'Allocation Breakdown'!A4:A187""),IMPORTRANGE(""https://docs.google.com/spreadsheets/d/1EjEqG6oc_vmuAWwHnH51YMvSMVUVePUqN"&amp;"n9zZBOmHT8/edit#gid=757525651"",""'Allocation Breakdown'!V4:V187""))*C$119"),0)</f>
        <v>0</v>
      </c>
      <c r="D38" s="30">
        <f ca="1">IFERROR(__xludf.DUMMYFUNCTION("XLOOKUP($B38,IMPORTRANGE(""https://docs.google.com/spreadsheets/d/1EjEqG6oc_vmuAWwHnH51YMvSMVUVePUqNn9zZBOmHT8/edit#gid=757525651"",""'Allocation Breakdown'!A4:A187""),IMPORTRANGE(""https://docs.google.com/spreadsheets/d/1EjEqG6oc_vmuAWwHnH51YMvSMVUVePUqN"&amp;"n9zZBOmHT8/edit#gid=757525651"",""'Allocation Breakdown'!I4:I187""))*$D$119"),42676.775049993)</f>
        <v>42676.775049992997</v>
      </c>
      <c r="E38" s="30">
        <f ca="1">IFERROR(__xludf.DUMMYFUNCTION("XLOOKUP($B38,IMPORTRANGE(""https://docs.google.com/spreadsheets/d/1EjEqG6oc_vmuAWwHnH51YMvSMVUVePUqNn9zZBOmHT8/edit#gid=757525651"",""'Allocation Breakdown'!A4:A187""),IMPORTRANGE(""https://docs.google.com/spreadsheets/d/1EjEqG6oc_vmuAWwHnH51YMvSMVUVePUqN"&amp;"n9zZBOmHT8/edit#gid=757525651"",""'Allocation Breakdown'!V4:V187""))*E$119"),0)</f>
        <v>0</v>
      </c>
      <c r="F38" s="30">
        <f t="shared" ca="1" si="0"/>
        <v>42676.775049992997</v>
      </c>
      <c r="G38" s="30">
        <f ca="1">IFERROR(__xludf.DUMMYFUNCTION("XLOOKUP($B38,IMPORTRANGE(""https://docs.google.com/spreadsheets/d/1EjEqG6oc_vmuAWwHnH51YMvSMVUVePUqNn9zZBOmHT8/edit#gid=757525651"",""'Allocation Breakdown'!A4:A187""),IMPORTRANGE(""https://docs.google.com/spreadsheets/d/1EjEqG6oc_vmuAWwHnH51YMvSMVUVePUqN"&amp;"n9zZBOmHT8/edit#gid=757525651"",""'Allocation Breakdown'!D4:D187""))"),30000)</f>
        <v>30000</v>
      </c>
      <c r="H38" s="30" t="str">
        <f ca="1">IFERROR(__xludf.DUMMYFUNCTION("XLOOKUP($B38,IMPORTRANGE(""https://docs.google.com/spreadsheets/d/1EjEqG6oc_vmuAWwHnH51YMvSMVUVePUqNn9zZBOmHT8/edit#gid=757525651"",""'Allocation Breakdown'!A4:A187""),IMPORTRANGE(""https://docs.google.com/spreadsheets/d/1EjEqG6oc_vmuAWwHnH51YMvSMVUVePUqN"&amp;"n9zZBOmHT8/edit#gid=757525651"",""'Allocation Breakdown'!E4:E187""))"),"")</f>
        <v/>
      </c>
      <c r="I38" s="30">
        <f ca="1">IFERROR(__xludf.DUMMYFUNCTION("XLOOKUP($B38,IMPORTRANGE(""https://docs.google.com/spreadsheets/d/1EjEqG6oc_vmuAWwHnH51YMvSMVUVePUqNn9zZBOmHT8/edit#gid=757525651"",""'Allocation Breakdown'!A4:A187""),IMPORTRANGE(""https://docs.google.com/spreadsheets/d/1EjEqG6oc_vmuAWwHnH51YMvSMVUVePUqN"&amp;"n9zZBOmHT8/edit#gid=757525651"",""'Allocation Breakdown'!F4:F187""))"),42000)</f>
        <v>42000</v>
      </c>
      <c r="J38" s="30">
        <f ca="1">IFERROR(__xludf.DUMMYFUNCTION("XLOOKUP($B38,IMPORTRANGE(""https://docs.google.com/spreadsheets/d/1EjEqG6oc_vmuAWwHnH51YMvSMVUVePUqNn9zZBOmHT8/edit#gid=757525651"",""'Allocation Breakdown'!A4:A187""),IMPORTRANGE(""https://docs.google.com/spreadsheets/d/1EjEqG6oc_vmuAWwHnH51YMvSMVUVePUqN"&amp;"n9zZBOmHT8/edit#gid=757525651"",""'Allocation Breakdown'!G4:G187""))"),40000)</f>
        <v>40000</v>
      </c>
      <c r="K38" s="30">
        <f ca="1">IFERROR(__xludf.DUMMYFUNCTION("XLOOKUP($B38,IMPORTRANGE(""https://docs.google.com/spreadsheets/d/1EjEqG6oc_vmuAWwHnH51YMvSMVUVePUqNn9zZBOmHT8/edit#gid=757525651"",""'Allocation Breakdown'!A4:A187""),IMPORTRANGE(""https://docs.google.com/spreadsheets/d/1EjEqG6oc_vmuAWwHnH51YMvSMVUVePUqN"&amp;"n9zZBOmHT8/edit#gid=757525651"",""'Allocation Breakdown'!I4:I187""))*K$119"),3749.6307816)</f>
        <v>3749.6307815999999</v>
      </c>
      <c r="L38" s="30">
        <f ca="1">IFERROR(__xludf.DUMMYFUNCTION("XLOOKUP($B38,IMPORTRANGE(""https://docs.google.com/spreadsheets/d/1EjEqG6oc_vmuAWwHnH51YMvSMVUVePUqNn9zZBOmHT8/edit#gid=757525651"",""'Allocation Breakdown'!A4:A187""),IMPORTRANGE(""https://docs.google.com/spreadsheets/d/1EjEqG6oc_vmuAWwHnH51YMvSMVUVePUqN"&amp;"n9zZBOmHT8/edit#gid=757525651"",""'Allocation Breakdown'!j4:j187""))*L$119"),22209.253383)</f>
        <v>22209.253382999999</v>
      </c>
      <c r="M38" s="30">
        <f ca="1">IFERROR(__xludf.DUMMYFUNCTION("XLOOKUP($B38,IMPORTRANGE(""https://docs.google.com/spreadsheets/d/1EjEqG6oc_vmuAWwHnH51YMvSMVUVePUqNn9zZBOmHT8/edit#gid=757525651"",""'Allocation Breakdown'!A4:A187""),IMPORTRANGE(""https://docs.google.com/spreadsheets/d/1EjEqG6oc_vmuAWwHnH51YMvSMVUVePUqN"&amp;"n9zZBOmHT8/edit#gid=757525651"",""'Allocation Breakdown'!K4:K187""))*M$119"),21531.735657)</f>
        <v>21531.735657000001</v>
      </c>
      <c r="N38" s="30">
        <f ca="1">IFERROR(__xludf.DUMMYFUNCTION("XLOOKUP($B38,IMPORTRANGE(""https://docs.google.com/spreadsheets/d/1EjEqG6oc_vmuAWwHnH51YMvSMVUVePUqNn9zZBOmHT8/edit#gid=757525651"",""'Allocation Breakdown'!A4:A187""),IMPORTRANGE(""https://docs.google.com/spreadsheets/d/1EjEqG6oc_vmuAWwHnH51YMvSMVUVePUqN"&amp;"n9zZBOmHT8/edit#gid=757525651"",""'Allocation Breakdown'!l4:l187""))*N$119"),5711.1603048)</f>
        <v>5711.1603047999997</v>
      </c>
      <c r="O38" s="30">
        <f ca="1">IFERROR(__xludf.DUMMYFUNCTION("XLOOKUP($B38,IMPORTRANGE(""https://docs.google.com/spreadsheets/d/1EjEqG6oc_vmuAWwHnH51YMvSMVUVePUqNn9zZBOmHT8/edit#gid=757525651"",""'Allocation Breakdown'!A4:A187""),IMPORTRANGE(""https://docs.google.com/spreadsheets/d/1EjEqG6oc_vmuAWwHnH51YMvSMVUVePUqN"&amp;"n9zZBOmHT8/edit#gid=757525651"",""'Allocation Breakdown'!n4:n187""))*O$119"),0)</f>
        <v>0</v>
      </c>
      <c r="P38" s="30">
        <f ca="1">IFERROR(__xludf.DUMMYFUNCTION("XLOOKUP($B38,IMPORTRANGE(""https://docs.google.com/spreadsheets/d/1EjEqG6oc_vmuAWwHnH51YMvSMVUVePUqNn9zZBOmHT8/edit#gid=757525651"",""'Allocation Breakdown'!A4:A187""),IMPORTRANGE(""https://docs.google.com/spreadsheets/d/1EjEqG6oc_vmuAWwHnH51YMvSMVUVePUqN"&amp;"n9zZBOmHT8/edit#gid=757525651"",""'Allocation Breakdown'!o4:o187""))*P$119"),0)</f>
        <v>0</v>
      </c>
      <c r="Q38" s="30">
        <f ca="1">IFERROR(__xludf.DUMMYFUNCTION("XLOOKUP($B38,IMPORTRANGE(""https://docs.google.com/spreadsheets/d/1EjEqG6oc_vmuAWwHnH51YMvSMVUVePUqNn9zZBOmHT8/edit#gid=757525651"",""'Allocation Breakdown'!A4:A187""),IMPORTRANGE(""https://docs.google.com/spreadsheets/d/1EjEqG6oc_vmuAWwHnH51YMvSMVUVePUqN"&amp;"n9zZBOmHT8/edit#gid=757525651"",""'Allocation Breakdown'!p4:p187""))*Q$119"),0)</f>
        <v>0</v>
      </c>
      <c r="R38" s="30">
        <f ca="1">IFERROR(__xludf.DUMMYFUNCTION("XLOOKUP($B38,IMPORTRANGE(""https://docs.google.com/spreadsheets/d/1EjEqG6oc_vmuAWwHnH51YMvSMVUVePUqNn9zZBOmHT8/edit#gid=757525651"",""'Allocation Breakdown'!A4:A187""),IMPORTRANGE(""https://docs.google.com/spreadsheets/d/1EjEqG6oc_vmuAWwHnH51YMvSMVUVePUqN"&amp;"n9zZBOmHT8/edit#gid=757525651"",""'Allocation Breakdown'!q4:q187""))*R$119"),0)</f>
        <v>0</v>
      </c>
      <c r="S38" s="30">
        <f ca="1">IFERROR(__xludf.DUMMYFUNCTION("XLOOKUP($B38,IMPORTRANGE(""https://docs.google.com/spreadsheets/d/1EjEqG6oc_vmuAWwHnH51YMvSMVUVePUqNn9zZBOmHT8/edit#gid=757525651"",""'Allocation Breakdown'!A4:A187""),IMPORTRANGE(""https://docs.google.com/spreadsheets/d/1EjEqG6oc_vmuAWwHnH51YMvSMVUVePUqN"&amp;"n9zZBOmHT8/edit#gid=757525651"",""'Allocation Breakdown'!r4:r187""))*S$119"),0)</f>
        <v>0</v>
      </c>
      <c r="T38" s="30">
        <f ca="1">IFERROR(__xludf.DUMMYFUNCTION("XLOOKUP($B38,IMPORTRANGE(""https://docs.google.com/spreadsheets/d/1EjEqG6oc_vmuAWwHnH51YMvSMVUVePUqNn9zZBOmHT8/edit#gid=757525651"",""'Allocation Breakdown'!A4:A187""),IMPORTRANGE(""https://docs.google.com/spreadsheets/d/1EjEqG6oc_vmuAWwHnH51YMvSMVUVePUqN"&amp;"n9zZBOmHT8/edit#gid=757525651"",""'Allocation Breakdown'!t4:t187""))*T$119"),42000)</f>
        <v>42000</v>
      </c>
      <c r="U38" s="30">
        <f ca="1">IFERROR(__xludf.DUMMYFUNCTION("XLOOKUP($B38,IMPORTRANGE(""https://docs.google.com/spreadsheets/d/1EjEqG6oc_vmuAWwHnH51YMvSMVUVePUqNn9zZBOmHT8/edit#gid=757525651"",""'Allocation Breakdown'!A4:A187""),IMPORTRANGE(""https://docs.google.com/spreadsheets/d/1EjEqG6oc_vmuAWwHnH51YMvSMVUVePUqN"&amp;"n9zZBOmHT8/edit#gid=757525651"",""'Allocation Breakdown'!U4:U187""))*U$119"),0)</f>
        <v>0</v>
      </c>
      <c r="V38" s="31">
        <f t="shared" ca="1" si="1"/>
        <v>207201.7801264</v>
      </c>
      <c r="W38" s="31">
        <f t="shared" ca="1" si="2"/>
        <v>249878.55517639301</v>
      </c>
      <c r="Z38" s="32"/>
      <c r="AA38" s="32"/>
      <c r="AB38" s="32"/>
    </row>
    <row r="39" spans="2:28">
      <c r="B39" s="28" t="s">
        <v>134</v>
      </c>
      <c r="C39" s="30">
        <f ca="1">IFERROR(__xludf.DUMMYFUNCTION("XLOOKUP($B39,IMPORTRANGE(""https://docs.google.com/spreadsheets/d/1EjEqG6oc_vmuAWwHnH51YMvSMVUVePUqNn9zZBOmHT8/edit#gid=757525651"",""'Allocation Breakdown'!A4:A187""),IMPORTRANGE(""https://docs.google.com/spreadsheets/d/1EjEqG6oc_vmuAWwHnH51YMvSMVUVePUqN"&amp;"n9zZBOmHT8/edit#gid=757525651"",""'Allocation Breakdown'!V4:V187""))*C$119"),2332.14316461)</f>
        <v>2332.14316461</v>
      </c>
      <c r="D39" s="30">
        <f ca="1">IFERROR(__xludf.DUMMYFUNCTION("XLOOKUP($B39,IMPORTRANGE(""https://docs.google.com/spreadsheets/d/1EjEqG6oc_vmuAWwHnH51YMvSMVUVePUqNn9zZBOmHT8/edit#gid=757525651"",""'Allocation Breakdown'!A4:A187""),IMPORTRANGE(""https://docs.google.com/spreadsheets/d/1EjEqG6oc_vmuAWwHnH51YMvSMVUVePUqN"&amp;"n9zZBOmHT8/edit#gid=757525651"",""'Allocation Breakdown'!I4:I187""))*$D$119"),21338.3875249965)</f>
        <v>21338.387524996499</v>
      </c>
      <c r="E39" s="30">
        <f ca="1">IFERROR(__xludf.DUMMYFUNCTION("XLOOKUP($B39,IMPORTRANGE(""https://docs.google.com/spreadsheets/d/1EjEqG6oc_vmuAWwHnH51YMvSMVUVePUqNn9zZBOmHT8/edit#gid=757525651"",""'Allocation Breakdown'!A4:A187""),IMPORTRANGE(""https://docs.google.com/spreadsheets/d/1EjEqG6oc_vmuAWwHnH51YMvSMVUVePUqN"&amp;"n9zZBOmHT8/edit#gid=757525651"",""'Allocation Breakdown'!V4:V187""))*E$119"),817.85683539)</f>
        <v>817.85683539000001</v>
      </c>
      <c r="F39" s="30">
        <f t="shared" ca="1" si="0"/>
        <v>22156.244360386499</v>
      </c>
      <c r="G39" s="30">
        <f ca="1">IFERROR(__xludf.DUMMYFUNCTION("XLOOKUP($B39,IMPORTRANGE(""https://docs.google.com/spreadsheets/d/1EjEqG6oc_vmuAWwHnH51YMvSMVUVePUqNn9zZBOmHT8/edit#gid=757525651"",""'Allocation Breakdown'!A4:A187""),IMPORTRANGE(""https://docs.google.com/spreadsheets/d/1EjEqG6oc_vmuAWwHnH51YMvSMVUVePUqN"&amp;"n9zZBOmHT8/edit#gid=757525651"",""'Allocation Breakdown'!D4:D187""))"),15000)</f>
        <v>15000</v>
      </c>
      <c r="H39" s="30">
        <f ca="1">IFERROR(__xludf.DUMMYFUNCTION("XLOOKUP($B39,IMPORTRANGE(""https://docs.google.com/spreadsheets/d/1EjEqG6oc_vmuAWwHnH51YMvSMVUVePUqNn9zZBOmHT8/edit#gid=757525651"",""'Allocation Breakdown'!A4:A187""),IMPORTRANGE(""https://docs.google.com/spreadsheets/d/1EjEqG6oc_vmuAWwHnH51YMvSMVUVePUqN"&amp;"n9zZBOmHT8/edit#gid=757525651"",""'Allocation Breakdown'!E4:E187""))"),15000)</f>
        <v>15000</v>
      </c>
      <c r="I39" s="30" t="str">
        <f ca="1">IFERROR(__xludf.DUMMYFUNCTION("XLOOKUP($B39,IMPORTRANGE(""https://docs.google.com/spreadsheets/d/1EjEqG6oc_vmuAWwHnH51YMvSMVUVePUqNn9zZBOmHT8/edit#gid=757525651"",""'Allocation Breakdown'!A4:A187""),IMPORTRANGE(""https://docs.google.com/spreadsheets/d/1EjEqG6oc_vmuAWwHnH51YMvSMVUVePUqN"&amp;"n9zZBOmHT8/edit#gid=757525651"",""'Allocation Breakdown'!F4:F187""))"),"")</f>
        <v/>
      </c>
      <c r="J39" s="30" t="str">
        <f ca="1">IFERROR(__xludf.DUMMYFUNCTION("XLOOKUP($B39,IMPORTRANGE(""https://docs.google.com/spreadsheets/d/1EjEqG6oc_vmuAWwHnH51YMvSMVUVePUqNn9zZBOmHT8/edit#gid=757525651"",""'Allocation Breakdown'!A4:A187""),IMPORTRANGE(""https://docs.google.com/spreadsheets/d/1EjEqG6oc_vmuAWwHnH51YMvSMVUVePUqN"&amp;"n9zZBOmHT8/edit#gid=757525651"",""'Allocation Breakdown'!G4:G187""))"),"")</f>
        <v/>
      </c>
      <c r="K39" s="30">
        <f ca="1">IFERROR(__xludf.DUMMYFUNCTION("XLOOKUP($B39,IMPORTRANGE(""https://docs.google.com/spreadsheets/d/1EjEqG6oc_vmuAWwHnH51YMvSMVUVePUqNn9zZBOmHT8/edit#gid=757525651"",""'Allocation Breakdown'!A4:A187""),IMPORTRANGE(""https://docs.google.com/spreadsheets/d/1EjEqG6oc_vmuAWwHnH51YMvSMVUVePUqN"&amp;"n9zZBOmHT8/edit#gid=757525651"",""'Allocation Breakdown'!I4:I187""))*K$119"),1874.8153908)</f>
        <v>1874.8153907999999</v>
      </c>
      <c r="L39" s="30">
        <f ca="1">IFERROR(__xludf.DUMMYFUNCTION("XLOOKUP($B39,IMPORTRANGE(""https://docs.google.com/spreadsheets/d/1EjEqG6oc_vmuAWwHnH51YMvSMVUVePUqNn9zZBOmHT8/edit#gid=757525651"",""'Allocation Breakdown'!A4:A187""),IMPORTRANGE(""https://docs.google.com/spreadsheets/d/1EjEqG6oc_vmuAWwHnH51YMvSMVUVePUqN"&amp;"n9zZBOmHT8/edit#gid=757525651"",""'Allocation Breakdown'!j4:j187""))*L$119"),11104.6266915)</f>
        <v>11104.6266915</v>
      </c>
      <c r="M39" s="30">
        <f ca="1">IFERROR(__xludf.DUMMYFUNCTION("XLOOKUP($B39,IMPORTRANGE(""https://docs.google.com/spreadsheets/d/1EjEqG6oc_vmuAWwHnH51YMvSMVUVePUqNn9zZBOmHT8/edit#gid=757525651"",""'Allocation Breakdown'!A4:A187""),IMPORTRANGE(""https://docs.google.com/spreadsheets/d/1EjEqG6oc_vmuAWwHnH51YMvSMVUVePUqN"&amp;"n9zZBOmHT8/edit#gid=757525651"",""'Allocation Breakdown'!K4:K187""))*M$119"),10765.8678285)</f>
        <v>10765.867828500001</v>
      </c>
      <c r="N39" s="30">
        <f ca="1">IFERROR(__xludf.DUMMYFUNCTION("XLOOKUP($B39,IMPORTRANGE(""https://docs.google.com/spreadsheets/d/1EjEqG6oc_vmuAWwHnH51YMvSMVUVePUqNn9zZBOmHT8/edit#gid=757525651"",""'Allocation Breakdown'!A4:A187""),IMPORTRANGE(""https://docs.google.com/spreadsheets/d/1EjEqG6oc_vmuAWwHnH51YMvSMVUVePUqN"&amp;"n9zZBOmHT8/edit#gid=757525651"",""'Allocation Breakdown'!l4:l187""))*N$119"),2855.5801524)</f>
        <v>2855.5801523999999</v>
      </c>
      <c r="O39" s="30">
        <f ca="1">IFERROR(__xludf.DUMMYFUNCTION("XLOOKUP($B39,IMPORTRANGE(""https://docs.google.com/spreadsheets/d/1EjEqG6oc_vmuAWwHnH51YMvSMVUVePUqNn9zZBOmHT8/edit#gid=757525651"",""'Allocation Breakdown'!A4:A187""),IMPORTRANGE(""https://docs.google.com/spreadsheets/d/1EjEqG6oc_vmuAWwHnH51YMvSMVUVePUqN"&amp;"n9zZBOmHT8/edit#gid=757525651"",""'Allocation Breakdown'!n4:n187""))*O$119"),0)</f>
        <v>0</v>
      </c>
      <c r="P39" s="30">
        <f ca="1">IFERROR(__xludf.DUMMYFUNCTION("XLOOKUP($B39,IMPORTRANGE(""https://docs.google.com/spreadsheets/d/1EjEqG6oc_vmuAWwHnH51YMvSMVUVePUqNn9zZBOmHT8/edit#gid=757525651"",""'Allocation Breakdown'!A4:A187""),IMPORTRANGE(""https://docs.google.com/spreadsheets/d/1EjEqG6oc_vmuAWwHnH51YMvSMVUVePUqN"&amp;"n9zZBOmHT8/edit#gid=757525651"",""'Allocation Breakdown'!o4:o187""))*P$119"),13200)</f>
        <v>13200</v>
      </c>
      <c r="Q39" s="30">
        <f ca="1">IFERROR(__xludf.DUMMYFUNCTION("XLOOKUP($B39,IMPORTRANGE(""https://docs.google.com/spreadsheets/d/1EjEqG6oc_vmuAWwHnH51YMvSMVUVePUqNn9zZBOmHT8/edit#gid=757525651"",""'Allocation Breakdown'!A4:A187""),IMPORTRANGE(""https://docs.google.com/spreadsheets/d/1EjEqG6oc_vmuAWwHnH51YMvSMVUVePUqN"&amp;"n9zZBOmHT8/edit#gid=757525651"",""'Allocation Breakdown'!p4:p187""))*Q$119"),0)</f>
        <v>0</v>
      </c>
      <c r="R39" s="30">
        <f ca="1">IFERROR(__xludf.DUMMYFUNCTION("XLOOKUP($B39,IMPORTRANGE(""https://docs.google.com/spreadsheets/d/1EjEqG6oc_vmuAWwHnH51YMvSMVUVePUqNn9zZBOmHT8/edit#gid=757525651"",""'Allocation Breakdown'!A4:A187""),IMPORTRANGE(""https://docs.google.com/spreadsheets/d/1EjEqG6oc_vmuAWwHnH51YMvSMVUVePUqN"&amp;"n9zZBOmHT8/edit#gid=757525651"",""'Allocation Breakdown'!q4:q187""))*R$119"),6000)</f>
        <v>6000</v>
      </c>
      <c r="S39" s="30">
        <f ca="1">IFERROR(__xludf.DUMMYFUNCTION("XLOOKUP($B39,IMPORTRANGE(""https://docs.google.com/spreadsheets/d/1EjEqG6oc_vmuAWwHnH51YMvSMVUVePUqNn9zZBOmHT8/edit#gid=757525651"",""'Allocation Breakdown'!A4:A187""),IMPORTRANGE(""https://docs.google.com/spreadsheets/d/1EjEqG6oc_vmuAWwHnH51YMvSMVUVePUqN"&amp;"n9zZBOmHT8/edit#gid=757525651"",""'Allocation Breakdown'!r4:r187""))*S$119"),6000)</f>
        <v>6000</v>
      </c>
      <c r="T39" s="30">
        <f ca="1">IFERROR(__xludf.DUMMYFUNCTION("XLOOKUP($B39,IMPORTRANGE(""https://docs.google.com/spreadsheets/d/1EjEqG6oc_vmuAWwHnH51YMvSMVUVePUqNn9zZBOmHT8/edit#gid=757525651"",""'Allocation Breakdown'!A4:A187""),IMPORTRANGE(""https://docs.google.com/spreadsheets/d/1EjEqG6oc_vmuAWwHnH51YMvSMVUVePUqN"&amp;"n9zZBOmHT8/edit#gid=757525651"",""'Allocation Breakdown'!t4:t187""))*T$119"),21000)</f>
        <v>21000</v>
      </c>
      <c r="U39" s="30">
        <f ca="1">IFERROR(__xludf.DUMMYFUNCTION("XLOOKUP($B39,IMPORTRANGE(""https://docs.google.com/spreadsheets/d/1EjEqG6oc_vmuAWwHnH51YMvSMVUVePUqNn9zZBOmHT8/edit#gid=757525651"",""'Allocation Breakdown'!A4:A187""),IMPORTRANGE(""https://docs.google.com/spreadsheets/d/1EjEqG6oc_vmuAWwHnH51YMvSMVUVePUqN"&amp;"n9zZBOmHT8/edit#gid=757525651"",""'Allocation Breakdown'!U4:U187""))*U$119"),33000)</f>
        <v>33000</v>
      </c>
      <c r="V39" s="31">
        <f t="shared" ca="1" si="1"/>
        <v>135800.8900632</v>
      </c>
      <c r="W39" s="31">
        <f t="shared" ca="1" si="2"/>
        <v>160289.27758819651</v>
      </c>
      <c r="Z39" s="32"/>
      <c r="AA39" s="32"/>
      <c r="AB39" s="32"/>
    </row>
    <row r="40" spans="2:28">
      <c r="B40" s="28" t="s">
        <v>135</v>
      </c>
      <c r="C40" s="30">
        <f ca="1">IFERROR(__xludf.DUMMYFUNCTION("XLOOKUP($B40,IMPORTRANGE(""https://docs.google.com/spreadsheets/d/1EjEqG6oc_vmuAWwHnH51YMvSMVUVePUqNn9zZBOmHT8/edit#gid=757525651"",""'Allocation Breakdown'!A4:A187""),IMPORTRANGE(""https://docs.google.com/spreadsheets/d/1EjEqG6oc_vmuAWwHnH51YMvSMVUVePUqN"&amp;"n9zZBOmHT8/edit#gid=757525651"",""'Allocation Breakdown'!V4:V187""))*C$119"),0)</f>
        <v>0</v>
      </c>
      <c r="D40" s="30">
        <f ca="1">IFERROR(__xludf.DUMMYFUNCTION("XLOOKUP($B40,IMPORTRANGE(""https://docs.google.com/spreadsheets/d/1EjEqG6oc_vmuAWwHnH51YMvSMVUVePUqNn9zZBOmHT8/edit#gid=757525651"",""'Allocation Breakdown'!A4:A187""),IMPORTRANGE(""https://docs.google.com/spreadsheets/d/1EjEqG6oc_vmuAWwHnH51YMvSMVUVePUqN"&amp;"n9zZBOmHT8/edit#gid=757525651"",""'Allocation Breakdown'!I4:I187""))*$D$119"),21338.3875249965)</f>
        <v>21338.387524996499</v>
      </c>
      <c r="E40" s="30">
        <f ca="1">IFERROR(__xludf.DUMMYFUNCTION("XLOOKUP($B40,IMPORTRANGE(""https://docs.google.com/spreadsheets/d/1EjEqG6oc_vmuAWwHnH51YMvSMVUVePUqNn9zZBOmHT8/edit#gid=757525651"",""'Allocation Breakdown'!A4:A187""),IMPORTRANGE(""https://docs.google.com/spreadsheets/d/1EjEqG6oc_vmuAWwHnH51YMvSMVUVePUqN"&amp;"n9zZBOmHT8/edit#gid=757525651"",""'Allocation Breakdown'!V4:V187""))*E$119"),0)</f>
        <v>0</v>
      </c>
      <c r="F40" s="30">
        <f t="shared" ca="1" si="0"/>
        <v>21338.387524996499</v>
      </c>
      <c r="G40" s="30" t="str">
        <f ca="1">IFERROR(__xludf.DUMMYFUNCTION("XLOOKUP($B40,IMPORTRANGE(""https://docs.google.com/spreadsheets/d/1EjEqG6oc_vmuAWwHnH51YMvSMVUVePUqNn9zZBOmHT8/edit#gid=757525651"",""'Allocation Breakdown'!A4:A187""),IMPORTRANGE(""https://docs.google.com/spreadsheets/d/1EjEqG6oc_vmuAWwHnH51YMvSMVUVePUqN"&amp;"n9zZBOmHT8/edit#gid=757525651"",""'Allocation Breakdown'!D4:D187""))"),"")</f>
        <v/>
      </c>
      <c r="H40" s="30">
        <f ca="1">IFERROR(__xludf.DUMMYFUNCTION("XLOOKUP($B40,IMPORTRANGE(""https://docs.google.com/spreadsheets/d/1EjEqG6oc_vmuAWwHnH51YMvSMVUVePUqNn9zZBOmHT8/edit#gid=757525651"",""'Allocation Breakdown'!A4:A187""),IMPORTRANGE(""https://docs.google.com/spreadsheets/d/1EjEqG6oc_vmuAWwHnH51YMvSMVUVePUqN"&amp;"n9zZBOmHT8/edit#gid=757525651"",""'Allocation Breakdown'!E4:E187""))"),70000)</f>
        <v>70000</v>
      </c>
      <c r="I40" s="30">
        <f ca="1">IFERROR(__xludf.DUMMYFUNCTION("XLOOKUP($B40,IMPORTRANGE(""https://docs.google.com/spreadsheets/d/1EjEqG6oc_vmuAWwHnH51YMvSMVUVePUqNn9zZBOmHT8/edit#gid=757525651"",""'Allocation Breakdown'!A4:A187""),IMPORTRANGE(""https://docs.google.com/spreadsheets/d/1EjEqG6oc_vmuAWwHnH51YMvSMVUVePUqN"&amp;"n9zZBOmHT8/edit#gid=757525651"",""'Allocation Breakdown'!F4:F187""))"),40000)</f>
        <v>40000</v>
      </c>
      <c r="J40" s="30">
        <f ca="1">IFERROR(__xludf.DUMMYFUNCTION("XLOOKUP($B40,IMPORTRANGE(""https://docs.google.com/spreadsheets/d/1EjEqG6oc_vmuAWwHnH51YMvSMVUVePUqNn9zZBOmHT8/edit#gid=757525651"",""'Allocation Breakdown'!A4:A187""),IMPORTRANGE(""https://docs.google.com/spreadsheets/d/1EjEqG6oc_vmuAWwHnH51YMvSMVUVePUqN"&amp;"n9zZBOmHT8/edit#gid=757525651"",""'Allocation Breakdown'!G4:G187""))"),27525)</f>
        <v>27525</v>
      </c>
      <c r="K40" s="30">
        <f ca="1">IFERROR(__xludf.DUMMYFUNCTION("XLOOKUP($B40,IMPORTRANGE(""https://docs.google.com/spreadsheets/d/1EjEqG6oc_vmuAWwHnH51YMvSMVUVePUqNn9zZBOmHT8/edit#gid=757525651"",""'Allocation Breakdown'!A4:A187""),IMPORTRANGE(""https://docs.google.com/spreadsheets/d/1EjEqG6oc_vmuAWwHnH51YMvSMVUVePUqN"&amp;"n9zZBOmHT8/edit#gid=757525651"",""'Allocation Breakdown'!I4:I187""))*K$119"),1874.8153908)</f>
        <v>1874.8153907999999</v>
      </c>
      <c r="L40" s="30">
        <f ca="1">IFERROR(__xludf.DUMMYFUNCTION("XLOOKUP($B40,IMPORTRANGE(""https://docs.google.com/spreadsheets/d/1EjEqG6oc_vmuAWwHnH51YMvSMVUVePUqNn9zZBOmHT8/edit#gid=757525651"",""'Allocation Breakdown'!A4:A187""),IMPORTRANGE(""https://docs.google.com/spreadsheets/d/1EjEqG6oc_vmuAWwHnH51YMvSMVUVePUqN"&amp;"n9zZBOmHT8/edit#gid=757525651"",""'Allocation Breakdown'!j4:j187""))*L$119"),7403.084461)</f>
        <v>7403.0844610000004</v>
      </c>
      <c r="M40" s="30">
        <f ca="1">IFERROR(__xludf.DUMMYFUNCTION("XLOOKUP($B40,IMPORTRANGE(""https://docs.google.com/spreadsheets/d/1EjEqG6oc_vmuAWwHnH51YMvSMVUVePUqNn9zZBOmHT8/edit#gid=757525651"",""'Allocation Breakdown'!A4:A187""),IMPORTRANGE(""https://docs.google.com/spreadsheets/d/1EjEqG6oc_vmuAWwHnH51YMvSMVUVePUqN"&amp;"n9zZBOmHT8/edit#gid=757525651"",""'Allocation Breakdown'!K4:K187""))*M$119"),10765.8678285)</f>
        <v>10765.867828500001</v>
      </c>
      <c r="N40" s="30">
        <f ca="1">IFERROR(__xludf.DUMMYFUNCTION("XLOOKUP($B40,IMPORTRANGE(""https://docs.google.com/spreadsheets/d/1EjEqG6oc_vmuAWwHnH51YMvSMVUVePUqNn9zZBOmHT8/edit#gid=757525651"",""'Allocation Breakdown'!A4:A187""),IMPORTRANGE(""https://docs.google.com/spreadsheets/d/1EjEqG6oc_vmuAWwHnH51YMvSMVUVePUqN"&amp;"n9zZBOmHT8/edit#gid=757525651"",""'Allocation Breakdown'!l4:l187""))*N$119"),2855.5801524)</f>
        <v>2855.5801523999999</v>
      </c>
      <c r="O40" s="30">
        <f ca="1">IFERROR(__xludf.DUMMYFUNCTION("XLOOKUP($B40,IMPORTRANGE(""https://docs.google.com/spreadsheets/d/1EjEqG6oc_vmuAWwHnH51YMvSMVUVePUqNn9zZBOmHT8/edit#gid=757525651"",""'Allocation Breakdown'!A4:A187""),IMPORTRANGE(""https://docs.google.com/spreadsheets/d/1EjEqG6oc_vmuAWwHnH51YMvSMVUVePUqN"&amp;"n9zZBOmHT8/edit#gid=757525651"",""'Allocation Breakdown'!n4:n187""))*O$119"),30000)</f>
        <v>30000</v>
      </c>
      <c r="P40" s="30">
        <f ca="1">IFERROR(__xludf.DUMMYFUNCTION("XLOOKUP($B40,IMPORTRANGE(""https://docs.google.com/spreadsheets/d/1EjEqG6oc_vmuAWwHnH51YMvSMVUVePUqNn9zZBOmHT8/edit#gid=757525651"",""'Allocation Breakdown'!A4:A187""),IMPORTRANGE(""https://docs.google.com/spreadsheets/d/1EjEqG6oc_vmuAWwHnH51YMvSMVUVePUqN"&amp;"n9zZBOmHT8/edit#gid=757525651"",""'Allocation Breakdown'!o4:o187""))*P$119"),6600)</f>
        <v>6600</v>
      </c>
      <c r="Q40" s="30">
        <f ca="1">IFERROR(__xludf.DUMMYFUNCTION("XLOOKUP($B40,IMPORTRANGE(""https://docs.google.com/spreadsheets/d/1EjEqG6oc_vmuAWwHnH51YMvSMVUVePUqNn9zZBOmHT8/edit#gid=757525651"",""'Allocation Breakdown'!A4:A187""),IMPORTRANGE(""https://docs.google.com/spreadsheets/d/1EjEqG6oc_vmuAWwHnH51YMvSMVUVePUqN"&amp;"n9zZBOmHT8/edit#gid=757525651"",""'Allocation Breakdown'!p4:p187""))*Q$119"),6000)</f>
        <v>6000</v>
      </c>
      <c r="R40" s="30">
        <f ca="1">IFERROR(__xludf.DUMMYFUNCTION("XLOOKUP($B40,IMPORTRANGE(""https://docs.google.com/spreadsheets/d/1EjEqG6oc_vmuAWwHnH51YMvSMVUVePUqNn9zZBOmHT8/edit#gid=757525651"",""'Allocation Breakdown'!A4:A187""),IMPORTRANGE(""https://docs.google.com/spreadsheets/d/1EjEqG6oc_vmuAWwHnH51YMvSMVUVePUqN"&amp;"n9zZBOmHT8/edit#gid=757525651"",""'Allocation Breakdown'!q4:q187""))*R$119"),6000)</f>
        <v>6000</v>
      </c>
      <c r="S40" s="30">
        <f ca="1">IFERROR(__xludf.DUMMYFUNCTION("XLOOKUP($B40,IMPORTRANGE(""https://docs.google.com/spreadsheets/d/1EjEqG6oc_vmuAWwHnH51YMvSMVUVePUqNn9zZBOmHT8/edit#gid=757525651"",""'Allocation Breakdown'!A4:A187""),IMPORTRANGE(""https://docs.google.com/spreadsheets/d/1EjEqG6oc_vmuAWwHnH51YMvSMVUVePUqN"&amp;"n9zZBOmHT8/edit#gid=757525651"",""'Allocation Breakdown'!r4:r187""))*S$119"),6000)</f>
        <v>6000</v>
      </c>
      <c r="T40" s="30">
        <f ca="1">IFERROR(__xludf.DUMMYFUNCTION("XLOOKUP($B40,IMPORTRANGE(""https://docs.google.com/spreadsheets/d/1EjEqG6oc_vmuAWwHnH51YMvSMVUVePUqNn9zZBOmHT8/edit#gid=757525651"",""'Allocation Breakdown'!A4:A187""),IMPORTRANGE(""https://docs.google.com/spreadsheets/d/1EjEqG6oc_vmuAWwHnH51YMvSMVUVePUqN"&amp;"n9zZBOmHT8/edit#gid=757525651"",""'Allocation Breakdown'!t4:t187""))*T$119"),21000)</f>
        <v>21000</v>
      </c>
      <c r="U40" s="30">
        <f ca="1">IFERROR(__xludf.DUMMYFUNCTION("XLOOKUP($B40,IMPORTRANGE(""https://docs.google.com/spreadsheets/d/1EjEqG6oc_vmuAWwHnH51YMvSMVUVePUqNn9zZBOmHT8/edit#gid=757525651"",""'Allocation Breakdown'!A4:A187""),IMPORTRANGE(""https://docs.google.com/spreadsheets/d/1EjEqG6oc_vmuAWwHnH51YMvSMVUVePUqN"&amp;"n9zZBOmHT8/edit#gid=757525651"",""'Allocation Breakdown'!U4:U187""))*U$119"),33000)</f>
        <v>33000</v>
      </c>
      <c r="V40" s="31">
        <f t="shared" ca="1" si="1"/>
        <v>269024.3478327</v>
      </c>
      <c r="W40" s="31">
        <f t="shared" ca="1" si="2"/>
        <v>290362.73535769648</v>
      </c>
      <c r="Z40" s="32"/>
      <c r="AA40" s="32"/>
      <c r="AB40" s="32"/>
    </row>
    <row r="41" spans="2:28">
      <c r="B41" s="28" t="s">
        <v>136</v>
      </c>
      <c r="C41" s="30">
        <f ca="1">IFERROR(__xludf.DUMMYFUNCTION("XLOOKUP($B41,IMPORTRANGE(""https://docs.google.com/spreadsheets/d/1EjEqG6oc_vmuAWwHnH51YMvSMVUVePUqNn9zZBOmHT8/edit#gid=757525651"",""'Allocation Breakdown'!A4:A187""),IMPORTRANGE(""https://docs.google.com/spreadsheets/d/1EjEqG6oc_vmuAWwHnH51YMvSMVUVePUqN"&amp;"n9zZBOmHT8/edit#gid=757525651"",""'Allocation Breakdown'!V4:V187""))*C$119"),7773.81054869999)</f>
        <v>7773.8105486999902</v>
      </c>
      <c r="D41" s="30">
        <f ca="1">IFERROR(__xludf.DUMMYFUNCTION("XLOOKUP($B41,IMPORTRANGE(""https://docs.google.com/spreadsheets/d/1EjEqG6oc_vmuAWwHnH51YMvSMVUVePUqNn9zZBOmHT8/edit#gid=757525651"",""'Allocation Breakdown'!A4:A187""),IMPORTRANGE(""https://docs.google.com/spreadsheets/d/1EjEqG6oc_vmuAWwHnH51YMvSMVUVePUqN"&amp;"n9zZBOmHT8/edit#gid=757525651"",""'Allocation Breakdown'!I4:I187""))*$D$119"),0)</f>
        <v>0</v>
      </c>
      <c r="E41" s="30">
        <f ca="1">IFERROR(__xludf.DUMMYFUNCTION("XLOOKUP($B41,IMPORTRANGE(""https://docs.google.com/spreadsheets/d/1EjEqG6oc_vmuAWwHnH51YMvSMVUVePUqNn9zZBOmHT8/edit#gid=757525651"",""'Allocation Breakdown'!A4:A187""),IMPORTRANGE(""https://docs.google.com/spreadsheets/d/1EjEqG6oc_vmuAWwHnH51YMvSMVUVePUqN"&amp;"n9zZBOmHT8/edit#gid=757525651"",""'Allocation Breakdown'!V4:V187""))*E$119"),2726.1894513)</f>
        <v>2726.1894513000002</v>
      </c>
      <c r="F41" s="30">
        <f t="shared" ca="1" si="0"/>
        <v>2726.1894513000002</v>
      </c>
      <c r="G41" s="30">
        <f ca="1">IFERROR(__xludf.DUMMYFUNCTION("XLOOKUP($B41,IMPORTRANGE(""https://docs.google.com/spreadsheets/d/1EjEqG6oc_vmuAWwHnH51YMvSMVUVePUqNn9zZBOmHT8/edit#gid=757525651"",""'Allocation Breakdown'!A4:A187""),IMPORTRANGE(""https://docs.google.com/spreadsheets/d/1EjEqG6oc_vmuAWwHnH51YMvSMVUVePUqN"&amp;"n9zZBOmHT8/edit#gid=757525651"",""'Allocation Breakdown'!D4:D187""))"),50000)</f>
        <v>50000</v>
      </c>
      <c r="H41" s="30">
        <f ca="1">IFERROR(__xludf.DUMMYFUNCTION("XLOOKUP($B41,IMPORTRANGE(""https://docs.google.com/spreadsheets/d/1EjEqG6oc_vmuAWwHnH51YMvSMVUVePUqNn9zZBOmHT8/edit#gid=757525651"",""'Allocation Breakdown'!A4:A187""),IMPORTRANGE(""https://docs.google.com/spreadsheets/d/1EjEqG6oc_vmuAWwHnH51YMvSMVUVePUqN"&amp;"n9zZBOmHT8/edit#gid=757525651"",""'Allocation Breakdown'!E4:E187""))"),10000)</f>
        <v>10000</v>
      </c>
      <c r="I41" s="30">
        <f ca="1">IFERROR(__xludf.DUMMYFUNCTION("XLOOKUP($B41,IMPORTRANGE(""https://docs.google.com/spreadsheets/d/1EjEqG6oc_vmuAWwHnH51YMvSMVUVePUqNn9zZBOmHT8/edit#gid=757525651"",""'Allocation Breakdown'!A4:A187""),IMPORTRANGE(""https://docs.google.com/spreadsheets/d/1EjEqG6oc_vmuAWwHnH51YMvSMVUVePUqN"&amp;"n9zZBOmHT8/edit#gid=757525651"",""'Allocation Breakdown'!F4:F187""))"),198000)</f>
        <v>198000</v>
      </c>
      <c r="J41" s="30">
        <f ca="1">IFERROR(__xludf.DUMMYFUNCTION("XLOOKUP($B41,IMPORTRANGE(""https://docs.google.com/spreadsheets/d/1EjEqG6oc_vmuAWwHnH51YMvSMVUVePUqNn9zZBOmHT8/edit#gid=757525651"",""'Allocation Breakdown'!A4:A187""),IMPORTRANGE(""https://docs.google.com/spreadsheets/d/1EjEqG6oc_vmuAWwHnH51YMvSMVUVePUqN"&amp;"n9zZBOmHT8/edit#gid=757525651"",""'Allocation Breakdown'!G4:G187""))"),9175)</f>
        <v>9175</v>
      </c>
      <c r="K41" s="30">
        <f ca="1">IFERROR(__xludf.DUMMYFUNCTION("XLOOKUP($B41,IMPORTRANGE(""https://docs.google.com/spreadsheets/d/1EjEqG6oc_vmuAWwHnH51YMvSMVUVePUqNn9zZBOmHT8/edit#gid=757525651"",""'Allocation Breakdown'!A4:A187""),IMPORTRANGE(""https://docs.google.com/spreadsheets/d/1EjEqG6oc_vmuAWwHnH51YMvSMVUVePUqN"&amp;"n9zZBOmHT8/edit#gid=757525651"",""'Allocation Breakdown'!I4:I187""))*K$119"),0)</f>
        <v>0</v>
      </c>
      <c r="L41" s="30">
        <f ca="1">IFERROR(__xludf.DUMMYFUNCTION("XLOOKUP($B41,IMPORTRANGE(""https://docs.google.com/spreadsheets/d/1EjEqG6oc_vmuAWwHnH51YMvSMVUVePUqNn9zZBOmHT8/edit#gid=757525651"",""'Allocation Breakdown'!A4:A187""),IMPORTRANGE(""https://docs.google.com/spreadsheets/d/1EjEqG6oc_vmuAWwHnH51YMvSMVUVePUqN"&amp;"n9zZBOmHT8/edit#gid=757525651"",""'Allocation Breakdown'!j4:j187""))*L$119"),40716.9645355)</f>
        <v>40716.964535500003</v>
      </c>
      <c r="M41" s="30">
        <f ca="1">IFERROR(__xludf.DUMMYFUNCTION("XLOOKUP($B41,IMPORTRANGE(""https://docs.google.com/spreadsheets/d/1EjEqG6oc_vmuAWwHnH51YMvSMVUVePUqNn9zZBOmHT8/edit#gid=757525651"",""'Allocation Breakdown'!A4:A187""),IMPORTRANGE(""https://docs.google.com/spreadsheets/d/1EjEqG6oc_vmuAWwHnH51YMvSMVUVePUqN"&amp;"n9zZBOmHT8/edit#gid=757525651"",""'Allocation Breakdown'!K4:K187""))*M$119"),39474.8487045)</f>
        <v>39474.8487045</v>
      </c>
      <c r="N41" s="30">
        <f ca="1">IFERROR(__xludf.DUMMYFUNCTION("XLOOKUP($B41,IMPORTRANGE(""https://docs.google.com/spreadsheets/d/1EjEqG6oc_vmuAWwHnH51YMvSMVUVePUqNn9zZBOmHT8/edit#gid=757525651"",""'Allocation Breakdown'!A4:A187""),IMPORTRANGE(""https://docs.google.com/spreadsheets/d/1EjEqG6oc_vmuAWwHnH51YMvSMVUVePUqN"&amp;"n9zZBOmHT8/edit#gid=757525651"",""'Allocation Breakdown'!l4:l187""))*N$119"),3807.4402032)</f>
        <v>3807.4402031999998</v>
      </c>
      <c r="O41" s="30">
        <f ca="1">IFERROR(__xludf.DUMMYFUNCTION("XLOOKUP($B41,IMPORTRANGE(""https://docs.google.com/spreadsheets/d/1EjEqG6oc_vmuAWwHnH51YMvSMVUVePUqNn9zZBOmHT8/edit#gid=757525651"",""'Allocation Breakdown'!A4:A187""),IMPORTRANGE(""https://docs.google.com/spreadsheets/d/1EjEqG6oc_vmuAWwHnH51YMvSMVUVePUqN"&amp;"n9zZBOmHT8/edit#gid=757525651"",""'Allocation Breakdown'!n4:n187""))*O$119"),0)</f>
        <v>0</v>
      </c>
      <c r="P41" s="30">
        <f ca="1">IFERROR(__xludf.DUMMYFUNCTION("XLOOKUP($B41,IMPORTRANGE(""https://docs.google.com/spreadsheets/d/1EjEqG6oc_vmuAWwHnH51YMvSMVUVePUqNn9zZBOmHT8/edit#gid=757525651"",""'Allocation Breakdown'!A4:A187""),IMPORTRANGE(""https://docs.google.com/spreadsheets/d/1EjEqG6oc_vmuAWwHnH51YMvSMVUVePUqN"&amp;"n9zZBOmHT8/edit#gid=757525651"",""'Allocation Breakdown'!o4:o187""))*P$119"),26400)</f>
        <v>26400</v>
      </c>
      <c r="Q41" s="30">
        <f ca="1">IFERROR(__xludf.DUMMYFUNCTION("XLOOKUP($B41,IMPORTRANGE(""https://docs.google.com/spreadsheets/d/1EjEqG6oc_vmuAWwHnH51YMvSMVUVePUqNn9zZBOmHT8/edit#gid=757525651"",""'Allocation Breakdown'!A4:A187""),IMPORTRANGE(""https://docs.google.com/spreadsheets/d/1EjEqG6oc_vmuAWwHnH51YMvSMVUVePUqN"&amp;"n9zZBOmHT8/edit#gid=757525651"",""'Allocation Breakdown'!p4:p187""))*Q$119"),11000)</f>
        <v>11000</v>
      </c>
      <c r="R41" s="30">
        <f ca="1">IFERROR(__xludf.DUMMYFUNCTION("XLOOKUP($B41,IMPORTRANGE(""https://docs.google.com/spreadsheets/d/1EjEqG6oc_vmuAWwHnH51YMvSMVUVePUqNn9zZBOmHT8/edit#gid=757525651"",""'Allocation Breakdown'!A4:A187""),IMPORTRANGE(""https://docs.google.com/spreadsheets/d/1EjEqG6oc_vmuAWwHnH51YMvSMVUVePUqN"&amp;"n9zZBOmHT8/edit#gid=757525651"",""'Allocation Breakdown'!q4:q187""))*R$119"),8000)</f>
        <v>8000</v>
      </c>
      <c r="S41" s="30">
        <f ca="1">IFERROR(__xludf.DUMMYFUNCTION("XLOOKUP($B41,IMPORTRANGE(""https://docs.google.com/spreadsheets/d/1EjEqG6oc_vmuAWwHnH51YMvSMVUVePUqNn9zZBOmHT8/edit#gid=757525651"",""'Allocation Breakdown'!A4:A187""),IMPORTRANGE(""https://docs.google.com/spreadsheets/d/1EjEqG6oc_vmuAWwHnH51YMvSMVUVePUqN"&amp;"n9zZBOmHT8/edit#gid=757525651"",""'Allocation Breakdown'!r4:r187""))*S$119"),22000)</f>
        <v>22000</v>
      </c>
      <c r="T41" s="30">
        <f ca="1">IFERROR(__xludf.DUMMYFUNCTION("XLOOKUP($B41,IMPORTRANGE(""https://docs.google.com/spreadsheets/d/1EjEqG6oc_vmuAWwHnH51YMvSMVUVePUqNn9zZBOmHT8/edit#gid=757525651"",""'Allocation Breakdown'!A4:A187""),IMPORTRANGE(""https://docs.google.com/spreadsheets/d/1EjEqG6oc_vmuAWwHnH51YMvSMVUVePUqN"&amp;"n9zZBOmHT8/edit#gid=757525651"",""'Allocation Breakdown'!t4:t187""))*T$119"),77000)</f>
        <v>77000</v>
      </c>
      <c r="U41" s="30">
        <f ca="1">IFERROR(__xludf.DUMMYFUNCTION("XLOOKUP($B41,IMPORTRANGE(""https://docs.google.com/spreadsheets/d/1EjEqG6oc_vmuAWwHnH51YMvSMVUVePUqNn9zZBOmHT8/edit#gid=757525651"",""'Allocation Breakdown'!A4:A187""),IMPORTRANGE(""https://docs.google.com/spreadsheets/d/1EjEqG6oc_vmuAWwHnH51YMvSMVUVePUqN"&amp;"n9zZBOmHT8/edit#gid=757525651"",""'Allocation Breakdown'!U4:U187""))*U$119"),121000)</f>
        <v>121000</v>
      </c>
      <c r="V41" s="31">
        <f t="shared" ca="1" si="1"/>
        <v>616574.25344319991</v>
      </c>
      <c r="W41" s="31">
        <f t="shared" ca="1" si="2"/>
        <v>627074.25344319991</v>
      </c>
      <c r="Z41" s="32"/>
      <c r="AA41" s="32"/>
      <c r="AB41" s="32"/>
    </row>
    <row r="42" spans="2:28" ht="15.75" customHeight="1">
      <c r="B42" s="28" t="s">
        <v>137</v>
      </c>
      <c r="C42" s="30">
        <f ca="1">IFERROR(__xludf.DUMMYFUNCTION("XLOOKUP($B42,IMPORTRANGE(""https://docs.google.com/spreadsheets/d/1EjEqG6oc_vmuAWwHnH51YMvSMVUVePUqNn9zZBOmHT8/edit#gid=757525651"",""'Allocation Breakdown'!A4:A187""),IMPORTRANGE(""https://docs.google.com/spreadsheets/d/1EjEqG6oc_vmuAWwHnH51YMvSMVUVePUqN"&amp;"n9zZBOmHT8/edit#gid=757525651"",""'Allocation Breakdown'!V4:V187""))*C$119"),0)</f>
        <v>0</v>
      </c>
      <c r="D42" s="30">
        <f ca="1">IFERROR(__xludf.DUMMYFUNCTION("XLOOKUP($B42,IMPORTRANGE(""https://docs.google.com/spreadsheets/d/1EjEqG6oc_vmuAWwHnH51YMvSMVUVePUqNn9zZBOmHT8/edit#gid=757525651"",""'Allocation Breakdown'!A4:A187""),IMPORTRANGE(""https://docs.google.com/spreadsheets/d/1EjEqG6oc_vmuAWwHnH51YMvSMVUVePUqN"&amp;"n9zZBOmHT8/edit#gid=757525651"",""'Allocation Breakdown'!I4:I187""))*$D$119"),21338.3875249965)</f>
        <v>21338.387524996499</v>
      </c>
      <c r="E42" s="30">
        <f ca="1">IFERROR(__xludf.DUMMYFUNCTION("XLOOKUP($B42,IMPORTRANGE(""https://docs.google.com/spreadsheets/d/1EjEqG6oc_vmuAWwHnH51YMvSMVUVePUqNn9zZBOmHT8/edit#gid=757525651"",""'Allocation Breakdown'!A4:A187""),IMPORTRANGE(""https://docs.google.com/spreadsheets/d/1EjEqG6oc_vmuAWwHnH51YMvSMVUVePUqN"&amp;"n9zZBOmHT8/edit#gid=757525651"",""'Allocation Breakdown'!V4:V187""))*E$119"),0)</f>
        <v>0</v>
      </c>
      <c r="F42" s="30">
        <f t="shared" ca="1" si="0"/>
        <v>21338.387524996499</v>
      </c>
      <c r="G42" s="30" t="str">
        <f ca="1">IFERROR(__xludf.DUMMYFUNCTION("XLOOKUP($B42,IMPORTRANGE(""https://docs.google.com/spreadsheets/d/1EjEqG6oc_vmuAWwHnH51YMvSMVUVePUqNn9zZBOmHT8/edit#gid=757525651"",""'Allocation Breakdown'!A4:A187""),IMPORTRANGE(""https://docs.google.com/spreadsheets/d/1EjEqG6oc_vmuAWwHnH51YMvSMVUVePUqN"&amp;"n9zZBOmHT8/edit#gid=757525651"",""'Allocation Breakdown'!D4:D187""))"),"")</f>
        <v/>
      </c>
      <c r="H42" s="30" t="str">
        <f ca="1">IFERROR(__xludf.DUMMYFUNCTION("XLOOKUP($B42,IMPORTRANGE(""https://docs.google.com/spreadsheets/d/1EjEqG6oc_vmuAWwHnH51YMvSMVUVePUqNn9zZBOmHT8/edit#gid=757525651"",""'Allocation Breakdown'!A4:A187""),IMPORTRANGE(""https://docs.google.com/spreadsheets/d/1EjEqG6oc_vmuAWwHnH51YMvSMVUVePUqN"&amp;"n9zZBOmHT8/edit#gid=757525651"",""'Allocation Breakdown'!E4:E187""))"),"")</f>
        <v/>
      </c>
      <c r="I42" s="30">
        <f ca="1">IFERROR(__xludf.DUMMYFUNCTION("XLOOKUP($B42,IMPORTRANGE(""https://docs.google.com/spreadsheets/d/1EjEqG6oc_vmuAWwHnH51YMvSMVUVePUqNn9zZBOmHT8/edit#gid=757525651"",""'Allocation Breakdown'!A4:A187""),IMPORTRANGE(""https://docs.google.com/spreadsheets/d/1EjEqG6oc_vmuAWwHnH51YMvSMVUVePUqN"&amp;"n9zZBOmHT8/edit#gid=757525651"",""'Allocation Breakdown'!F4:F187""))"),54000)</f>
        <v>54000</v>
      </c>
      <c r="J42" s="30">
        <f ca="1">IFERROR(__xludf.DUMMYFUNCTION("XLOOKUP($B42,IMPORTRANGE(""https://docs.google.com/spreadsheets/d/1EjEqG6oc_vmuAWwHnH51YMvSMVUVePUqNn9zZBOmHT8/edit#gid=757525651"",""'Allocation Breakdown'!A4:A187""),IMPORTRANGE(""https://docs.google.com/spreadsheets/d/1EjEqG6oc_vmuAWwHnH51YMvSMVUVePUqN"&amp;"n9zZBOmHT8/edit#gid=757525651"",""'Allocation Breakdown'!G4:G187""))"),9000)</f>
        <v>9000</v>
      </c>
      <c r="K42" s="30">
        <f ca="1">IFERROR(__xludf.DUMMYFUNCTION("XLOOKUP($B42,IMPORTRANGE(""https://docs.google.com/spreadsheets/d/1EjEqG6oc_vmuAWwHnH51YMvSMVUVePUqNn9zZBOmHT8/edit#gid=757525651"",""'Allocation Breakdown'!A4:A187""),IMPORTRANGE(""https://docs.google.com/spreadsheets/d/1EjEqG6oc_vmuAWwHnH51YMvSMVUVePUqN"&amp;"n9zZBOmHT8/edit#gid=757525651"",""'Allocation Breakdown'!I4:I187""))*K$119"),1874.8153908)</f>
        <v>1874.8153907999999</v>
      </c>
      <c r="L42" s="30">
        <f ca="1">IFERROR(__xludf.DUMMYFUNCTION("XLOOKUP($B42,IMPORTRANGE(""https://docs.google.com/spreadsheets/d/1EjEqG6oc_vmuAWwHnH51YMvSMVUVePUqNn9zZBOmHT8/edit#gid=757525651"",""'Allocation Breakdown'!A4:A187""),IMPORTRANGE(""https://docs.google.com/spreadsheets/d/1EjEqG6oc_vmuAWwHnH51YMvSMVUVePUqN"&amp;"n9zZBOmHT8/edit#gid=757525651"",""'Allocation Breakdown'!j4:j187""))*L$119"),11104.6266915)</f>
        <v>11104.6266915</v>
      </c>
      <c r="M42" s="30">
        <f ca="1">IFERROR(__xludf.DUMMYFUNCTION("XLOOKUP($B42,IMPORTRANGE(""https://docs.google.com/spreadsheets/d/1EjEqG6oc_vmuAWwHnH51YMvSMVUVePUqNn9zZBOmHT8/edit#gid=757525651"",""'Allocation Breakdown'!A4:A187""),IMPORTRANGE(""https://docs.google.com/spreadsheets/d/1EjEqG6oc_vmuAWwHnH51YMvSMVUVePUqN"&amp;"n9zZBOmHT8/edit#gid=757525651"",""'Allocation Breakdown'!K4:K187""))*M$119"),10765.8678285)</f>
        <v>10765.867828500001</v>
      </c>
      <c r="N42" s="30">
        <f ca="1">IFERROR(__xludf.DUMMYFUNCTION("XLOOKUP($B42,IMPORTRANGE(""https://docs.google.com/spreadsheets/d/1EjEqG6oc_vmuAWwHnH51YMvSMVUVePUqNn9zZBOmHT8/edit#gid=757525651"",""'Allocation Breakdown'!A4:A187""),IMPORTRANGE(""https://docs.google.com/spreadsheets/d/1EjEqG6oc_vmuAWwHnH51YMvSMVUVePUqN"&amp;"n9zZBOmHT8/edit#gid=757525651"",""'Allocation Breakdown'!l4:l187""))*N$119"),2855.5801524)</f>
        <v>2855.5801523999999</v>
      </c>
      <c r="O42" s="30">
        <f ca="1">IFERROR(__xludf.DUMMYFUNCTION("XLOOKUP($B42,IMPORTRANGE(""https://docs.google.com/spreadsheets/d/1EjEqG6oc_vmuAWwHnH51YMvSMVUVePUqNn9zZBOmHT8/edit#gid=757525651"",""'Allocation Breakdown'!A4:A187""),IMPORTRANGE(""https://docs.google.com/spreadsheets/d/1EjEqG6oc_vmuAWwHnH51YMvSMVUVePUqN"&amp;"n9zZBOmHT8/edit#gid=757525651"",""'Allocation Breakdown'!n4:n187""))*O$119"),20000)</f>
        <v>20000</v>
      </c>
      <c r="P42" s="30">
        <f ca="1">IFERROR(__xludf.DUMMYFUNCTION("XLOOKUP($B42,IMPORTRANGE(""https://docs.google.com/spreadsheets/d/1EjEqG6oc_vmuAWwHnH51YMvSMVUVePUqNn9zZBOmHT8/edit#gid=757525651"",""'Allocation Breakdown'!A4:A187""),IMPORTRANGE(""https://docs.google.com/spreadsheets/d/1EjEqG6oc_vmuAWwHnH51YMvSMVUVePUqN"&amp;"n9zZBOmHT8/edit#gid=757525651"",""'Allocation Breakdown'!o4:o187""))*P$119"),0)</f>
        <v>0</v>
      </c>
      <c r="Q42" s="30">
        <f ca="1">IFERROR(__xludf.DUMMYFUNCTION("XLOOKUP($B42,IMPORTRANGE(""https://docs.google.com/spreadsheets/d/1EjEqG6oc_vmuAWwHnH51YMvSMVUVePUqNn9zZBOmHT8/edit#gid=757525651"",""'Allocation Breakdown'!A4:A187""),IMPORTRANGE(""https://docs.google.com/spreadsheets/d/1EjEqG6oc_vmuAWwHnH51YMvSMVUVePUqN"&amp;"n9zZBOmHT8/edit#gid=757525651"",""'Allocation Breakdown'!p4:p187""))*Q$119"),0)</f>
        <v>0</v>
      </c>
      <c r="R42" s="30">
        <f ca="1">IFERROR(__xludf.DUMMYFUNCTION("XLOOKUP($B42,IMPORTRANGE(""https://docs.google.com/spreadsheets/d/1EjEqG6oc_vmuAWwHnH51YMvSMVUVePUqNn9zZBOmHT8/edit#gid=757525651"",""'Allocation Breakdown'!A4:A187""),IMPORTRANGE(""https://docs.google.com/spreadsheets/d/1EjEqG6oc_vmuAWwHnH51YMvSMVUVePUqN"&amp;"n9zZBOmHT8/edit#gid=757525651"",""'Allocation Breakdown'!q4:q187""))*R$119"),0)</f>
        <v>0</v>
      </c>
      <c r="S42" s="30">
        <f ca="1">IFERROR(__xludf.DUMMYFUNCTION("XLOOKUP($B42,IMPORTRANGE(""https://docs.google.com/spreadsheets/d/1EjEqG6oc_vmuAWwHnH51YMvSMVUVePUqNn9zZBOmHT8/edit#gid=757525651"",""'Allocation Breakdown'!A4:A187""),IMPORTRANGE(""https://docs.google.com/spreadsheets/d/1EjEqG6oc_vmuAWwHnH51YMvSMVUVePUqN"&amp;"n9zZBOmHT8/edit#gid=757525651"",""'Allocation Breakdown'!r4:r187""))*S$119"),0)</f>
        <v>0</v>
      </c>
      <c r="T42" s="30">
        <f ca="1">IFERROR(__xludf.DUMMYFUNCTION("XLOOKUP($B42,IMPORTRANGE(""https://docs.google.com/spreadsheets/d/1EjEqG6oc_vmuAWwHnH51YMvSMVUVePUqNn9zZBOmHT8/edit#gid=757525651"",""'Allocation Breakdown'!A4:A187""),IMPORTRANGE(""https://docs.google.com/spreadsheets/d/1EjEqG6oc_vmuAWwHnH51YMvSMVUVePUqN"&amp;"n9zZBOmHT8/edit#gid=757525651"",""'Allocation Breakdown'!t4:t187""))*T$119"),21000)</f>
        <v>21000</v>
      </c>
      <c r="U42" s="30">
        <f ca="1">IFERROR(__xludf.DUMMYFUNCTION("XLOOKUP($B42,IMPORTRANGE(""https://docs.google.com/spreadsheets/d/1EjEqG6oc_vmuAWwHnH51YMvSMVUVePUqNn9zZBOmHT8/edit#gid=757525651"",""'Allocation Breakdown'!A4:A187""),IMPORTRANGE(""https://docs.google.com/spreadsheets/d/1EjEqG6oc_vmuAWwHnH51YMvSMVUVePUqN"&amp;"n9zZBOmHT8/edit#gid=757525651"",""'Allocation Breakdown'!U4:U187""))*U$119"),0)</f>
        <v>0</v>
      </c>
      <c r="V42" s="31">
        <f t="shared" ca="1" si="1"/>
        <v>130600.8900632</v>
      </c>
      <c r="W42" s="31">
        <f t="shared" ca="1" si="2"/>
        <v>151939.27758819651</v>
      </c>
      <c r="Z42" s="32"/>
      <c r="AA42" s="32"/>
      <c r="AB42" s="32"/>
    </row>
    <row r="43" spans="2:28">
      <c r="B43" s="28" t="s">
        <v>138</v>
      </c>
      <c r="C43" s="30">
        <f ca="1">IFERROR(__xludf.DUMMYFUNCTION("XLOOKUP($B43,IMPORTRANGE(""https://docs.google.com/spreadsheets/d/1EjEqG6oc_vmuAWwHnH51YMvSMVUVePUqNn9zZBOmHT8/edit#gid=757525651"",""'Allocation Breakdown'!A4:A187""),IMPORTRANGE(""https://docs.google.com/spreadsheets/d/1EjEqG6oc_vmuAWwHnH51YMvSMVUVePUqN"&amp;"n9zZBOmHT8/edit#gid=757525651"",""'Allocation Breakdown'!V4:V187""))*C$119"),1554.76210974)</f>
        <v>1554.7621097399999</v>
      </c>
      <c r="D43" s="30">
        <f ca="1">IFERROR(__xludf.DUMMYFUNCTION("XLOOKUP($B43,IMPORTRANGE(""https://docs.google.com/spreadsheets/d/1EjEqG6oc_vmuAWwHnH51YMvSMVUVePUqNn9zZBOmHT8/edit#gid=757525651"",""'Allocation Breakdown'!A4:A187""),IMPORTRANGE(""https://docs.google.com/spreadsheets/d/1EjEqG6oc_vmuAWwHnH51YMvSMVUVePUqN"&amp;"n9zZBOmHT8/edit#gid=757525651"",""'Allocation Breakdown'!I4:I187""))*$D$119"),28451.183366662)</f>
        <v>28451.183366662</v>
      </c>
      <c r="E43" s="30">
        <f ca="1">IFERROR(__xludf.DUMMYFUNCTION("XLOOKUP($B43,IMPORTRANGE(""https://docs.google.com/spreadsheets/d/1EjEqG6oc_vmuAWwHnH51YMvSMVUVePUqNn9zZBOmHT8/edit#gid=757525651"",""'Allocation Breakdown'!A4:A187""),IMPORTRANGE(""https://docs.google.com/spreadsheets/d/1EjEqG6oc_vmuAWwHnH51YMvSMVUVePUqN"&amp;"n9zZBOmHT8/edit#gid=757525651"",""'Allocation Breakdown'!V4:V187""))*E$119"),545.23789026)</f>
        <v>545.23789025999997</v>
      </c>
      <c r="F43" s="30">
        <f t="shared" ca="1" si="0"/>
        <v>28996.421256922</v>
      </c>
      <c r="G43" s="30">
        <f ca="1">IFERROR(__xludf.DUMMYFUNCTION("XLOOKUP($B43,IMPORTRANGE(""https://docs.google.com/spreadsheets/d/1EjEqG6oc_vmuAWwHnH51YMvSMVUVePUqNn9zZBOmHT8/edit#gid=757525651"",""'Allocation Breakdown'!A4:A187""),IMPORTRANGE(""https://docs.google.com/spreadsheets/d/1EjEqG6oc_vmuAWwHnH51YMvSMVUVePUqN"&amp;"n9zZBOmHT8/edit#gid=757525651"",""'Allocation Breakdown'!D4:D187""))"),20000)</f>
        <v>20000</v>
      </c>
      <c r="H43" s="30">
        <f ca="1">IFERROR(__xludf.DUMMYFUNCTION("XLOOKUP($B43,IMPORTRANGE(""https://docs.google.com/spreadsheets/d/1EjEqG6oc_vmuAWwHnH51YMvSMVUVePUqNn9zZBOmHT8/edit#gid=757525651"",""'Allocation Breakdown'!A4:A187""),IMPORTRANGE(""https://docs.google.com/spreadsheets/d/1EjEqG6oc_vmuAWwHnH51YMvSMVUVePUqN"&amp;"n9zZBOmHT8/edit#gid=757525651"",""'Allocation Breakdown'!E4:E187""))"),195000)</f>
        <v>195000</v>
      </c>
      <c r="I43" s="30">
        <f ca="1">IFERROR(__xludf.DUMMYFUNCTION("XLOOKUP($B43,IMPORTRANGE(""https://docs.google.com/spreadsheets/d/1EjEqG6oc_vmuAWwHnH51YMvSMVUVePUqNn9zZBOmHT8/edit#gid=757525651"",""'Allocation Breakdown'!A4:A187""),IMPORTRANGE(""https://docs.google.com/spreadsheets/d/1EjEqG6oc_vmuAWwHnH51YMvSMVUVePUqN"&amp;"n9zZBOmHT8/edit#gid=757525651"",""'Allocation Breakdown'!F4:F187""))"),180000)</f>
        <v>180000</v>
      </c>
      <c r="J43" s="30">
        <f ca="1">IFERROR(__xludf.DUMMYFUNCTION("XLOOKUP($B43,IMPORTRANGE(""https://docs.google.com/spreadsheets/d/1EjEqG6oc_vmuAWwHnH51YMvSMVUVePUqNn9zZBOmHT8/edit#gid=757525651"",""'Allocation Breakdown'!A4:A187""),IMPORTRANGE(""https://docs.google.com/spreadsheets/d/1EjEqG6oc_vmuAWwHnH51YMvSMVUVePUqN"&amp;"n9zZBOmHT8/edit#gid=757525651"",""'Allocation Breakdown'!G4:G187""))"),20000)</f>
        <v>20000</v>
      </c>
      <c r="K43" s="30">
        <f ca="1">IFERROR(__xludf.DUMMYFUNCTION("XLOOKUP($B43,IMPORTRANGE(""https://docs.google.com/spreadsheets/d/1EjEqG6oc_vmuAWwHnH51YMvSMVUVePUqNn9zZBOmHT8/edit#gid=757525651"",""'Allocation Breakdown'!A4:A187""),IMPORTRANGE(""https://docs.google.com/spreadsheets/d/1EjEqG6oc_vmuAWwHnH51YMvSMVUVePUqN"&amp;"n9zZBOmHT8/edit#gid=757525651"",""'Allocation Breakdown'!I4:I187""))*K$119"),2499.7538544)</f>
        <v>2499.7538543999999</v>
      </c>
      <c r="L43" s="30">
        <f ca="1">IFERROR(__xludf.DUMMYFUNCTION("XLOOKUP($B43,IMPORTRANGE(""https://docs.google.com/spreadsheets/d/1EjEqG6oc_vmuAWwHnH51YMvSMVUVePUqNn9zZBOmHT8/edit#gid=757525651"",""'Allocation Breakdown'!A4:A187""),IMPORTRANGE(""https://docs.google.com/spreadsheets/d/1EjEqG6oc_vmuAWwHnH51YMvSMVUVePUqN"&amp;"n9zZBOmHT8/edit#gid=757525651"",""'Allocation Breakdown'!j4:j187""))*L$119"),14806.168922)</f>
        <v>14806.168922000001</v>
      </c>
      <c r="M43" s="30">
        <f ca="1">IFERROR(__xludf.DUMMYFUNCTION("XLOOKUP($B43,IMPORTRANGE(""https://docs.google.com/spreadsheets/d/1EjEqG6oc_vmuAWwHnH51YMvSMVUVePUqNn9zZBOmHT8/edit#gid=757525651"",""'Allocation Breakdown'!A4:A187""),IMPORTRANGE(""https://docs.google.com/spreadsheets/d/1EjEqG6oc_vmuAWwHnH51YMvSMVUVePUqN"&amp;"n9zZBOmHT8/edit#gid=757525651"",""'Allocation Breakdown'!K4:K187""))*M$119"),14354.490438)</f>
        <v>14354.490438000001</v>
      </c>
      <c r="N43" s="30">
        <f ca="1">IFERROR(__xludf.DUMMYFUNCTION("XLOOKUP($B43,IMPORTRANGE(""https://docs.google.com/spreadsheets/d/1EjEqG6oc_vmuAWwHnH51YMvSMVUVePUqNn9zZBOmHT8/edit#gid=757525651"",""'Allocation Breakdown'!A4:A187""),IMPORTRANGE(""https://docs.google.com/spreadsheets/d/1EjEqG6oc_vmuAWwHnH51YMvSMVUVePUqN"&amp;"n9zZBOmHT8/edit#gid=757525651"",""'Allocation Breakdown'!l4:l187""))*N$119"),3807.4402032)</f>
        <v>3807.4402031999998</v>
      </c>
      <c r="O43" s="30">
        <f ca="1">IFERROR(__xludf.DUMMYFUNCTION("XLOOKUP($B43,IMPORTRANGE(""https://docs.google.com/spreadsheets/d/1EjEqG6oc_vmuAWwHnH51YMvSMVUVePUqNn9zZBOmHT8/edit#gid=757525651"",""'Allocation Breakdown'!A4:A187""),IMPORTRANGE(""https://docs.google.com/spreadsheets/d/1EjEqG6oc_vmuAWwHnH51YMvSMVUVePUqN"&amp;"n9zZBOmHT8/edit#gid=757525651"",""'Allocation Breakdown'!n4:n187""))*O$119"),60000)</f>
        <v>60000</v>
      </c>
      <c r="P43" s="30">
        <f ca="1">IFERROR(__xludf.DUMMYFUNCTION("XLOOKUP($B43,IMPORTRANGE(""https://docs.google.com/spreadsheets/d/1EjEqG6oc_vmuAWwHnH51YMvSMVUVePUqNn9zZBOmHT8/edit#gid=757525651"",""'Allocation Breakdown'!A4:A187""),IMPORTRANGE(""https://docs.google.com/spreadsheets/d/1EjEqG6oc_vmuAWwHnH51YMvSMVUVePUqN"&amp;"n9zZBOmHT8/edit#gid=757525651"",""'Allocation Breakdown'!o4:o187""))*P$119"),10000)</f>
        <v>10000</v>
      </c>
      <c r="Q43" s="30">
        <f ca="1">IFERROR(__xludf.DUMMYFUNCTION("XLOOKUP($B43,IMPORTRANGE(""https://docs.google.com/spreadsheets/d/1EjEqG6oc_vmuAWwHnH51YMvSMVUVePUqNn9zZBOmHT8/edit#gid=757525651"",""'Allocation Breakdown'!A4:A187""),IMPORTRANGE(""https://docs.google.com/spreadsheets/d/1EjEqG6oc_vmuAWwHnH51YMvSMVUVePUqN"&amp;"n9zZBOmHT8/edit#gid=757525651"",""'Allocation Breakdown'!p4:p187""))*Q$119"),3200)</f>
        <v>3200</v>
      </c>
      <c r="R43" s="30">
        <f ca="1">IFERROR(__xludf.DUMMYFUNCTION("XLOOKUP($B43,IMPORTRANGE(""https://docs.google.com/spreadsheets/d/1EjEqG6oc_vmuAWwHnH51YMvSMVUVePUqNn9zZBOmHT8/edit#gid=757525651"",""'Allocation Breakdown'!A4:A187""),IMPORTRANGE(""https://docs.google.com/spreadsheets/d/1EjEqG6oc_vmuAWwHnH51YMvSMVUVePUqN"&amp;"n9zZBOmHT8/edit#gid=757525651"",""'Allocation Breakdown'!q4:q187""))*R$119"),8000)</f>
        <v>8000</v>
      </c>
      <c r="S43" s="30">
        <f ca="1">IFERROR(__xludf.DUMMYFUNCTION("XLOOKUP($B43,IMPORTRANGE(""https://docs.google.com/spreadsheets/d/1EjEqG6oc_vmuAWwHnH51YMvSMVUVePUqNn9zZBOmHT8/edit#gid=757525651"",""'Allocation Breakdown'!A4:A187""),IMPORTRANGE(""https://docs.google.com/spreadsheets/d/1EjEqG6oc_vmuAWwHnH51YMvSMVUVePUqN"&amp;"n9zZBOmHT8/edit#gid=757525651"",""'Allocation Breakdown'!r4:r187""))*S$119"),800)</f>
        <v>800</v>
      </c>
      <c r="T43" s="30">
        <f ca="1">IFERROR(__xludf.DUMMYFUNCTION("XLOOKUP($B43,IMPORTRANGE(""https://docs.google.com/spreadsheets/d/1EjEqG6oc_vmuAWwHnH51YMvSMVUVePUqNn9zZBOmHT8/edit#gid=757525651"",""'Allocation Breakdown'!A4:A187""),IMPORTRANGE(""https://docs.google.com/spreadsheets/d/1EjEqG6oc_vmuAWwHnH51YMvSMVUVePUqN"&amp;"n9zZBOmHT8/edit#gid=757525651"",""'Allocation Breakdown'!t4:t187""))*T$119"),28000)</f>
        <v>28000</v>
      </c>
      <c r="U43" s="30">
        <f ca="1">IFERROR(__xludf.DUMMYFUNCTION("XLOOKUP($B43,IMPORTRANGE(""https://docs.google.com/spreadsheets/d/1EjEqG6oc_vmuAWwHnH51YMvSMVUVePUqNn9zZBOmHT8/edit#gid=757525651"",""'Allocation Breakdown'!A4:A187""),IMPORTRANGE(""https://docs.google.com/spreadsheets/d/1EjEqG6oc_vmuAWwHnH51YMvSMVUVePUqN"&amp;"n9zZBOmHT8/edit#gid=757525651"",""'Allocation Breakdown'!U4:U187""))*U$119"),44000)</f>
        <v>44000</v>
      </c>
      <c r="V43" s="31">
        <f t="shared" ca="1" si="1"/>
        <v>604467.85341760004</v>
      </c>
      <c r="W43" s="31">
        <f t="shared" ca="1" si="2"/>
        <v>635019.03678426205</v>
      </c>
      <c r="Z43" s="32"/>
      <c r="AA43" s="32"/>
      <c r="AB43" s="32"/>
    </row>
    <row r="44" spans="2:28" ht="15.75" customHeight="1">
      <c r="B44" s="28" t="s">
        <v>139</v>
      </c>
      <c r="C44" s="30">
        <f ca="1">IFERROR(__xludf.DUMMYFUNCTION("XLOOKUP($B44,IMPORTRANGE(""https://docs.google.com/spreadsheets/d/1EjEqG6oc_vmuAWwHnH51YMvSMVUVePUqNn9zZBOmHT8/edit#gid=757525651"",""'Allocation Breakdown'!A4:A187""),IMPORTRANGE(""https://docs.google.com/spreadsheets/d/1EjEqG6oc_vmuAWwHnH51YMvSMVUVePUqN"&amp;"n9zZBOmHT8/edit#gid=757525651"",""'Allocation Breakdown'!V4:V187""))*C$119"),9328.57265844)</f>
        <v>9328.5726584399999</v>
      </c>
      <c r="D44" s="30">
        <f ca="1">IFERROR(__xludf.DUMMYFUNCTION("XLOOKUP($B44,IMPORTRANGE(""https://docs.google.com/spreadsheets/d/1EjEqG6oc_vmuAWwHnH51YMvSMVUVePUqNn9zZBOmHT8/edit#gid=757525651"",""'Allocation Breakdown'!A4:A187""),IMPORTRANGE(""https://docs.google.com/spreadsheets/d/1EjEqG6oc_vmuAWwHnH51YMvSMVUVePUqN"&amp;"n9zZBOmHT8/edit#gid=757525651"",""'Allocation Breakdown'!I4:I187""))*$D$119"),106691.937624982)</f>
        <v>106691.93762498201</v>
      </c>
      <c r="E44" s="30">
        <f ca="1">IFERROR(__xludf.DUMMYFUNCTION("XLOOKUP($B44,IMPORTRANGE(""https://docs.google.com/spreadsheets/d/1EjEqG6oc_vmuAWwHnH51YMvSMVUVePUqNn9zZBOmHT8/edit#gid=757525651"",""'Allocation Breakdown'!A4:A187""),IMPORTRANGE(""https://docs.google.com/spreadsheets/d/1EjEqG6oc_vmuAWwHnH51YMvSMVUVePUqN"&amp;"n9zZBOmHT8/edit#gid=757525651"",""'Allocation Breakdown'!V4:V187""))*E$119"),3271.42734156)</f>
        <v>3271.4273415600001</v>
      </c>
      <c r="F44" s="30">
        <f t="shared" ca="1" si="0"/>
        <v>109963.36496654201</v>
      </c>
      <c r="G44" s="30">
        <f ca="1">IFERROR(__xludf.DUMMYFUNCTION("XLOOKUP($B44,IMPORTRANGE(""https://docs.google.com/spreadsheets/d/1EjEqG6oc_vmuAWwHnH51YMvSMVUVePUqNn9zZBOmHT8/edit#gid=757525651"",""'Allocation Breakdown'!A4:A187""),IMPORTRANGE(""https://docs.google.com/spreadsheets/d/1EjEqG6oc_vmuAWwHnH51YMvSMVUVePUqN"&amp;"n9zZBOmHT8/edit#gid=757525651"",""'Allocation Breakdown'!D4:D187""))"),10000)</f>
        <v>10000</v>
      </c>
      <c r="H44" s="30">
        <f ca="1">IFERROR(__xludf.DUMMYFUNCTION("XLOOKUP($B44,IMPORTRANGE(""https://docs.google.com/spreadsheets/d/1EjEqG6oc_vmuAWwHnH51YMvSMVUVePUqNn9zZBOmHT8/edit#gid=757525651"",""'Allocation Breakdown'!A4:A187""),IMPORTRANGE(""https://docs.google.com/spreadsheets/d/1EjEqG6oc_vmuAWwHnH51YMvSMVUVePUqN"&amp;"n9zZBOmHT8/edit#gid=757525651"",""'Allocation Breakdown'!E4:E187""))"),85000)</f>
        <v>85000</v>
      </c>
      <c r="I44" s="30">
        <f ca="1">IFERROR(__xludf.DUMMYFUNCTION("XLOOKUP($B44,IMPORTRANGE(""https://docs.google.com/spreadsheets/d/1EjEqG6oc_vmuAWwHnH51YMvSMVUVePUqNn9zZBOmHT8/edit#gid=757525651"",""'Allocation Breakdown'!A4:A187""),IMPORTRANGE(""https://docs.google.com/spreadsheets/d/1EjEqG6oc_vmuAWwHnH51YMvSMVUVePUqN"&amp;"n9zZBOmHT8/edit#gid=757525651"",""'Allocation Breakdown'!F4:F187""))"),72000)</f>
        <v>72000</v>
      </c>
      <c r="J44" s="30" t="str">
        <f ca="1">IFERROR(__xludf.DUMMYFUNCTION("XLOOKUP($B44,IMPORTRANGE(""https://docs.google.com/spreadsheets/d/1EjEqG6oc_vmuAWwHnH51YMvSMVUVePUqNn9zZBOmHT8/edit#gid=757525651"",""'Allocation Breakdown'!A4:A187""),IMPORTRANGE(""https://docs.google.com/spreadsheets/d/1EjEqG6oc_vmuAWwHnH51YMvSMVUVePUqN"&amp;"n9zZBOmHT8/edit#gid=757525651"",""'Allocation Breakdown'!G4:G187""))"),"")</f>
        <v/>
      </c>
      <c r="K44" s="30">
        <f ca="1">IFERROR(__xludf.DUMMYFUNCTION("XLOOKUP($B44,IMPORTRANGE(""https://docs.google.com/spreadsheets/d/1EjEqG6oc_vmuAWwHnH51YMvSMVUVePUqNn9zZBOmHT8/edit#gid=757525651"",""'Allocation Breakdown'!A4:A187""),IMPORTRANGE(""https://docs.google.com/spreadsheets/d/1EjEqG6oc_vmuAWwHnH51YMvSMVUVePUqN"&amp;"n9zZBOmHT8/edit#gid=757525651"",""'Allocation Breakdown'!I4:I187""))*K$119"),9374.076954)</f>
        <v>9374.0769540000001</v>
      </c>
      <c r="L44" s="30">
        <f ca="1">IFERROR(__xludf.DUMMYFUNCTION("XLOOKUP($B44,IMPORTRANGE(""https://docs.google.com/spreadsheets/d/1EjEqG6oc_vmuAWwHnH51YMvSMVUVePUqNn9zZBOmHT8/edit#gid=757525651"",""'Allocation Breakdown'!A4:A187""),IMPORTRANGE(""https://docs.google.com/spreadsheets/d/1EjEqG6oc_vmuAWwHnH51YMvSMVUVePUqN"&amp;"n9zZBOmHT8/edit#gid=757525651"",""'Allocation Breakdown'!j4:j187""))*L$119"),55523.1334575)</f>
        <v>55523.1334575</v>
      </c>
      <c r="M44" s="30">
        <f ca="1">IFERROR(__xludf.DUMMYFUNCTION("XLOOKUP($B44,IMPORTRANGE(""https://docs.google.com/spreadsheets/d/1EjEqG6oc_vmuAWwHnH51YMvSMVUVePUqNn9zZBOmHT8/edit#gid=757525651"",""'Allocation Breakdown'!A4:A187""),IMPORTRANGE(""https://docs.google.com/spreadsheets/d/1EjEqG6oc_vmuAWwHnH51YMvSMVUVePUqN"&amp;"n9zZBOmHT8/edit#gid=757525651"",""'Allocation Breakdown'!K4:K187""))*M$119"),53829.3391425)</f>
        <v>53829.339142500001</v>
      </c>
      <c r="N44" s="30">
        <f ca="1">IFERROR(__xludf.DUMMYFUNCTION("XLOOKUP($B44,IMPORTRANGE(""https://docs.google.com/spreadsheets/d/1EjEqG6oc_vmuAWwHnH51YMvSMVUVePUqNn9zZBOmHT8/edit#gid=757525651"",""'Allocation Breakdown'!A4:A187""),IMPORTRANGE(""https://docs.google.com/spreadsheets/d/1EjEqG6oc_vmuAWwHnH51YMvSMVUVePUqN"&amp;"n9zZBOmHT8/edit#gid=757525651"",""'Allocation Breakdown'!l4:l187""))*N$119"),14277.900762)</f>
        <v>14277.900761999999</v>
      </c>
      <c r="O44" s="30">
        <f ca="1">IFERROR(__xludf.DUMMYFUNCTION("XLOOKUP($B44,IMPORTRANGE(""https://docs.google.com/spreadsheets/d/1EjEqG6oc_vmuAWwHnH51YMvSMVUVePUqNn9zZBOmHT8/edit#gid=757525651"",""'Allocation Breakdown'!A4:A187""),IMPORTRANGE(""https://docs.google.com/spreadsheets/d/1EjEqG6oc_vmuAWwHnH51YMvSMVUVePUqN"&amp;"n9zZBOmHT8/edit#gid=757525651"",""'Allocation Breakdown'!n4:n187""))*O$119"),0)</f>
        <v>0</v>
      </c>
      <c r="P44" s="30">
        <f ca="1">IFERROR(__xludf.DUMMYFUNCTION("XLOOKUP($B44,IMPORTRANGE(""https://docs.google.com/spreadsheets/d/1EjEqG6oc_vmuAWwHnH51YMvSMVUVePUqNn9zZBOmHT8/edit#gid=757525651"",""'Allocation Breakdown'!A4:A187""),IMPORTRANGE(""https://docs.google.com/spreadsheets/d/1EjEqG6oc_vmuAWwHnH51YMvSMVUVePUqN"&amp;"n9zZBOmHT8/edit#gid=757525651"",""'Allocation Breakdown'!o4:o187""))*P$119"),33000)</f>
        <v>33000</v>
      </c>
      <c r="Q44" s="30">
        <f ca="1">IFERROR(__xludf.DUMMYFUNCTION("XLOOKUP($B44,IMPORTRANGE(""https://docs.google.com/spreadsheets/d/1EjEqG6oc_vmuAWwHnH51YMvSMVUVePUqNn9zZBOmHT8/edit#gid=757525651"",""'Allocation Breakdown'!A4:A187""),IMPORTRANGE(""https://docs.google.com/spreadsheets/d/1EjEqG6oc_vmuAWwHnH51YMvSMVUVePUqN"&amp;"n9zZBOmHT8/edit#gid=757525651"",""'Allocation Breakdown'!p4:p187""))*Q$119"),60000)</f>
        <v>60000</v>
      </c>
      <c r="R44" s="30">
        <f ca="1">IFERROR(__xludf.DUMMYFUNCTION("XLOOKUP($B44,IMPORTRANGE(""https://docs.google.com/spreadsheets/d/1EjEqG6oc_vmuAWwHnH51YMvSMVUVePUqNn9zZBOmHT8/edit#gid=757525651"",""'Allocation Breakdown'!A4:A187""),IMPORTRANGE(""https://docs.google.com/spreadsheets/d/1EjEqG6oc_vmuAWwHnH51YMvSMVUVePUqN"&amp;"n9zZBOmHT8/edit#gid=757525651"",""'Allocation Breakdown'!q4:q187""))*R$119"),30000)</f>
        <v>30000</v>
      </c>
      <c r="S44" s="30">
        <f ca="1">IFERROR(__xludf.DUMMYFUNCTION("XLOOKUP($B44,IMPORTRANGE(""https://docs.google.com/spreadsheets/d/1EjEqG6oc_vmuAWwHnH51YMvSMVUVePUqNn9zZBOmHT8/edit#gid=757525651"",""'Allocation Breakdown'!A4:A187""),IMPORTRANGE(""https://docs.google.com/spreadsheets/d/1EjEqG6oc_vmuAWwHnH51YMvSMVUVePUqN"&amp;"n9zZBOmHT8/edit#gid=757525651"",""'Allocation Breakdown'!r4:r187""))*S$119"),30000)</f>
        <v>30000</v>
      </c>
      <c r="T44" s="30">
        <f ca="1">IFERROR(__xludf.DUMMYFUNCTION("XLOOKUP($B44,IMPORTRANGE(""https://docs.google.com/spreadsheets/d/1EjEqG6oc_vmuAWwHnH51YMvSMVUVePUqNn9zZBOmHT8/edit#gid=757525651"",""'Allocation Breakdown'!A4:A187""),IMPORTRANGE(""https://docs.google.com/spreadsheets/d/1EjEqG6oc_vmuAWwHnH51YMvSMVUVePUqN"&amp;"n9zZBOmHT8/edit#gid=757525651"",""'Allocation Breakdown'!t4:t187""))*T$119"),105000)</f>
        <v>105000</v>
      </c>
      <c r="U44" s="30">
        <f ca="1">IFERROR(__xludf.DUMMYFUNCTION("XLOOKUP($B44,IMPORTRANGE(""https://docs.google.com/spreadsheets/d/1EjEqG6oc_vmuAWwHnH51YMvSMVUVePUqNn9zZBOmHT8/edit#gid=757525651"",""'Allocation Breakdown'!A4:A187""),IMPORTRANGE(""https://docs.google.com/spreadsheets/d/1EjEqG6oc_vmuAWwHnH51YMvSMVUVePUqN"&amp;"n9zZBOmHT8/edit#gid=757525651"",""'Allocation Breakdown'!U4:U187""))*U$119"),132000)</f>
        <v>132000</v>
      </c>
      <c r="V44" s="31">
        <f t="shared" ca="1" si="1"/>
        <v>690004.45031600003</v>
      </c>
      <c r="W44" s="31">
        <f t="shared" ca="1" si="2"/>
        <v>809296.38794098201</v>
      </c>
      <c r="Z44" s="32"/>
      <c r="AA44" s="32"/>
      <c r="AB44" s="32"/>
    </row>
    <row r="45" spans="2:28" ht="15.75" customHeight="1">
      <c r="B45" s="28" t="s">
        <v>140</v>
      </c>
      <c r="C45" s="30">
        <f ca="1">IFERROR(__xludf.DUMMYFUNCTION("XLOOKUP($B45,IMPORTRANGE(""https://docs.google.com/spreadsheets/d/1EjEqG6oc_vmuAWwHnH51YMvSMVUVePUqNn9zZBOmHT8/edit#gid=757525651"",""'Allocation Breakdown'!A4:A187""),IMPORTRANGE(""https://docs.google.com/spreadsheets/d/1EjEqG6oc_vmuAWwHnH51YMvSMVUVePUqN"&amp;"n9zZBOmHT8/edit#gid=757525651"",""'Allocation Breakdown'!V4:V187""))*C$119"),1554.76210974)</f>
        <v>1554.7621097399999</v>
      </c>
      <c r="D45" s="30">
        <f ca="1">IFERROR(__xludf.DUMMYFUNCTION("XLOOKUP($B45,IMPORTRANGE(""https://docs.google.com/spreadsheets/d/1EjEqG6oc_vmuAWwHnH51YMvSMVUVePUqNn9zZBOmHT8/edit#gid=757525651"",""'Allocation Breakdown'!A4:A187""),IMPORTRANGE(""https://docs.google.com/spreadsheets/d/1EjEqG6oc_vmuAWwHnH51YMvSMVUVePUqN"&amp;"n9zZBOmHT8/edit#gid=757525651"",""'Allocation Breakdown'!I4:I187""))*$D$119"),21338.3875249965)</f>
        <v>21338.387524996499</v>
      </c>
      <c r="E45" s="30">
        <f ca="1">IFERROR(__xludf.DUMMYFUNCTION("XLOOKUP($B45,IMPORTRANGE(""https://docs.google.com/spreadsheets/d/1EjEqG6oc_vmuAWwHnH51YMvSMVUVePUqNn9zZBOmHT8/edit#gid=757525651"",""'Allocation Breakdown'!A4:A187""),IMPORTRANGE(""https://docs.google.com/spreadsheets/d/1EjEqG6oc_vmuAWwHnH51YMvSMVUVePUqN"&amp;"n9zZBOmHT8/edit#gid=757525651"",""'Allocation Breakdown'!V4:V187""))*E$119"),545.23789026)</f>
        <v>545.23789025999997</v>
      </c>
      <c r="F45" s="30">
        <f t="shared" ca="1" si="0"/>
        <v>21883.625415256498</v>
      </c>
      <c r="G45" s="30">
        <f ca="1">IFERROR(__xludf.DUMMYFUNCTION("XLOOKUP($B45,IMPORTRANGE(""https://docs.google.com/spreadsheets/d/1EjEqG6oc_vmuAWwHnH51YMvSMVUVePUqNn9zZBOmHT8/edit#gid=757525651"",""'Allocation Breakdown'!A4:A187""),IMPORTRANGE(""https://docs.google.com/spreadsheets/d/1EjEqG6oc_vmuAWwHnH51YMvSMVUVePUqN"&amp;"n9zZBOmHT8/edit#gid=757525651"",""'Allocation Breakdown'!D4:D187""))"),15000)</f>
        <v>15000</v>
      </c>
      <c r="H45" s="30">
        <f ca="1">IFERROR(__xludf.DUMMYFUNCTION("XLOOKUP($B45,IMPORTRANGE(""https://docs.google.com/spreadsheets/d/1EjEqG6oc_vmuAWwHnH51YMvSMVUVePUqNn9zZBOmHT8/edit#gid=757525651"",""'Allocation Breakdown'!A4:A187""),IMPORTRANGE(""https://docs.google.com/spreadsheets/d/1EjEqG6oc_vmuAWwHnH51YMvSMVUVePUqN"&amp;"n9zZBOmHT8/edit#gid=757525651"",""'Allocation Breakdown'!E4:E187""))"),22500)</f>
        <v>22500</v>
      </c>
      <c r="I45" s="30">
        <f ca="1">IFERROR(__xludf.DUMMYFUNCTION("XLOOKUP($B45,IMPORTRANGE(""https://docs.google.com/spreadsheets/d/1EjEqG6oc_vmuAWwHnH51YMvSMVUVePUqNn9zZBOmHT8/edit#gid=757525651"",""'Allocation Breakdown'!A4:A187""),IMPORTRANGE(""https://docs.google.com/spreadsheets/d/1EjEqG6oc_vmuAWwHnH51YMvSMVUVePUqN"&amp;"n9zZBOmHT8/edit#gid=757525651"",""'Allocation Breakdown'!F4:F187""))"),45000)</f>
        <v>45000</v>
      </c>
      <c r="J45" s="30">
        <f ca="1">IFERROR(__xludf.DUMMYFUNCTION("XLOOKUP($B45,IMPORTRANGE(""https://docs.google.com/spreadsheets/d/1EjEqG6oc_vmuAWwHnH51YMvSMVUVePUqNn9zZBOmHT8/edit#gid=757525651"",""'Allocation Breakdown'!A4:A187""),IMPORTRANGE(""https://docs.google.com/spreadsheets/d/1EjEqG6oc_vmuAWwHnH51YMvSMVUVePUqN"&amp;"n9zZBOmHT8/edit#gid=757525651"",""'Allocation Breakdown'!G4:G187""))"),10000)</f>
        <v>10000</v>
      </c>
      <c r="K45" s="30">
        <f ca="1">IFERROR(__xludf.DUMMYFUNCTION("XLOOKUP($B45,IMPORTRANGE(""https://docs.google.com/spreadsheets/d/1EjEqG6oc_vmuAWwHnH51YMvSMVUVePUqNn9zZBOmHT8/edit#gid=757525651"",""'Allocation Breakdown'!A4:A187""),IMPORTRANGE(""https://docs.google.com/spreadsheets/d/1EjEqG6oc_vmuAWwHnH51YMvSMVUVePUqN"&amp;"n9zZBOmHT8/edit#gid=757525651"",""'Allocation Breakdown'!I4:I187""))*K$119"),1874.8153908)</f>
        <v>1874.8153907999999</v>
      </c>
      <c r="L45" s="30">
        <f ca="1">IFERROR(__xludf.DUMMYFUNCTION("XLOOKUP($B45,IMPORTRANGE(""https://docs.google.com/spreadsheets/d/1EjEqG6oc_vmuAWwHnH51YMvSMVUVePUqNn9zZBOmHT8/edit#gid=757525651"",""'Allocation Breakdown'!A4:A187""),IMPORTRANGE(""https://docs.google.com/spreadsheets/d/1EjEqG6oc_vmuAWwHnH51YMvSMVUVePUqN"&amp;"n9zZBOmHT8/edit#gid=757525651"",""'Allocation Breakdown'!j4:j187""))*L$119"),11104.6266915)</f>
        <v>11104.6266915</v>
      </c>
      <c r="M45" s="30">
        <f ca="1">IFERROR(__xludf.DUMMYFUNCTION("XLOOKUP($B45,IMPORTRANGE(""https://docs.google.com/spreadsheets/d/1EjEqG6oc_vmuAWwHnH51YMvSMVUVePUqNn9zZBOmHT8/edit#gid=757525651"",""'Allocation Breakdown'!A4:A187""),IMPORTRANGE(""https://docs.google.com/spreadsheets/d/1EjEqG6oc_vmuAWwHnH51YMvSMVUVePUqN"&amp;"n9zZBOmHT8/edit#gid=757525651"",""'Allocation Breakdown'!K4:K187""))*M$119"),10765.8678285)</f>
        <v>10765.867828500001</v>
      </c>
      <c r="N45" s="30">
        <f ca="1">IFERROR(__xludf.DUMMYFUNCTION("XLOOKUP($B45,IMPORTRANGE(""https://docs.google.com/spreadsheets/d/1EjEqG6oc_vmuAWwHnH51YMvSMVUVePUqNn9zZBOmHT8/edit#gid=757525651"",""'Allocation Breakdown'!A4:A187""),IMPORTRANGE(""https://docs.google.com/spreadsheets/d/1EjEqG6oc_vmuAWwHnH51YMvSMVUVePUqN"&amp;"n9zZBOmHT8/edit#gid=757525651"",""'Allocation Breakdown'!l4:l187""))*N$119"),2855.5801524)</f>
        <v>2855.5801523999999</v>
      </c>
      <c r="O45" s="30">
        <f ca="1">IFERROR(__xludf.DUMMYFUNCTION("XLOOKUP($B45,IMPORTRANGE(""https://docs.google.com/spreadsheets/d/1EjEqG6oc_vmuAWwHnH51YMvSMVUVePUqNn9zZBOmHT8/edit#gid=757525651"",""'Allocation Breakdown'!A4:A187""),IMPORTRANGE(""https://docs.google.com/spreadsheets/d/1EjEqG6oc_vmuAWwHnH51YMvSMVUVePUqN"&amp;"n9zZBOmHT8/edit#gid=757525651"",""'Allocation Breakdown'!n4:n187""))*O$119"),15000)</f>
        <v>15000</v>
      </c>
      <c r="P45" s="30">
        <f ca="1">IFERROR(__xludf.DUMMYFUNCTION("XLOOKUP($B45,IMPORTRANGE(""https://docs.google.com/spreadsheets/d/1EjEqG6oc_vmuAWwHnH51YMvSMVUVePUqNn9zZBOmHT8/edit#gid=757525651"",""'Allocation Breakdown'!A4:A187""),IMPORTRANGE(""https://docs.google.com/spreadsheets/d/1EjEqG6oc_vmuAWwHnH51YMvSMVUVePUqN"&amp;"n9zZBOmHT8/edit#gid=757525651"",""'Allocation Breakdown'!o4:o187""))*P$119"),10000)</f>
        <v>10000</v>
      </c>
      <c r="Q45" s="30">
        <f ca="1">IFERROR(__xludf.DUMMYFUNCTION("XLOOKUP($B45,IMPORTRANGE(""https://docs.google.com/spreadsheets/d/1EjEqG6oc_vmuAWwHnH51YMvSMVUVePUqNn9zZBOmHT8/edit#gid=757525651"",""'Allocation Breakdown'!A4:A187""),IMPORTRANGE(""https://docs.google.com/spreadsheets/d/1EjEqG6oc_vmuAWwHnH51YMvSMVUVePUqN"&amp;"n9zZBOmHT8/edit#gid=757525651"",""'Allocation Breakdown'!p4:p187""))*Q$119"),6000)</f>
        <v>6000</v>
      </c>
      <c r="R45" s="30">
        <f ca="1">IFERROR(__xludf.DUMMYFUNCTION("XLOOKUP($B45,IMPORTRANGE(""https://docs.google.com/spreadsheets/d/1EjEqG6oc_vmuAWwHnH51YMvSMVUVePUqNn9zZBOmHT8/edit#gid=757525651"",""'Allocation Breakdown'!A4:A187""),IMPORTRANGE(""https://docs.google.com/spreadsheets/d/1EjEqG6oc_vmuAWwHnH51YMvSMVUVePUqN"&amp;"n9zZBOmHT8/edit#gid=757525651"",""'Allocation Breakdown'!q4:q187""))*R$119"),6000)</f>
        <v>6000</v>
      </c>
      <c r="S45" s="30">
        <f ca="1">IFERROR(__xludf.DUMMYFUNCTION("XLOOKUP($B45,IMPORTRANGE(""https://docs.google.com/spreadsheets/d/1EjEqG6oc_vmuAWwHnH51YMvSMVUVePUqNn9zZBOmHT8/edit#gid=757525651"",""'Allocation Breakdown'!A4:A187""),IMPORTRANGE(""https://docs.google.com/spreadsheets/d/1EjEqG6oc_vmuAWwHnH51YMvSMVUVePUqN"&amp;"n9zZBOmHT8/edit#gid=757525651"",""'Allocation Breakdown'!r4:r187""))*S$119"),6000)</f>
        <v>6000</v>
      </c>
      <c r="T45" s="30">
        <f ca="1">IFERROR(__xludf.DUMMYFUNCTION("XLOOKUP($B45,IMPORTRANGE(""https://docs.google.com/spreadsheets/d/1EjEqG6oc_vmuAWwHnH51YMvSMVUVePUqNn9zZBOmHT8/edit#gid=757525651"",""'Allocation Breakdown'!A4:A187""),IMPORTRANGE(""https://docs.google.com/spreadsheets/d/1EjEqG6oc_vmuAWwHnH51YMvSMVUVePUqN"&amp;"n9zZBOmHT8/edit#gid=757525651"",""'Allocation Breakdown'!t4:t187""))*T$119"),21000)</f>
        <v>21000</v>
      </c>
      <c r="U45" s="30">
        <f ca="1">IFERROR(__xludf.DUMMYFUNCTION("XLOOKUP($B45,IMPORTRANGE(""https://docs.google.com/spreadsheets/d/1EjEqG6oc_vmuAWwHnH51YMvSMVUVePUqNn9zZBOmHT8/edit#gid=757525651"",""'Allocation Breakdown'!A4:A187""),IMPORTRANGE(""https://docs.google.com/spreadsheets/d/1EjEqG6oc_vmuAWwHnH51YMvSMVUVePUqN"&amp;"n9zZBOmHT8/edit#gid=757525651"",""'Allocation Breakdown'!U4:U187""))*U$119"),33000)</f>
        <v>33000</v>
      </c>
      <c r="V45" s="31">
        <f t="shared" ca="1" si="1"/>
        <v>216100.8900632</v>
      </c>
      <c r="W45" s="31">
        <f t="shared" ca="1" si="2"/>
        <v>239539.27758819651</v>
      </c>
      <c r="Z45" s="32"/>
      <c r="AA45" s="32"/>
      <c r="AB45" s="32"/>
    </row>
    <row r="46" spans="2:28">
      <c r="B46" s="28" t="s">
        <v>141</v>
      </c>
      <c r="C46" s="30">
        <f ca="1">IFERROR(__xludf.DUMMYFUNCTION("XLOOKUP($B46,IMPORTRANGE(""https://docs.google.com/spreadsheets/d/1EjEqG6oc_vmuAWwHnH51YMvSMVUVePUqNn9zZBOmHT8/edit#gid=757525651"",""'Allocation Breakdown'!A4:A187""),IMPORTRANGE(""https://docs.google.com/spreadsheets/d/1EjEqG6oc_vmuAWwHnH51YMvSMVUVePUqN"&amp;"n9zZBOmHT8/edit#gid=757525651"",""'Allocation Breakdown'!V4:V187""))*C$119"),5441.66738408999)</f>
        <v>5441.6673840899903</v>
      </c>
      <c r="D46" s="30">
        <f ca="1">IFERROR(__xludf.DUMMYFUNCTION("XLOOKUP($B46,IMPORTRANGE(""https://docs.google.com/spreadsheets/d/1EjEqG6oc_vmuAWwHnH51YMvSMVUVePUqNn9zZBOmHT8/edit#gid=757525651"",""'Allocation Breakdown'!A4:A187""),IMPORTRANGE(""https://docs.google.com/spreadsheets/d/1EjEqG6oc_vmuAWwHnH51YMvSMVUVePUqN"&amp;"n9zZBOmHT8/edit#gid=757525651"",""'Allocation Breakdown'!I4:I187""))*$D$119"),64015.1625749895)</f>
        <v>64015.162574989503</v>
      </c>
      <c r="E46" s="30">
        <f ca="1">IFERROR(__xludf.DUMMYFUNCTION("XLOOKUP($B46,IMPORTRANGE(""https://docs.google.com/spreadsheets/d/1EjEqG6oc_vmuAWwHnH51YMvSMVUVePUqNn9zZBOmHT8/edit#gid=757525651"",""'Allocation Breakdown'!A4:A187""),IMPORTRANGE(""https://docs.google.com/spreadsheets/d/1EjEqG6oc_vmuAWwHnH51YMvSMVUVePUqN"&amp;"n9zZBOmHT8/edit#gid=757525651"",""'Allocation Breakdown'!V4:V187""))*E$119"),1908.33261591)</f>
        <v>1908.33261591</v>
      </c>
      <c r="F46" s="30">
        <f t="shared" ca="1" si="0"/>
        <v>65923.495190899499</v>
      </c>
      <c r="G46" s="30">
        <f ca="1">IFERROR(__xludf.DUMMYFUNCTION("XLOOKUP($B46,IMPORTRANGE(""https://docs.google.com/spreadsheets/d/1EjEqG6oc_vmuAWwHnH51YMvSMVUVePUqNn9zZBOmHT8/edit#gid=757525651"",""'Allocation Breakdown'!A4:A187""),IMPORTRANGE(""https://docs.google.com/spreadsheets/d/1EjEqG6oc_vmuAWwHnH51YMvSMVUVePUqN"&amp;"n9zZBOmHT8/edit#gid=757525651"",""'Allocation Breakdown'!D4:D187""))"),40000)</f>
        <v>40000</v>
      </c>
      <c r="H46" s="30" t="str">
        <f ca="1">IFERROR(__xludf.DUMMYFUNCTION("XLOOKUP($B46,IMPORTRANGE(""https://docs.google.com/spreadsheets/d/1EjEqG6oc_vmuAWwHnH51YMvSMVUVePUqNn9zZBOmHT8/edit#gid=757525651"",""'Allocation Breakdown'!A4:A187""),IMPORTRANGE(""https://docs.google.com/spreadsheets/d/1EjEqG6oc_vmuAWwHnH51YMvSMVUVePUqN"&amp;"n9zZBOmHT8/edit#gid=757525651"",""'Allocation Breakdown'!E4:E187""))"),"")</f>
        <v/>
      </c>
      <c r="I46" s="30">
        <f ca="1">IFERROR(__xludf.DUMMYFUNCTION("XLOOKUP($B46,IMPORTRANGE(""https://docs.google.com/spreadsheets/d/1EjEqG6oc_vmuAWwHnH51YMvSMVUVePUqNn9zZBOmHT8/edit#gid=757525651"",""'Allocation Breakdown'!A4:A187""),IMPORTRANGE(""https://docs.google.com/spreadsheets/d/1EjEqG6oc_vmuAWwHnH51YMvSMVUVePUqN"&amp;"n9zZBOmHT8/edit#gid=757525651"",""'Allocation Breakdown'!F4:F187""))"),60000)</f>
        <v>60000</v>
      </c>
      <c r="J46" s="30" t="str">
        <f ca="1">IFERROR(__xludf.DUMMYFUNCTION("XLOOKUP($B46,IMPORTRANGE(""https://docs.google.com/spreadsheets/d/1EjEqG6oc_vmuAWwHnH51YMvSMVUVePUqNn9zZBOmHT8/edit#gid=757525651"",""'Allocation Breakdown'!A4:A187""),IMPORTRANGE(""https://docs.google.com/spreadsheets/d/1EjEqG6oc_vmuAWwHnH51YMvSMVUVePUqN"&amp;"n9zZBOmHT8/edit#gid=757525651"",""'Allocation Breakdown'!G4:G187""))"),"")</f>
        <v/>
      </c>
      <c r="K46" s="30">
        <f ca="1">IFERROR(__xludf.DUMMYFUNCTION("XLOOKUP($B46,IMPORTRANGE(""https://docs.google.com/spreadsheets/d/1EjEqG6oc_vmuAWwHnH51YMvSMVUVePUqNn9zZBOmHT8/edit#gid=757525651"",""'Allocation Breakdown'!A4:A187""),IMPORTRANGE(""https://docs.google.com/spreadsheets/d/1EjEqG6oc_vmuAWwHnH51YMvSMVUVePUqN"&amp;"n9zZBOmHT8/edit#gid=757525651"",""'Allocation Breakdown'!I4:I187""))*K$119"),5624.4461724)</f>
        <v>5624.4461724000003</v>
      </c>
      <c r="L46" s="30">
        <f ca="1">IFERROR(__xludf.DUMMYFUNCTION("XLOOKUP($B46,IMPORTRANGE(""https://docs.google.com/spreadsheets/d/1EjEqG6oc_vmuAWwHnH51YMvSMVUVePUqNn9zZBOmHT8/edit#gid=757525651"",""'Allocation Breakdown'!A4:A187""),IMPORTRANGE(""https://docs.google.com/spreadsheets/d/1EjEqG6oc_vmuAWwHnH51YMvSMVUVePUqN"&amp;"n9zZBOmHT8/edit#gid=757525651"",""'Allocation Breakdown'!j4:j187""))*L$119"),33313.8800745)</f>
        <v>33313.880074499997</v>
      </c>
      <c r="M46" s="30">
        <f ca="1">IFERROR(__xludf.DUMMYFUNCTION("XLOOKUP($B46,IMPORTRANGE(""https://docs.google.com/spreadsheets/d/1EjEqG6oc_vmuAWwHnH51YMvSMVUVePUqNn9zZBOmHT8/edit#gid=757525651"",""'Allocation Breakdown'!A4:A187""),IMPORTRANGE(""https://docs.google.com/spreadsheets/d/1EjEqG6oc_vmuAWwHnH51YMvSMVUVePUqN"&amp;"n9zZBOmHT8/edit#gid=757525651"",""'Allocation Breakdown'!K4:K187""))*M$119"),21531.735657)</f>
        <v>21531.735657000001</v>
      </c>
      <c r="N46" s="30">
        <f ca="1">IFERROR(__xludf.DUMMYFUNCTION("XLOOKUP($B46,IMPORTRANGE(""https://docs.google.com/spreadsheets/d/1EjEqG6oc_vmuAWwHnH51YMvSMVUVePUqNn9zZBOmHT8/edit#gid=757525651"",""'Allocation Breakdown'!A4:A187""),IMPORTRANGE(""https://docs.google.com/spreadsheets/d/1EjEqG6oc_vmuAWwHnH51YMvSMVUVePUqN"&amp;"n9zZBOmHT8/edit#gid=757525651"",""'Allocation Breakdown'!l4:l187""))*N$119"),8566.7404572)</f>
        <v>8566.7404571999996</v>
      </c>
      <c r="O46" s="30">
        <f ca="1">IFERROR(__xludf.DUMMYFUNCTION("XLOOKUP($B46,IMPORTRANGE(""https://docs.google.com/spreadsheets/d/1EjEqG6oc_vmuAWwHnH51YMvSMVUVePUqNn9zZBOmHT8/edit#gid=757525651"",""'Allocation Breakdown'!A4:A187""),IMPORTRANGE(""https://docs.google.com/spreadsheets/d/1EjEqG6oc_vmuAWwHnH51YMvSMVUVePUqN"&amp;"n9zZBOmHT8/edit#gid=757525651"",""'Allocation Breakdown'!n4:n187""))*O$119"),0)</f>
        <v>0</v>
      </c>
      <c r="P46" s="30">
        <f ca="1">IFERROR(__xludf.DUMMYFUNCTION("XLOOKUP($B46,IMPORTRANGE(""https://docs.google.com/spreadsheets/d/1EjEqG6oc_vmuAWwHnH51YMvSMVUVePUqNn9zZBOmHT8/edit#gid=757525651"",""'Allocation Breakdown'!A4:A187""),IMPORTRANGE(""https://docs.google.com/spreadsheets/d/1EjEqG6oc_vmuAWwHnH51YMvSMVUVePUqN"&amp;"n9zZBOmHT8/edit#gid=757525651"",""'Allocation Breakdown'!o4:o187""))*P$119"),8800)</f>
        <v>8800</v>
      </c>
      <c r="Q46" s="30">
        <f ca="1">IFERROR(__xludf.DUMMYFUNCTION("XLOOKUP($B46,IMPORTRANGE(""https://docs.google.com/spreadsheets/d/1EjEqG6oc_vmuAWwHnH51YMvSMVUVePUqNn9zZBOmHT8/edit#gid=757525651"",""'Allocation Breakdown'!A4:A187""),IMPORTRANGE(""https://docs.google.com/spreadsheets/d/1EjEqG6oc_vmuAWwHnH51YMvSMVUVePUqN"&amp;"n9zZBOmHT8/edit#gid=757525651"",""'Allocation Breakdown'!p4:p187""))*Q$119"),18000)</f>
        <v>18000</v>
      </c>
      <c r="R46" s="30">
        <f ca="1">IFERROR(__xludf.DUMMYFUNCTION("XLOOKUP($B46,IMPORTRANGE(""https://docs.google.com/spreadsheets/d/1EjEqG6oc_vmuAWwHnH51YMvSMVUVePUqNn9zZBOmHT8/edit#gid=757525651"",""'Allocation Breakdown'!A4:A187""),IMPORTRANGE(""https://docs.google.com/spreadsheets/d/1EjEqG6oc_vmuAWwHnH51YMvSMVUVePUqN"&amp;"n9zZBOmHT8/edit#gid=757525651"",""'Allocation Breakdown'!q4:q187""))*R$119"),18000)</f>
        <v>18000</v>
      </c>
      <c r="S46" s="30">
        <f ca="1">IFERROR(__xludf.DUMMYFUNCTION("XLOOKUP($B46,IMPORTRANGE(""https://docs.google.com/spreadsheets/d/1EjEqG6oc_vmuAWwHnH51YMvSMVUVePUqNn9zZBOmHT8/edit#gid=757525651"",""'Allocation Breakdown'!A4:A187""),IMPORTRANGE(""https://docs.google.com/spreadsheets/d/1EjEqG6oc_vmuAWwHnH51YMvSMVUVePUqN"&amp;"n9zZBOmHT8/edit#gid=757525651"",""'Allocation Breakdown'!r4:r187""))*S$119"),17000)</f>
        <v>17000</v>
      </c>
      <c r="T46" s="30">
        <f ca="1">IFERROR(__xludf.DUMMYFUNCTION("XLOOKUP($B46,IMPORTRANGE(""https://docs.google.com/spreadsheets/d/1EjEqG6oc_vmuAWwHnH51YMvSMVUVePUqNn9zZBOmHT8/edit#gid=757525651"",""'Allocation Breakdown'!A4:A187""),IMPORTRANGE(""https://docs.google.com/spreadsheets/d/1EjEqG6oc_vmuAWwHnH51YMvSMVUVePUqN"&amp;"n9zZBOmHT8/edit#gid=757525651"",""'Allocation Breakdown'!t4:t187""))*T$119"),63000)</f>
        <v>63000</v>
      </c>
      <c r="U46" s="30">
        <f ca="1">IFERROR(__xludf.DUMMYFUNCTION("XLOOKUP($B46,IMPORTRANGE(""https://docs.google.com/spreadsheets/d/1EjEqG6oc_vmuAWwHnH51YMvSMVUVePUqNn9zZBOmHT8/edit#gid=757525651"",""'Allocation Breakdown'!A4:A187""),IMPORTRANGE(""https://docs.google.com/spreadsheets/d/1EjEqG6oc_vmuAWwHnH51YMvSMVUVePUqN"&amp;"n9zZBOmHT8/edit#gid=757525651"",""'Allocation Breakdown'!U4:U187""))*U$119"),99000)</f>
        <v>99000</v>
      </c>
      <c r="V46" s="31">
        <f t="shared" ca="1" si="1"/>
        <v>392836.80236109998</v>
      </c>
      <c r="W46" s="31">
        <f t="shared" ca="1" si="2"/>
        <v>464201.96493608947</v>
      </c>
      <c r="Z46" s="32"/>
      <c r="AA46" s="32"/>
      <c r="AB46" s="32"/>
    </row>
    <row r="47" spans="2:28">
      <c r="B47" s="28" t="s">
        <v>142</v>
      </c>
      <c r="C47" s="30">
        <f ca="1">IFERROR(__xludf.DUMMYFUNCTION("XLOOKUP($B47,IMPORTRANGE(""https://docs.google.com/spreadsheets/d/1EjEqG6oc_vmuAWwHnH51YMvSMVUVePUqNn9zZBOmHT8/edit#gid=757525651"",""'Allocation Breakdown'!A4:A187""),IMPORTRANGE(""https://docs.google.com/spreadsheets/d/1EjEqG6oc_vmuAWwHnH51YMvSMVUVePUqN"&amp;"n9zZBOmHT8/edit#gid=757525651"",""'Allocation Breakdown'!V4:V187""))*C$119"),1554.76210974)</f>
        <v>1554.7621097399999</v>
      </c>
      <c r="D47" s="30">
        <f ca="1">IFERROR(__xludf.DUMMYFUNCTION("XLOOKUP($B47,IMPORTRANGE(""https://docs.google.com/spreadsheets/d/1EjEqG6oc_vmuAWwHnH51YMvSMVUVePUqNn9zZBOmHT8/edit#gid=757525651"",""'Allocation Breakdown'!A4:A187""),IMPORTRANGE(""https://docs.google.com/spreadsheets/d/1EjEqG6oc_vmuAWwHnH51YMvSMVUVePUqN"&amp;"n9zZBOmHT8/edit#gid=757525651"",""'Allocation Breakdown'!I4:I187""))*$D$119"),14225.591683331)</f>
        <v>14225.591683331</v>
      </c>
      <c r="E47" s="30">
        <f ca="1">IFERROR(__xludf.DUMMYFUNCTION("XLOOKUP($B47,IMPORTRANGE(""https://docs.google.com/spreadsheets/d/1EjEqG6oc_vmuAWwHnH51YMvSMVUVePUqNn9zZBOmHT8/edit#gid=757525651"",""'Allocation Breakdown'!A4:A187""),IMPORTRANGE(""https://docs.google.com/spreadsheets/d/1EjEqG6oc_vmuAWwHnH51YMvSMVUVePUqN"&amp;"n9zZBOmHT8/edit#gid=757525651"",""'Allocation Breakdown'!V4:V187""))*E$119"),545.23789026)</f>
        <v>545.23789025999997</v>
      </c>
      <c r="F47" s="30">
        <f t="shared" ca="1" si="0"/>
        <v>14770.829573591</v>
      </c>
      <c r="G47" s="30" t="str">
        <f ca="1">IFERROR(__xludf.DUMMYFUNCTION("XLOOKUP($B47,IMPORTRANGE(""https://docs.google.com/spreadsheets/d/1EjEqG6oc_vmuAWwHnH51YMvSMVUVePUqNn9zZBOmHT8/edit#gid=757525651"",""'Allocation Breakdown'!A4:A187""),IMPORTRANGE(""https://docs.google.com/spreadsheets/d/1EjEqG6oc_vmuAWwHnH51YMvSMVUVePUqN"&amp;"n9zZBOmHT8/edit#gid=757525651"",""'Allocation Breakdown'!D4:D187""))"),"")</f>
        <v/>
      </c>
      <c r="H47" s="30">
        <f ca="1">IFERROR(__xludf.DUMMYFUNCTION("XLOOKUP($B47,IMPORTRANGE(""https://docs.google.com/spreadsheets/d/1EjEqG6oc_vmuAWwHnH51YMvSMVUVePUqNn9zZBOmHT8/edit#gid=757525651"",""'Allocation Breakdown'!A4:A187""),IMPORTRANGE(""https://docs.google.com/spreadsheets/d/1EjEqG6oc_vmuAWwHnH51YMvSMVUVePUqN"&amp;"n9zZBOmHT8/edit#gid=757525651"",""'Allocation Breakdown'!E4:E187""))"),45000)</f>
        <v>45000</v>
      </c>
      <c r="I47" s="30">
        <f ca="1">IFERROR(__xludf.DUMMYFUNCTION("XLOOKUP($B47,IMPORTRANGE(""https://docs.google.com/spreadsheets/d/1EjEqG6oc_vmuAWwHnH51YMvSMVUVePUqNn9zZBOmHT8/edit#gid=757525651"",""'Allocation Breakdown'!A4:A187""),IMPORTRANGE(""https://docs.google.com/spreadsheets/d/1EjEqG6oc_vmuAWwHnH51YMvSMVUVePUqN"&amp;"n9zZBOmHT8/edit#gid=757525651"",""'Allocation Breakdown'!F4:F187""))"),36000)</f>
        <v>36000</v>
      </c>
      <c r="J47" s="30">
        <f ca="1">IFERROR(__xludf.DUMMYFUNCTION("XLOOKUP($B47,IMPORTRANGE(""https://docs.google.com/spreadsheets/d/1EjEqG6oc_vmuAWwHnH51YMvSMVUVePUqNn9zZBOmHT8/edit#gid=757525651"",""'Allocation Breakdown'!A4:A187""),IMPORTRANGE(""https://docs.google.com/spreadsheets/d/1EjEqG6oc_vmuAWwHnH51YMvSMVUVePUqN"&amp;"n9zZBOmHT8/edit#gid=757525651"",""'Allocation Breakdown'!G4:G187""))"),3465)</f>
        <v>3465</v>
      </c>
      <c r="K47" s="30">
        <f ca="1">IFERROR(__xludf.DUMMYFUNCTION("XLOOKUP($B47,IMPORTRANGE(""https://docs.google.com/spreadsheets/d/1EjEqG6oc_vmuAWwHnH51YMvSMVUVePUqNn9zZBOmHT8/edit#gid=757525651"",""'Allocation Breakdown'!A4:A187""),IMPORTRANGE(""https://docs.google.com/spreadsheets/d/1EjEqG6oc_vmuAWwHnH51YMvSMVUVePUqN"&amp;"n9zZBOmHT8/edit#gid=757525651"",""'Allocation Breakdown'!I4:I187""))*K$119"),1249.8769272)</f>
        <v>1249.8769272</v>
      </c>
      <c r="L47" s="30">
        <f ca="1">IFERROR(__xludf.DUMMYFUNCTION("XLOOKUP($B47,IMPORTRANGE(""https://docs.google.com/spreadsheets/d/1EjEqG6oc_vmuAWwHnH51YMvSMVUVePUqNn9zZBOmHT8/edit#gid=757525651"",""'Allocation Breakdown'!A4:A187""),IMPORTRANGE(""https://docs.google.com/spreadsheets/d/1EjEqG6oc_vmuAWwHnH51YMvSMVUVePUqN"&amp;"n9zZBOmHT8/edit#gid=757525651"",""'Allocation Breakdown'!j4:j187""))*L$119"),7403.084461)</f>
        <v>7403.0844610000004</v>
      </c>
      <c r="M47" s="30">
        <f ca="1">IFERROR(__xludf.DUMMYFUNCTION("XLOOKUP($B47,IMPORTRANGE(""https://docs.google.com/spreadsheets/d/1EjEqG6oc_vmuAWwHnH51YMvSMVUVePUqNn9zZBOmHT8/edit#gid=757525651"",""'Allocation Breakdown'!A4:A187""),IMPORTRANGE(""https://docs.google.com/spreadsheets/d/1EjEqG6oc_vmuAWwHnH51YMvSMVUVePUqN"&amp;"n9zZBOmHT8/edit#gid=757525651"",""'Allocation Breakdown'!K4:K187""))*M$119"),7177.245219)</f>
        <v>7177.2452190000004</v>
      </c>
      <c r="N47" s="30">
        <f ca="1">IFERROR(__xludf.DUMMYFUNCTION("XLOOKUP($B47,IMPORTRANGE(""https://docs.google.com/spreadsheets/d/1EjEqG6oc_vmuAWwHnH51YMvSMVUVePUqNn9zZBOmHT8/edit#gid=757525651"",""'Allocation Breakdown'!A4:A187""),IMPORTRANGE(""https://docs.google.com/spreadsheets/d/1EjEqG6oc_vmuAWwHnH51YMvSMVUVePUqN"&amp;"n9zZBOmHT8/edit#gid=757525651"",""'Allocation Breakdown'!l4:l187""))*N$119"),1903.7201016)</f>
        <v>1903.7201015999999</v>
      </c>
      <c r="O47" s="30">
        <f ca="1">IFERROR(__xludf.DUMMYFUNCTION("XLOOKUP($B47,IMPORTRANGE(""https://docs.google.com/spreadsheets/d/1EjEqG6oc_vmuAWwHnH51YMvSMVUVePUqNn9zZBOmHT8/edit#gid=757525651"",""'Allocation Breakdown'!A4:A187""),IMPORTRANGE(""https://docs.google.com/spreadsheets/d/1EjEqG6oc_vmuAWwHnH51YMvSMVUVePUqN"&amp;"n9zZBOmHT8/edit#gid=757525651"",""'Allocation Breakdown'!n4:n187""))*O$119"),0)</f>
        <v>0</v>
      </c>
      <c r="P47" s="30">
        <f ca="1">IFERROR(__xludf.DUMMYFUNCTION("XLOOKUP($B47,IMPORTRANGE(""https://docs.google.com/spreadsheets/d/1EjEqG6oc_vmuAWwHnH51YMvSMVUVePUqNn9zZBOmHT8/edit#gid=757525651"",""'Allocation Breakdown'!A4:A187""),IMPORTRANGE(""https://docs.google.com/spreadsheets/d/1EjEqG6oc_vmuAWwHnH51YMvSMVUVePUqN"&amp;"n9zZBOmHT8/edit#gid=757525651"",""'Allocation Breakdown'!o4:o187""))*P$119"),4400)</f>
        <v>4400</v>
      </c>
      <c r="Q47" s="30">
        <f ca="1">IFERROR(__xludf.DUMMYFUNCTION("XLOOKUP($B47,IMPORTRANGE(""https://docs.google.com/spreadsheets/d/1EjEqG6oc_vmuAWwHnH51YMvSMVUVePUqNn9zZBOmHT8/edit#gid=757525651"",""'Allocation Breakdown'!A4:A187""),IMPORTRANGE(""https://docs.google.com/spreadsheets/d/1EjEqG6oc_vmuAWwHnH51YMvSMVUVePUqN"&amp;"n9zZBOmHT8/edit#gid=757525651"",""'Allocation Breakdown'!p4:p187""))*Q$119"),0)</f>
        <v>0</v>
      </c>
      <c r="R47" s="30">
        <f ca="1">IFERROR(__xludf.DUMMYFUNCTION("XLOOKUP($B47,IMPORTRANGE(""https://docs.google.com/spreadsheets/d/1EjEqG6oc_vmuAWwHnH51YMvSMVUVePUqNn9zZBOmHT8/edit#gid=757525651"",""'Allocation Breakdown'!A4:A187""),IMPORTRANGE(""https://docs.google.com/spreadsheets/d/1EjEqG6oc_vmuAWwHnH51YMvSMVUVePUqN"&amp;"n9zZBOmHT8/edit#gid=757525651"",""'Allocation Breakdown'!q4:q187""))*R$119"),4000)</f>
        <v>4000</v>
      </c>
      <c r="S47" s="30">
        <f ca="1">IFERROR(__xludf.DUMMYFUNCTION("XLOOKUP($B47,IMPORTRANGE(""https://docs.google.com/spreadsheets/d/1EjEqG6oc_vmuAWwHnH51YMvSMVUVePUqNn9zZBOmHT8/edit#gid=757525651"",""'Allocation Breakdown'!A4:A187""),IMPORTRANGE(""https://docs.google.com/spreadsheets/d/1EjEqG6oc_vmuAWwHnH51YMvSMVUVePUqN"&amp;"n9zZBOmHT8/edit#gid=757525651"",""'Allocation Breakdown'!r4:r187""))*S$119"),0)</f>
        <v>0</v>
      </c>
      <c r="T47" s="30">
        <f ca="1">IFERROR(__xludf.DUMMYFUNCTION("XLOOKUP($B47,IMPORTRANGE(""https://docs.google.com/spreadsheets/d/1EjEqG6oc_vmuAWwHnH51YMvSMVUVePUqNn9zZBOmHT8/edit#gid=757525651"",""'Allocation Breakdown'!A4:A187""),IMPORTRANGE(""https://docs.google.com/spreadsheets/d/1EjEqG6oc_vmuAWwHnH51YMvSMVUVePUqN"&amp;"n9zZBOmHT8/edit#gid=757525651"",""'Allocation Breakdown'!t4:t187""))*T$119"),14000)</f>
        <v>14000</v>
      </c>
      <c r="U47" s="30">
        <f ca="1">IFERROR(__xludf.DUMMYFUNCTION("XLOOKUP($B47,IMPORTRANGE(""https://docs.google.com/spreadsheets/d/1EjEqG6oc_vmuAWwHnH51YMvSMVUVePUqNn9zZBOmHT8/edit#gid=757525651"",""'Allocation Breakdown'!A4:A187""),IMPORTRANGE(""https://docs.google.com/spreadsheets/d/1EjEqG6oc_vmuAWwHnH51YMvSMVUVePUqN"&amp;"n9zZBOmHT8/edit#gid=757525651"",""'Allocation Breakdown'!U4:U187""))*U$119"),22000)</f>
        <v>22000</v>
      </c>
      <c r="V47" s="31">
        <f t="shared" ca="1" si="1"/>
        <v>146598.92670880002</v>
      </c>
      <c r="W47" s="31">
        <f t="shared" ca="1" si="2"/>
        <v>162924.51839213102</v>
      </c>
      <c r="Z47" s="32"/>
      <c r="AA47" s="32"/>
      <c r="AB47" s="32"/>
    </row>
    <row r="48" spans="2:28" ht="15.75" customHeight="1">
      <c r="B48" s="28" t="s">
        <v>143</v>
      </c>
      <c r="C48" s="30">
        <f ca="1">IFERROR(__xludf.DUMMYFUNCTION("XLOOKUP($B48,IMPORTRANGE(""https://docs.google.com/spreadsheets/d/1EjEqG6oc_vmuAWwHnH51YMvSMVUVePUqNn9zZBOmHT8/edit#gid=757525651"",""'Allocation Breakdown'!A4:A187""),IMPORTRANGE(""https://docs.google.com/spreadsheets/d/1EjEqG6oc_vmuAWwHnH51YMvSMVUVePUqN"&amp;"n9zZBOmHT8/edit#gid=757525651"",""'Allocation Breakdown'!V4:V187""))*C$119"),1554.76210974)</f>
        <v>1554.7621097399999</v>
      </c>
      <c r="D48" s="30">
        <f ca="1">IFERROR(__xludf.DUMMYFUNCTION("XLOOKUP($B48,IMPORTRANGE(""https://docs.google.com/spreadsheets/d/1EjEqG6oc_vmuAWwHnH51YMvSMVUVePUqNn9zZBOmHT8/edit#gid=757525651"",""'Allocation Breakdown'!A4:A187""),IMPORTRANGE(""https://docs.google.com/spreadsheets/d/1EjEqG6oc_vmuAWwHnH51YMvSMVUVePUqN"&amp;"n9zZBOmHT8/edit#gid=757525651"",""'Allocation Breakdown'!I4:I187""))*$D$119"),28451.183366662)</f>
        <v>28451.183366662</v>
      </c>
      <c r="E48" s="30">
        <f ca="1">IFERROR(__xludf.DUMMYFUNCTION("XLOOKUP($B48,IMPORTRANGE(""https://docs.google.com/spreadsheets/d/1EjEqG6oc_vmuAWwHnH51YMvSMVUVePUqNn9zZBOmHT8/edit#gid=757525651"",""'Allocation Breakdown'!A4:A187""),IMPORTRANGE(""https://docs.google.com/spreadsheets/d/1EjEqG6oc_vmuAWwHnH51YMvSMVUVePUqN"&amp;"n9zZBOmHT8/edit#gid=757525651"",""'Allocation Breakdown'!V4:V187""))*E$119"),545.23789026)</f>
        <v>545.23789025999997</v>
      </c>
      <c r="F48" s="30">
        <f t="shared" ca="1" si="0"/>
        <v>28996.421256922</v>
      </c>
      <c r="G48" s="30" t="str">
        <f ca="1">IFERROR(__xludf.DUMMYFUNCTION("XLOOKUP($B48,IMPORTRANGE(""https://docs.google.com/spreadsheets/d/1EjEqG6oc_vmuAWwHnH51YMvSMVUVePUqNn9zZBOmHT8/edit#gid=757525651"",""'Allocation Breakdown'!A4:A187""),IMPORTRANGE(""https://docs.google.com/spreadsheets/d/1EjEqG6oc_vmuAWwHnH51YMvSMVUVePUqN"&amp;"n9zZBOmHT8/edit#gid=757525651"",""'Allocation Breakdown'!D4:D187""))"),"")</f>
        <v/>
      </c>
      <c r="H48" s="30">
        <f ca="1">IFERROR(__xludf.DUMMYFUNCTION("XLOOKUP($B48,IMPORTRANGE(""https://docs.google.com/spreadsheets/d/1EjEqG6oc_vmuAWwHnH51YMvSMVUVePUqNn9zZBOmHT8/edit#gid=757525651"",""'Allocation Breakdown'!A4:A187""),IMPORTRANGE(""https://docs.google.com/spreadsheets/d/1EjEqG6oc_vmuAWwHnH51YMvSMVUVePUqN"&amp;"n9zZBOmHT8/edit#gid=757525651"",""'Allocation Breakdown'!E4:E187""))"),30000)</f>
        <v>30000</v>
      </c>
      <c r="I48" s="30">
        <f ca="1">IFERROR(__xludf.DUMMYFUNCTION("XLOOKUP($B48,IMPORTRANGE(""https://docs.google.com/spreadsheets/d/1EjEqG6oc_vmuAWwHnH51YMvSMVUVePUqNn9zZBOmHT8/edit#gid=757525651"",""'Allocation Breakdown'!A4:A187""),IMPORTRANGE(""https://docs.google.com/spreadsheets/d/1EjEqG6oc_vmuAWwHnH51YMvSMVUVePUqN"&amp;"n9zZBOmHT8/edit#gid=757525651"",""'Allocation Breakdown'!F4:F187""))"),29100)</f>
        <v>29100</v>
      </c>
      <c r="J48" s="30" t="str">
        <f ca="1">IFERROR(__xludf.DUMMYFUNCTION("XLOOKUP($B48,IMPORTRANGE(""https://docs.google.com/spreadsheets/d/1EjEqG6oc_vmuAWwHnH51YMvSMVUVePUqNn9zZBOmHT8/edit#gid=757525651"",""'Allocation Breakdown'!A4:A187""),IMPORTRANGE(""https://docs.google.com/spreadsheets/d/1EjEqG6oc_vmuAWwHnH51YMvSMVUVePUqN"&amp;"n9zZBOmHT8/edit#gid=757525651"",""'Allocation Breakdown'!G4:G187""))"),"")</f>
        <v/>
      </c>
      <c r="K48" s="30">
        <f ca="1">IFERROR(__xludf.DUMMYFUNCTION("XLOOKUP($B48,IMPORTRANGE(""https://docs.google.com/spreadsheets/d/1EjEqG6oc_vmuAWwHnH51YMvSMVUVePUqNn9zZBOmHT8/edit#gid=757525651"",""'Allocation Breakdown'!A4:A187""),IMPORTRANGE(""https://docs.google.com/spreadsheets/d/1EjEqG6oc_vmuAWwHnH51YMvSMVUVePUqN"&amp;"n9zZBOmHT8/edit#gid=757525651"",""'Allocation Breakdown'!I4:I187""))*K$119"),2499.7538544)</f>
        <v>2499.7538543999999</v>
      </c>
      <c r="L48" s="30">
        <f ca="1">IFERROR(__xludf.DUMMYFUNCTION("XLOOKUP($B48,IMPORTRANGE(""https://docs.google.com/spreadsheets/d/1EjEqG6oc_vmuAWwHnH51YMvSMVUVePUqNn9zZBOmHT8/edit#gid=757525651"",""'Allocation Breakdown'!A4:A187""),IMPORTRANGE(""https://docs.google.com/spreadsheets/d/1EjEqG6oc_vmuAWwHnH51YMvSMVUVePUqN"&amp;"n9zZBOmHT8/edit#gid=757525651"",""'Allocation Breakdown'!j4:j187""))*L$119"),18507.7111525)</f>
        <v>18507.7111525</v>
      </c>
      <c r="M48" s="30">
        <f ca="1">IFERROR(__xludf.DUMMYFUNCTION("XLOOKUP($B48,IMPORTRANGE(""https://docs.google.com/spreadsheets/d/1EjEqG6oc_vmuAWwHnH51YMvSMVUVePUqNn9zZBOmHT8/edit#gid=757525651"",""'Allocation Breakdown'!A4:A187""),IMPORTRANGE(""https://docs.google.com/spreadsheets/d/1EjEqG6oc_vmuAWwHnH51YMvSMVUVePUqN"&amp;"n9zZBOmHT8/edit#gid=757525651"",""'Allocation Breakdown'!K4:K187""))*M$119"),14354.490438)</f>
        <v>14354.490438000001</v>
      </c>
      <c r="N48" s="30">
        <f ca="1">IFERROR(__xludf.DUMMYFUNCTION("XLOOKUP($B48,IMPORTRANGE(""https://docs.google.com/spreadsheets/d/1EjEqG6oc_vmuAWwHnH51YMvSMVUVePUqNn9zZBOmHT8/edit#gid=757525651"",""'Allocation Breakdown'!A4:A187""),IMPORTRANGE(""https://docs.google.com/spreadsheets/d/1EjEqG6oc_vmuAWwHnH51YMvSMVUVePUqN"&amp;"n9zZBOmHT8/edit#gid=757525651"",""'Allocation Breakdown'!l4:l187""))*N$119"),3807.4402032)</f>
        <v>3807.4402031999998</v>
      </c>
      <c r="O48" s="30">
        <f ca="1">IFERROR(__xludf.DUMMYFUNCTION("XLOOKUP($B48,IMPORTRANGE(""https://docs.google.com/spreadsheets/d/1EjEqG6oc_vmuAWwHnH51YMvSMVUVePUqNn9zZBOmHT8/edit#gid=757525651"",""'Allocation Breakdown'!A4:A187""),IMPORTRANGE(""https://docs.google.com/spreadsheets/d/1EjEqG6oc_vmuAWwHnH51YMvSMVUVePUqN"&amp;"n9zZBOmHT8/edit#gid=757525651"",""'Allocation Breakdown'!n4:n187""))*O$119"),0)</f>
        <v>0</v>
      </c>
      <c r="P48" s="30">
        <f ca="1">IFERROR(__xludf.DUMMYFUNCTION("XLOOKUP($B48,IMPORTRANGE(""https://docs.google.com/spreadsheets/d/1EjEqG6oc_vmuAWwHnH51YMvSMVUVePUqNn9zZBOmHT8/edit#gid=757525651"",""'Allocation Breakdown'!A4:A187""),IMPORTRANGE(""https://docs.google.com/spreadsheets/d/1EjEqG6oc_vmuAWwHnH51YMvSMVUVePUqN"&amp;"n9zZBOmHT8/edit#gid=757525651"",""'Allocation Breakdown'!o4:o187""))*P$119"),4400)</f>
        <v>4400</v>
      </c>
      <c r="Q48" s="30">
        <f ca="1">IFERROR(__xludf.DUMMYFUNCTION("XLOOKUP($B48,IMPORTRANGE(""https://docs.google.com/spreadsheets/d/1EjEqG6oc_vmuAWwHnH51YMvSMVUVePUqNn9zZBOmHT8/edit#gid=757525651"",""'Allocation Breakdown'!A4:A187""),IMPORTRANGE(""https://docs.google.com/spreadsheets/d/1EjEqG6oc_vmuAWwHnH51YMvSMVUVePUqN"&amp;"n9zZBOmHT8/edit#gid=757525651"",""'Allocation Breakdown'!p4:p187""))*Q$119"),8000)</f>
        <v>8000</v>
      </c>
      <c r="R48" s="30">
        <f ca="1">IFERROR(__xludf.DUMMYFUNCTION("XLOOKUP($B48,IMPORTRANGE(""https://docs.google.com/spreadsheets/d/1EjEqG6oc_vmuAWwHnH51YMvSMVUVePUqNn9zZBOmHT8/edit#gid=757525651"",""'Allocation Breakdown'!A4:A187""),IMPORTRANGE(""https://docs.google.com/spreadsheets/d/1EjEqG6oc_vmuAWwHnH51YMvSMVUVePUqN"&amp;"n9zZBOmHT8/edit#gid=757525651"",""'Allocation Breakdown'!q4:q187""))*R$119"),4000)</f>
        <v>4000</v>
      </c>
      <c r="S48" s="30">
        <f ca="1">IFERROR(__xludf.DUMMYFUNCTION("XLOOKUP($B48,IMPORTRANGE(""https://docs.google.com/spreadsheets/d/1EjEqG6oc_vmuAWwHnH51YMvSMVUVePUqNn9zZBOmHT8/edit#gid=757525651"",""'Allocation Breakdown'!A4:A187""),IMPORTRANGE(""https://docs.google.com/spreadsheets/d/1EjEqG6oc_vmuAWwHnH51YMvSMVUVePUqN"&amp;"n9zZBOmHT8/edit#gid=757525651"",""'Allocation Breakdown'!r4:r187""))*S$119"),8000)</f>
        <v>8000</v>
      </c>
      <c r="T48" s="30">
        <f ca="1">IFERROR(__xludf.DUMMYFUNCTION("XLOOKUP($B48,IMPORTRANGE(""https://docs.google.com/spreadsheets/d/1EjEqG6oc_vmuAWwHnH51YMvSMVUVePUqNn9zZBOmHT8/edit#gid=757525651"",""'Allocation Breakdown'!A4:A187""),IMPORTRANGE(""https://docs.google.com/spreadsheets/d/1EjEqG6oc_vmuAWwHnH51YMvSMVUVePUqN"&amp;"n9zZBOmHT8/edit#gid=757525651"",""'Allocation Breakdown'!t4:t187""))*T$119"),28000)</f>
        <v>28000</v>
      </c>
      <c r="U48" s="30">
        <f ca="1">IFERROR(__xludf.DUMMYFUNCTION("XLOOKUP($B48,IMPORTRANGE(""https://docs.google.com/spreadsheets/d/1EjEqG6oc_vmuAWwHnH51YMvSMVUVePUqNn9zZBOmHT8/edit#gid=757525651"",""'Allocation Breakdown'!A4:A187""),IMPORTRANGE(""https://docs.google.com/spreadsheets/d/1EjEqG6oc_vmuAWwHnH51YMvSMVUVePUqN"&amp;"n9zZBOmHT8/edit#gid=757525651"",""'Allocation Breakdown'!U4:U187""))*U$119"),44000)</f>
        <v>44000</v>
      </c>
      <c r="V48" s="31">
        <f t="shared" ca="1" si="1"/>
        <v>194669.39564810001</v>
      </c>
      <c r="W48" s="31">
        <f t="shared" ca="1" si="2"/>
        <v>225220.57901476201</v>
      </c>
      <c r="Z48" s="32"/>
      <c r="AA48" s="32"/>
      <c r="AB48" s="32"/>
    </row>
    <row r="49" spans="2:28" ht="15.75" customHeight="1">
      <c r="B49" s="28" t="s">
        <v>144</v>
      </c>
      <c r="C49" s="30">
        <f ca="1">IFERROR(__xludf.DUMMYFUNCTION("XLOOKUP($B49,IMPORTRANGE(""https://docs.google.com/spreadsheets/d/1EjEqG6oc_vmuAWwHnH51YMvSMVUVePUqNn9zZBOmHT8/edit#gid=757525651"",""'Allocation Breakdown'!A4:A187""),IMPORTRANGE(""https://docs.google.com/spreadsheets/d/1EjEqG6oc_vmuAWwHnH51YMvSMVUVePUqN"&amp;"n9zZBOmHT8/edit#gid=757525651"",""'Allocation Breakdown'!V4:V187""))*C$119"),2332.14316461)</f>
        <v>2332.14316461</v>
      </c>
      <c r="D49" s="30">
        <f ca="1">IFERROR(__xludf.DUMMYFUNCTION("XLOOKUP($B49,IMPORTRANGE(""https://docs.google.com/spreadsheets/d/1EjEqG6oc_vmuAWwHnH51YMvSMVUVePUqNn9zZBOmHT8/edit#gid=757525651"",""'Allocation Breakdown'!A4:A187""),IMPORTRANGE(""https://docs.google.com/spreadsheets/d/1EjEqG6oc_vmuAWwHnH51YMvSMVUVePUqN"&amp;"n9zZBOmHT8/edit#gid=757525651"",""'Allocation Breakdown'!I4:I187""))*$D$119"),21338.3875249965)</f>
        <v>21338.387524996499</v>
      </c>
      <c r="E49" s="30">
        <f ca="1">IFERROR(__xludf.DUMMYFUNCTION("XLOOKUP($B49,IMPORTRANGE(""https://docs.google.com/spreadsheets/d/1EjEqG6oc_vmuAWwHnH51YMvSMVUVePUqNn9zZBOmHT8/edit#gid=757525651"",""'Allocation Breakdown'!A4:A187""),IMPORTRANGE(""https://docs.google.com/spreadsheets/d/1EjEqG6oc_vmuAWwHnH51YMvSMVUVePUqN"&amp;"n9zZBOmHT8/edit#gid=757525651"",""'Allocation Breakdown'!V4:V187""))*E$119"),817.85683539)</f>
        <v>817.85683539000001</v>
      </c>
      <c r="F49" s="30">
        <f t="shared" ca="1" si="0"/>
        <v>22156.244360386499</v>
      </c>
      <c r="G49" s="30">
        <f ca="1">IFERROR(__xludf.DUMMYFUNCTION("XLOOKUP($B49,IMPORTRANGE(""https://docs.google.com/spreadsheets/d/1EjEqG6oc_vmuAWwHnH51YMvSMVUVePUqNn9zZBOmHT8/edit#gid=757525651"",""'Allocation Breakdown'!A4:A187""),IMPORTRANGE(""https://docs.google.com/spreadsheets/d/1EjEqG6oc_vmuAWwHnH51YMvSMVUVePUqN"&amp;"n9zZBOmHT8/edit#gid=757525651"",""'Allocation Breakdown'!D4:D187""))"),15000)</f>
        <v>15000</v>
      </c>
      <c r="H49" s="30">
        <f ca="1">IFERROR(__xludf.DUMMYFUNCTION("XLOOKUP($B49,IMPORTRANGE(""https://docs.google.com/spreadsheets/d/1EjEqG6oc_vmuAWwHnH51YMvSMVUVePUqNn9zZBOmHT8/edit#gid=757525651"",""'Allocation Breakdown'!A4:A187""),IMPORTRANGE(""https://docs.google.com/spreadsheets/d/1EjEqG6oc_vmuAWwHnH51YMvSMVUVePUqN"&amp;"n9zZBOmHT8/edit#gid=757525651"",""'Allocation Breakdown'!E4:E187""))"),300000)</f>
        <v>300000</v>
      </c>
      <c r="I49" s="30">
        <f ca="1">IFERROR(__xludf.DUMMYFUNCTION("XLOOKUP($B49,IMPORTRANGE(""https://docs.google.com/spreadsheets/d/1EjEqG6oc_vmuAWwHnH51YMvSMVUVePUqNn9zZBOmHT8/edit#gid=757525651"",""'Allocation Breakdown'!A4:A187""),IMPORTRANGE(""https://docs.google.com/spreadsheets/d/1EjEqG6oc_vmuAWwHnH51YMvSMVUVePUqN"&amp;"n9zZBOmHT8/edit#gid=757525651"",""'Allocation Breakdown'!F4:F187""))"),40000)</f>
        <v>40000</v>
      </c>
      <c r="J49" s="30">
        <f ca="1">IFERROR(__xludf.DUMMYFUNCTION("XLOOKUP($B49,IMPORTRANGE(""https://docs.google.com/spreadsheets/d/1EjEqG6oc_vmuAWwHnH51YMvSMVUVePUqNn9zZBOmHT8/edit#gid=757525651"",""'Allocation Breakdown'!A4:A187""),IMPORTRANGE(""https://docs.google.com/spreadsheets/d/1EjEqG6oc_vmuAWwHnH51YMvSMVUVePUqN"&amp;"n9zZBOmHT8/edit#gid=757525651"",""'Allocation Breakdown'!G4:G187""))"),27525)</f>
        <v>27525</v>
      </c>
      <c r="K49" s="30">
        <f ca="1">IFERROR(__xludf.DUMMYFUNCTION("XLOOKUP($B49,IMPORTRANGE(""https://docs.google.com/spreadsheets/d/1EjEqG6oc_vmuAWwHnH51YMvSMVUVePUqNn9zZBOmHT8/edit#gid=757525651"",""'Allocation Breakdown'!A4:A187""),IMPORTRANGE(""https://docs.google.com/spreadsheets/d/1EjEqG6oc_vmuAWwHnH51YMvSMVUVePUqN"&amp;"n9zZBOmHT8/edit#gid=757525651"",""'Allocation Breakdown'!I4:I187""))*K$119"),1874.8153908)</f>
        <v>1874.8153907999999</v>
      </c>
      <c r="L49" s="30">
        <f ca="1">IFERROR(__xludf.DUMMYFUNCTION("XLOOKUP($B49,IMPORTRANGE(""https://docs.google.com/spreadsheets/d/1EjEqG6oc_vmuAWwHnH51YMvSMVUVePUqNn9zZBOmHT8/edit#gid=757525651"",""'Allocation Breakdown'!A4:A187""),IMPORTRANGE(""https://docs.google.com/spreadsheets/d/1EjEqG6oc_vmuAWwHnH51YMvSMVUVePUqN"&amp;"n9zZBOmHT8/edit#gid=757525651"",""'Allocation Breakdown'!j4:j187""))*L$119"),11104.6266915)</f>
        <v>11104.6266915</v>
      </c>
      <c r="M49" s="30">
        <f ca="1">IFERROR(__xludf.DUMMYFUNCTION("XLOOKUP($B49,IMPORTRANGE(""https://docs.google.com/spreadsheets/d/1EjEqG6oc_vmuAWwHnH51YMvSMVUVePUqNn9zZBOmHT8/edit#gid=757525651"",""'Allocation Breakdown'!A4:A187""),IMPORTRANGE(""https://docs.google.com/spreadsheets/d/1EjEqG6oc_vmuAWwHnH51YMvSMVUVePUqN"&amp;"n9zZBOmHT8/edit#gid=757525651"",""'Allocation Breakdown'!K4:K187""))*M$119"),10765.8678285)</f>
        <v>10765.867828500001</v>
      </c>
      <c r="N49" s="30">
        <f ca="1">IFERROR(__xludf.DUMMYFUNCTION("XLOOKUP($B49,IMPORTRANGE(""https://docs.google.com/spreadsheets/d/1EjEqG6oc_vmuAWwHnH51YMvSMVUVePUqNn9zZBOmHT8/edit#gid=757525651"",""'Allocation Breakdown'!A4:A187""),IMPORTRANGE(""https://docs.google.com/spreadsheets/d/1EjEqG6oc_vmuAWwHnH51YMvSMVUVePUqN"&amp;"n9zZBOmHT8/edit#gid=757525651"",""'Allocation Breakdown'!l4:l187""))*N$119"),2855.5801524)</f>
        <v>2855.5801523999999</v>
      </c>
      <c r="O49" s="30">
        <f ca="1">IFERROR(__xludf.DUMMYFUNCTION("XLOOKUP($B49,IMPORTRANGE(""https://docs.google.com/spreadsheets/d/1EjEqG6oc_vmuAWwHnH51YMvSMVUVePUqNn9zZBOmHT8/edit#gid=757525651"",""'Allocation Breakdown'!A4:A187""),IMPORTRANGE(""https://docs.google.com/spreadsheets/d/1EjEqG6oc_vmuAWwHnH51YMvSMVUVePUqN"&amp;"n9zZBOmHT8/edit#gid=757525651"",""'Allocation Breakdown'!n4:n187""))*O$119"),0)</f>
        <v>0</v>
      </c>
      <c r="P49" s="30">
        <f ca="1">IFERROR(__xludf.DUMMYFUNCTION("XLOOKUP($B49,IMPORTRANGE(""https://docs.google.com/spreadsheets/d/1EjEqG6oc_vmuAWwHnH51YMvSMVUVePUqNn9zZBOmHT8/edit#gid=757525651"",""'Allocation Breakdown'!A4:A187""),IMPORTRANGE(""https://docs.google.com/spreadsheets/d/1EjEqG6oc_vmuAWwHnH51YMvSMVUVePUqN"&amp;"n9zZBOmHT8/edit#gid=757525651"",""'Allocation Breakdown'!o4:o187""))*P$119"),6600)</f>
        <v>6600</v>
      </c>
      <c r="Q49" s="30">
        <f ca="1">IFERROR(__xludf.DUMMYFUNCTION("XLOOKUP($B49,IMPORTRANGE(""https://docs.google.com/spreadsheets/d/1EjEqG6oc_vmuAWwHnH51YMvSMVUVePUqNn9zZBOmHT8/edit#gid=757525651"",""'Allocation Breakdown'!A4:A187""),IMPORTRANGE(""https://docs.google.com/spreadsheets/d/1EjEqG6oc_vmuAWwHnH51YMvSMVUVePUqN"&amp;"n9zZBOmHT8/edit#gid=757525651"",""'Allocation Breakdown'!p4:p187""))*Q$119"),6000)</f>
        <v>6000</v>
      </c>
      <c r="R49" s="30">
        <f ca="1">IFERROR(__xludf.DUMMYFUNCTION("XLOOKUP($B49,IMPORTRANGE(""https://docs.google.com/spreadsheets/d/1EjEqG6oc_vmuAWwHnH51YMvSMVUVePUqNn9zZBOmHT8/edit#gid=757525651"",""'Allocation Breakdown'!A4:A187""),IMPORTRANGE(""https://docs.google.com/spreadsheets/d/1EjEqG6oc_vmuAWwHnH51YMvSMVUVePUqN"&amp;"n9zZBOmHT8/edit#gid=757525651"",""'Allocation Breakdown'!q4:q187""))*R$119"),6000)</f>
        <v>6000</v>
      </c>
      <c r="S49" s="30">
        <f ca="1">IFERROR(__xludf.DUMMYFUNCTION("XLOOKUP($B49,IMPORTRANGE(""https://docs.google.com/spreadsheets/d/1EjEqG6oc_vmuAWwHnH51YMvSMVUVePUqNn9zZBOmHT8/edit#gid=757525651"",""'Allocation Breakdown'!A4:A187""),IMPORTRANGE(""https://docs.google.com/spreadsheets/d/1EjEqG6oc_vmuAWwHnH51YMvSMVUVePUqN"&amp;"n9zZBOmHT8/edit#gid=757525651"",""'Allocation Breakdown'!r4:r187""))*S$119"),6000)</f>
        <v>6000</v>
      </c>
      <c r="T49" s="30">
        <f ca="1">IFERROR(__xludf.DUMMYFUNCTION("XLOOKUP($B49,IMPORTRANGE(""https://docs.google.com/spreadsheets/d/1EjEqG6oc_vmuAWwHnH51YMvSMVUVePUqNn9zZBOmHT8/edit#gid=757525651"",""'Allocation Breakdown'!A4:A187""),IMPORTRANGE(""https://docs.google.com/spreadsheets/d/1EjEqG6oc_vmuAWwHnH51YMvSMVUVePUqN"&amp;"n9zZBOmHT8/edit#gid=757525651"",""'Allocation Breakdown'!t4:t187""))*T$119"),21000)</f>
        <v>21000</v>
      </c>
      <c r="U49" s="30">
        <f ca="1">IFERROR(__xludf.DUMMYFUNCTION("XLOOKUP($B49,IMPORTRANGE(""https://docs.google.com/spreadsheets/d/1EjEqG6oc_vmuAWwHnH51YMvSMVUVePUqNn9zZBOmHT8/edit#gid=757525651"",""'Allocation Breakdown'!A4:A187""),IMPORTRANGE(""https://docs.google.com/spreadsheets/d/1EjEqG6oc_vmuAWwHnH51YMvSMVUVePUqN"&amp;"n9zZBOmHT8/edit#gid=757525651"",""'Allocation Breakdown'!U4:U187""))*U$119"),33000)</f>
        <v>33000</v>
      </c>
      <c r="V49" s="31">
        <f t="shared" ca="1" si="1"/>
        <v>487725.89006320003</v>
      </c>
      <c r="W49" s="31">
        <f t="shared" ca="1" si="2"/>
        <v>512214.27758819656</v>
      </c>
      <c r="Z49" s="32"/>
      <c r="AA49" s="32"/>
      <c r="AB49" s="32"/>
    </row>
    <row r="50" spans="2:28">
      <c r="B50" s="28" t="s">
        <v>145</v>
      </c>
      <c r="C50" s="30">
        <f ca="1">IFERROR(__xludf.DUMMYFUNCTION("XLOOKUP($B50,IMPORTRANGE(""https://docs.google.com/spreadsheets/d/1EjEqG6oc_vmuAWwHnH51YMvSMVUVePUqNn9zZBOmHT8/edit#gid=757525651"",""'Allocation Breakdown'!A4:A187""),IMPORTRANGE(""https://docs.google.com/spreadsheets/d/1EjEqG6oc_vmuAWwHnH51YMvSMVUVePUqN"&amp;"n9zZBOmHT8/edit#gid=757525651"",""'Allocation Breakdown'!V4:V187""))*C$119"),2332.14316461)</f>
        <v>2332.14316461</v>
      </c>
      <c r="D50" s="30">
        <f ca="1">IFERROR(__xludf.DUMMYFUNCTION("XLOOKUP($B50,IMPORTRANGE(""https://docs.google.com/spreadsheets/d/1EjEqG6oc_vmuAWwHnH51YMvSMVUVePUqNn9zZBOmHT8/edit#gid=757525651"",""'Allocation Breakdown'!A4:A187""),IMPORTRANGE(""https://docs.google.com/spreadsheets/d/1EjEqG6oc_vmuAWwHnH51YMvSMVUVePUqN"&amp;"n9zZBOmHT8/edit#gid=757525651"",""'Allocation Breakdown'!I4:I187""))*$D$119"),42676.775049993)</f>
        <v>42676.775049992997</v>
      </c>
      <c r="E50" s="30">
        <f ca="1">IFERROR(__xludf.DUMMYFUNCTION("XLOOKUP($B50,IMPORTRANGE(""https://docs.google.com/spreadsheets/d/1EjEqG6oc_vmuAWwHnH51YMvSMVUVePUqNn9zZBOmHT8/edit#gid=757525651"",""'Allocation Breakdown'!A4:A187""),IMPORTRANGE(""https://docs.google.com/spreadsheets/d/1EjEqG6oc_vmuAWwHnH51YMvSMVUVePUqN"&amp;"n9zZBOmHT8/edit#gid=757525651"",""'Allocation Breakdown'!V4:V187""))*E$119"),817.85683539)</f>
        <v>817.85683539000001</v>
      </c>
      <c r="F50" s="30">
        <f t="shared" ca="1" si="0"/>
        <v>43494.631885382994</v>
      </c>
      <c r="G50" s="30">
        <f ca="1">IFERROR(__xludf.DUMMYFUNCTION("XLOOKUP($B50,IMPORTRANGE(""https://docs.google.com/spreadsheets/d/1EjEqG6oc_vmuAWwHnH51YMvSMVUVePUqNn9zZBOmHT8/edit#gid=757525651"",""'Allocation Breakdown'!A4:A187""),IMPORTRANGE(""https://docs.google.com/spreadsheets/d/1EjEqG6oc_vmuAWwHnH51YMvSMVUVePUqN"&amp;"n9zZBOmHT8/edit#gid=757525651"",""'Allocation Breakdown'!D4:D187""))"),30000)</f>
        <v>30000</v>
      </c>
      <c r="H50" s="30" t="str">
        <f ca="1">IFERROR(__xludf.DUMMYFUNCTION("XLOOKUP($B50,IMPORTRANGE(""https://docs.google.com/spreadsheets/d/1EjEqG6oc_vmuAWwHnH51YMvSMVUVePUqNn9zZBOmHT8/edit#gid=757525651"",""'Allocation Breakdown'!A4:A187""),IMPORTRANGE(""https://docs.google.com/spreadsheets/d/1EjEqG6oc_vmuAWwHnH51YMvSMVUVePUqN"&amp;"n9zZBOmHT8/edit#gid=757525651"",""'Allocation Breakdown'!E4:E187""))"),"")</f>
        <v/>
      </c>
      <c r="I50" s="30">
        <f ca="1">IFERROR(__xludf.DUMMYFUNCTION("XLOOKUP($B50,IMPORTRANGE(""https://docs.google.com/spreadsheets/d/1EjEqG6oc_vmuAWwHnH51YMvSMVUVePUqNn9zZBOmHT8/edit#gid=757525651"",""'Allocation Breakdown'!A4:A187""),IMPORTRANGE(""https://docs.google.com/spreadsheets/d/1EjEqG6oc_vmuAWwHnH51YMvSMVUVePUqN"&amp;"n9zZBOmHT8/edit#gid=757525651"",""'Allocation Breakdown'!F4:F187""))"),108000)</f>
        <v>108000</v>
      </c>
      <c r="J50" s="30">
        <f ca="1">IFERROR(__xludf.DUMMYFUNCTION("XLOOKUP($B50,IMPORTRANGE(""https://docs.google.com/spreadsheets/d/1EjEqG6oc_vmuAWwHnH51YMvSMVUVePUqNn9zZBOmHT8/edit#gid=757525651"",""'Allocation Breakdown'!A4:A187""),IMPORTRANGE(""https://docs.google.com/spreadsheets/d/1EjEqG6oc_vmuAWwHnH51YMvSMVUVePUqN"&amp;"n9zZBOmHT8/edit#gid=757525651"",""'Allocation Breakdown'!G4:G187""))"),9175)</f>
        <v>9175</v>
      </c>
      <c r="K50" s="30">
        <f ca="1">IFERROR(__xludf.DUMMYFUNCTION("XLOOKUP($B50,IMPORTRANGE(""https://docs.google.com/spreadsheets/d/1EjEqG6oc_vmuAWwHnH51YMvSMVUVePUqNn9zZBOmHT8/edit#gid=757525651"",""'Allocation Breakdown'!A4:A187""),IMPORTRANGE(""https://docs.google.com/spreadsheets/d/1EjEqG6oc_vmuAWwHnH51YMvSMVUVePUqN"&amp;"n9zZBOmHT8/edit#gid=757525651"",""'Allocation Breakdown'!I4:I187""))*K$119"),3749.6307816)</f>
        <v>3749.6307815999999</v>
      </c>
      <c r="L50" s="30">
        <f ca="1">IFERROR(__xludf.DUMMYFUNCTION("XLOOKUP($B50,IMPORTRANGE(""https://docs.google.com/spreadsheets/d/1EjEqG6oc_vmuAWwHnH51YMvSMVUVePUqNn9zZBOmHT8/edit#gid=757525651"",""'Allocation Breakdown'!A4:A187""),IMPORTRANGE(""https://docs.google.com/spreadsheets/d/1EjEqG6oc_vmuAWwHnH51YMvSMVUVePUqN"&amp;"n9zZBOmHT8/edit#gid=757525651"",""'Allocation Breakdown'!j4:j187""))*L$119"),22209.253383)</f>
        <v>22209.253382999999</v>
      </c>
      <c r="M50" s="30">
        <f ca="1">IFERROR(__xludf.DUMMYFUNCTION("XLOOKUP($B50,IMPORTRANGE(""https://docs.google.com/spreadsheets/d/1EjEqG6oc_vmuAWwHnH51YMvSMVUVePUqNn9zZBOmHT8/edit#gid=757525651"",""'Allocation Breakdown'!A4:A187""),IMPORTRANGE(""https://docs.google.com/spreadsheets/d/1EjEqG6oc_vmuAWwHnH51YMvSMVUVePUqN"&amp;"n9zZBOmHT8/edit#gid=757525651"",""'Allocation Breakdown'!K4:K187""))*M$119"),21531.735657)</f>
        <v>21531.735657000001</v>
      </c>
      <c r="N50" s="30">
        <f ca="1">IFERROR(__xludf.DUMMYFUNCTION("XLOOKUP($B50,IMPORTRANGE(""https://docs.google.com/spreadsheets/d/1EjEqG6oc_vmuAWwHnH51YMvSMVUVePUqNn9zZBOmHT8/edit#gid=757525651"",""'Allocation Breakdown'!A4:A187""),IMPORTRANGE(""https://docs.google.com/spreadsheets/d/1EjEqG6oc_vmuAWwHnH51YMvSMVUVePUqN"&amp;"n9zZBOmHT8/edit#gid=757525651"",""'Allocation Breakdown'!l4:l187""))*N$119"),5711.1603048)</f>
        <v>5711.1603047999997</v>
      </c>
      <c r="O50" s="30">
        <f ca="1">IFERROR(__xludf.DUMMYFUNCTION("XLOOKUP($B50,IMPORTRANGE(""https://docs.google.com/spreadsheets/d/1EjEqG6oc_vmuAWwHnH51YMvSMVUVePUqNn9zZBOmHT8/edit#gid=757525651"",""'Allocation Breakdown'!A4:A187""),IMPORTRANGE(""https://docs.google.com/spreadsheets/d/1EjEqG6oc_vmuAWwHnH51YMvSMVUVePUqN"&amp;"n9zZBOmHT8/edit#gid=757525651"",""'Allocation Breakdown'!n4:n187""))*O$119"),0)</f>
        <v>0</v>
      </c>
      <c r="P50" s="30">
        <f ca="1">IFERROR(__xludf.DUMMYFUNCTION("XLOOKUP($B50,IMPORTRANGE(""https://docs.google.com/spreadsheets/d/1EjEqG6oc_vmuAWwHnH51YMvSMVUVePUqNn9zZBOmHT8/edit#gid=757525651"",""'Allocation Breakdown'!A4:A187""),IMPORTRANGE(""https://docs.google.com/spreadsheets/d/1EjEqG6oc_vmuAWwHnH51YMvSMVUVePUqN"&amp;"n9zZBOmHT8/edit#gid=757525651"",""'Allocation Breakdown'!o4:o187""))*P$119"),26400)</f>
        <v>26400</v>
      </c>
      <c r="Q50" s="30">
        <f ca="1">IFERROR(__xludf.DUMMYFUNCTION("XLOOKUP($B50,IMPORTRANGE(""https://docs.google.com/spreadsheets/d/1EjEqG6oc_vmuAWwHnH51YMvSMVUVePUqNn9zZBOmHT8/edit#gid=757525651"",""'Allocation Breakdown'!A4:A187""),IMPORTRANGE(""https://docs.google.com/spreadsheets/d/1EjEqG6oc_vmuAWwHnH51YMvSMVUVePUqN"&amp;"n9zZBOmHT8/edit#gid=757525651"",""'Allocation Breakdown'!p4:p187""))*Q$119"),12000)</f>
        <v>12000</v>
      </c>
      <c r="R50" s="30">
        <f ca="1">IFERROR(__xludf.DUMMYFUNCTION("XLOOKUP($B50,IMPORTRANGE(""https://docs.google.com/spreadsheets/d/1EjEqG6oc_vmuAWwHnH51YMvSMVUVePUqNn9zZBOmHT8/edit#gid=757525651"",""'Allocation Breakdown'!A4:A187""),IMPORTRANGE(""https://docs.google.com/spreadsheets/d/1EjEqG6oc_vmuAWwHnH51YMvSMVUVePUqN"&amp;"n9zZBOmHT8/edit#gid=757525651"",""'Allocation Breakdown'!q4:q187""))*R$119"),12000)</f>
        <v>12000</v>
      </c>
      <c r="S50" s="30">
        <f ca="1">IFERROR(__xludf.DUMMYFUNCTION("XLOOKUP($B50,IMPORTRANGE(""https://docs.google.com/spreadsheets/d/1EjEqG6oc_vmuAWwHnH51YMvSMVUVePUqNn9zZBOmHT8/edit#gid=757525651"",""'Allocation Breakdown'!A4:A187""),IMPORTRANGE(""https://docs.google.com/spreadsheets/d/1EjEqG6oc_vmuAWwHnH51YMvSMVUVePUqN"&amp;"n9zZBOmHT8/edit#gid=757525651"",""'Allocation Breakdown'!r4:r187""))*S$119"),12000)</f>
        <v>12000</v>
      </c>
      <c r="T50" s="30">
        <f ca="1">IFERROR(__xludf.DUMMYFUNCTION("XLOOKUP($B50,IMPORTRANGE(""https://docs.google.com/spreadsheets/d/1EjEqG6oc_vmuAWwHnH51YMvSMVUVePUqNn9zZBOmHT8/edit#gid=757525651"",""'Allocation Breakdown'!A4:A187""),IMPORTRANGE(""https://docs.google.com/spreadsheets/d/1EjEqG6oc_vmuAWwHnH51YMvSMVUVePUqN"&amp;"n9zZBOmHT8/edit#gid=757525651"",""'Allocation Breakdown'!t4:t187""))*T$119"),42000)</f>
        <v>42000</v>
      </c>
      <c r="U50" s="30">
        <f ca="1">IFERROR(__xludf.DUMMYFUNCTION("XLOOKUP($B50,IMPORTRANGE(""https://docs.google.com/spreadsheets/d/1EjEqG6oc_vmuAWwHnH51YMvSMVUVePUqNn9zZBOmHT8/edit#gid=757525651"",""'Allocation Breakdown'!A4:A187""),IMPORTRANGE(""https://docs.google.com/spreadsheets/d/1EjEqG6oc_vmuAWwHnH51YMvSMVUVePUqN"&amp;"n9zZBOmHT8/edit#gid=757525651"",""'Allocation Breakdown'!U4:U187""))*U$119"),66000)</f>
        <v>66000</v>
      </c>
      <c r="V50" s="31">
        <f t="shared" ca="1" si="1"/>
        <v>370776.7801264</v>
      </c>
      <c r="W50" s="31">
        <f t="shared" ca="1" si="2"/>
        <v>416603.55517639301</v>
      </c>
      <c r="Z50" s="32"/>
      <c r="AA50" s="32"/>
      <c r="AB50" s="32"/>
    </row>
    <row r="51" spans="2:28">
      <c r="B51" s="28" t="s">
        <v>146</v>
      </c>
      <c r="C51" s="30">
        <f ca="1">IFERROR(__xludf.DUMMYFUNCTION("XLOOKUP($B51,IMPORTRANGE(""https://docs.google.com/spreadsheets/d/1EjEqG6oc_vmuAWwHnH51YMvSMVUVePUqNn9zZBOmHT8/edit#gid=757525651"",""'Allocation Breakdown'!A4:A187""),IMPORTRANGE(""https://docs.google.com/spreadsheets/d/1EjEqG6oc_vmuAWwHnH51YMvSMVUVePUqN"&amp;"n9zZBOmHT8/edit#gid=757525651"",""'Allocation Breakdown'!V4:V187""))*C$119"),8551.19160357)</f>
        <v>8551.1916035699996</v>
      </c>
      <c r="D51" s="30">
        <f ca="1">IFERROR(__xludf.DUMMYFUNCTION("XLOOKUP($B51,IMPORTRANGE(""https://docs.google.com/spreadsheets/d/1EjEqG6oc_vmuAWwHnH51YMvSMVUVePUqNn9zZBOmHT8/edit#gid=757525651"",""'Allocation Breakdown'!A4:A187""),IMPORTRANGE(""https://docs.google.com/spreadsheets/d/1EjEqG6oc_vmuAWwHnH51YMvSMVUVePUqN"&amp;"n9zZBOmHT8/edit#gid=757525651"",""'Allocation Breakdown'!I4:I187""))*$D$119"),113804.733466648)</f>
        <v>113804.733466648</v>
      </c>
      <c r="E51" s="30">
        <f ca="1">IFERROR(__xludf.DUMMYFUNCTION("XLOOKUP($B51,IMPORTRANGE(""https://docs.google.com/spreadsheets/d/1EjEqG6oc_vmuAWwHnH51YMvSMVUVePUqNn9zZBOmHT8/edit#gid=757525651"",""'Allocation Breakdown'!A4:A187""),IMPORTRANGE(""https://docs.google.com/spreadsheets/d/1EjEqG6oc_vmuAWwHnH51YMvSMVUVePUqN"&amp;"n9zZBOmHT8/edit#gid=757525651"",""'Allocation Breakdown'!V4:V187""))*E$119"),2998.80839643)</f>
        <v>2998.8083964299999</v>
      </c>
      <c r="F51" s="30">
        <f t="shared" ca="1" si="0"/>
        <v>116803.541863078</v>
      </c>
      <c r="G51" s="30">
        <f ca="1">IFERROR(__xludf.DUMMYFUNCTION("XLOOKUP($B51,IMPORTRANGE(""https://docs.google.com/spreadsheets/d/1EjEqG6oc_vmuAWwHnH51YMvSMVUVePUqNn9zZBOmHT8/edit#gid=757525651"",""'Allocation Breakdown'!A4:A187""),IMPORTRANGE(""https://docs.google.com/spreadsheets/d/1EjEqG6oc_vmuAWwHnH51YMvSMVUVePUqN"&amp;"n9zZBOmHT8/edit#gid=757525651"",""'Allocation Breakdown'!D4:D187""))"),30000)</f>
        <v>30000</v>
      </c>
      <c r="H51" s="30">
        <f ca="1">IFERROR(__xludf.DUMMYFUNCTION("XLOOKUP($B51,IMPORTRANGE(""https://docs.google.com/spreadsheets/d/1EjEqG6oc_vmuAWwHnH51YMvSMVUVePUqNn9zZBOmHT8/edit#gid=757525651"",""'Allocation Breakdown'!A4:A187""),IMPORTRANGE(""https://docs.google.com/spreadsheets/d/1EjEqG6oc_vmuAWwHnH51YMvSMVUVePUqN"&amp;"n9zZBOmHT8/edit#gid=757525651"",""'Allocation Breakdown'!E4:E187""))"),56000)</f>
        <v>56000</v>
      </c>
      <c r="I51" s="30">
        <f ca="1">IFERROR(__xludf.DUMMYFUNCTION("XLOOKUP($B51,IMPORTRANGE(""https://docs.google.com/spreadsheets/d/1EjEqG6oc_vmuAWwHnH51YMvSMVUVePUqNn9zZBOmHT8/edit#gid=757525651"",""'Allocation Breakdown'!A4:A187""),IMPORTRANGE(""https://docs.google.com/spreadsheets/d/1EjEqG6oc_vmuAWwHnH51YMvSMVUVePUqN"&amp;"n9zZBOmHT8/edit#gid=757525651"",""'Allocation Breakdown'!F4:F187""))"),288000)</f>
        <v>288000</v>
      </c>
      <c r="J51" s="30">
        <f ca="1">IFERROR(__xludf.DUMMYFUNCTION("XLOOKUP($B51,IMPORTRANGE(""https://docs.google.com/spreadsheets/d/1EjEqG6oc_vmuAWwHnH51YMvSMVUVePUqNn9zZBOmHT8/edit#gid=757525651"",""'Allocation Breakdown'!A4:A187""),IMPORTRANGE(""https://docs.google.com/spreadsheets/d/1EjEqG6oc_vmuAWwHnH51YMvSMVUVePUqN"&amp;"n9zZBOmHT8/edit#gid=757525651"",""'Allocation Breakdown'!G4:G187""))"),18350)</f>
        <v>18350</v>
      </c>
      <c r="K51" s="30">
        <f ca="1">IFERROR(__xludf.DUMMYFUNCTION("XLOOKUP($B51,IMPORTRANGE(""https://docs.google.com/spreadsheets/d/1EjEqG6oc_vmuAWwHnH51YMvSMVUVePUqNn9zZBOmHT8/edit#gid=757525651"",""'Allocation Breakdown'!A4:A187""),IMPORTRANGE(""https://docs.google.com/spreadsheets/d/1EjEqG6oc_vmuAWwHnH51YMvSMVUVePUqN"&amp;"n9zZBOmHT8/edit#gid=757525651"",""'Allocation Breakdown'!I4:I187""))*K$119"),9999.0154176)</f>
        <v>9999.0154175999996</v>
      </c>
      <c r="L51" s="30">
        <f ca="1">IFERROR(__xludf.DUMMYFUNCTION("XLOOKUP($B51,IMPORTRANGE(""https://docs.google.com/spreadsheets/d/1EjEqG6oc_vmuAWwHnH51YMvSMVUVePUqNn9zZBOmHT8/edit#gid=757525651"",""'Allocation Breakdown'!A4:A187""),IMPORTRANGE(""https://docs.google.com/spreadsheets/d/1EjEqG6oc_vmuAWwHnH51YMvSMVUVePUqN"&amp;"n9zZBOmHT8/edit#gid=757525651"",""'Allocation Breakdown'!j4:j187""))*L$119"),59224.675688)</f>
        <v>59224.675688000003</v>
      </c>
      <c r="M51" s="30">
        <f ca="1">IFERROR(__xludf.DUMMYFUNCTION("XLOOKUP($B51,IMPORTRANGE(""https://docs.google.com/spreadsheets/d/1EjEqG6oc_vmuAWwHnH51YMvSMVUVePUqNn9zZBOmHT8/edit#gid=757525651"",""'Allocation Breakdown'!A4:A187""),IMPORTRANGE(""https://docs.google.com/spreadsheets/d/1EjEqG6oc_vmuAWwHnH51YMvSMVUVePUqN"&amp;"n9zZBOmHT8/edit#gid=757525651"",""'Allocation Breakdown'!K4:K187""))*M$119"),57417.961752)</f>
        <v>57417.961752000003</v>
      </c>
      <c r="N51" s="30">
        <f ca="1">IFERROR(__xludf.DUMMYFUNCTION("XLOOKUP($B51,IMPORTRANGE(""https://docs.google.com/spreadsheets/d/1EjEqG6oc_vmuAWwHnH51YMvSMVUVePUqNn9zZBOmHT8/edit#gid=757525651"",""'Allocation Breakdown'!A4:A187""),IMPORTRANGE(""https://docs.google.com/spreadsheets/d/1EjEqG6oc_vmuAWwHnH51YMvSMVUVePUqN"&amp;"n9zZBOmHT8/edit#gid=757525651"",""'Allocation Breakdown'!l4:l187""))*N$119"),15229.7608128)</f>
        <v>15229.760812799999</v>
      </c>
      <c r="O51" s="30">
        <f ca="1">IFERROR(__xludf.DUMMYFUNCTION("XLOOKUP($B51,IMPORTRANGE(""https://docs.google.com/spreadsheets/d/1EjEqG6oc_vmuAWwHnH51YMvSMVUVePUqNn9zZBOmHT8/edit#gid=757525651"",""'Allocation Breakdown'!A4:A187""),IMPORTRANGE(""https://docs.google.com/spreadsheets/d/1EjEqG6oc_vmuAWwHnH51YMvSMVUVePUqN"&amp;"n9zZBOmHT8/edit#gid=757525651"",""'Allocation Breakdown'!n4:n187""))*O$119"),0)</f>
        <v>0</v>
      </c>
      <c r="P51" s="30">
        <f ca="1">IFERROR(__xludf.DUMMYFUNCTION("XLOOKUP($B51,IMPORTRANGE(""https://docs.google.com/spreadsheets/d/1EjEqG6oc_vmuAWwHnH51YMvSMVUVePUqNn9zZBOmHT8/edit#gid=757525651"",""'Allocation Breakdown'!A4:A187""),IMPORTRANGE(""https://docs.google.com/spreadsheets/d/1EjEqG6oc_vmuAWwHnH51YMvSMVUVePUqN"&amp;"n9zZBOmHT8/edit#gid=757525651"",""'Allocation Breakdown'!o4:o187""))*P$119"),22000)</f>
        <v>22000</v>
      </c>
      <c r="Q51" s="30">
        <f ca="1">IFERROR(__xludf.DUMMYFUNCTION("XLOOKUP($B51,IMPORTRANGE(""https://docs.google.com/spreadsheets/d/1EjEqG6oc_vmuAWwHnH51YMvSMVUVePUqNn9zZBOmHT8/edit#gid=757525651"",""'Allocation Breakdown'!A4:A187""),IMPORTRANGE(""https://docs.google.com/spreadsheets/d/1EjEqG6oc_vmuAWwHnH51YMvSMVUVePUqN"&amp;"n9zZBOmHT8/edit#gid=757525651"",""'Allocation Breakdown'!p4:p187""))*Q$119"),27000)</f>
        <v>27000</v>
      </c>
      <c r="R51" s="30">
        <f ca="1">IFERROR(__xludf.DUMMYFUNCTION("XLOOKUP($B51,IMPORTRANGE(""https://docs.google.com/spreadsheets/d/1EjEqG6oc_vmuAWwHnH51YMvSMVUVePUqNn9zZBOmHT8/edit#gid=757525651"",""'Allocation Breakdown'!A4:A187""),IMPORTRANGE(""https://docs.google.com/spreadsheets/d/1EjEqG6oc_vmuAWwHnH51YMvSMVUVePUqN"&amp;"n9zZBOmHT8/edit#gid=757525651"",""'Allocation Breakdown'!q4:q187""))*R$119"),4000)</f>
        <v>4000</v>
      </c>
      <c r="S51" s="30">
        <f ca="1">IFERROR(__xludf.DUMMYFUNCTION("XLOOKUP($B51,IMPORTRANGE(""https://docs.google.com/spreadsheets/d/1EjEqG6oc_vmuAWwHnH51YMvSMVUVePUqNn9zZBOmHT8/edit#gid=757525651"",""'Allocation Breakdown'!A4:A187""),IMPORTRANGE(""https://docs.google.com/spreadsheets/d/1EjEqG6oc_vmuAWwHnH51YMvSMVUVePUqN"&amp;"n9zZBOmHT8/edit#gid=757525651"",""'Allocation Breakdown'!r4:r187""))*S$119"),32000)</f>
        <v>32000</v>
      </c>
      <c r="T51" s="30">
        <f ca="1">IFERROR(__xludf.DUMMYFUNCTION("XLOOKUP($B51,IMPORTRANGE(""https://docs.google.com/spreadsheets/d/1EjEqG6oc_vmuAWwHnH51YMvSMVUVePUqNn9zZBOmHT8/edit#gid=757525651"",""'Allocation Breakdown'!A4:A187""),IMPORTRANGE(""https://docs.google.com/spreadsheets/d/1EjEqG6oc_vmuAWwHnH51YMvSMVUVePUqN"&amp;"n9zZBOmHT8/edit#gid=757525651"",""'Allocation Breakdown'!t4:t187""))*T$119"),112000)</f>
        <v>112000</v>
      </c>
      <c r="U51" s="30">
        <f ca="1">IFERROR(__xludf.DUMMYFUNCTION("XLOOKUP($B51,IMPORTRANGE(""https://docs.google.com/spreadsheets/d/1EjEqG6oc_vmuAWwHnH51YMvSMVUVePUqNn9zZBOmHT8/edit#gid=757525651"",""'Allocation Breakdown'!A4:A187""),IMPORTRANGE(""https://docs.google.com/spreadsheets/d/1EjEqG6oc_vmuAWwHnH51YMvSMVUVePUqN"&amp;"n9zZBOmHT8/edit#gid=757525651"",""'Allocation Breakdown'!U4:U187""))*U$119"),176000)</f>
        <v>176000</v>
      </c>
      <c r="V51" s="31">
        <f t="shared" ca="1" si="1"/>
        <v>907221.41367040004</v>
      </c>
      <c r="W51" s="31">
        <f t="shared" ca="1" si="2"/>
        <v>1032576.1471370481</v>
      </c>
      <c r="Z51" s="32"/>
      <c r="AA51" s="32"/>
      <c r="AB51" s="32"/>
    </row>
    <row r="52" spans="2:28">
      <c r="B52" s="28" t="s">
        <v>147</v>
      </c>
      <c r="C52" s="30">
        <f ca="1">IFERROR(__xludf.DUMMYFUNCTION("XLOOKUP($B52,IMPORTRANGE(""https://docs.google.com/spreadsheets/d/1EjEqG6oc_vmuAWwHnH51YMvSMVUVePUqNn9zZBOmHT8/edit#gid=757525651"",""'Allocation Breakdown'!A4:A187""),IMPORTRANGE(""https://docs.google.com/spreadsheets/d/1EjEqG6oc_vmuAWwHnH51YMvSMVUVePUqN"&amp;"n9zZBOmHT8/edit#gid=757525651"",""'Allocation Breakdown'!V4:V187""))*C$119"),3886.90527434999)</f>
        <v>3886.9052743499901</v>
      </c>
      <c r="D52" s="30">
        <f ca="1">IFERROR(__xludf.DUMMYFUNCTION("XLOOKUP($B52,IMPORTRANGE(""https://docs.google.com/spreadsheets/d/1EjEqG6oc_vmuAWwHnH51YMvSMVUVePUqNn9zZBOmHT8/edit#gid=757525651"",""'Allocation Breakdown'!A4:A187""),IMPORTRANGE(""https://docs.google.com/spreadsheets/d/1EjEqG6oc_vmuAWwHnH51YMvSMVUVePUqN"&amp;"n9zZBOmHT8/edit#gid=757525651"",""'Allocation Breakdown'!I4:I187""))*$D$119"),49789.5708916585)</f>
        <v>49789.570891658499</v>
      </c>
      <c r="E52" s="30">
        <f ca="1">IFERROR(__xludf.DUMMYFUNCTION("XLOOKUP($B52,IMPORTRANGE(""https://docs.google.com/spreadsheets/d/1EjEqG6oc_vmuAWwHnH51YMvSMVUVePUqNn9zZBOmHT8/edit#gid=757525651"",""'Allocation Breakdown'!A4:A187""),IMPORTRANGE(""https://docs.google.com/spreadsheets/d/1EjEqG6oc_vmuAWwHnH51YMvSMVUVePUqN"&amp;"n9zZBOmHT8/edit#gid=757525651"",""'Allocation Breakdown'!V4:V187""))*E$119"),1363.09472565)</f>
        <v>1363.0947256500001</v>
      </c>
      <c r="F52" s="30">
        <f t="shared" ca="1" si="0"/>
        <v>51152.665617308499</v>
      </c>
      <c r="G52" s="30" t="str">
        <f ca="1">IFERROR(__xludf.DUMMYFUNCTION("XLOOKUP($B52,IMPORTRANGE(""https://docs.google.com/spreadsheets/d/1EjEqG6oc_vmuAWwHnH51YMvSMVUVePUqNn9zZBOmHT8/edit#gid=757525651"",""'Allocation Breakdown'!A4:A187""),IMPORTRANGE(""https://docs.google.com/spreadsheets/d/1EjEqG6oc_vmuAWwHnH51YMvSMVUVePUqN"&amp;"n9zZBOmHT8/edit#gid=757525651"",""'Allocation Breakdown'!D4:D187""))"),"")</f>
        <v/>
      </c>
      <c r="H52" s="30">
        <f ca="1">IFERROR(__xludf.DUMMYFUNCTION("XLOOKUP($B52,IMPORTRANGE(""https://docs.google.com/spreadsheets/d/1EjEqG6oc_vmuAWwHnH51YMvSMVUVePUqNn9zZBOmHT8/edit#gid=757525651"",""'Allocation Breakdown'!A4:A187""),IMPORTRANGE(""https://docs.google.com/spreadsheets/d/1EjEqG6oc_vmuAWwHnH51YMvSMVUVePUqN"&amp;"n9zZBOmHT8/edit#gid=757525651"",""'Allocation Breakdown'!E4:E187""))"),195000)</f>
        <v>195000</v>
      </c>
      <c r="I52" s="30">
        <f ca="1">IFERROR(__xludf.DUMMYFUNCTION("XLOOKUP($B52,IMPORTRANGE(""https://docs.google.com/spreadsheets/d/1EjEqG6oc_vmuAWwHnH51YMvSMVUVePUqNn9zZBOmHT8/edit#gid=757525651"",""'Allocation Breakdown'!A4:A187""),IMPORTRANGE(""https://docs.google.com/spreadsheets/d/1EjEqG6oc_vmuAWwHnH51YMvSMVUVePUqN"&amp;"n9zZBOmHT8/edit#gid=757525651"",""'Allocation Breakdown'!F4:F187""))"),126000)</f>
        <v>126000</v>
      </c>
      <c r="J52" s="30" t="str">
        <f ca="1">IFERROR(__xludf.DUMMYFUNCTION("XLOOKUP($B52,IMPORTRANGE(""https://docs.google.com/spreadsheets/d/1EjEqG6oc_vmuAWwHnH51YMvSMVUVePUqNn9zZBOmHT8/edit#gid=757525651"",""'Allocation Breakdown'!A4:A187""),IMPORTRANGE(""https://docs.google.com/spreadsheets/d/1EjEqG6oc_vmuAWwHnH51YMvSMVUVePUqN"&amp;"n9zZBOmHT8/edit#gid=757525651"",""'Allocation Breakdown'!G4:G187""))"),"")</f>
        <v/>
      </c>
      <c r="K52" s="30">
        <f ca="1">IFERROR(__xludf.DUMMYFUNCTION("XLOOKUP($B52,IMPORTRANGE(""https://docs.google.com/spreadsheets/d/1EjEqG6oc_vmuAWwHnH51YMvSMVUVePUqNn9zZBOmHT8/edit#gid=757525651"",""'Allocation Breakdown'!A4:A187""),IMPORTRANGE(""https://docs.google.com/spreadsheets/d/1EjEqG6oc_vmuAWwHnH51YMvSMVUVePUqN"&amp;"n9zZBOmHT8/edit#gid=757525651"",""'Allocation Breakdown'!I4:I187""))*K$119"),4374.5692452)</f>
        <v>4374.5692452000003</v>
      </c>
      <c r="L52" s="30">
        <f ca="1">IFERROR(__xludf.DUMMYFUNCTION("XLOOKUP($B52,IMPORTRANGE(""https://docs.google.com/spreadsheets/d/1EjEqG6oc_vmuAWwHnH51YMvSMVUVePUqNn9zZBOmHT8/edit#gid=757525651"",""'Allocation Breakdown'!A4:A187""),IMPORTRANGE(""https://docs.google.com/spreadsheets/d/1EjEqG6oc_vmuAWwHnH51YMvSMVUVePUqN"&amp;"n9zZBOmHT8/edit#gid=757525651"",""'Allocation Breakdown'!j4:j187""))*L$119"),22209.253383)</f>
        <v>22209.253382999999</v>
      </c>
      <c r="M52" s="30">
        <f ca="1">IFERROR(__xludf.DUMMYFUNCTION("XLOOKUP($B52,IMPORTRANGE(""https://docs.google.com/spreadsheets/d/1EjEqG6oc_vmuAWwHnH51YMvSMVUVePUqNn9zZBOmHT8/edit#gid=757525651"",""'Allocation Breakdown'!A4:A187""),IMPORTRANGE(""https://docs.google.com/spreadsheets/d/1EjEqG6oc_vmuAWwHnH51YMvSMVUVePUqN"&amp;"n9zZBOmHT8/edit#gid=757525651"",""'Allocation Breakdown'!K4:K187""))*M$119"),25120.3582665)</f>
        <v>25120.358266499999</v>
      </c>
      <c r="N52" s="30">
        <f ca="1">IFERROR(__xludf.DUMMYFUNCTION("XLOOKUP($B52,IMPORTRANGE(""https://docs.google.com/spreadsheets/d/1EjEqG6oc_vmuAWwHnH51YMvSMVUVePUqNn9zZBOmHT8/edit#gid=757525651"",""'Allocation Breakdown'!A4:A187""),IMPORTRANGE(""https://docs.google.com/spreadsheets/d/1EjEqG6oc_vmuAWwHnH51YMvSMVUVePUqN"&amp;"n9zZBOmHT8/edit#gid=757525651"",""'Allocation Breakdown'!l4:l187""))*N$119"),6663.0203556)</f>
        <v>6663.0203555999997</v>
      </c>
      <c r="O52" s="30">
        <f ca="1">IFERROR(__xludf.DUMMYFUNCTION("XLOOKUP($B52,IMPORTRANGE(""https://docs.google.com/spreadsheets/d/1EjEqG6oc_vmuAWwHnH51YMvSMVUVePUqNn9zZBOmHT8/edit#gid=757525651"",""'Allocation Breakdown'!A4:A187""),IMPORTRANGE(""https://docs.google.com/spreadsheets/d/1EjEqG6oc_vmuAWwHnH51YMvSMVUVePUqN"&amp;"n9zZBOmHT8/edit#gid=757525651"",""'Allocation Breakdown'!n4:n187""))*O$119"),0)</f>
        <v>0</v>
      </c>
      <c r="P52" s="30">
        <f ca="1">IFERROR(__xludf.DUMMYFUNCTION("XLOOKUP($B52,IMPORTRANGE(""https://docs.google.com/spreadsheets/d/1EjEqG6oc_vmuAWwHnH51YMvSMVUVePUqNn9zZBOmHT8/edit#gid=757525651"",""'Allocation Breakdown'!A4:A187""),IMPORTRANGE(""https://docs.google.com/spreadsheets/d/1EjEqG6oc_vmuAWwHnH51YMvSMVUVePUqN"&amp;"n9zZBOmHT8/edit#gid=757525651"",""'Allocation Breakdown'!o4:o187""))*P$119"),11000)</f>
        <v>11000</v>
      </c>
      <c r="Q52" s="30">
        <f ca="1">IFERROR(__xludf.DUMMYFUNCTION("XLOOKUP($B52,IMPORTRANGE(""https://docs.google.com/spreadsheets/d/1EjEqG6oc_vmuAWwHnH51YMvSMVUVePUqNn9zZBOmHT8/edit#gid=757525651"",""'Allocation Breakdown'!A4:A187""),IMPORTRANGE(""https://docs.google.com/spreadsheets/d/1EjEqG6oc_vmuAWwHnH51YMvSMVUVePUqN"&amp;"n9zZBOmHT8/edit#gid=757525651"",""'Allocation Breakdown'!p4:p187""))*Q$119"),4000)</f>
        <v>4000</v>
      </c>
      <c r="R52" s="30">
        <f ca="1">IFERROR(__xludf.DUMMYFUNCTION("XLOOKUP($B52,IMPORTRANGE(""https://docs.google.com/spreadsheets/d/1EjEqG6oc_vmuAWwHnH51YMvSMVUVePUqNn9zZBOmHT8/edit#gid=757525651"",""'Allocation Breakdown'!A4:A187""),IMPORTRANGE(""https://docs.google.com/spreadsheets/d/1EjEqG6oc_vmuAWwHnH51YMvSMVUVePUqN"&amp;"n9zZBOmHT8/edit#gid=757525651"",""'Allocation Breakdown'!q4:q187""))*R$119"),14000)</f>
        <v>14000</v>
      </c>
      <c r="S52" s="30">
        <f ca="1">IFERROR(__xludf.DUMMYFUNCTION("XLOOKUP($B52,IMPORTRANGE(""https://docs.google.com/spreadsheets/d/1EjEqG6oc_vmuAWwHnH51YMvSMVUVePUqNn9zZBOmHT8/edit#gid=757525651"",""'Allocation Breakdown'!A4:A187""),IMPORTRANGE(""https://docs.google.com/spreadsheets/d/1EjEqG6oc_vmuAWwHnH51YMvSMVUVePUqN"&amp;"n9zZBOmHT8/edit#gid=757525651"",""'Allocation Breakdown'!r4:r187""))*S$119"),14000)</f>
        <v>14000</v>
      </c>
      <c r="T52" s="30">
        <f ca="1">IFERROR(__xludf.DUMMYFUNCTION("XLOOKUP($B52,IMPORTRANGE(""https://docs.google.com/spreadsheets/d/1EjEqG6oc_vmuAWwHnH51YMvSMVUVePUqNn9zZBOmHT8/edit#gid=757525651"",""'Allocation Breakdown'!A4:A187""),IMPORTRANGE(""https://docs.google.com/spreadsheets/d/1EjEqG6oc_vmuAWwHnH51YMvSMVUVePUqN"&amp;"n9zZBOmHT8/edit#gid=757525651"",""'Allocation Breakdown'!t4:t187""))*T$119"),49000)</f>
        <v>49000</v>
      </c>
      <c r="U52" s="30">
        <f ca="1">IFERROR(__xludf.DUMMYFUNCTION("XLOOKUP($B52,IMPORTRANGE(""https://docs.google.com/spreadsheets/d/1EjEqG6oc_vmuAWwHnH51YMvSMVUVePUqNn9zZBOmHT8/edit#gid=757525651"",""'Allocation Breakdown'!A4:A187""),IMPORTRANGE(""https://docs.google.com/spreadsheets/d/1EjEqG6oc_vmuAWwHnH51YMvSMVUVePUqN"&amp;"n9zZBOmHT8/edit#gid=757525651"",""'Allocation Breakdown'!U4:U187""))*U$119"),77000)</f>
        <v>77000</v>
      </c>
      <c r="V52" s="31">
        <f t="shared" ca="1" si="1"/>
        <v>548367.20125030004</v>
      </c>
      <c r="W52" s="31">
        <f t="shared" ca="1" si="2"/>
        <v>603406.77214195847</v>
      </c>
      <c r="Z52" s="32"/>
      <c r="AA52" s="32"/>
      <c r="AB52" s="32"/>
    </row>
    <row r="53" spans="2:28">
      <c r="B53" s="28" t="s">
        <v>148</v>
      </c>
      <c r="C53" s="30">
        <f ca="1">IFERROR(__xludf.DUMMYFUNCTION("XLOOKUP($B53,IMPORTRANGE(""https://docs.google.com/spreadsheets/d/1EjEqG6oc_vmuAWwHnH51YMvSMVUVePUqNn9zZBOmHT8/edit#gid=757525651"",""'Allocation Breakdown'!A4:A187""),IMPORTRANGE(""https://docs.google.com/spreadsheets/d/1EjEqG6oc_vmuAWwHnH51YMvSMVUVePUqN"&amp;"n9zZBOmHT8/edit#gid=757525651"",""'Allocation Breakdown'!V4:V187""))*C$119"),3109.52421948)</f>
        <v>3109.5242194799998</v>
      </c>
      <c r="D53" s="30">
        <f ca="1">IFERROR(__xludf.DUMMYFUNCTION("XLOOKUP($B53,IMPORTRANGE(""https://docs.google.com/spreadsheets/d/1EjEqG6oc_vmuAWwHnH51YMvSMVUVePUqNn9zZBOmHT8/edit#gid=757525651"",""'Allocation Breakdown'!A4:A187""),IMPORTRANGE(""https://docs.google.com/spreadsheets/d/1EjEqG6oc_vmuAWwHnH51YMvSMVUVePUqN"&amp;"n9zZBOmHT8/edit#gid=757525651"",""'Allocation Breakdown'!I4:I187""))*$D$119"),35563.9792083275)</f>
        <v>35563.979208327502</v>
      </c>
      <c r="E53" s="30">
        <f ca="1">IFERROR(__xludf.DUMMYFUNCTION("XLOOKUP($B53,IMPORTRANGE(""https://docs.google.com/spreadsheets/d/1EjEqG6oc_vmuAWwHnH51YMvSMVUVePUqNn9zZBOmHT8/edit#gid=757525651"",""'Allocation Breakdown'!A4:A187""),IMPORTRANGE(""https://docs.google.com/spreadsheets/d/1EjEqG6oc_vmuAWwHnH51YMvSMVUVePUqN"&amp;"n9zZBOmHT8/edit#gid=757525651"",""'Allocation Breakdown'!V4:V187""))*E$119"),1090.47578052)</f>
        <v>1090.4757805199999</v>
      </c>
      <c r="F53" s="30">
        <f t="shared" ca="1" si="0"/>
        <v>36654.454988847501</v>
      </c>
      <c r="G53" s="30" t="str">
        <f ca="1">IFERROR(__xludf.DUMMYFUNCTION("XLOOKUP($B53,IMPORTRANGE(""https://docs.google.com/spreadsheets/d/1EjEqG6oc_vmuAWwHnH51YMvSMVUVePUqNn9zZBOmHT8/edit#gid=757525651"",""'Allocation Breakdown'!A4:A187""),IMPORTRANGE(""https://docs.google.com/spreadsheets/d/1EjEqG6oc_vmuAWwHnH51YMvSMVUVePUqN"&amp;"n9zZBOmHT8/edit#gid=757525651"",""'Allocation Breakdown'!D4:D187""))"),"")</f>
        <v/>
      </c>
      <c r="H53" s="30">
        <f ca="1">IFERROR(__xludf.DUMMYFUNCTION("XLOOKUP($B53,IMPORTRANGE(""https://docs.google.com/spreadsheets/d/1EjEqG6oc_vmuAWwHnH51YMvSMVUVePUqNn9zZBOmHT8/edit#gid=757525651"",""'Allocation Breakdown'!A4:A187""),IMPORTRANGE(""https://docs.google.com/spreadsheets/d/1EjEqG6oc_vmuAWwHnH51YMvSMVUVePUqN"&amp;"n9zZBOmHT8/edit#gid=757525651"",""'Allocation Breakdown'!E4:E187""))"),20000)</f>
        <v>20000</v>
      </c>
      <c r="I53" s="30">
        <f ca="1">IFERROR(__xludf.DUMMYFUNCTION("XLOOKUP($B53,IMPORTRANGE(""https://docs.google.com/spreadsheets/d/1EjEqG6oc_vmuAWwHnH51YMvSMVUVePUqNn9zZBOmHT8/edit#gid=757525651"",""'Allocation Breakdown'!A4:A187""),IMPORTRANGE(""https://docs.google.com/spreadsheets/d/1EjEqG6oc_vmuAWwHnH51YMvSMVUVePUqN"&amp;"n9zZBOmHT8/edit#gid=757525651"",""'Allocation Breakdown'!F4:F187""))"),33000)</f>
        <v>33000</v>
      </c>
      <c r="J53" s="30" t="str">
        <f ca="1">IFERROR(__xludf.DUMMYFUNCTION("XLOOKUP($B53,IMPORTRANGE(""https://docs.google.com/spreadsheets/d/1EjEqG6oc_vmuAWwHnH51YMvSMVUVePUqNn9zZBOmHT8/edit#gid=757525651"",""'Allocation Breakdown'!A4:A187""),IMPORTRANGE(""https://docs.google.com/spreadsheets/d/1EjEqG6oc_vmuAWwHnH51YMvSMVUVePUqN"&amp;"n9zZBOmHT8/edit#gid=757525651"",""'Allocation Breakdown'!G4:G187""))"),"")</f>
        <v/>
      </c>
      <c r="K53" s="30">
        <f ca="1">IFERROR(__xludf.DUMMYFUNCTION("XLOOKUP($B53,IMPORTRANGE(""https://docs.google.com/spreadsheets/d/1EjEqG6oc_vmuAWwHnH51YMvSMVUVePUqNn9zZBOmHT8/edit#gid=757525651"",""'Allocation Breakdown'!A4:A187""),IMPORTRANGE(""https://docs.google.com/spreadsheets/d/1EjEqG6oc_vmuAWwHnH51YMvSMVUVePUqN"&amp;"n9zZBOmHT8/edit#gid=757525651"",""'Allocation Breakdown'!I4:I187""))*K$119"),3124.692318)</f>
        <v>3124.6923179999999</v>
      </c>
      <c r="L53" s="30">
        <f ca="1">IFERROR(__xludf.DUMMYFUNCTION("XLOOKUP($B53,IMPORTRANGE(""https://docs.google.com/spreadsheets/d/1EjEqG6oc_vmuAWwHnH51YMvSMVUVePUqNn9zZBOmHT8/edit#gid=757525651"",""'Allocation Breakdown'!A4:A187""),IMPORTRANGE(""https://docs.google.com/spreadsheets/d/1EjEqG6oc_vmuAWwHnH51YMvSMVUVePUqN"&amp;"n9zZBOmHT8/edit#gid=757525651"",""'Allocation Breakdown'!j4:j187""))*L$119"),18507.7111525)</f>
        <v>18507.7111525</v>
      </c>
      <c r="M53" s="30">
        <f ca="1">IFERROR(__xludf.DUMMYFUNCTION("XLOOKUP($B53,IMPORTRANGE(""https://docs.google.com/spreadsheets/d/1EjEqG6oc_vmuAWwHnH51YMvSMVUVePUqNn9zZBOmHT8/edit#gid=757525651"",""'Allocation Breakdown'!A4:A187""),IMPORTRANGE(""https://docs.google.com/spreadsheets/d/1EjEqG6oc_vmuAWwHnH51YMvSMVUVePUqN"&amp;"n9zZBOmHT8/edit#gid=757525651"",""'Allocation Breakdown'!K4:K187""))*M$119"),17943.1130475)</f>
        <v>17943.113047499999</v>
      </c>
      <c r="N53" s="30">
        <f ca="1">IFERROR(__xludf.DUMMYFUNCTION("XLOOKUP($B53,IMPORTRANGE(""https://docs.google.com/spreadsheets/d/1EjEqG6oc_vmuAWwHnH51YMvSMVUVePUqNn9zZBOmHT8/edit#gid=757525651"",""'Allocation Breakdown'!A4:A187""),IMPORTRANGE(""https://docs.google.com/spreadsheets/d/1EjEqG6oc_vmuAWwHnH51YMvSMVUVePUqN"&amp;"n9zZBOmHT8/edit#gid=757525651"",""'Allocation Breakdown'!l4:l187""))*N$119"),4759.300254)</f>
        <v>4759.3002539999998</v>
      </c>
      <c r="O53" s="30">
        <f ca="1">IFERROR(__xludf.DUMMYFUNCTION("XLOOKUP($B53,IMPORTRANGE(""https://docs.google.com/spreadsheets/d/1EjEqG6oc_vmuAWwHnH51YMvSMVUVePUqNn9zZBOmHT8/edit#gid=757525651"",""'Allocation Breakdown'!A4:A187""),IMPORTRANGE(""https://docs.google.com/spreadsheets/d/1EjEqG6oc_vmuAWwHnH51YMvSMVUVePUqN"&amp;"n9zZBOmHT8/edit#gid=757525651"",""'Allocation Breakdown'!n4:n187""))*O$119"),10000)</f>
        <v>10000</v>
      </c>
      <c r="P53" s="30">
        <f ca="1">IFERROR(__xludf.DUMMYFUNCTION("XLOOKUP($B53,IMPORTRANGE(""https://docs.google.com/spreadsheets/d/1EjEqG6oc_vmuAWwHnH51YMvSMVUVePUqNn9zZBOmHT8/edit#gid=757525651"",""'Allocation Breakdown'!A4:A187""),IMPORTRANGE(""https://docs.google.com/spreadsheets/d/1EjEqG6oc_vmuAWwHnH51YMvSMVUVePUqN"&amp;"n9zZBOmHT8/edit#gid=757525651"",""'Allocation Breakdown'!o4:o187""))*P$119"),22000)</f>
        <v>22000</v>
      </c>
      <c r="Q53" s="30">
        <f ca="1">IFERROR(__xludf.DUMMYFUNCTION("XLOOKUP($B53,IMPORTRANGE(""https://docs.google.com/spreadsheets/d/1EjEqG6oc_vmuAWwHnH51YMvSMVUVePUqNn9zZBOmHT8/edit#gid=757525651"",""'Allocation Breakdown'!A4:A187""),IMPORTRANGE(""https://docs.google.com/spreadsheets/d/1EjEqG6oc_vmuAWwHnH51YMvSMVUVePUqN"&amp;"n9zZBOmHT8/edit#gid=757525651"",""'Allocation Breakdown'!p4:p187""))*Q$119"),9000)</f>
        <v>9000</v>
      </c>
      <c r="R53" s="30">
        <f ca="1">IFERROR(__xludf.DUMMYFUNCTION("XLOOKUP($B53,IMPORTRANGE(""https://docs.google.com/spreadsheets/d/1EjEqG6oc_vmuAWwHnH51YMvSMVUVePUqNn9zZBOmHT8/edit#gid=757525651"",""'Allocation Breakdown'!A4:A187""),IMPORTRANGE(""https://docs.google.com/spreadsheets/d/1EjEqG6oc_vmuAWwHnH51YMvSMVUVePUqN"&amp;"n9zZBOmHT8/edit#gid=757525651"",""'Allocation Breakdown'!q4:q187""))*R$119"),10000)</f>
        <v>10000</v>
      </c>
      <c r="S53" s="30">
        <f ca="1">IFERROR(__xludf.DUMMYFUNCTION("XLOOKUP($B53,IMPORTRANGE(""https://docs.google.com/spreadsheets/d/1EjEqG6oc_vmuAWwHnH51YMvSMVUVePUqNn9zZBOmHT8/edit#gid=757525651"",""'Allocation Breakdown'!A4:A187""),IMPORTRANGE(""https://docs.google.com/spreadsheets/d/1EjEqG6oc_vmuAWwHnH51YMvSMVUVePUqN"&amp;"n9zZBOmHT8/edit#gid=757525651"",""'Allocation Breakdown'!r4:r187""))*S$119"),10000)</f>
        <v>10000</v>
      </c>
      <c r="T53" s="30">
        <f ca="1">IFERROR(__xludf.DUMMYFUNCTION("XLOOKUP($B53,IMPORTRANGE(""https://docs.google.com/spreadsheets/d/1EjEqG6oc_vmuAWwHnH51YMvSMVUVePUqNn9zZBOmHT8/edit#gid=757525651"",""'Allocation Breakdown'!A4:A187""),IMPORTRANGE(""https://docs.google.com/spreadsheets/d/1EjEqG6oc_vmuAWwHnH51YMvSMVUVePUqN"&amp;"n9zZBOmHT8/edit#gid=757525651"",""'Allocation Breakdown'!t4:t187""))*T$119"),35000)</f>
        <v>35000</v>
      </c>
      <c r="U53" s="30">
        <f ca="1">IFERROR(__xludf.DUMMYFUNCTION("XLOOKUP($B53,IMPORTRANGE(""https://docs.google.com/spreadsheets/d/1EjEqG6oc_vmuAWwHnH51YMvSMVUVePUqNn9zZBOmHT8/edit#gid=757525651"",""'Allocation Breakdown'!A4:A187""),IMPORTRANGE(""https://docs.google.com/spreadsheets/d/1EjEqG6oc_vmuAWwHnH51YMvSMVUVePUqN"&amp;"n9zZBOmHT8/edit#gid=757525651"",""'Allocation Breakdown'!U4:U187""))*U$119"),55000)</f>
        <v>55000</v>
      </c>
      <c r="V53" s="31">
        <f t="shared" ca="1" si="1"/>
        <v>248334.81677199999</v>
      </c>
      <c r="W53" s="31">
        <f t="shared" ca="1" si="2"/>
        <v>288098.79598032747</v>
      </c>
      <c r="Z53" s="32"/>
      <c r="AA53" s="32"/>
      <c r="AB53" s="32"/>
    </row>
    <row r="54" spans="2:28">
      <c r="B54" s="28" t="s">
        <v>149</v>
      </c>
      <c r="C54" s="30">
        <f ca="1">IFERROR(__xludf.DUMMYFUNCTION("XLOOKUP($B54,IMPORTRANGE(""https://docs.google.com/spreadsheets/d/1EjEqG6oc_vmuAWwHnH51YMvSMVUVePUqNn9zZBOmHT8/edit#gid=757525651"",""'Allocation Breakdown'!A4:A187""),IMPORTRANGE(""https://docs.google.com/spreadsheets/d/1EjEqG6oc_vmuAWwHnH51YMvSMVUVePUqN"&amp;"n9zZBOmHT8/edit#gid=757525651"",""'Allocation Breakdown'!V4:V187""))*C$119"),4664.28632922)</f>
        <v>4664.28632922</v>
      </c>
      <c r="D54" s="30">
        <f ca="1">IFERROR(__xludf.DUMMYFUNCTION("XLOOKUP($B54,IMPORTRANGE(""https://docs.google.com/spreadsheets/d/1EjEqG6oc_vmuAWwHnH51YMvSMVUVePUqNn9zZBOmHT8/edit#gid=757525651"",""'Allocation Breakdown'!A4:A187""),IMPORTRANGE(""https://docs.google.com/spreadsheets/d/1EjEqG6oc_vmuAWwHnH51YMvSMVUVePUqN"&amp;"n9zZBOmHT8/edit#gid=757525651"",""'Allocation Breakdown'!I4:I187""))*$D$119"),20271.4681487466)</f>
        <v>20271.4681487466</v>
      </c>
      <c r="E54" s="30">
        <f ca="1">IFERROR(__xludf.DUMMYFUNCTION("XLOOKUP($B54,IMPORTRANGE(""https://docs.google.com/spreadsheets/d/1EjEqG6oc_vmuAWwHnH51YMvSMVUVePUqNn9zZBOmHT8/edit#gid=757525651"",""'Allocation Breakdown'!A4:A187""),IMPORTRANGE(""https://docs.google.com/spreadsheets/d/1EjEqG6oc_vmuAWwHnH51YMvSMVUVePUqN"&amp;"n9zZBOmHT8/edit#gid=757525651"",""'Allocation Breakdown'!V4:V187""))*E$119"),1635.71367078)</f>
        <v>1635.71367078</v>
      </c>
      <c r="F54" s="30">
        <f t="shared" ca="1" si="0"/>
        <v>21907.181819526602</v>
      </c>
      <c r="G54" s="30">
        <f ca="1">IFERROR(__xludf.DUMMYFUNCTION("XLOOKUP($B54,IMPORTRANGE(""https://docs.google.com/spreadsheets/d/1EjEqG6oc_vmuAWwHnH51YMvSMVUVePUqNn9zZBOmHT8/edit#gid=757525651"",""'Allocation Breakdown'!A4:A187""),IMPORTRANGE(""https://docs.google.com/spreadsheets/d/1EjEqG6oc_vmuAWwHnH51YMvSMVUVePUqN"&amp;"n9zZBOmHT8/edit#gid=757525651"",""'Allocation Breakdown'!D4:D187""))"),10000)</f>
        <v>10000</v>
      </c>
      <c r="H54" s="30">
        <f ca="1">IFERROR(__xludf.DUMMYFUNCTION("XLOOKUP($B54,IMPORTRANGE(""https://docs.google.com/spreadsheets/d/1EjEqG6oc_vmuAWwHnH51YMvSMVUVePUqNn9zZBOmHT8/edit#gid=757525651"",""'Allocation Breakdown'!A4:A187""),IMPORTRANGE(""https://docs.google.com/spreadsheets/d/1EjEqG6oc_vmuAWwHnH51YMvSMVUVePUqN"&amp;"n9zZBOmHT8/edit#gid=757525651"",""'Allocation Breakdown'!E4:E187""))"),150000)</f>
        <v>150000</v>
      </c>
      <c r="I54" s="30">
        <f ca="1">IFERROR(__xludf.DUMMYFUNCTION("XLOOKUP($B54,IMPORTRANGE(""https://docs.google.com/spreadsheets/d/1EjEqG6oc_vmuAWwHnH51YMvSMVUVePUqNn9zZBOmHT8/edit#gid=757525651"",""'Allocation Breakdown'!A4:A187""),IMPORTRANGE(""https://docs.google.com/spreadsheets/d/1EjEqG6oc_vmuAWwHnH51YMvSMVUVePUqN"&amp;"n9zZBOmHT8/edit#gid=757525651"",""'Allocation Breakdown'!F4:F187""))"),22115)</f>
        <v>22115</v>
      </c>
      <c r="J54" s="30" t="str">
        <f ca="1">IFERROR(__xludf.DUMMYFUNCTION("XLOOKUP($B54,IMPORTRANGE(""https://docs.google.com/spreadsheets/d/1EjEqG6oc_vmuAWwHnH51YMvSMVUVePUqNn9zZBOmHT8/edit#gid=757525651"",""'Allocation Breakdown'!A4:A187""),IMPORTRANGE(""https://docs.google.com/spreadsheets/d/1EjEqG6oc_vmuAWwHnH51YMvSMVUVePUqN"&amp;"n9zZBOmHT8/edit#gid=757525651"",""'Allocation Breakdown'!G4:G187""))"),"")</f>
        <v/>
      </c>
      <c r="K54" s="30">
        <f ca="1">IFERROR(__xludf.DUMMYFUNCTION("XLOOKUP($B54,IMPORTRANGE(""https://docs.google.com/spreadsheets/d/1EjEqG6oc_vmuAWwHnH51YMvSMVUVePUqNn9zZBOmHT8/edit#gid=757525651"",""'Allocation Breakdown'!A4:A187""),IMPORTRANGE(""https://docs.google.com/spreadsheets/d/1EjEqG6oc_vmuAWwHnH51YMvSMVUVePUqN"&amp;"n9zZBOmHT8/edit#gid=757525651"",""'Allocation Breakdown'!I4:I187""))*K$119"),1781.07462126)</f>
        <v>1781.07462126</v>
      </c>
      <c r="L54" s="30">
        <f ca="1">IFERROR(__xludf.DUMMYFUNCTION("XLOOKUP($B54,IMPORTRANGE(""https://docs.google.com/spreadsheets/d/1EjEqG6oc_vmuAWwHnH51YMvSMVUVePUqNn9zZBOmHT8/edit#gid=757525651"",""'Allocation Breakdown'!A4:A187""),IMPORTRANGE(""https://docs.google.com/spreadsheets/d/1EjEqG6oc_vmuAWwHnH51YMvSMVUVePUqN"&amp;"n9zZBOmHT8/edit#gid=757525651"",""'Allocation Breakdown'!j4:j187""))*L$119"),12955.39780675)</f>
        <v>12955.397806749999</v>
      </c>
      <c r="M54" s="30">
        <f ca="1">IFERROR(__xludf.DUMMYFUNCTION("XLOOKUP($B54,IMPORTRANGE(""https://docs.google.com/spreadsheets/d/1EjEqG6oc_vmuAWwHnH51YMvSMVUVePUqNn9zZBOmHT8/edit#gid=757525651"",""'Allocation Breakdown'!A4:A187""),IMPORTRANGE(""https://docs.google.com/spreadsheets/d/1EjEqG6oc_vmuAWwHnH51YMvSMVUVePUqN"&amp;"n9zZBOmHT8/edit#gid=757525651"",""'Allocation Breakdown'!K4:K187""))*M$119"),10048.1433066)</f>
        <v>10048.143306600001</v>
      </c>
      <c r="N54" s="30">
        <f ca="1">IFERROR(__xludf.DUMMYFUNCTION("XLOOKUP($B54,IMPORTRANGE(""https://docs.google.com/spreadsheets/d/1EjEqG6oc_vmuAWwHnH51YMvSMVUVePUqNn9zZBOmHT8/edit#gid=757525651"",""'Allocation Breakdown'!A4:A187""),IMPORTRANGE(""https://docs.google.com/spreadsheets/d/1EjEqG6oc_vmuAWwHnH51YMvSMVUVePUqN"&amp;"n9zZBOmHT8/edit#gid=757525651"",""'Allocation Breakdown'!l4:l187""))*N$119"),10470.4605588)</f>
        <v>10470.460558799999</v>
      </c>
      <c r="O54" s="30">
        <f ca="1">IFERROR(__xludf.DUMMYFUNCTION("XLOOKUP($B54,IMPORTRANGE(""https://docs.google.com/spreadsheets/d/1EjEqG6oc_vmuAWwHnH51YMvSMVUVePUqNn9zZBOmHT8/edit#gid=757525651"",""'Allocation Breakdown'!A4:A187""),IMPORTRANGE(""https://docs.google.com/spreadsheets/d/1EjEqG6oc_vmuAWwHnH51YMvSMVUVePUqN"&amp;"n9zZBOmHT8/edit#gid=757525651"",""'Allocation Breakdown'!n4:n187""))*O$119"),0)</f>
        <v>0</v>
      </c>
      <c r="P54" s="30">
        <f ca="1">IFERROR(__xludf.DUMMYFUNCTION("XLOOKUP($B54,IMPORTRANGE(""https://docs.google.com/spreadsheets/d/1EjEqG6oc_vmuAWwHnH51YMvSMVUVePUqNn9zZBOmHT8/edit#gid=757525651"",""'Allocation Breakdown'!A4:A187""),IMPORTRANGE(""https://docs.google.com/spreadsheets/d/1EjEqG6oc_vmuAWwHnH51YMvSMVUVePUqN"&amp;"n9zZBOmHT8/edit#gid=757525651"",""'Allocation Breakdown'!o4:o187""))*P$119"),0)</f>
        <v>0</v>
      </c>
      <c r="Q54" s="30">
        <f ca="1">IFERROR(__xludf.DUMMYFUNCTION("XLOOKUP($B54,IMPORTRANGE(""https://docs.google.com/spreadsheets/d/1EjEqG6oc_vmuAWwHnH51YMvSMVUVePUqNn9zZBOmHT8/edit#gid=757525651"",""'Allocation Breakdown'!A4:A187""),IMPORTRANGE(""https://docs.google.com/spreadsheets/d/1EjEqG6oc_vmuAWwHnH51YMvSMVUVePUqN"&amp;"n9zZBOmHT8/edit#gid=757525651"",""'Allocation Breakdown'!p4:p187""))*Q$119"),0)</f>
        <v>0</v>
      </c>
      <c r="R54" s="30">
        <f ca="1">IFERROR(__xludf.DUMMYFUNCTION("XLOOKUP($B54,IMPORTRANGE(""https://docs.google.com/spreadsheets/d/1EjEqG6oc_vmuAWwHnH51YMvSMVUVePUqNn9zZBOmHT8/edit#gid=757525651"",""'Allocation Breakdown'!A4:A187""),IMPORTRANGE(""https://docs.google.com/spreadsheets/d/1EjEqG6oc_vmuAWwHnH51YMvSMVUVePUqN"&amp;"n9zZBOmHT8/edit#gid=757525651"",""'Allocation Breakdown'!q4:q187""))*R$119"),14000)</f>
        <v>14000</v>
      </c>
      <c r="S54" s="30">
        <f ca="1">IFERROR(__xludf.DUMMYFUNCTION("XLOOKUP($B54,IMPORTRANGE(""https://docs.google.com/spreadsheets/d/1EjEqG6oc_vmuAWwHnH51YMvSMVUVePUqNn9zZBOmHT8/edit#gid=757525651"",""'Allocation Breakdown'!A4:A187""),IMPORTRANGE(""https://docs.google.com/spreadsheets/d/1EjEqG6oc_vmuAWwHnH51YMvSMVUVePUqN"&amp;"n9zZBOmHT8/edit#gid=757525651"",""'Allocation Breakdown'!r4:r187""))*S$119"),6000)</f>
        <v>6000</v>
      </c>
      <c r="T54" s="30">
        <f ca="1">IFERROR(__xludf.DUMMYFUNCTION("XLOOKUP($B54,IMPORTRANGE(""https://docs.google.com/spreadsheets/d/1EjEqG6oc_vmuAWwHnH51YMvSMVUVePUqNn9zZBOmHT8/edit#gid=757525651"",""'Allocation Breakdown'!A4:A187""),IMPORTRANGE(""https://docs.google.com/spreadsheets/d/1EjEqG6oc_vmuAWwHnH51YMvSMVUVePUqN"&amp;"n9zZBOmHT8/edit#gid=757525651"",""'Allocation Breakdown'!t4:t187""))*T$119"),77000)</f>
        <v>77000</v>
      </c>
      <c r="U54" s="30">
        <f ca="1">IFERROR(__xludf.DUMMYFUNCTION("XLOOKUP($B54,IMPORTRANGE(""https://docs.google.com/spreadsheets/d/1EjEqG6oc_vmuAWwHnH51YMvSMVUVePUqNn9zZBOmHT8/edit#gid=757525651"",""'Allocation Breakdown'!A4:A187""),IMPORTRANGE(""https://docs.google.com/spreadsheets/d/1EjEqG6oc_vmuAWwHnH51YMvSMVUVePUqN"&amp;"n9zZBOmHT8/edit#gid=757525651"",""'Allocation Breakdown'!U4:U187""))*U$119"),66000)</f>
        <v>66000</v>
      </c>
      <c r="V54" s="31">
        <f t="shared" ca="1" si="1"/>
        <v>380370.07629340998</v>
      </c>
      <c r="W54" s="31">
        <f t="shared" ca="1" si="2"/>
        <v>406941.54444215656</v>
      </c>
      <c r="Z54" s="32"/>
      <c r="AA54" s="32"/>
      <c r="AB54" s="32"/>
    </row>
    <row r="55" spans="2:28">
      <c r="B55" s="28" t="s">
        <v>150</v>
      </c>
      <c r="C55" s="30">
        <f ca="1">IFERROR(__xludf.DUMMYFUNCTION("XLOOKUP($B55,IMPORTRANGE(""https://docs.google.com/spreadsheets/d/1EjEqG6oc_vmuAWwHnH51YMvSMVUVePUqNn9zZBOmHT8/edit#gid=757525651"",""'Allocation Breakdown'!A4:A187""),IMPORTRANGE(""https://docs.google.com/spreadsheets/d/1EjEqG6oc_vmuAWwHnH51YMvSMVUVePUqN"&amp;"n9zZBOmHT8/edit#gid=757525651"",""'Allocation Breakdown'!V4:V187""))*C$119"),13992.8589876599)</f>
        <v>13992.8589876599</v>
      </c>
      <c r="D55" s="30">
        <f ca="1">IFERROR(__xludf.DUMMYFUNCTION("XLOOKUP($B55,IMPORTRANGE(""https://docs.google.com/spreadsheets/d/1EjEqG6oc_vmuAWwHnH51YMvSMVUVePUqNn9zZBOmHT8/edit#gid=757525651"",""'Allocation Breakdown'!A4:A187""),IMPORTRANGE(""https://docs.google.com/spreadsheets/d/1EjEqG6oc_vmuAWwHnH51YMvSMVUVePUqN"&amp;"n9zZBOmHT8/edit#gid=757525651"",""'Allocation Breakdown'!I4:I187""))*$D$119"),163594.304358306)</f>
        <v>163594.30435830599</v>
      </c>
      <c r="E55" s="30">
        <f ca="1">IFERROR(__xludf.DUMMYFUNCTION("XLOOKUP($B55,IMPORTRANGE(""https://docs.google.com/spreadsheets/d/1EjEqG6oc_vmuAWwHnH51YMvSMVUVePUqNn9zZBOmHT8/edit#gid=757525651"",""'Allocation Breakdown'!A4:A187""),IMPORTRANGE(""https://docs.google.com/spreadsheets/d/1EjEqG6oc_vmuAWwHnH51YMvSMVUVePUqN"&amp;"n9zZBOmHT8/edit#gid=757525651"",""'Allocation Breakdown'!V4:V187""))*E$119"),4907.14101234)</f>
        <v>4907.1410123400001</v>
      </c>
      <c r="F55" s="30">
        <f t="shared" ca="1" si="0"/>
        <v>168501.44537064599</v>
      </c>
      <c r="G55" s="30">
        <f ca="1">IFERROR(__xludf.DUMMYFUNCTION("XLOOKUP($B55,IMPORTRANGE(""https://docs.google.com/spreadsheets/d/1EjEqG6oc_vmuAWwHnH51YMvSMVUVePUqNn9zZBOmHT8/edit#gid=757525651"",""'Allocation Breakdown'!A4:A187""),IMPORTRANGE(""https://docs.google.com/spreadsheets/d/1EjEqG6oc_vmuAWwHnH51YMvSMVUVePUqN"&amp;"n9zZBOmHT8/edit#gid=757525651"",""'Allocation Breakdown'!D4:D187""))"),50000)</f>
        <v>50000</v>
      </c>
      <c r="H55" s="30" t="str">
        <f ca="1">IFERROR(__xludf.DUMMYFUNCTION("XLOOKUP($B55,IMPORTRANGE(""https://docs.google.com/spreadsheets/d/1EjEqG6oc_vmuAWwHnH51YMvSMVUVePUqNn9zZBOmHT8/edit#gid=757525651"",""'Allocation Breakdown'!A4:A187""),IMPORTRANGE(""https://docs.google.com/spreadsheets/d/1EjEqG6oc_vmuAWwHnH51YMvSMVUVePUqN"&amp;"n9zZBOmHT8/edit#gid=757525651"",""'Allocation Breakdown'!E4:E187""))"),"")</f>
        <v/>
      </c>
      <c r="I55" s="30">
        <f ca="1">IFERROR(__xludf.DUMMYFUNCTION("XLOOKUP($B55,IMPORTRANGE(""https://docs.google.com/spreadsheets/d/1EjEqG6oc_vmuAWwHnH51YMvSMVUVePUqNn9zZBOmHT8/edit#gid=757525651"",""'Allocation Breakdown'!A4:A187""),IMPORTRANGE(""https://docs.google.com/spreadsheets/d/1EjEqG6oc_vmuAWwHnH51YMvSMVUVePUqN"&amp;"n9zZBOmHT8/edit#gid=757525651"",""'Allocation Breakdown'!F4:F187""))"),315000)</f>
        <v>315000</v>
      </c>
      <c r="J55" s="30">
        <f ca="1">IFERROR(__xludf.DUMMYFUNCTION("XLOOKUP($B55,IMPORTRANGE(""https://docs.google.com/spreadsheets/d/1EjEqG6oc_vmuAWwHnH51YMvSMVUVePUqNn9zZBOmHT8/edit#gid=757525651"",""'Allocation Breakdown'!A4:A187""),IMPORTRANGE(""https://docs.google.com/spreadsheets/d/1EjEqG6oc_vmuAWwHnH51YMvSMVUVePUqN"&amp;"n9zZBOmHT8/edit#gid=757525651"",""'Allocation Breakdown'!G4:G187""))"),5000)</f>
        <v>5000</v>
      </c>
      <c r="K55" s="30">
        <f ca="1">IFERROR(__xludf.DUMMYFUNCTION("XLOOKUP($B55,IMPORTRANGE(""https://docs.google.com/spreadsheets/d/1EjEqG6oc_vmuAWwHnH51YMvSMVUVePUqNn9zZBOmHT8/edit#gid=757525651"",""'Allocation Breakdown'!A4:A187""),IMPORTRANGE(""https://docs.google.com/spreadsheets/d/1EjEqG6oc_vmuAWwHnH51YMvSMVUVePUqN"&amp;"n9zZBOmHT8/edit#gid=757525651"",""'Allocation Breakdown'!I4:I187""))*K$119"),14373.5846628)</f>
        <v>14373.5846628</v>
      </c>
      <c r="L55" s="30">
        <f ca="1">IFERROR(__xludf.DUMMYFUNCTION("XLOOKUP($B55,IMPORTRANGE(""https://docs.google.com/spreadsheets/d/1EjEqG6oc_vmuAWwHnH51YMvSMVUVePUqNn9zZBOmHT8/edit#gid=757525651"",""'Allocation Breakdown'!A4:A187""),IMPORTRANGE(""https://docs.google.com/spreadsheets/d/1EjEqG6oc_vmuAWwHnH51YMvSMVUVePUqN"&amp;"n9zZBOmHT8/edit#gid=757525651"",""'Allocation Breakdown'!j4:j187""))*L$119"),54412.67078835)</f>
        <v>54412.670788349998</v>
      </c>
      <c r="M55" s="30">
        <f ca="1">IFERROR(__xludf.DUMMYFUNCTION("XLOOKUP($B55,IMPORTRANGE(""https://docs.google.com/spreadsheets/d/1EjEqG6oc_vmuAWwHnH51YMvSMVUVePUqNn9zZBOmHT8/edit#gid=757525651"",""'Allocation Breakdown'!A4:A187""),IMPORTRANGE(""https://docs.google.com/spreadsheets/d/1EjEqG6oc_vmuAWwHnH51YMvSMVUVePUqN"&amp;"n9zZBOmHT8/edit#gid=757525651"",""'Allocation Breakdown'!K4:K187""))*M$119"),82538.3200185)</f>
        <v>82538.320018500002</v>
      </c>
      <c r="N55" s="30">
        <f ca="1">IFERROR(__xludf.DUMMYFUNCTION("XLOOKUP($B55,IMPORTRANGE(""https://docs.google.com/spreadsheets/d/1EjEqG6oc_vmuAWwHnH51YMvSMVUVePUqNn9zZBOmHT8/edit#gid=757525651"",""'Allocation Breakdown'!A4:A187""),IMPORTRANGE(""https://docs.google.com/spreadsheets/d/1EjEqG6oc_vmuAWwHnH51YMvSMVUVePUqN"&amp;"n9zZBOmHT8/edit#gid=757525651"",""'Allocation Breakdown'!l4:l187""))*N$119"),21892.7811684)</f>
        <v>21892.781168400001</v>
      </c>
      <c r="O55" s="30">
        <f ca="1">IFERROR(__xludf.DUMMYFUNCTION("XLOOKUP($B55,IMPORTRANGE(""https://docs.google.com/spreadsheets/d/1EjEqG6oc_vmuAWwHnH51YMvSMVUVePUqNn9zZBOmHT8/edit#gid=757525651"",""'Allocation Breakdown'!A4:A187""),IMPORTRANGE(""https://docs.google.com/spreadsheets/d/1EjEqG6oc_vmuAWwHnH51YMvSMVUVePUqN"&amp;"n9zZBOmHT8/edit#gid=757525651"",""'Allocation Breakdown'!n4:n187""))*O$119"),0)</f>
        <v>0</v>
      </c>
      <c r="P55" s="30">
        <f ca="1">IFERROR(__xludf.DUMMYFUNCTION("XLOOKUP($B55,IMPORTRANGE(""https://docs.google.com/spreadsheets/d/1EjEqG6oc_vmuAWwHnH51YMvSMVUVePUqNn9zZBOmHT8/edit#gid=757525651"",""'Allocation Breakdown'!A4:A187""),IMPORTRANGE(""https://docs.google.com/spreadsheets/d/1EjEqG6oc_vmuAWwHnH51YMvSMVUVePUqN"&amp;"n9zZBOmHT8/edit#gid=757525651"",""'Allocation Breakdown'!o4:o187""))*P$119"),77000)</f>
        <v>77000</v>
      </c>
      <c r="Q55" s="30">
        <f ca="1">IFERROR(__xludf.DUMMYFUNCTION("XLOOKUP($B55,IMPORTRANGE(""https://docs.google.com/spreadsheets/d/1EjEqG6oc_vmuAWwHnH51YMvSMVUVePUqNn9zZBOmHT8/edit#gid=757525651"",""'Allocation Breakdown'!A4:A187""),IMPORTRANGE(""https://docs.google.com/spreadsheets/d/1EjEqG6oc_vmuAWwHnH51YMvSMVUVePUqN"&amp;"n9zZBOmHT8/edit#gid=757525651"",""'Allocation Breakdown'!p4:p187""))*Q$119"),38000)</f>
        <v>38000</v>
      </c>
      <c r="R55" s="30">
        <f ca="1">IFERROR(__xludf.DUMMYFUNCTION("XLOOKUP($B55,IMPORTRANGE(""https://docs.google.com/spreadsheets/d/1EjEqG6oc_vmuAWwHnH51YMvSMVUVePUqNn9zZBOmHT8/edit#gid=757525651"",""'Allocation Breakdown'!A4:A187""),IMPORTRANGE(""https://docs.google.com/spreadsheets/d/1EjEqG6oc_vmuAWwHnH51YMvSMVUVePUqN"&amp;"n9zZBOmHT8/edit#gid=757525651"",""'Allocation Breakdown'!q4:q187""))*R$119"),44000)</f>
        <v>44000</v>
      </c>
      <c r="S55" s="30">
        <f ca="1">IFERROR(__xludf.DUMMYFUNCTION("XLOOKUP($B55,IMPORTRANGE(""https://docs.google.com/spreadsheets/d/1EjEqG6oc_vmuAWwHnH51YMvSMVUVePUqNn9zZBOmHT8/edit#gid=757525651"",""'Allocation Breakdown'!A4:A187""),IMPORTRANGE(""https://docs.google.com/spreadsheets/d/1EjEqG6oc_vmuAWwHnH51YMvSMVUVePUqN"&amp;"n9zZBOmHT8/edit#gid=757525651"",""'Allocation Breakdown'!r4:r187""))*S$119"),46000)</f>
        <v>46000</v>
      </c>
      <c r="T55" s="30">
        <f ca="1">IFERROR(__xludf.DUMMYFUNCTION("XLOOKUP($B55,IMPORTRANGE(""https://docs.google.com/spreadsheets/d/1EjEqG6oc_vmuAWwHnH51YMvSMVUVePUqNn9zZBOmHT8/edit#gid=757525651"",""'Allocation Breakdown'!A4:A187""),IMPORTRANGE(""https://docs.google.com/spreadsheets/d/1EjEqG6oc_vmuAWwHnH51YMvSMVUVePUqN"&amp;"n9zZBOmHT8/edit#gid=757525651"",""'Allocation Breakdown'!t4:t187""))*T$119"),161000)</f>
        <v>161000</v>
      </c>
      <c r="U55" s="30">
        <f ca="1">IFERROR(__xludf.DUMMYFUNCTION("XLOOKUP($B55,IMPORTRANGE(""https://docs.google.com/spreadsheets/d/1EjEqG6oc_vmuAWwHnH51YMvSMVUVePUqNn9zZBOmHT8/edit#gid=757525651"",""'Allocation Breakdown'!A4:A187""),IMPORTRANGE(""https://docs.google.com/spreadsheets/d/1EjEqG6oc_vmuAWwHnH51YMvSMVUVePUqN"&amp;"n9zZBOmHT8/edit#gid=757525651"",""'Allocation Breakdown'!U4:U187""))*U$119"),253000)</f>
        <v>253000</v>
      </c>
      <c r="V55" s="31">
        <f t="shared" ca="1" si="1"/>
        <v>1162217.3566380499</v>
      </c>
      <c r="W55" s="31">
        <f t="shared" ca="1" si="2"/>
        <v>1344711.6609963558</v>
      </c>
      <c r="Z55" s="32"/>
      <c r="AA55" s="32"/>
      <c r="AB55" s="32"/>
    </row>
    <row r="56" spans="2:28" ht="15.75" customHeight="1">
      <c r="B56" s="28" t="s">
        <v>151</v>
      </c>
      <c r="C56" s="30">
        <f ca="1">IFERROR(__xludf.DUMMYFUNCTION("XLOOKUP($B56,IMPORTRANGE(""https://docs.google.com/spreadsheets/d/1EjEqG6oc_vmuAWwHnH51YMvSMVUVePUqNn9zZBOmHT8/edit#gid=757525651"",""'Allocation Breakdown'!A4:A187""),IMPORTRANGE(""https://docs.google.com/spreadsheets/d/1EjEqG6oc_vmuAWwHnH51YMvSMVUVePUqN"&amp;"n9zZBOmHT8/edit#gid=757525651"",""'Allocation Breakdown'!V4:V187""))*C$119"),777.38105487)</f>
        <v>777.38105486999996</v>
      </c>
      <c r="D56" s="30">
        <f ca="1">IFERROR(__xludf.DUMMYFUNCTION("XLOOKUP($B56,IMPORTRANGE(""https://docs.google.com/spreadsheets/d/1EjEqG6oc_vmuAWwHnH51YMvSMVUVePUqNn9zZBOmHT8/edit#gid=757525651"",""'Allocation Breakdown'!A4:A187""),IMPORTRANGE(""https://docs.google.com/spreadsheets/d/1EjEqG6oc_vmuAWwHnH51YMvSMVUVePUqN"&amp;"n9zZBOmHT8/edit#gid=757525651"",""'Allocation Breakdown'!I4:I187""))*$D$119"),7112.7958416655)</f>
        <v>7112.7958416655001</v>
      </c>
      <c r="E56" s="30">
        <f ca="1">IFERROR(__xludf.DUMMYFUNCTION("XLOOKUP($B56,IMPORTRANGE(""https://docs.google.com/spreadsheets/d/1EjEqG6oc_vmuAWwHnH51YMvSMVUVePUqNn9zZBOmHT8/edit#gid=757525651"",""'Allocation Breakdown'!A4:A187""),IMPORTRANGE(""https://docs.google.com/spreadsheets/d/1EjEqG6oc_vmuAWwHnH51YMvSMVUVePUqN"&amp;"n9zZBOmHT8/edit#gid=757525651"",""'Allocation Breakdown'!V4:V187""))*E$119"),272.61894513)</f>
        <v>272.61894512999999</v>
      </c>
      <c r="F56" s="30">
        <f t="shared" ca="1" si="0"/>
        <v>7385.4147867954998</v>
      </c>
      <c r="G56" s="30">
        <f ca="1">IFERROR(__xludf.DUMMYFUNCTION("XLOOKUP($B56,IMPORTRANGE(""https://docs.google.com/spreadsheets/d/1EjEqG6oc_vmuAWwHnH51YMvSMVUVePUqNn9zZBOmHT8/edit#gid=757525651"",""'Allocation Breakdown'!A4:A187""),IMPORTRANGE(""https://docs.google.com/spreadsheets/d/1EjEqG6oc_vmuAWwHnH51YMvSMVUVePUqN"&amp;"n9zZBOmHT8/edit#gid=757525651"",""'Allocation Breakdown'!D4:D187""))"),5000)</f>
        <v>5000</v>
      </c>
      <c r="H56" s="30">
        <f ca="1">IFERROR(__xludf.DUMMYFUNCTION("XLOOKUP($B56,IMPORTRANGE(""https://docs.google.com/spreadsheets/d/1EjEqG6oc_vmuAWwHnH51YMvSMVUVePUqNn9zZBOmHT8/edit#gid=757525651"",""'Allocation Breakdown'!A4:A187""),IMPORTRANGE(""https://docs.google.com/spreadsheets/d/1EjEqG6oc_vmuAWwHnH51YMvSMVUVePUqN"&amp;"n9zZBOmHT8/edit#gid=757525651"",""'Allocation Breakdown'!E4:E187""))"),30000)</f>
        <v>30000</v>
      </c>
      <c r="I56" s="30">
        <f ca="1">IFERROR(__xludf.DUMMYFUNCTION("XLOOKUP($B56,IMPORTRANGE(""https://docs.google.com/spreadsheets/d/1EjEqG6oc_vmuAWwHnH51YMvSMVUVePUqNn9zZBOmHT8/edit#gid=757525651"",""'Allocation Breakdown'!A4:A187""),IMPORTRANGE(""https://docs.google.com/spreadsheets/d/1EjEqG6oc_vmuAWwHnH51YMvSMVUVePUqN"&amp;"n9zZBOmHT8/edit#gid=757525651"",""'Allocation Breakdown'!F4:F187""))"),16000)</f>
        <v>16000</v>
      </c>
      <c r="J56" s="30">
        <f ca="1">IFERROR(__xludf.DUMMYFUNCTION("XLOOKUP($B56,IMPORTRANGE(""https://docs.google.com/spreadsheets/d/1EjEqG6oc_vmuAWwHnH51YMvSMVUVePUqNn9zZBOmHT8/edit#gid=757525651"",""'Allocation Breakdown'!A4:A187""),IMPORTRANGE(""https://docs.google.com/spreadsheets/d/1EjEqG6oc_vmuAWwHnH51YMvSMVUVePUqN"&amp;"n9zZBOmHT8/edit#gid=757525651"",""'Allocation Breakdown'!G4:G187""))"),6000)</f>
        <v>6000</v>
      </c>
      <c r="K56" s="30">
        <f ca="1">IFERROR(__xludf.DUMMYFUNCTION("XLOOKUP($B56,IMPORTRANGE(""https://docs.google.com/spreadsheets/d/1EjEqG6oc_vmuAWwHnH51YMvSMVUVePUqNn9zZBOmHT8/edit#gid=757525651"",""'Allocation Breakdown'!A4:A187""),IMPORTRANGE(""https://docs.google.com/spreadsheets/d/1EjEqG6oc_vmuAWwHnH51YMvSMVUVePUqN"&amp;"n9zZBOmHT8/edit#gid=757525651"",""'Allocation Breakdown'!I4:I187""))*K$119"),624.9384636)</f>
        <v>624.93846359999998</v>
      </c>
      <c r="L56" s="30">
        <f ca="1">IFERROR(__xludf.DUMMYFUNCTION("XLOOKUP($B56,IMPORTRANGE(""https://docs.google.com/spreadsheets/d/1EjEqG6oc_vmuAWwHnH51YMvSMVUVePUqNn9zZBOmHT8/edit#gid=757525651"",""'Allocation Breakdown'!A4:A187""),IMPORTRANGE(""https://docs.google.com/spreadsheets/d/1EjEqG6oc_vmuAWwHnH51YMvSMVUVePUqN"&amp;"n9zZBOmHT8/edit#gid=757525651"",""'Allocation Breakdown'!j4:j187""))*L$119"),3701.5422305)</f>
        <v>3701.5422305000002</v>
      </c>
      <c r="M56" s="30">
        <f ca="1">IFERROR(__xludf.DUMMYFUNCTION("XLOOKUP($B56,IMPORTRANGE(""https://docs.google.com/spreadsheets/d/1EjEqG6oc_vmuAWwHnH51YMvSMVUVePUqNn9zZBOmHT8/edit#gid=757525651"",""'Allocation Breakdown'!A4:A187""),IMPORTRANGE(""https://docs.google.com/spreadsheets/d/1EjEqG6oc_vmuAWwHnH51YMvSMVUVePUqN"&amp;"n9zZBOmHT8/edit#gid=757525651"",""'Allocation Breakdown'!K4:K187""))*M$119"),3588.6226095)</f>
        <v>3588.6226095000002</v>
      </c>
      <c r="N56" s="30">
        <f ca="1">IFERROR(__xludf.DUMMYFUNCTION("XLOOKUP($B56,IMPORTRANGE(""https://docs.google.com/spreadsheets/d/1EjEqG6oc_vmuAWwHnH51YMvSMVUVePUqNn9zZBOmHT8/edit#gid=757525651"",""'Allocation Breakdown'!A4:A187""),IMPORTRANGE(""https://docs.google.com/spreadsheets/d/1EjEqG6oc_vmuAWwHnH51YMvSMVUVePUqN"&amp;"n9zZBOmHT8/edit#gid=757525651"",""'Allocation Breakdown'!l4:l187""))*N$119"),951.8600508)</f>
        <v>951.86005079999995</v>
      </c>
      <c r="O56" s="30">
        <f ca="1">IFERROR(__xludf.DUMMYFUNCTION("XLOOKUP($B56,IMPORTRANGE(""https://docs.google.com/spreadsheets/d/1EjEqG6oc_vmuAWwHnH51YMvSMVUVePUqNn9zZBOmHT8/edit#gid=757525651"",""'Allocation Breakdown'!A4:A187""),IMPORTRANGE(""https://docs.google.com/spreadsheets/d/1EjEqG6oc_vmuAWwHnH51YMvSMVUVePUqN"&amp;"n9zZBOmHT8/edit#gid=757525651"",""'Allocation Breakdown'!n4:n187""))*O$119"),0)</f>
        <v>0</v>
      </c>
      <c r="P56" s="30">
        <f ca="1">IFERROR(__xludf.DUMMYFUNCTION("XLOOKUP($B56,IMPORTRANGE(""https://docs.google.com/spreadsheets/d/1EjEqG6oc_vmuAWwHnH51YMvSMVUVePUqNn9zZBOmHT8/edit#gid=757525651"",""'Allocation Breakdown'!A4:A187""),IMPORTRANGE(""https://docs.google.com/spreadsheets/d/1EjEqG6oc_vmuAWwHnH51YMvSMVUVePUqN"&amp;"n9zZBOmHT8/edit#gid=757525651"",""'Allocation Breakdown'!o4:o187""))*P$119"),0)</f>
        <v>0</v>
      </c>
      <c r="Q56" s="30">
        <f ca="1">IFERROR(__xludf.DUMMYFUNCTION("XLOOKUP($B56,IMPORTRANGE(""https://docs.google.com/spreadsheets/d/1EjEqG6oc_vmuAWwHnH51YMvSMVUVePUqNn9zZBOmHT8/edit#gid=757525651"",""'Allocation Breakdown'!A4:A187""),IMPORTRANGE(""https://docs.google.com/spreadsheets/d/1EjEqG6oc_vmuAWwHnH51YMvSMVUVePUqN"&amp;"n9zZBOmHT8/edit#gid=757525651"",""'Allocation Breakdown'!p4:p187""))*Q$119"),1000)</f>
        <v>1000</v>
      </c>
      <c r="R56" s="30">
        <f ca="1">IFERROR(__xludf.DUMMYFUNCTION("XLOOKUP($B56,IMPORTRANGE(""https://docs.google.com/spreadsheets/d/1EjEqG6oc_vmuAWwHnH51YMvSMVUVePUqNn9zZBOmHT8/edit#gid=757525651"",""'Allocation Breakdown'!A4:A187""),IMPORTRANGE(""https://docs.google.com/spreadsheets/d/1EjEqG6oc_vmuAWwHnH51YMvSMVUVePUqN"&amp;"n9zZBOmHT8/edit#gid=757525651"",""'Allocation Breakdown'!q4:q187""))*R$119"),2000)</f>
        <v>2000</v>
      </c>
      <c r="S56" s="30">
        <f ca="1">IFERROR(__xludf.DUMMYFUNCTION("XLOOKUP($B56,IMPORTRANGE(""https://docs.google.com/spreadsheets/d/1EjEqG6oc_vmuAWwHnH51YMvSMVUVePUqNn9zZBOmHT8/edit#gid=757525651"",""'Allocation Breakdown'!A4:A187""),IMPORTRANGE(""https://docs.google.com/spreadsheets/d/1EjEqG6oc_vmuAWwHnH51YMvSMVUVePUqN"&amp;"n9zZBOmHT8/edit#gid=757525651"",""'Allocation Breakdown'!r4:r187""))*S$119"),1000)</f>
        <v>1000</v>
      </c>
      <c r="T56" s="30">
        <f ca="1">IFERROR(__xludf.DUMMYFUNCTION("XLOOKUP($B56,IMPORTRANGE(""https://docs.google.com/spreadsheets/d/1EjEqG6oc_vmuAWwHnH51YMvSMVUVePUqNn9zZBOmHT8/edit#gid=757525651"",""'Allocation Breakdown'!A4:A187""),IMPORTRANGE(""https://docs.google.com/spreadsheets/d/1EjEqG6oc_vmuAWwHnH51YMvSMVUVePUqN"&amp;"n9zZBOmHT8/edit#gid=757525651"",""'Allocation Breakdown'!t4:t187""))*T$119"),7000)</f>
        <v>7000</v>
      </c>
      <c r="U56" s="30">
        <f ca="1">IFERROR(__xludf.DUMMYFUNCTION("XLOOKUP($B56,IMPORTRANGE(""https://docs.google.com/spreadsheets/d/1EjEqG6oc_vmuAWwHnH51YMvSMVUVePUqNn9zZBOmHT8/edit#gid=757525651"",""'Allocation Breakdown'!A4:A187""),IMPORTRANGE(""https://docs.google.com/spreadsheets/d/1EjEqG6oc_vmuAWwHnH51YMvSMVUVePUqN"&amp;"n9zZBOmHT8/edit#gid=757525651"",""'Allocation Breakdown'!U4:U187""))*U$119"),11000)</f>
        <v>11000</v>
      </c>
      <c r="V56" s="31">
        <f t="shared" ca="1" si="1"/>
        <v>87866.96335440001</v>
      </c>
      <c r="W56" s="31">
        <f t="shared" ca="1" si="2"/>
        <v>96029.759196065512</v>
      </c>
      <c r="Z56" s="32"/>
      <c r="AA56" s="32"/>
      <c r="AB56" s="32"/>
    </row>
    <row r="57" spans="2:28" ht="15.75" customHeight="1">
      <c r="B57" s="28" t="s">
        <v>152</v>
      </c>
      <c r="C57" s="30">
        <f ca="1">IFERROR(__xludf.DUMMYFUNCTION("XLOOKUP($B57,IMPORTRANGE(""https://docs.google.com/spreadsheets/d/1EjEqG6oc_vmuAWwHnH51YMvSMVUVePUqNn9zZBOmHT8/edit#gid=757525651"",""'Allocation Breakdown'!A4:A187""),IMPORTRANGE(""https://docs.google.com/spreadsheets/d/1EjEqG6oc_vmuAWwHnH51YMvSMVUVePUqN"&amp;"n9zZBOmHT8/edit#gid=757525651"",""'Allocation Breakdown'!V4:V187""))*C$119"),0)</f>
        <v>0</v>
      </c>
      <c r="D57" s="30">
        <f ca="1">IFERROR(__xludf.DUMMYFUNCTION("XLOOKUP($B57,IMPORTRANGE(""https://docs.google.com/spreadsheets/d/1EjEqG6oc_vmuAWwHnH51YMvSMVUVePUqNn9zZBOmHT8/edit#gid=757525651"",""'Allocation Breakdown'!A4:A187""),IMPORTRANGE(""https://docs.google.com/spreadsheets/d/1EjEqG6oc_vmuAWwHnH51YMvSMVUVePUqN"&amp;"n9zZBOmHT8/edit#gid=757525651"",""'Allocation Breakdown'!I4:I187""))*$D$119"),35563.9792083275)</f>
        <v>35563.979208327502</v>
      </c>
      <c r="E57" s="30">
        <f ca="1">IFERROR(__xludf.DUMMYFUNCTION("XLOOKUP($B57,IMPORTRANGE(""https://docs.google.com/spreadsheets/d/1EjEqG6oc_vmuAWwHnH51YMvSMVUVePUqNn9zZBOmHT8/edit#gid=757525651"",""'Allocation Breakdown'!A4:A187""),IMPORTRANGE(""https://docs.google.com/spreadsheets/d/1EjEqG6oc_vmuAWwHnH51YMvSMVUVePUqN"&amp;"n9zZBOmHT8/edit#gid=757525651"",""'Allocation Breakdown'!V4:V187""))*E$119"),0)</f>
        <v>0</v>
      </c>
      <c r="F57" s="30">
        <f t="shared" ca="1" si="0"/>
        <v>35563.979208327502</v>
      </c>
      <c r="G57" s="30" t="str">
        <f ca="1">IFERROR(__xludf.DUMMYFUNCTION("XLOOKUP($B57,IMPORTRANGE(""https://docs.google.com/spreadsheets/d/1EjEqG6oc_vmuAWwHnH51YMvSMVUVePUqNn9zZBOmHT8/edit#gid=757525651"",""'Allocation Breakdown'!A4:A187""),IMPORTRANGE(""https://docs.google.com/spreadsheets/d/1EjEqG6oc_vmuAWwHnH51YMvSMVUVePUqN"&amp;"n9zZBOmHT8/edit#gid=757525651"",""'Allocation Breakdown'!D4:D187""))"),"")</f>
        <v/>
      </c>
      <c r="H57" s="30" t="str">
        <f ca="1">IFERROR(__xludf.DUMMYFUNCTION("XLOOKUP($B57,IMPORTRANGE(""https://docs.google.com/spreadsheets/d/1EjEqG6oc_vmuAWwHnH51YMvSMVUVePUqNn9zZBOmHT8/edit#gid=757525651"",""'Allocation Breakdown'!A4:A187""),IMPORTRANGE(""https://docs.google.com/spreadsheets/d/1EjEqG6oc_vmuAWwHnH51YMvSMVUVePUqN"&amp;"n9zZBOmHT8/edit#gid=757525651"",""'Allocation Breakdown'!E4:E187""))"),"")</f>
        <v/>
      </c>
      <c r="I57" s="30" t="str">
        <f ca="1">IFERROR(__xludf.DUMMYFUNCTION("XLOOKUP($B57,IMPORTRANGE(""https://docs.google.com/spreadsheets/d/1EjEqG6oc_vmuAWwHnH51YMvSMVUVePUqNn9zZBOmHT8/edit#gid=757525651"",""'Allocation Breakdown'!A4:A187""),IMPORTRANGE(""https://docs.google.com/spreadsheets/d/1EjEqG6oc_vmuAWwHnH51YMvSMVUVePUqN"&amp;"n9zZBOmHT8/edit#gid=757525651"",""'Allocation Breakdown'!F4:F187""))"),"")</f>
        <v/>
      </c>
      <c r="J57" s="30" t="str">
        <f ca="1">IFERROR(__xludf.DUMMYFUNCTION("XLOOKUP($B57,IMPORTRANGE(""https://docs.google.com/spreadsheets/d/1EjEqG6oc_vmuAWwHnH51YMvSMVUVePUqNn9zZBOmHT8/edit#gid=757525651"",""'Allocation Breakdown'!A4:A187""),IMPORTRANGE(""https://docs.google.com/spreadsheets/d/1EjEqG6oc_vmuAWwHnH51YMvSMVUVePUqN"&amp;"n9zZBOmHT8/edit#gid=757525651"",""'Allocation Breakdown'!G4:G187""))"),"")</f>
        <v/>
      </c>
      <c r="K57" s="30">
        <f ca="1">IFERROR(__xludf.DUMMYFUNCTION("XLOOKUP($B57,IMPORTRANGE(""https://docs.google.com/spreadsheets/d/1EjEqG6oc_vmuAWwHnH51YMvSMVUVePUqNn9zZBOmHT8/edit#gid=757525651"",""'Allocation Breakdown'!A4:A187""),IMPORTRANGE(""https://docs.google.com/spreadsheets/d/1EjEqG6oc_vmuAWwHnH51YMvSMVUVePUqN"&amp;"n9zZBOmHT8/edit#gid=757525651"",""'Allocation Breakdown'!I4:I187""))*K$119"),3124.692318)</f>
        <v>3124.6923179999999</v>
      </c>
      <c r="L57" s="30">
        <f ca="1">IFERROR(__xludf.DUMMYFUNCTION("XLOOKUP($B57,IMPORTRANGE(""https://docs.google.com/spreadsheets/d/1EjEqG6oc_vmuAWwHnH51YMvSMVUVePUqNn9zZBOmHT8/edit#gid=757525651"",""'Allocation Breakdown'!A4:A187""),IMPORTRANGE(""https://docs.google.com/spreadsheets/d/1EjEqG6oc_vmuAWwHnH51YMvSMVUVePUqN"&amp;"n9zZBOmHT8/edit#gid=757525651"",""'Allocation Breakdown'!j4:j187""))*L$119"),18507.7111525)</f>
        <v>18507.7111525</v>
      </c>
      <c r="M57" s="30">
        <f ca="1">IFERROR(__xludf.DUMMYFUNCTION("XLOOKUP($B57,IMPORTRANGE(""https://docs.google.com/spreadsheets/d/1EjEqG6oc_vmuAWwHnH51YMvSMVUVePUqNn9zZBOmHT8/edit#gid=757525651"",""'Allocation Breakdown'!A4:A187""),IMPORTRANGE(""https://docs.google.com/spreadsheets/d/1EjEqG6oc_vmuAWwHnH51YMvSMVUVePUqN"&amp;"n9zZBOmHT8/edit#gid=757525651"",""'Allocation Breakdown'!K4:K187""))*M$119"),17943.1130475)</f>
        <v>17943.113047499999</v>
      </c>
      <c r="N57" s="30">
        <f ca="1">IFERROR(__xludf.DUMMYFUNCTION("XLOOKUP($B57,IMPORTRANGE(""https://docs.google.com/spreadsheets/d/1EjEqG6oc_vmuAWwHnH51YMvSMVUVePUqNn9zZBOmHT8/edit#gid=757525651"",""'Allocation Breakdown'!A4:A187""),IMPORTRANGE(""https://docs.google.com/spreadsheets/d/1EjEqG6oc_vmuAWwHnH51YMvSMVUVePUqN"&amp;"n9zZBOmHT8/edit#gid=757525651"",""'Allocation Breakdown'!l4:l187""))*N$119"),4759.300254)</f>
        <v>4759.3002539999998</v>
      </c>
      <c r="O57" s="30">
        <f ca="1">IFERROR(__xludf.DUMMYFUNCTION("XLOOKUP($B57,IMPORTRANGE(""https://docs.google.com/spreadsheets/d/1EjEqG6oc_vmuAWwHnH51YMvSMVUVePUqNn9zZBOmHT8/edit#gid=757525651"",""'Allocation Breakdown'!A4:A187""),IMPORTRANGE(""https://docs.google.com/spreadsheets/d/1EjEqG6oc_vmuAWwHnH51YMvSMVUVePUqN"&amp;"n9zZBOmHT8/edit#gid=757525651"",""'Allocation Breakdown'!n4:n187""))*O$119"),0)</f>
        <v>0</v>
      </c>
      <c r="P57" s="30">
        <f ca="1">IFERROR(__xludf.DUMMYFUNCTION("XLOOKUP($B57,IMPORTRANGE(""https://docs.google.com/spreadsheets/d/1EjEqG6oc_vmuAWwHnH51YMvSMVUVePUqNn9zZBOmHT8/edit#gid=757525651"",""'Allocation Breakdown'!A4:A187""),IMPORTRANGE(""https://docs.google.com/spreadsheets/d/1EjEqG6oc_vmuAWwHnH51YMvSMVUVePUqN"&amp;"n9zZBOmHT8/edit#gid=757525651"",""'Allocation Breakdown'!o4:o187""))*P$119"),13200)</f>
        <v>13200</v>
      </c>
      <c r="Q57" s="30">
        <f ca="1">IFERROR(__xludf.DUMMYFUNCTION("XLOOKUP($B57,IMPORTRANGE(""https://docs.google.com/spreadsheets/d/1EjEqG6oc_vmuAWwHnH51YMvSMVUVePUqNn9zZBOmHT8/edit#gid=757525651"",""'Allocation Breakdown'!A4:A187""),IMPORTRANGE(""https://docs.google.com/spreadsheets/d/1EjEqG6oc_vmuAWwHnH51YMvSMVUVePUqN"&amp;"n9zZBOmHT8/edit#gid=757525651"",""'Allocation Breakdown'!p4:p187""))*Q$119"),0)</f>
        <v>0</v>
      </c>
      <c r="R57" s="30">
        <f ca="1">IFERROR(__xludf.DUMMYFUNCTION("XLOOKUP($B57,IMPORTRANGE(""https://docs.google.com/spreadsheets/d/1EjEqG6oc_vmuAWwHnH51YMvSMVUVePUqNn9zZBOmHT8/edit#gid=757525651"",""'Allocation Breakdown'!A4:A187""),IMPORTRANGE(""https://docs.google.com/spreadsheets/d/1EjEqG6oc_vmuAWwHnH51YMvSMVUVePUqN"&amp;"n9zZBOmHT8/edit#gid=757525651"",""'Allocation Breakdown'!q4:q187""))*R$119"),0)</f>
        <v>0</v>
      </c>
      <c r="S57" s="30">
        <f ca="1">IFERROR(__xludf.DUMMYFUNCTION("XLOOKUP($B57,IMPORTRANGE(""https://docs.google.com/spreadsheets/d/1EjEqG6oc_vmuAWwHnH51YMvSMVUVePUqNn9zZBOmHT8/edit#gid=757525651"",""'Allocation Breakdown'!A4:A187""),IMPORTRANGE(""https://docs.google.com/spreadsheets/d/1EjEqG6oc_vmuAWwHnH51YMvSMVUVePUqN"&amp;"n9zZBOmHT8/edit#gid=757525651"",""'Allocation Breakdown'!r4:r187""))*S$119"),3000)</f>
        <v>3000</v>
      </c>
      <c r="T57" s="30">
        <f ca="1">IFERROR(__xludf.DUMMYFUNCTION("XLOOKUP($B57,IMPORTRANGE(""https://docs.google.com/spreadsheets/d/1EjEqG6oc_vmuAWwHnH51YMvSMVUVePUqNn9zZBOmHT8/edit#gid=757525651"",""'Allocation Breakdown'!A4:A187""),IMPORTRANGE(""https://docs.google.com/spreadsheets/d/1EjEqG6oc_vmuAWwHnH51YMvSMVUVePUqN"&amp;"n9zZBOmHT8/edit#gid=757525651"",""'Allocation Breakdown'!t4:t187""))*T$119"),35000)</f>
        <v>35000</v>
      </c>
      <c r="U57" s="30">
        <f ca="1">IFERROR(__xludf.DUMMYFUNCTION("XLOOKUP($B57,IMPORTRANGE(""https://docs.google.com/spreadsheets/d/1EjEqG6oc_vmuAWwHnH51YMvSMVUVePUqNn9zZBOmHT8/edit#gid=757525651"",""'Allocation Breakdown'!A4:A187""),IMPORTRANGE(""https://docs.google.com/spreadsheets/d/1EjEqG6oc_vmuAWwHnH51YMvSMVUVePUqN"&amp;"n9zZBOmHT8/edit#gid=757525651"",""'Allocation Breakdown'!U4:U187""))*U$119"),0)</f>
        <v>0</v>
      </c>
      <c r="V57" s="31">
        <f t="shared" ca="1" si="1"/>
        <v>95534.816772000006</v>
      </c>
      <c r="W57" s="31">
        <f t="shared" ca="1" si="2"/>
        <v>131098.7959803275</v>
      </c>
      <c r="Z57" s="32"/>
      <c r="AA57" s="32"/>
      <c r="AB57" s="32"/>
    </row>
    <row r="58" spans="2:28">
      <c r="B58" s="28" t="s">
        <v>153</v>
      </c>
      <c r="C58" s="30">
        <f ca="1">IFERROR(__xludf.DUMMYFUNCTION("XLOOKUP($B58,IMPORTRANGE(""https://docs.google.com/spreadsheets/d/1EjEqG6oc_vmuAWwHnH51YMvSMVUVePUqNn9zZBOmHT8/edit#gid=757525651"",""'Allocation Breakdown'!A4:A187""),IMPORTRANGE(""https://docs.google.com/spreadsheets/d/1EjEqG6oc_vmuAWwHnH51YMvSMVUVePUqN"&amp;"n9zZBOmHT8/edit#gid=757525651"",""'Allocation Breakdown'!V4:V187""))*C$119"),777.38105487)</f>
        <v>777.38105486999996</v>
      </c>
      <c r="D58" s="30">
        <f ca="1">IFERROR(__xludf.DUMMYFUNCTION("XLOOKUP($B58,IMPORTRANGE(""https://docs.google.com/spreadsheets/d/1EjEqG6oc_vmuAWwHnH51YMvSMVUVePUqNn9zZBOmHT8/edit#gid=757525651"",""'Allocation Breakdown'!A4:A187""),IMPORTRANGE(""https://docs.google.com/spreadsheets/d/1EjEqG6oc_vmuAWwHnH51YMvSMVUVePUqN"&amp;"n9zZBOmHT8/edit#gid=757525651"",""'Allocation Breakdown'!I4:I187""))*$D$119"),14225.591683331)</f>
        <v>14225.591683331</v>
      </c>
      <c r="E58" s="30">
        <f ca="1">IFERROR(__xludf.DUMMYFUNCTION("XLOOKUP($B58,IMPORTRANGE(""https://docs.google.com/spreadsheets/d/1EjEqG6oc_vmuAWwHnH51YMvSMVUVePUqNn9zZBOmHT8/edit#gid=757525651"",""'Allocation Breakdown'!A4:A187""),IMPORTRANGE(""https://docs.google.com/spreadsheets/d/1EjEqG6oc_vmuAWwHnH51YMvSMVUVePUqN"&amp;"n9zZBOmHT8/edit#gid=757525651"",""'Allocation Breakdown'!V4:V187""))*E$119"),272.61894513)</f>
        <v>272.61894512999999</v>
      </c>
      <c r="F58" s="30">
        <f t="shared" ca="1" si="0"/>
        <v>14498.210628461</v>
      </c>
      <c r="G58" s="30" t="str">
        <f ca="1">IFERROR(__xludf.DUMMYFUNCTION("XLOOKUP($B58,IMPORTRANGE(""https://docs.google.com/spreadsheets/d/1EjEqG6oc_vmuAWwHnH51YMvSMVUVePUqNn9zZBOmHT8/edit#gid=757525651"",""'Allocation Breakdown'!A4:A187""),IMPORTRANGE(""https://docs.google.com/spreadsheets/d/1EjEqG6oc_vmuAWwHnH51YMvSMVUVePUqN"&amp;"n9zZBOmHT8/edit#gid=757525651"",""'Allocation Breakdown'!D4:D187""))"),"")</f>
        <v/>
      </c>
      <c r="H58" s="30">
        <f ca="1">IFERROR(__xludf.DUMMYFUNCTION("XLOOKUP($B58,IMPORTRANGE(""https://docs.google.com/spreadsheets/d/1EjEqG6oc_vmuAWwHnH51YMvSMVUVePUqNn9zZBOmHT8/edit#gid=757525651"",""'Allocation Breakdown'!A4:A187""),IMPORTRANGE(""https://docs.google.com/spreadsheets/d/1EjEqG6oc_vmuAWwHnH51YMvSMVUVePUqN"&amp;"n9zZBOmHT8/edit#gid=757525651"",""'Allocation Breakdown'!E4:E187""))"),16000)</f>
        <v>16000</v>
      </c>
      <c r="I58" s="30">
        <f ca="1">IFERROR(__xludf.DUMMYFUNCTION("XLOOKUP($B58,IMPORTRANGE(""https://docs.google.com/spreadsheets/d/1EjEqG6oc_vmuAWwHnH51YMvSMVUVePUqNn9zZBOmHT8/edit#gid=757525651"",""'Allocation Breakdown'!A4:A187""),IMPORTRANGE(""https://docs.google.com/spreadsheets/d/1EjEqG6oc_vmuAWwHnH51YMvSMVUVePUqN"&amp;"n9zZBOmHT8/edit#gid=757525651"",""'Allocation Breakdown'!F4:F187""))"),36000)</f>
        <v>36000</v>
      </c>
      <c r="J58" s="30">
        <f ca="1">IFERROR(__xludf.DUMMYFUNCTION("XLOOKUP($B58,IMPORTRANGE(""https://docs.google.com/spreadsheets/d/1EjEqG6oc_vmuAWwHnH51YMvSMVUVePUqNn9zZBOmHT8/edit#gid=757525651"",""'Allocation Breakdown'!A4:A187""),IMPORTRANGE(""https://docs.google.com/spreadsheets/d/1EjEqG6oc_vmuAWwHnH51YMvSMVUVePUqN"&amp;"n9zZBOmHT8/edit#gid=757525651"",""'Allocation Breakdown'!G4:G187""))"),18350)</f>
        <v>18350</v>
      </c>
      <c r="K58" s="30">
        <f ca="1">IFERROR(__xludf.DUMMYFUNCTION("XLOOKUP($B58,IMPORTRANGE(""https://docs.google.com/spreadsheets/d/1EjEqG6oc_vmuAWwHnH51YMvSMVUVePUqNn9zZBOmHT8/edit#gid=757525651"",""'Allocation Breakdown'!A4:A187""),IMPORTRANGE(""https://docs.google.com/spreadsheets/d/1EjEqG6oc_vmuAWwHnH51YMvSMVUVePUqN"&amp;"n9zZBOmHT8/edit#gid=757525651"",""'Allocation Breakdown'!I4:I187""))*K$119"),1249.8769272)</f>
        <v>1249.8769272</v>
      </c>
      <c r="L58" s="30">
        <f ca="1">IFERROR(__xludf.DUMMYFUNCTION("XLOOKUP($B58,IMPORTRANGE(""https://docs.google.com/spreadsheets/d/1EjEqG6oc_vmuAWwHnH51YMvSMVUVePUqNn9zZBOmHT8/edit#gid=757525651"",""'Allocation Breakdown'!A4:A187""),IMPORTRANGE(""https://docs.google.com/spreadsheets/d/1EjEqG6oc_vmuAWwHnH51YMvSMVUVePUqN"&amp;"n9zZBOmHT8/edit#gid=757525651"",""'Allocation Breakdown'!j4:j187""))*L$119"),7403.084461)</f>
        <v>7403.0844610000004</v>
      </c>
      <c r="M58" s="30">
        <f ca="1">IFERROR(__xludf.DUMMYFUNCTION("XLOOKUP($B58,IMPORTRANGE(""https://docs.google.com/spreadsheets/d/1EjEqG6oc_vmuAWwHnH51YMvSMVUVePUqNn9zZBOmHT8/edit#gid=757525651"",""'Allocation Breakdown'!A4:A187""),IMPORTRANGE(""https://docs.google.com/spreadsheets/d/1EjEqG6oc_vmuAWwHnH51YMvSMVUVePUqN"&amp;"n9zZBOmHT8/edit#gid=757525651"",""'Allocation Breakdown'!K4:K187""))*M$119"),7177.245219)</f>
        <v>7177.2452190000004</v>
      </c>
      <c r="N58" s="30">
        <f ca="1">IFERROR(__xludf.DUMMYFUNCTION("XLOOKUP($B58,IMPORTRANGE(""https://docs.google.com/spreadsheets/d/1EjEqG6oc_vmuAWwHnH51YMvSMVUVePUqNn9zZBOmHT8/edit#gid=757525651"",""'Allocation Breakdown'!A4:A187""),IMPORTRANGE(""https://docs.google.com/spreadsheets/d/1EjEqG6oc_vmuAWwHnH51YMvSMVUVePUqN"&amp;"n9zZBOmHT8/edit#gid=757525651"",""'Allocation Breakdown'!l4:l187""))*N$119"),1903.7201016)</f>
        <v>1903.7201015999999</v>
      </c>
      <c r="O58" s="30">
        <f ca="1">IFERROR(__xludf.DUMMYFUNCTION("XLOOKUP($B58,IMPORTRANGE(""https://docs.google.com/spreadsheets/d/1EjEqG6oc_vmuAWwHnH51YMvSMVUVePUqNn9zZBOmHT8/edit#gid=757525651"",""'Allocation Breakdown'!A4:A187""),IMPORTRANGE(""https://docs.google.com/spreadsheets/d/1EjEqG6oc_vmuAWwHnH51YMvSMVUVePUqN"&amp;"n9zZBOmHT8/edit#gid=757525651"",""'Allocation Breakdown'!n4:n187""))*O$119"),0)</f>
        <v>0</v>
      </c>
      <c r="P58" s="30">
        <f ca="1">IFERROR(__xludf.DUMMYFUNCTION("XLOOKUP($B58,IMPORTRANGE(""https://docs.google.com/spreadsheets/d/1EjEqG6oc_vmuAWwHnH51YMvSMVUVePUqNn9zZBOmHT8/edit#gid=757525651"",""'Allocation Breakdown'!A4:A187""),IMPORTRANGE(""https://docs.google.com/spreadsheets/d/1EjEqG6oc_vmuAWwHnH51YMvSMVUVePUqN"&amp;"n9zZBOmHT8/edit#gid=757525651"",""'Allocation Breakdown'!o4:o187""))*P$119"),8800)</f>
        <v>8800</v>
      </c>
      <c r="Q58" s="30">
        <f ca="1">IFERROR(__xludf.DUMMYFUNCTION("XLOOKUP($B58,IMPORTRANGE(""https://docs.google.com/spreadsheets/d/1EjEqG6oc_vmuAWwHnH51YMvSMVUVePUqNn9zZBOmHT8/edit#gid=757525651"",""'Allocation Breakdown'!A4:A187""),IMPORTRANGE(""https://docs.google.com/spreadsheets/d/1EjEqG6oc_vmuAWwHnH51YMvSMVUVePUqN"&amp;"n9zZBOmHT8/edit#gid=757525651"",""'Allocation Breakdown'!p4:p187""))*Q$119"),4000)</f>
        <v>4000</v>
      </c>
      <c r="R58" s="30">
        <f ca="1">IFERROR(__xludf.DUMMYFUNCTION("XLOOKUP($B58,IMPORTRANGE(""https://docs.google.com/spreadsheets/d/1EjEqG6oc_vmuAWwHnH51YMvSMVUVePUqNn9zZBOmHT8/edit#gid=757525651"",""'Allocation Breakdown'!A4:A187""),IMPORTRANGE(""https://docs.google.com/spreadsheets/d/1EjEqG6oc_vmuAWwHnH51YMvSMVUVePUqN"&amp;"n9zZBOmHT8/edit#gid=757525651"",""'Allocation Breakdown'!q4:q187""))*R$119"),4000)</f>
        <v>4000</v>
      </c>
      <c r="S58" s="30">
        <f ca="1">IFERROR(__xludf.DUMMYFUNCTION("XLOOKUP($B58,IMPORTRANGE(""https://docs.google.com/spreadsheets/d/1EjEqG6oc_vmuAWwHnH51YMvSMVUVePUqNn9zZBOmHT8/edit#gid=757525651"",""'Allocation Breakdown'!A4:A187""),IMPORTRANGE(""https://docs.google.com/spreadsheets/d/1EjEqG6oc_vmuAWwHnH51YMvSMVUVePUqN"&amp;"n9zZBOmHT8/edit#gid=757525651"",""'Allocation Breakdown'!r4:r187""))*S$119"),4000)</f>
        <v>4000</v>
      </c>
      <c r="T58" s="30">
        <f ca="1">IFERROR(__xludf.DUMMYFUNCTION("XLOOKUP($B58,IMPORTRANGE(""https://docs.google.com/spreadsheets/d/1EjEqG6oc_vmuAWwHnH51YMvSMVUVePUqNn9zZBOmHT8/edit#gid=757525651"",""'Allocation Breakdown'!A4:A187""),IMPORTRANGE(""https://docs.google.com/spreadsheets/d/1EjEqG6oc_vmuAWwHnH51YMvSMVUVePUqN"&amp;"n9zZBOmHT8/edit#gid=757525651"",""'Allocation Breakdown'!t4:t187""))*T$119"),14000)</f>
        <v>14000</v>
      </c>
      <c r="U58" s="30">
        <f ca="1">IFERROR(__xludf.DUMMYFUNCTION("XLOOKUP($B58,IMPORTRANGE(""https://docs.google.com/spreadsheets/d/1EjEqG6oc_vmuAWwHnH51YMvSMVUVePUqNn9zZBOmHT8/edit#gid=757525651"",""'Allocation Breakdown'!A4:A187""),IMPORTRANGE(""https://docs.google.com/spreadsheets/d/1EjEqG6oc_vmuAWwHnH51YMvSMVUVePUqN"&amp;"n9zZBOmHT8/edit#gid=757525651"",""'Allocation Breakdown'!U4:U187""))*U$119"),22000)</f>
        <v>22000</v>
      </c>
      <c r="V58" s="31">
        <f t="shared" ca="1" si="1"/>
        <v>144883.92670880002</v>
      </c>
      <c r="W58" s="31">
        <f t="shared" ca="1" si="2"/>
        <v>160159.51839213102</v>
      </c>
      <c r="Z58" s="32"/>
      <c r="AA58" s="32"/>
      <c r="AB58" s="32"/>
    </row>
    <row r="59" spans="2:28" ht="15.75" customHeight="1">
      <c r="B59" s="28" t="s">
        <v>154</v>
      </c>
      <c r="C59" s="30">
        <f ca="1">IFERROR(__xludf.DUMMYFUNCTION("XLOOKUP($B59,IMPORTRANGE(""https://docs.google.com/spreadsheets/d/1EjEqG6oc_vmuAWwHnH51YMvSMVUVePUqNn9zZBOmHT8/edit#gid=757525651"",""'Allocation Breakdown'!A4:A187""),IMPORTRANGE(""https://docs.google.com/spreadsheets/d/1EjEqG6oc_vmuAWwHnH51YMvSMVUVePUqN"&amp;"n9zZBOmHT8/edit#gid=757525651"",""'Allocation Breakdown'!V4:V187""))*C$119"),2332.14316461)</f>
        <v>2332.14316461</v>
      </c>
      <c r="D59" s="30">
        <f ca="1">IFERROR(__xludf.DUMMYFUNCTION("XLOOKUP($B59,IMPORTRANGE(""https://docs.google.com/spreadsheets/d/1EjEqG6oc_vmuAWwHnH51YMvSMVUVePUqNn9zZBOmHT8/edit#gid=757525651"",""'Allocation Breakdown'!A4:A187""),IMPORTRANGE(""https://docs.google.com/spreadsheets/d/1EjEqG6oc_vmuAWwHnH51YMvSMVUVePUqN"&amp;"n9zZBOmHT8/edit#gid=757525651"",""'Allocation Breakdown'!I4:I187""))*$D$119"),10669.1937624982)</f>
        <v>10669.1937624982</v>
      </c>
      <c r="E59" s="30">
        <f ca="1">IFERROR(__xludf.DUMMYFUNCTION("XLOOKUP($B59,IMPORTRANGE(""https://docs.google.com/spreadsheets/d/1EjEqG6oc_vmuAWwHnH51YMvSMVUVePUqNn9zZBOmHT8/edit#gid=757525651"",""'Allocation Breakdown'!A4:A187""),IMPORTRANGE(""https://docs.google.com/spreadsheets/d/1EjEqG6oc_vmuAWwHnH51YMvSMVUVePUqN"&amp;"n9zZBOmHT8/edit#gid=757525651"",""'Allocation Breakdown'!V4:V187""))*E$119"),817.85683539)</f>
        <v>817.85683539000001</v>
      </c>
      <c r="F59" s="30">
        <f t="shared" ca="1" si="0"/>
        <v>11487.050597888199</v>
      </c>
      <c r="G59" s="30" t="str">
        <f ca="1">IFERROR(__xludf.DUMMYFUNCTION("XLOOKUP($B59,IMPORTRANGE(""https://docs.google.com/spreadsheets/d/1EjEqG6oc_vmuAWwHnH51YMvSMVUVePUqNn9zZBOmHT8/edit#gid=757525651"",""'Allocation Breakdown'!A4:A187""),IMPORTRANGE(""https://docs.google.com/spreadsheets/d/1EjEqG6oc_vmuAWwHnH51YMvSMVUVePUqN"&amp;"n9zZBOmHT8/edit#gid=757525651"",""'Allocation Breakdown'!D4:D187""))"),"")</f>
        <v/>
      </c>
      <c r="H59" s="30" t="str">
        <f ca="1">IFERROR(__xludf.DUMMYFUNCTION("XLOOKUP($B59,IMPORTRANGE(""https://docs.google.com/spreadsheets/d/1EjEqG6oc_vmuAWwHnH51YMvSMVUVePUqNn9zZBOmHT8/edit#gid=757525651"",""'Allocation Breakdown'!A4:A187""),IMPORTRANGE(""https://docs.google.com/spreadsheets/d/1EjEqG6oc_vmuAWwHnH51YMvSMVUVePUqN"&amp;"n9zZBOmHT8/edit#gid=757525651"",""'Allocation Breakdown'!E4:E187""))"),"")</f>
        <v/>
      </c>
      <c r="I59" s="30" t="str">
        <f ca="1">IFERROR(__xludf.DUMMYFUNCTION("XLOOKUP($B59,IMPORTRANGE(""https://docs.google.com/spreadsheets/d/1EjEqG6oc_vmuAWwHnH51YMvSMVUVePUqNn9zZBOmHT8/edit#gid=757525651"",""'Allocation Breakdown'!A4:A187""),IMPORTRANGE(""https://docs.google.com/spreadsheets/d/1EjEqG6oc_vmuAWwHnH51YMvSMVUVePUqN"&amp;"n9zZBOmHT8/edit#gid=757525651"",""'Allocation Breakdown'!F4:F187""))"),"")</f>
        <v/>
      </c>
      <c r="J59" s="30" t="str">
        <f ca="1">IFERROR(__xludf.DUMMYFUNCTION("XLOOKUP($B59,IMPORTRANGE(""https://docs.google.com/spreadsheets/d/1EjEqG6oc_vmuAWwHnH51YMvSMVUVePUqNn9zZBOmHT8/edit#gid=757525651"",""'Allocation Breakdown'!A4:A187""),IMPORTRANGE(""https://docs.google.com/spreadsheets/d/1EjEqG6oc_vmuAWwHnH51YMvSMVUVePUqN"&amp;"n9zZBOmHT8/edit#gid=757525651"",""'Allocation Breakdown'!G4:G187""))"),"")</f>
        <v/>
      </c>
      <c r="K59" s="30">
        <f ca="1">IFERROR(__xludf.DUMMYFUNCTION("XLOOKUP($B59,IMPORTRANGE(""https://docs.google.com/spreadsheets/d/1EjEqG6oc_vmuAWwHnH51YMvSMVUVePUqNn9zZBOmHT8/edit#gid=757525651"",""'Allocation Breakdown'!A4:A187""),IMPORTRANGE(""https://docs.google.com/spreadsheets/d/1EjEqG6oc_vmuAWwHnH51YMvSMVUVePUqN"&amp;"n9zZBOmHT8/edit#gid=757525651"",""'Allocation Breakdown'!I4:I187""))*K$119"),937.4076954)</f>
        <v>937.40769539999997</v>
      </c>
      <c r="L59" s="30">
        <f ca="1">IFERROR(__xludf.DUMMYFUNCTION("XLOOKUP($B59,IMPORTRANGE(""https://docs.google.com/spreadsheets/d/1EjEqG6oc_vmuAWwHnH51YMvSMVUVePUqNn9zZBOmHT8/edit#gid=757525651"",""'Allocation Breakdown'!A4:A187""),IMPORTRANGE(""https://docs.google.com/spreadsheets/d/1EjEqG6oc_vmuAWwHnH51YMvSMVUVePUqN"&amp;"n9zZBOmHT8/edit#gid=757525651"",""'Allocation Breakdown'!j4:j187""))*L$119"),0)</f>
        <v>0</v>
      </c>
      <c r="M59" s="30">
        <f ca="1">IFERROR(__xludf.DUMMYFUNCTION("XLOOKUP($B59,IMPORTRANGE(""https://docs.google.com/spreadsheets/d/1EjEqG6oc_vmuAWwHnH51YMvSMVUVePUqNn9zZBOmHT8/edit#gid=757525651"",""'Allocation Breakdown'!A4:A187""),IMPORTRANGE(""https://docs.google.com/spreadsheets/d/1EjEqG6oc_vmuAWwHnH51YMvSMVUVePUqN"&amp;"n9zZBOmHT8/edit#gid=757525651"",""'Allocation Breakdown'!K4:K187""))*M$119"),0)</f>
        <v>0</v>
      </c>
      <c r="N59" s="30">
        <f ca="1">IFERROR(__xludf.DUMMYFUNCTION("XLOOKUP($B59,IMPORTRANGE(""https://docs.google.com/spreadsheets/d/1EjEqG6oc_vmuAWwHnH51YMvSMVUVePUqNn9zZBOmHT8/edit#gid=757525651"",""'Allocation Breakdown'!A4:A187""),IMPORTRANGE(""https://docs.google.com/spreadsheets/d/1EjEqG6oc_vmuAWwHnH51YMvSMVUVePUqN"&amp;"n9zZBOmHT8/edit#gid=757525651"",""'Allocation Breakdown'!l4:l187""))*N$119"),0)</f>
        <v>0</v>
      </c>
      <c r="O59" s="30">
        <f ca="1">IFERROR(__xludf.DUMMYFUNCTION("XLOOKUP($B59,IMPORTRANGE(""https://docs.google.com/spreadsheets/d/1EjEqG6oc_vmuAWwHnH51YMvSMVUVePUqNn9zZBOmHT8/edit#gid=757525651"",""'Allocation Breakdown'!A4:A187""),IMPORTRANGE(""https://docs.google.com/spreadsheets/d/1EjEqG6oc_vmuAWwHnH51YMvSMVUVePUqN"&amp;"n9zZBOmHT8/edit#gid=757525651"",""'Allocation Breakdown'!n4:n187""))*O$119"),0)</f>
        <v>0</v>
      </c>
      <c r="P59" s="30">
        <f ca="1">IFERROR(__xludf.DUMMYFUNCTION("XLOOKUP($B59,IMPORTRANGE(""https://docs.google.com/spreadsheets/d/1EjEqG6oc_vmuAWwHnH51YMvSMVUVePUqNn9zZBOmHT8/edit#gid=757525651"",""'Allocation Breakdown'!A4:A187""),IMPORTRANGE(""https://docs.google.com/spreadsheets/d/1EjEqG6oc_vmuAWwHnH51YMvSMVUVePUqN"&amp;"n9zZBOmHT8/edit#gid=757525651"",""'Allocation Breakdown'!o4:o187""))*P$119"),0)</f>
        <v>0</v>
      </c>
      <c r="Q59" s="30">
        <f ca="1">IFERROR(__xludf.DUMMYFUNCTION("XLOOKUP($B59,IMPORTRANGE(""https://docs.google.com/spreadsheets/d/1EjEqG6oc_vmuAWwHnH51YMvSMVUVePUqNn9zZBOmHT8/edit#gid=757525651"",""'Allocation Breakdown'!A4:A187""),IMPORTRANGE(""https://docs.google.com/spreadsheets/d/1EjEqG6oc_vmuAWwHnH51YMvSMVUVePUqN"&amp;"n9zZBOmHT8/edit#gid=757525651"",""'Allocation Breakdown'!p4:p187""))*Q$119"),3000)</f>
        <v>3000</v>
      </c>
      <c r="R59" s="30">
        <f ca="1">IFERROR(__xludf.DUMMYFUNCTION("XLOOKUP($B59,IMPORTRANGE(""https://docs.google.com/spreadsheets/d/1EjEqG6oc_vmuAWwHnH51YMvSMVUVePUqNn9zZBOmHT8/edit#gid=757525651"",""'Allocation Breakdown'!A4:A187""),IMPORTRANGE(""https://docs.google.com/spreadsheets/d/1EjEqG6oc_vmuAWwHnH51YMvSMVUVePUqN"&amp;"n9zZBOmHT8/edit#gid=757525651"",""'Allocation Breakdown'!q4:q187""))*R$119"),3000)</f>
        <v>3000</v>
      </c>
      <c r="S59" s="30">
        <f ca="1">IFERROR(__xludf.DUMMYFUNCTION("XLOOKUP($B59,IMPORTRANGE(""https://docs.google.com/spreadsheets/d/1EjEqG6oc_vmuAWwHnH51YMvSMVUVePUqNn9zZBOmHT8/edit#gid=757525651"",""'Allocation Breakdown'!A4:A187""),IMPORTRANGE(""https://docs.google.com/spreadsheets/d/1EjEqG6oc_vmuAWwHnH51YMvSMVUVePUqN"&amp;"n9zZBOmHT8/edit#gid=757525651"",""'Allocation Breakdown'!r4:r187""))*S$119"),0)</f>
        <v>0</v>
      </c>
      <c r="T59" s="30">
        <f ca="1">IFERROR(__xludf.DUMMYFUNCTION("XLOOKUP($B59,IMPORTRANGE(""https://docs.google.com/spreadsheets/d/1EjEqG6oc_vmuAWwHnH51YMvSMVUVePUqNn9zZBOmHT8/edit#gid=757525651"",""'Allocation Breakdown'!A4:A187""),IMPORTRANGE(""https://docs.google.com/spreadsheets/d/1EjEqG6oc_vmuAWwHnH51YMvSMVUVePUqN"&amp;"n9zZBOmHT8/edit#gid=757525651"",""'Allocation Breakdown'!t4:t187""))*T$119"),21000)</f>
        <v>21000</v>
      </c>
      <c r="U59" s="30">
        <f ca="1">IFERROR(__xludf.DUMMYFUNCTION("XLOOKUP($B59,IMPORTRANGE(""https://docs.google.com/spreadsheets/d/1EjEqG6oc_vmuAWwHnH51YMvSMVUVePUqNn9zZBOmHT8/edit#gid=757525651"",""'Allocation Breakdown'!A4:A187""),IMPORTRANGE(""https://docs.google.com/spreadsheets/d/1EjEqG6oc_vmuAWwHnH51YMvSMVUVePUqN"&amp;"n9zZBOmHT8/edit#gid=757525651"",""'Allocation Breakdown'!U4:U187""))*U$119"),33000)</f>
        <v>33000</v>
      </c>
      <c r="V59" s="31">
        <f t="shared" ca="1" si="1"/>
        <v>60937.407695400005</v>
      </c>
      <c r="W59" s="31">
        <f t="shared" ca="1" si="2"/>
        <v>74756.601457898199</v>
      </c>
      <c r="Z59" s="32"/>
      <c r="AA59" s="32"/>
      <c r="AB59" s="32"/>
    </row>
    <row r="60" spans="2:28" ht="15.75" customHeight="1">
      <c r="B60" s="28" t="s">
        <v>155</v>
      </c>
      <c r="C60" s="30">
        <f ca="1">IFERROR(__xludf.DUMMYFUNCTION("XLOOKUP($B60,IMPORTRANGE(""https://docs.google.com/spreadsheets/d/1EjEqG6oc_vmuAWwHnH51YMvSMVUVePUqNn9zZBOmHT8/edit#gid=757525651"",""'Allocation Breakdown'!A4:A187""),IMPORTRANGE(""https://docs.google.com/spreadsheets/d/1EjEqG6oc_vmuAWwHnH51YMvSMVUVePUqN"&amp;"n9zZBOmHT8/edit#gid=757525651"",""'Allocation Breakdown'!V4:V187""))*C$119"),1554.76210974)</f>
        <v>1554.7621097399999</v>
      </c>
      <c r="D60" s="30">
        <f ca="1">IFERROR(__xludf.DUMMYFUNCTION("XLOOKUP($B60,IMPORTRANGE(""https://docs.google.com/spreadsheets/d/1EjEqG6oc_vmuAWwHnH51YMvSMVUVePUqNn9zZBOmHT8/edit#gid=757525651"",""'Allocation Breakdown'!A4:A187""),IMPORTRANGE(""https://docs.google.com/spreadsheets/d/1EjEqG6oc_vmuAWwHnH51YMvSMVUVePUqN"&amp;"n9zZBOmHT8/edit#gid=757525651"",""'Allocation Breakdown'!I4:I187""))*$D$119"),14225.591683331)</f>
        <v>14225.591683331</v>
      </c>
      <c r="E60" s="30">
        <f ca="1">IFERROR(__xludf.DUMMYFUNCTION("XLOOKUP($B60,IMPORTRANGE(""https://docs.google.com/spreadsheets/d/1EjEqG6oc_vmuAWwHnH51YMvSMVUVePUqNn9zZBOmHT8/edit#gid=757525651"",""'Allocation Breakdown'!A4:A187""),IMPORTRANGE(""https://docs.google.com/spreadsheets/d/1EjEqG6oc_vmuAWwHnH51YMvSMVUVePUqN"&amp;"n9zZBOmHT8/edit#gid=757525651"",""'Allocation Breakdown'!V4:V187""))*E$119"),545.23789026)</f>
        <v>545.23789025999997</v>
      </c>
      <c r="F60" s="30">
        <f t="shared" ca="1" si="0"/>
        <v>14770.829573591</v>
      </c>
      <c r="G60" s="30" t="str">
        <f ca="1">IFERROR(__xludf.DUMMYFUNCTION("XLOOKUP($B60,IMPORTRANGE(""https://docs.google.com/spreadsheets/d/1EjEqG6oc_vmuAWwHnH51YMvSMVUVePUqNn9zZBOmHT8/edit#gid=757525651"",""'Allocation Breakdown'!A4:A187""),IMPORTRANGE(""https://docs.google.com/spreadsheets/d/1EjEqG6oc_vmuAWwHnH51YMvSMVUVePUqN"&amp;"n9zZBOmHT8/edit#gid=757525651"",""'Allocation Breakdown'!D4:D187""))"),"")</f>
        <v/>
      </c>
      <c r="H60" s="30" t="str">
        <f ca="1">IFERROR(__xludf.DUMMYFUNCTION("XLOOKUP($B60,IMPORTRANGE(""https://docs.google.com/spreadsheets/d/1EjEqG6oc_vmuAWwHnH51YMvSMVUVePUqNn9zZBOmHT8/edit#gid=757525651"",""'Allocation Breakdown'!A4:A187""),IMPORTRANGE(""https://docs.google.com/spreadsheets/d/1EjEqG6oc_vmuAWwHnH51YMvSMVUVePUqN"&amp;"n9zZBOmHT8/edit#gid=757525651"",""'Allocation Breakdown'!E4:E187""))"),"")</f>
        <v/>
      </c>
      <c r="I60" s="30">
        <f ca="1">IFERROR(__xludf.DUMMYFUNCTION("XLOOKUP($B60,IMPORTRANGE(""https://docs.google.com/spreadsheets/d/1EjEqG6oc_vmuAWwHnH51YMvSMVUVePUqNn9zZBOmHT8/edit#gid=757525651"",""'Allocation Breakdown'!A4:A187""),IMPORTRANGE(""https://docs.google.com/spreadsheets/d/1EjEqG6oc_vmuAWwHnH51YMvSMVUVePUqN"&amp;"n9zZBOmHT8/edit#gid=757525651"",""'Allocation Breakdown'!F4:F187""))"),36000)</f>
        <v>36000</v>
      </c>
      <c r="J60" s="30">
        <f ca="1">IFERROR(__xludf.DUMMYFUNCTION("XLOOKUP($B60,IMPORTRANGE(""https://docs.google.com/spreadsheets/d/1EjEqG6oc_vmuAWwHnH51YMvSMVUVePUqNn9zZBOmHT8/edit#gid=757525651"",""'Allocation Breakdown'!A4:A187""),IMPORTRANGE(""https://docs.google.com/spreadsheets/d/1EjEqG6oc_vmuAWwHnH51YMvSMVUVePUqN"&amp;"n9zZBOmHT8/edit#gid=757525651"",""'Allocation Breakdown'!G4:G187""))"),18350)</f>
        <v>18350</v>
      </c>
      <c r="K60" s="30">
        <f ca="1">IFERROR(__xludf.DUMMYFUNCTION("XLOOKUP($B60,IMPORTRANGE(""https://docs.google.com/spreadsheets/d/1EjEqG6oc_vmuAWwHnH51YMvSMVUVePUqNn9zZBOmHT8/edit#gid=757525651"",""'Allocation Breakdown'!A4:A187""),IMPORTRANGE(""https://docs.google.com/spreadsheets/d/1EjEqG6oc_vmuAWwHnH51YMvSMVUVePUqN"&amp;"n9zZBOmHT8/edit#gid=757525651"",""'Allocation Breakdown'!I4:I187""))*K$119"),1249.8769272)</f>
        <v>1249.8769272</v>
      </c>
      <c r="L60" s="30">
        <f ca="1">IFERROR(__xludf.DUMMYFUNCTION("XLOOKUP($B60,IMPORTRANGE(""https://docs.google.com/spreadsheets/d/1EjEqG6oc_vmuAWwHnH51YMvSMVUVePUqNn9zZBOmHT8/edit#gid=757525651"",""'Allocation Breakdown'!A4:A187""),IMPORTRANGE(""https://docs.google.com/spreadsheets/d/1EjEqG6oc_vmuAWwHnH51YMvSMVUVePUqN"&amp;"n9zZBOmHT8/edit#gid=757525651"",""'Allocation Breakdown'!j4:j187""))*L$119"),7403.084461)</f>
        <v>7403.0844610000004</v>
      </c>
      <c r="M60" s="30">
        <f ca="1">IFERROR(__xludf.DUMMYFUNCTION("XLOOKUP($B60,IMPORTRANGE(""https://docs.google.com/spreadsheets/d/1EjEqG6oc_vmuAWwHnH51YMvSMVUVePUqNn9zZBOmHT8/edit#gid=757525651"",""'Allocation Breakdown'!A4:A187""),IMPORTRANGE(""https://docs.google.com/spreadsheets/d/1EjEqG6oc_vmuAWwHnH51YMvSMVUVePUqN"&amp;"n9zZBOmHT8/edit#gid=757525651"",""'Allocation Breakdown'!K4:K187""))*M$119"),7177.245219)</f>
        <v>7177.2452190000004</v>
      </c>
      <c r="N60" s="30">
        <f ca="1">IFERROR(__xludf.DUMMYFUNCTION("XLOOKUP($B60,IMPORTRANGE(""https://docs.google.com/spreadsheets/d/1EjEqG6oc_vmuAWwHnH51YMvSMVUVePUqNn9zZBOmHT8/edit#gid=757525651"",""'Allocation Breakdown'!A4:A187""),IMPORTRANGE(""https://docs.google.com/spreadsheets/d/1EjEqG6oc_vmuAWwHnH51YMvSMVUVePUqN"&amp;"n9zZBOmHT8/edit#gid=757525651"",""'Allocation Breakdown'!l4:l187""))*N$119"),1903.7201016)</f>
        <v>1903.7201015999999</v>
      </c>
      <c r="O60" s="30">
        <f ca="1">IFERROR(__xludf.DUMMYFUNCTION("XLOOKUP($B60,IMPORTRANGE(""https://docs.google.com/spreadsheets/d/1EjEqG6oc_vmuAWwHnH51YMvSMVUVePUqNn9zZBOmHT8/edit#gid=757525651"",""'Allocation Breakdown'!A4:A187""),IMPORTRANGE(""https://docs.google.com/spreadsheets/d/1EjEqG6oc_vmuAWwHnH51YMvSMVUVePUqN"&amp;"n9zZBOmHT8/edit#gid=757525651"",""'Allocation Breakdown'!n4:n187""))*O$119"),40000)</f>
        <v>40000</v>
      </c>
      <c r="P60" s="30">
        <f ca="1">IFERROR(__xludf.DUMMYFUNCTION("XLOOKUP($B60,IMPORTRANGE(""https://docs.google.com/spreadsheets/d/1EjEqG6oc_vmuAWwHnH51YMvSMVUVePUqNn9zZBOmHT8/edit#gid=757525651"",""'Allocation Breakdown'!A4:A187""),IMPORTRANGE(""https://docs.google.com/spreadsheets/d/1EjEqG6oc_vmuAWwHnH51YMvSMVUVePUqN"&amp;"n9zZBOmHT8/edit#gid=757525651"",""'Allocation Breakdown'!o4:o187""))*P$119"),4400)</f>
        <v>4400</v>
      </c>
      <c r="Q60" s="30">
        <f ca="1">IFERROR(__xludf.DUMMYFUNCTION("XLOOKUP($B60,IMPORTRANGE(""https://docs.google.com/spreadsheets/d/1EjEqG6oc_vmuAWwHnH51YMvSMVUVePUqNn9zZBOmHT8/edit#gid=757525651"",""'Allocation Breakdown'!A4:A187""),IMPORTRANGE(""https://docs.google.com/spreadsheets/d/1EjEqG6oc_vmuAWwHnH51YMvSMVUVePUqN"&amp;"n9zZBOmHT8/edit#gid=757525651"",""'Allocation Breakdown'!p4:p187""))*Q$119"),4000)</f>
        <v>4000</v>
      </c>
      <c r="R60" s="30">
        <f ca="1">IFERROR(__xludf.DUMMYFUNCTION("XLOOKUP($B60,IMPORTRANGE(""https://docs.google.com/spreadsheets/d/1EjEqG6oc_vmuAWwHnH51YMvSMVUVePUqNn9zZBOmHT8/edit#gid=757525651"",""'Allocation Breakdown'!A4:A187""),IMPORTRANGE(""https://docs.google.com/spreadsheets/d/1EjEqG6oc_vmuAWwHnH51YMvSMVUVePUqN"&amp;"n9zZBOmHT8/edit#gid=757525651"",""'Allocation Breakdown'!q4:q187""))*R$119"),4000)</f>
        <v>4000</v>
      </c>
      <c r="S60" s="30">
        <f ca="1">IFERROR(__xludf.DUMMYFUNCTION("XLOOKUP($B60,IMPORTRANGE(""https://docs.google.com/spreadsheets/d/1EjEqG6oc_vmuAWwHnH51YMvSMVUVePUqNn9zZBOmHT8/edit#gid=757525651"",""'Allocation Breakdown'!A4:A187""),IMPORTRANGE(""https://docs.google.com/spreadsheets/d/1EjEqG6oc_vmuAWwHnH51YMvSMVUVePUqN"&amp;"n9zZBOmHT8/edit#gid=757525651"",""'Allocation Breakdown'!r4:r187""))*S$119"),4000)</f>
        <v>4000</v>
      </c>
      <c r="T60" s="30">
        <f ca="1">IFERROR(__xludf.DUMMYFUNCTION("XLOOKUP($B60,IMPORTRANGE(""https://docs.google.com/spreadsheets/d/1EjEqG6oc_vmuAWwHnH51YMvSMVUVePUqNn9zZBOmHT8/edit#gid=757525651"",""'Allocation Breakdown'!A4:A187""),IMPORTRANGE(""https://docs.google.com/spreadsheets/d/1EjEqG6oc_vmuAWwHnH51YMvSMVUVePUqN"&amp;"n9zZBOmHT8/edit#gid=757525651"",""'Allocation Breakdown'!t4:t187""))*T$119"),14000)</f>
        <v>14000</v>
      </c>
      <c r="U60" s="30">
        <f ca="1">IFERROR(__xludf.DUMMYFUNCTION("XLOOKUP($B60,IMPORTRANGE(""https://docs.google.com/spreadsheets/d/1EjEqG6oc_vmuAWwHnH51YMvSMVUVePUqNn9zZBOmHT8/edit#gid=757525651"",""'Allocation Breakdown'!A4:A187""),IMPORTRANGE(""https://docs.google.com/spreadsheets/d/1EjEqG6oc_vmuAWwHnH51YMvSMVUVePUqN"&amp;"n9zZBOmHT8/edit#gid=757525651"",""'Allocation Breakdown'!U4:U187""))*U$119"),22000)</f>
        <v>22000</v>
      </c>
      <c r="V60" s="31">
        <f t="shared" ca="1" si="1"/>
        <v>164483.92670880002</v>
      </c>
      <c r="W60" s="31">
        <f t="shared" ca="1" si="2"/>
        <v>180809.51839213102</v>
      </c>
      <c r="Z60" s="32"/>
      <c r="AA60" s="32"/>
      <c r="AB60" s="32"/>
    </row>
    <row r="61" spans="2:28">
      <c r="B61" s="28" t="s">
        <v>156</v>
      </c>
      <c r="C61" s="30">
        <f ca="1">IFERROR(__xludf.DUMMYFUNCTION("XLOOKUP($B61,IMPORTRANGE(""https://docs.google.com/spreadsheets/d/1EjEqG6oc_vmuAWwHnH51YMvSMVUVePUqNn9zZBOmHT8/edit#gid=757525651"",""'Allocation Breakdown'!A4:A187""),IMPORTRANGE(""https://docs.google.com/spreadsheets/d/1EjEqG6oc_vmuAWwHnH51YMvSMVUVePUqN"&amp;"n9zZBOmHT8/edit#gid=757525651"",""'Allocation Breakdown'!V4:V187""))*C$119"),0)</f>
        <v>0</v>
      </c>
      <c r="D61" s="30">
        <f ca="1">IFERROR(__xludf.DUMMYFUNCTION("XLOOKUP($B61,IMPORTRANGE(""https://docs.google.com/spreadsheets/d/1EjEqG6oc_vmuAWwHnH51YMvSMVUVePUqNn9zZBOmHT8/edit#gid=757525651"",""'Allocation Breakdown'!A4:A187""),IMPORTRANGE(""https://docs.google.com/spreadsheets/d/1EjEqG6oc_vmuAWwHnH51YMvSMVUVePUqN"&amp;"n9zZBOmHT8/edit#gid=757525651"",""'Allocation Breakdown'!I4:I187""))*$D$119"),21338.3875249965)</f>
        <v>21338.387524996499</v>
      </c>
      <c r="E61" s="30">
        <f ca="1">IFERROR(__xludf.DUMMYFUNCTION("XLOOKUP($B61,IMPORTRANGE(""https://docs.google.com/spreadsheets/d/1EjEqG6oc_vmuAWwHnH51YMvSMVUVePUqNn9zZBOmHT8/edit#gid=757525651"",""'Allocation Breakdown'!A4:A187""),IMPORTRANGE(""https://docs.google.com/spreadsheets/d/1EjEqG6oc_vmuAWwHnH51YMvSMVUVePUqN"&amp;"n9zZBOmHT8/edit#gid=757525651"",""'Allocation Breakdown'!V4:V187""))*E$119"),0)</f>
        <v>0</v>
      </c>
      <c r="F61" s="30">
        <f t="shared" ca="1" si="0"/>
        <v>21338.387524996499</v>
      </c>
      <c r="G61" s="30">
        <f ca="1">IFERROR(__xludf.DUMMYFUNCTION("XLOOKUP($B61,IMPORTRANGE(""https://docs.google.com/spreadsheets/d/1EjEqG6oc_vmuAWwHnH51YMvSMVUVePUqNn9zZBOmHT8/edit#gid=757525651"",""'Allocation Breakdown'!A4:A187""),IMPORTRANGE(""https://docs.google.com/spreadsheets/d/1EjEqG6oc_vmuAWwHnH51YMvSMVUVePUqN"&amp;"n9zZBOmHT8/edit#gid=757525651"",""'Allocation Breakdown'!D4:D187""))"),10000)</f>
        <v>10000</v>
      </c>
      <c r="H61" s="30">
        <f ca="1">IFERROR(__xludf.DUMMYFUNCTION("XLOOKUP($B61,IMPORTRANGE(""https://docs.google.com/spreadsheets/d/1EjEqG6oc_vmuAWwHnH51YMvSMVUVePUqNn9zZBOmHT8/edit#gid=757525651"",""'Allocation Breakdown'!A4:A187""),IMPORTRANGE(""https://docs.google.com/spreadsheets/d/1EjEqG6oc_vmuAWwHnH51YMvSMVUVePUqN"&amp;"n9zZBOmHT8/edit#gid=757525651"",""'Allocation Breakdown'!E4:E187""))"),185000)</f>
        <v>185000</v>
      </c>
      <c r="I61" s="30">
        <f ca="1">IFERROR(__xludf.DUMMYFUNCTION("XLOOKUP($B61,IMPORTRANGE(""https://docs.google.com/spreadsheets/d/1EjEqG6oc_vmuAWwHnH51YMvSMVUVePUqNn9zZBOmHT8/edit#gid=757525651"",""'Allocation Breakdown'!A4:A187""),IMPORTRANGE(""https://docs.google.com/spreadsheets/d/1EjEqG6oc_vmuAWwHnH51YMvSMVUVePUqN"&amp;"n9zZBOmHT8/edit#gid=757525651"",""'Allocation Breakdown'!F4:F187""))"),6525)</f>
        <v>6525</v>
      </c>
      <c r="J61" s="30">
        <f ca="1">IFERROR(__xludf.DUMMYFUNCTION("XLOOKUP($B61,IMPORTRANGE(""https://docs.google.com/spreadsheets/d/1EjEqG6oc_vmuAWwHnH51YMvSMVUVePUqNn9zZBOmHT8/edit#gid=757525651"",""'Allocation Breakdown'!A4:A187""),IMPORTRANGE(""https://docs.google.com/spreadsheets/d/1EjEqG6oc_vmuAWwHnH51YMvSMVUVePUqN"&amp;"n9zZBOmHT8/edit#gid=757525651"",""'Allocation Breakdown'!G4:G187""))"),25000)</f>
        <v>25000</v>
      </c>
      <c r="K61" s="30">
        <f ca="1">IFERROR(__xludf.DUMMYFUNCTION("XLOOKUP($B61,IMPORTRANGE(""https://docs.google.com/spreadsheets/d/1EjEqG6oc_vmuAWwHnH51YMvSMVUVePUqNn9zZBOmHT8/edit#gid=757525651"",""'Allocation Breakdown'!A4:A187""),IMPORTRANGE(""https://docs.google.com/spreadsheets/d/1EjEqG6oc_vmuAWwHnH51YMvSMVUVePUqN"&amp;"n9zZBOmHT8/edit#gid=757525651"",""'Allocation Breakdown'!I4:I187""))*K$119"),1874.8153908)</f>
        <v>1874.8153907999999</v>
      </c>
      <c r="L61" s="30">
        <f ca="1">IFERROR(__xludf.DUMMYFUNCTION("XLOOKUP($B61,IMPORTRANGE(""https://docs.google.com/spreadsheets/d/1EjEqG6oc_vmuAWwHnH51YMvSMVUVePUqNn9zZBOmHT8/edit#gid=757525651"",""'Allocation Breakdown'!A4:A187""),IMPORTRANGE(""https://docs.google.com/spreadsheets/d/1EjEqG6oc_vmuAWwHnH51YMvSMVUVePUqN"&amp;"n9zZBOmHT8/edit#gid=757525651"",""'Allocation Breakdown'!j4:j187""))*L$119"),9549.97895469)</f>
        <v>9549.9789546899992</v>
      </c>
      <c r="M61" s="30">
        <f ca="1">IFERROR(__xludf.DUMMYFUNCTION("XLOOKUP($B61,IMPORTRANGE(""https://docs.google.com/spreadsheets/d/1EjEqG6oc_vmuAWwHnH51YMvSMVUVePUqNn9zZBOmHT8/edit#gid=757525651"",""'Allocation Breakdown'!A4:A187""),IMPORTRANGE(""https://docs.google.com/spreadsheets/d/1EjEqG6oc_vmuAWwHnH51YMvSMVUVePUqN"&amp;"n9zZBOmHT8/edit#gid=757525651"",""'Allocation Breakdown'!K4:K187""))*M$119"),10765.8678285)</f>
        <v>10765.867828500001</v>
      </c>
      <c r="N61" s="30">
        <f ca="1">IFERROR(__xludf.DUMMYFUNCTION("XLOOKUP($B61,IMPORTRANGE(""https://docs.google.com/spreadsheets/d/1EjEqG6oc_vmuAWwHnH51YMvSMVUVePUqNn9zZBOmHT8/edit#gid=757525651"",""'Allocation Breakdown'!A4:A187""),IMPORTRANGE(""https://docs.google.com/spreadsheets/d/1EjEqG6oc_vmuAWwHnH51YMvSMVUVePUqN"&amp;"n9zZBOmHT8/edit#gid=757525651"",""'Allocation Breakdown'!l4:l187""))*N$119"),0)</f>
        <v>0</v>
      </c>
      <c r="O61" s="30">
        <f ca="1">IFERROR(__xludf.DUMMYFUNCTION("XLOOKUP($B61,IMPORTRANGE(""https://docs.google.com/spreadsheets/d/1EjEqG6oc_vmuAWwHnH51YMvSMVUVePUqNn9zZBOmHT8/edit#gid=757525651"",""'Allocation Breakdown'!A4:A187""),IMPORTRANGE(""https://docs.google.com/spreadsheets/d/1EjEqG6oc_vmuAWwHnH51YMvSMVUVePUqN"&amp;"n9zZBOmHT8/edit#gid=757525651"",""'Allocation Breakdown'!n4:n187""))*O$119"),0)</f>
        <v>0</v>
      </c>
      <c r="P61" s="30">
        <f ca="1">IFERROR(__xludf.DUMMYFUNCTION("XLOOKUP($B61,IMPORTRANGE(""https://docs.google.com/spreadsheets/d/1EjEqG6oc_vmuAWwHnH51YMvSMVUVePUqNn9zZBOmHT8/edit#gid=757525651"",""'Allocation Breakdown'!A4:A187""),IMPORTRANGE(""https://docs.google.com/spreadsheets/d/1EjEqG6oc_vmuAWwHnH51YMvSMVUVePUqN"&amp;"n9zZBOmHT8/edit#gid=757525651"",""'Allocation Breakdown'!o4:o187""))*P$119"),0)</f>
        <v>0</v>
      </c>
      <c r="Q61" s="30">
        <f ca="1">IFERROR(__xludf.DUMMYFUNCTION("XLOOKUP($B61,IMPORTRANGE(""https://docs.google.com/spreadsheets/d/1EjEqG6oc_vmuAWwHnH51YMvSMVUVePUqNn9zZBOmHT8/edit#gid=757525651"",""'Allocation Breakdown'!A4:A187""),IMPORTRANGE(""https://docs.google.com/spreadsheets/d/1EjEqG6oc_vmuAWwHnH51YMvSMVUVePUqN"&amp;"n9zZBOmHT8/edit#gid=757525651"",""'Allocation Breakdown'!p4:p187""))*Q$119"),0)</f>
        <v>0</v>
      </c>
      <c r="R61" s="30">
        <f ca="1">IFERROR(__xludf.DUMMYFUNCTION("XLOOKUP($B61,IMPORTRANGE(""https://docs.google.com/spreadsheets/d/1EjEqG6oc_vmuAWwHnH51YMvSMVUVePUqNn9zZBOmHT8/edit#gid=757525651"",""'Allocation Breakdown'!A4:A187""),IMPORTRANGE(""https://docs.google.com/spreadsheets/d/1EjEqG6oc_vmuAWwHnH51YMvSMVUVePUqN"&amp;"n9zZBOmHT8/edit#gid=757525651"",""'Allocation Breakdown'!q4:q187""))*R$119"),0)</f>
        <v>0</v>
      </c>
      <c r="S61" s="30">
        <f ca="1">IFERROR(__xludf.DUMMYFUNCTION("XLOOKUP($B61,IMPORTRANGE(""https://docs.google.com/spreadsheets/d/1EjEqG6oc_vmuAWwHnH51YMvSMVUVePUqNn9zZBOmHT8/edit#gid=757525651"",""'Allocation Breakdown'!A4:A187""),IMPORTRANGE(""https://docs.google.com/spreadsheets/d/1EjEqG6oc_vmuAWwHnH51YMvSMVUVePUqN"&amp;"n9zZBOmHT8/edit#gid=757525651"",""'Allocation Breakdown'!r4:r187""))*S$119"),0)</f>
        <v>0</v>
      </c>
      <c r="T61" s="30">
        <f ca="1">IFERROR(__xludf.DUMMYFUNCTION("XLOOKUP($B61,IMPORTRANGE(""https://docs.google.com/spreadsheets/d/1EjEqG6oc_vmuAWwHnH51YMvSMVUVePUqNn9zZBOmHT8/edit#gid=757525651"",""'Allocation Breakdown'!A4:A187""),IMPORTRANGE(""https://docs.google.com/spreadsheets/d/1EjEqG6oc_vmuAWwHnH51YMvSMVUVePUqN"&amp;"n9zZBOmHT8/edit#gid=757525651"",""'Allocation Breakdown'!t4:t187""))*T$119"),21000)</f>
        <v>21000</v>
      </c>
      <c r="U61" s="30">
        <f ca="1">IFERROR(__xludf.DUMMYFUNCTION("XLOOKUP($B61,IMPORTRANGE(""https://docs.google.com/spreadsheets/d/1EjEqG6oc_vmuAWwHnH51YMvSMVUVePUqNn9zZBOmHT8/edit#gid=757525651"",""'Allocation Breakdown'!A4:A187""),IMPORTRANGE(""https://docs.google.com/spreadsheets/d/1EjEqG6oc_vmuAWwHnH51YMvSMVUVePUqN"&amp;"n9zZBOmHT8/edit#gid=757525651"",""'Allocation Breakdown'!U4:U187""))*U$119"),7500)</f>
        <v>7500</v>
      </c>
      <c r="V61" s="31">
        <f t="shared" ca="1" si="1"/>
        <v>277215.66217398999</v>
      </c>
      <c r="W61" s="31">
        <f t="shared" ca="1" si="2"/>
        <v>298554.04969898646</v>
      </c>
      <c r="Z61" s="32"/>
      <c r="AA61" s="32"/>
      <c r="AB61" s="32"/>
    </row>
    <row r="62" spans="2:28">
      <c r="B62" s="28" t="s">
        <v>157</v>
      </c>
      <c r="C62" s="30">
        <f ca="1">IFERROR(__xludf.DUMMYFUNCTION("XLOOKUP($B62,IMPORTRANGE(""https://docs.google.com/spreadsheets/d/1EjEqG6oc_vmuAWwHnH51YMvSMVUVePUqNn9zZBOmHT8/edit#gid=757525651"",""'Allocation Breakdown'!A4:A187""),IMPORTRANGE(""https://docs.google.com/spreadsheets/d/1EjEqG6oc_vmuAWwHnH51YMvSMVUVePUqN"&amp;"n9zZBOmHT8/edit#gid=757525651"",""'Allocation Breakdown'!V4:V187""))*C$119"),5441.66738408999)</f>
        <v>5441.6673840899903</v>
      </c>
      <c r="D62" s="30">
        <f ca="1">IFERROR(__xludf.DUMMYFUNCTION("XLOOKUP($B62,IMPORTRANGE(""https://docs.google.com/spreadsheets/d/1EjEqG6oc_vmuAWwHnH51YMvSMVUVePUqNn9zZBOmHT8/edit#gid=757525651"",""'Allocation Breakdown'!A4:A187""),IMPORTRANGE(""https://docs.google.com/spreadsheets/d/1EjEqG6oc_vmuAWwHnH51YMvSMVUVePUqN"&amp;"n9zZBOmHT8/edit#gid=757525651"",""'Allocation Breakdown'!I4:I187""))*$D$119"),49789.5708916585)</f>
        <v>49789.570891658499</v>
      </c>
      <c r="E62" s="30">
        <f ca="1">IFERROR(__xludf.DUMMYFUNCTION("XLOOKUP($B62,IMPORTRANGE(""https://docs.google.com/spreadsheets/d/1EjEqG6oc_vmuAWwHnH51YMvSMVUVePUqNn9zZBOmHT8/edit#gid=757525651"",""'Allocation Breakdown'!A4:A187""),IMPORTRANGE(""https://docs.google.com/spreadsheets/d/1EjEqG6oc_vmuAWwHnH51YMvSMVUVePUqN"&amp;"n9zZBOmHT8/edit#gid=757525651"",""'Allocation Breakdown'!V4:V187""))*E$119"),1908.33261591)</f>
        <v>1908.33261591</v>
      </c>
      <c r="F62" s="30">
        <f t="shared" ca="1" si="0"/>
        <v>51697.903507568502</v>
      </c>
      <c r="G62" s="30" t="str">
        <f ca="1">IFERROR(__xludf.DUMMYFUNCTION("XLOOKUP($B62,IMPORTRANGE(""https://docs.google.com/spreadsheets/d/1EjEqG6oc_vmuAWwHnH51YMvSMVUVePUqNn9zZBOmHT8/edit#gid=757525651"",""'Allocation Breakdown'!A4:A187""),IMPORTRANGE(""https://docs.google.com/spreadsheets/d/1EjEqG6oc_vmuAWwHnH51YMvSMVUVePUqN"&amp;"n9zZBOmHT8/edit#gid=757525651"",""'Allocation Breakdown'!D4:D187""))"),"")</f>
        <v/>
      </c>
      <c r="H62" s="30" t="str">
        <f ca="1">IFERROR(__xludf.DUMMYFUNCTION("XLOOKUP($B62,IMPORTRANGE(""https://docs.google.com/spreadsheets/d/1EjEqG6oc_vmuAWwHnH51YMvSMVUVePUqNn9zZBOmHT8/edit#gid=757525651"",""'Allocation Breakdown'!A4:A187""),IMPORTRANGE(""https://docs.google.com/spreadsheets/d/1EjEqG6oc_vmuAWwHnH51YMvSMVUVePUqN"&amp;"n9zZBOmHT8/edit#gid=757525651"",""'Allocation Breakdown'!E4:E187""))"),"")</f>
        <v/>
      </c>
      <c r="I62" s="30">
        <f ca="1">IFERROR(__xludf.DUMMYFUNCTION("XLOOKUP($B62,IMPORTRANGE(""https://docs.google.com/spreadsheets/d/1EjEqG6oc_vmuAWwHnH51YMvSMVUVePUqNn9zZBOmHT8/edit#gid=757525651"",""'Allocation Breakdown'!A4:A187""),IMPORTRANGE(""https://docs.google.com/spreadsheets/d/1EjEqG6oc_vmuAWwHnH51YMvSMVUVePUqN"&amp;"n9zZBOmHT8/edit#gid=757525651"",""'Allocation Breakdown'!F4:F187""))"),26000)</f>
        <v>26000</v>
      </c>
      <c r="J62" s="30">
        <f ca="1">IFERROR(__xludf.DUMMYFUNCTION("XLOOKUP($B62,IMPORTRANGE(""https://docs.google.com/spreadsheets/d/1EjEqG6oc_vmuAWwHnH51YMvSMVUVePUqNn9zZBOmHT8/edit#gid=757525651"",""'Allocation Breakdown'!A4:A187""),IMPORTRANGE(""https://docs.google.com/spreadsheets/d/1EjEqG6oc_vmuAWwHnH51YMvSMVUVePUqN"&amp;"n9zZBOmHT8/edit#gid=757525651"",""'Allocation Breakdown'!G4:G187""))"),10000)</f>
        <v>10000</v>
      </c>
      <c r="K62" s="30">
        <f ca="1">IFERROR(__xludf.DUMMYFUNCTION("XLOOKUP($B62,IMPORTRANGE(""https://docs.google.com/spreadsheets/d/1EjEqG6oc_vmuAWwHnH51YMvSMVUVePUqNn9zZBOmHT8/edit#gid=757525651"",""'Allocation Breakdown'!A4:A187""),IMPORTRANGE(""https://docs.google.com/spreadsheets/d/1EjEqG6oc_vmuAWwHnH51YMvSMVUVePUqN"&amp;"n9zZBOmHT8/edit#gid=757525651"",""'Allocation Breakdown'!I4:I187""))*K$119"),4374.5692452)</f>
        <v>4374.5692452000003</v>
      </c>
      <c r="L62" s="30">
        <f ca="1">IFERROR(__xludf.DUMMYFUNCTION("XLOOKUP($B62,IMPORTRANGE(""https://docs.google.com/spreadsheets/d/1EjEqG6oc_vmuAWwHnH51YMvSMVUVePUqNn9zZBOmHT8/edit#gid=757525651"",""'Allocation Breakdown'!A4:A187""),IMPORTRANGE(""https://docs.google.com/spreadsheets/d/1EjEqG6oc_vmuAWwHnH51YMvSMVUVePUqN"&amp;"n9zZBOmHT8/edit#gid=757525651"",""'Allocation Breakdown'!j4:j187""))*L$119"),25910.7956135)</f>
        <v>25910.795613499999</v>
      </c>
      <c r="M62" s="30">
        <f ca="1">IFERROR(__xludf.DUMMYFUNCTION("XLOOKUP($B62,IMPORTRANGE(""https://docs.google.com/spreadsheets/d/1EjEqG6oc_vmuAWwHnH51YMvSMVUVePUqNn9zZBOmHT8/edit#gid=757525651"",""'Allocation Breakdown'!A4:A187""),IMPORTRANGE(""https://docs.google.com/spreadsheets/d/1EjEqG6oc_vmuAWwHnH51YMvSMVUVePUqN"&amp;"n9zZBOmHT8/edit#gid=757525651"",""'Allocation Breakdown'!K4:K187""))*M$119"),6315.97579272)</f>
        <v>6315.9757927199998</v>
      </c>
      <c r="N62" s="30">
        <f ca="1">IFERROR(__xludf.DUMMYFUNCTION("XLOOKUP($B62,IMPORTRANGE(""https://docs.google.com/spreadsheets/d/1EjEqG6oc_vmuAWwHnH51YMvSMVUVePUqNn9zZBOmHT8/edit#gid=757525651"",""'Allocation Breakdown'!A4:A187""),IMPORTRANGE(""https://docs.google.com/spreadsheets/d/1EjEqG6oc_vmuAWwHnH51YMvSMVUVePUqN"&amp;"n9zZBOmHT8/edit#gid=757525651"",""'Allocation Breakdown'!l4:l187""))*N$119"),6663.0203556)</f>
        <v>6663.0203555999997</v>
      </c>
      <c r="O62" s="30">
        <f ca="1">IFERROR(__xludf.DUMMYFUNCTION("XLOOKUP($B62,IMPORTRANGE(""https://docs.google.com/spreadsheets/d/1EjEqG6oc_vmuAWwHnH51YMvSMVUVePUqNn9zZBOmHT8/edit#gid=757525651"",""'Allocation Breakdown'!A4:A187""),IMPORTRANGE(""https://docs.google.com/spreadsheets/d/1EjEqG6oc_vmuAWwHnH51YMvSMVUVePUqN"&amp;"n9zZBOmHT8/edit#gid=757525651"",""'Allocation Breakdown'!n4:n187""))*O$119"),0)</f>
        <v>0</v>
      </c>
      <c r="P62" s="30">
        <f ca="1">IFERROR(__xludf.DUMMYFUNCTION("XLOOKUP($B62,IMPORTRANGE(""https://docs.google.com/spreadsheets/d/1EjEqG6oc_vmuAWwHnH51YMvSMVUVePUqNn9zZBOmHT8/edit#gid=757525651"",""'Allocation Breakdown'!A4:A187""),IMPORTRANGE(""https://docs.google.com/spreadsheets/d/1EjEqG6oc_vmuAWwHnH51YMvSMVUVePUqN"&amp;"n9zZBOmHT8/edit#gid=757525651"",""'Allocation Breakdown'!o4:o187""))*P$119"),14000)</f>
        <v>14000</v>
      </c>
      <c r="Q62" s="30">
        <f ca="1">IFERROR(__xludf.DUMMYFUNCTION("XLOOKUP($B62,IMPORTRANGE(""https://docs.google.com/spreadsheets/d/1EjEqG6oc_vmuAWwHnH51YMvSMVUVePUqNn9zZBOmHT8/edit#gid=757525651"",""'Allocation Breakdown'!A4:A187""),IMPORTRANGE(""https://docs.google.com/spreadsheets/d/1EjEqG6oc_vmuAWwHnH51YMvSMVUVePUqN"&amp;"n9zZBOmHT8/edit#gid=757525651"",""'Allocation Breakdown'!p4:p187""))*Q$119"),6000)</f>
        <v>6000</v>
      </c>
      <c r="R62" s="30">
        <f ca="1">IFERROR(__xludf.DUMMYFUNCTION("XLOOKUP($B62,IMPORTRANGE(""https://docs.google.com/spreadsheets/d/1EjEqG6oc_vmuAWwHnH51YMvSMVUVePUqNn9zZBOmHT8/edit#gid=757525651"",""'Allocation Breakdown'!A4:A187""),IMPORTRANGE(""https://docs.google.com/spreadsheets/d/1EjEqG6oc_vmuAWwHnH51YMvSMVUVePUqN"&amp;"n9zZBOmHT8/edit#gid=757525651"",""'Allocation Breakdown'!q4:q187""))*R$119"),14000)</f>
        <v>14000</v>
      </c>
      <c r="S62" s="30">
        <f ca="1">IFERROR(__xludf.DUMMYFUNCTION("XLOOKUP($B62,IMPORTRANGE(""https://docs.google.com/spreadsheets/d/1EjEqG6oc_vmuAWwHnH51YMvSMVUVePUqNn9zZBOmHT8/edit#gid=757525651"",""'Allocation Breakdown'!A4:A187""),IMPORTRANGE(""https://docs.google.com/spreadsheets/d/1EjEqG6oc_vmuAWwHnH51YMvSMVUVePUqN"&amp;"n9zZBOmHT8/edit#gid=757525651"",""'Allocation Breakdown'!r4:r187""))*S$119"),4000)</f>
        <v>4000</v>
      </c>
      <c r="T62" s="30">
        <f ca="1">IFERROR(__xludf.DUMMYFUNCTION("XLOOKUP($B62,IMPORTRANGE(""https://docs.google.com/spreadsheets/d/1EjEqG6oc_vmuAWwHnH51YMvSMVUVePUqNn9zZBOmHT8/edit#gid=757525651"",""'Allocation Breakdown'!A4:A187""),IMPORTRANGE(""https://docs.google.com/spreadsheets/d/1EjEqG6oc_vmuAWwHnH51YMvSMVUVePUqN"&amp;"n9zZBOmHT8/edit#gid=757525651"",""'Allocation Breakdown'!t4:t187""))*T$119"),49000)</f>
        <v>49000</v>
      </c>
      <c r="U62" s="30">
        <f ca="1">IFERROR(__xludf.DUMMYFUNCTION("XLOOKUP($B62,IMPORTRANGE(""https://docs.google.com/spreadsheets/d/1EjEqG6oc_vmuAWwHnH51YMvSMVUVePUqNn9zZBOmHT8/edit#gid=757525651"",""'Allocation Breakdown'!A4:A187""),IMPORTRANGE(""https://docs.google.com/spreadsheets/d/1EjEqG6oc_vmuAWwHnH51YMvSMVUVePUqN"&amp;"n9zZBOmHT8/edit#gid=757525651"",""'Allocation Breakdown'!U4:U187""))*U$119"),75250)</f>
        <v>75250</v>
      </c>
      <c r="V62" s="31">
        <f t="shared" ca="1" si="1"/>
        <v>241514.36100701999</v>
      </c>
      <c r="W62" s="31">
        <f t="shared" ca="1" si="2"/>
        <v>298653.93189867854</v>
      </c>
      <c r="Z62" s="32"/>
      <c r="AA62" s="32"/>
      <c r="AB62" s="32"/>
    </row>
    <row r="63" spans="2:28">
      <c r="B63" s="28" t="s">
        <v>158</v>
      </c>
      <c r="C63" s="30">
        <f ca="1">IFERROR(__xludf.DUMMYFUNCTION("XLOOKUP($B63,IMPORTRANGE(""https://docs.google.com/spreadsheets/d/1EjEqG6oc_vmuAWwHnH51YMvSMVUVePUqNn9zZBOmHT8/edit#gid=757525651"",""'Allocation Breakdown'!A4:A187""),IMPORTRANGE(""https://docs.google.com/spreadsheets/d/1EjEqG6oc_vmuAWwHnH51YMvSMVUVePUqN"&amp;"n9zZBOmHT8/edit#gid=757525651"",""'Allocation Breakdown'!V4:V187""))*C$119"),777.38105487)</f>
        <v>777.38105486999996</v>
      </c>
      <c r="D63" s="30">
        <f ca="1">IFERROR(__xludf.DUMMYFUNCTION("XLOOKUP($B63,IMPORTRANGE(""https://docs.google.com/spreadsheets/d/1EjEqG6oc_vmuAWwHnH51YMvSMVUVePUqNn9zZBOmHT8/edit#gid=757525651"",""'Allocation Breakdown'!A4:A187""),IMPORTRANGE(""https://docs.google.com/spreadsheets/d/1EjEqG6oc_vmuAWwHnH51YMvSMVUVePUqN"&amp;"n9zZBOmHT8/edit#gid=757525651"",""'Allocation Breakdown'!I4:I187""))*$D$119"),28451.183366662)</f>
        <v>28451.183366662</v>
      </c>
      <c r="E63" s="30">
        <f ca="1">IFERROR(__xludf.DUMMYFUNCTION("XLOOKUP($B63,IMPORTRANGE(""https://docs.google.com/spreadsheets/d/1EjEqG6oc_vmuAWwHnH51YMvSMVUVePUqNn9zZBOmHT8/edit#gid=757525651"",""'Allocation Breakdown'!A4:A187""),IMPORTRANGE(""https://docs.google.com/spreadsheets/d/1EjEqG6oc_vmuAWwHnH51YMvSMVUVePUqN"&amp;"n9zZBOmHT8/edit#gid=757525651"",""'Allocation Breakdown'!V4:V187""))*E$119"),272.61894513)</f>
        <v>272.61894512999999</v>
      </c>
      <c r="F63" s="30">
        <f t="shared" ca="1" si="0"/>
        <v>28723.802311792002</v>
      </c>
      <c r="G63" s="30" t="str">
        <f ca="1">IFERROR(__xludf.DUMMYFUNCTION("XLOOKUP($B63,IMPORTRANGE(""https://docs.google.com/spreadsheets/d/1EjEqG6oc_vmuAWwHnH51YMvSMVUVePUqNn9zZBOmHT8/edit#gid=757525651"",""'Allocation Breakdown'!A4:A187""),IMPORTRANGE(""https://docs.google.com/spreadsheets/d/1EjEqG6oc_vmuAWwHnH51YMvSMVUVePUqN"&amp;"n9zZBOmHT8/edit#gid=757525651"",""'Allocation Breakdown'!D4:D187""))"),"")</f>
        <v/>
      </c>
      <c r="H63" s="30" t="str">
        <f ca="1">IFERROR(__xludf.DUMMYFUNCTION("XLOOKUP($B63,IMPORTRANGE(""https://docs.google.com/spreadsheets/d/1EjEqG6oc_vmuAWwHnH51YMvSMVUVePUqNn9zZBOmHT8/edit#gid=757525651"",""'Allocation Breakdown'!A4:A187""),IMPORTRANGE(""https://docs.google.com/spreadsheets/d/1EjEqG6oc_vmuAWwHnH51YMvSMVUVePUqN"&amp;"n9zZBOmHT8/edit#gid=757525651"",""'Allocation Breakdown'!E4:E187""))"),"")</f>
        <v/>
      </c>
      <c r="I63" s="30">
        <f ca="1">IFERROR(__xludf.DUMMYFUNCTION("XLOOKUP($B63,IMPORTRANGE(""https://docs.google.com/spreadsheets/d/1EjEqG6oc_vmuAWwHnH51YMvSMVUVePUqNn9zZBOmHT8/edit#gid=757525651"",""'Allocation Breakdown'!A4:A187""),IMPORTRANGE(""https://docs.google.com/spreadsheets/d/1EjEqG6oc_vmuAWwHnH51YMvSMVUVePUqN"&amp;"n9zZBOmHT8/edit#gid=757525651"",""'Allocation Breakdown'!F4:F187""))"),4873)</f>
        <v>4873</v>
      </c>
      <c r="J63" s="30">
        <f ca="1">IFERROR(__xludf.DUMMYFUNCTION("XLOOKUP($B63,IMPORTRANGE(""https://docs.google.com/spreadsheets/d/1EjEqG6oc_vmuAWwHnH51YMvSMVUVePUqNn9zZBOmHT8/edit#gid=757525651"",""'Allocation Breakdown'!A4:A187""),IMPORTRANGE(""https://docs.google.com/spreadsheets/d/1EjEqG6oc_vmuAWwHnH51YMvSMVUVePUqN"&amp;"n9zZBOmHT8/edit#gid=757525651"",""'Allocation Breakdown'!G4:G187""))"),15000)</f>
        <v>15000</v>
      </c>
      <c r="K63" s="30">
        <f ca="1">IFERROR(__xludf.DUMMYFUNCTION("XLOOKUP($B63,IMPORTRANGE(""https://docs.google.com/spreadsheets/d/1EjEqG6oc_vmuAWwHnH51YMvSMVUVePUqNn9zZBOmHT8/edit#gid=757525651"",""'Allocation Breakdown'!A4:A187""),IMPORTRANGE(""https://docs.google.com/spreadsheets/d/1EjEqG6oc_vmuAWwHnH51YMvSMVUVePUqN"&amp;"n9zZBOmHT8/edit#gid=757525651"",""'Allocation Breakdown'!I4:I187""))*K$119"),2499.7538544)</f>
        <v>2499.7538543999999</v>
      </c>
      <c r="L63" s="30">
        <f ca="1">IFERROR(__xludf.DUMMYFUNCTION("XLOOKUP($B63,IMPORTRANGE(""https://docs.google.com/spreadsheets/d/1EjEqG6oc_vmuAWwHnH51YMvSMVUVePUqNn9zZBOmHT8/edit#gid=757525651"",""'Allocation Breakdown'!A4:A187""),IMPORTRANGE(""https://docs.google.com/spreadsheets/d/1EjEqG6oc_vmuAWwHnH51YMvSMVUVePUqN"&amp;"n9zZBOmHT8/edit#gid=757525651"",""'Allocation Breakdown'!j4:j187""))*L$119"),14806.168922)</f>
        <v>14806.168922000001</v>
      </c>
      <c r="M63" s="30">
        <f ca="1">IFERROR(__xludf.DUMMYFUNCTION("XLOOKUP($B63,IMPORTRANGE(""https://docs.google.com/spreadsheets/d/1EjEqG6oc_vmuAWwHnH51YMvSMVUVePUqNn9zZBOmHT8/edit#gid=757525651"",""'Allocation Breakdown'!A4:A187""),IMPORTRANGE(""https://docs.google.com/spreadsheets/d/1EjEqG6oc_vmuAWwHnH51YMvSMVUVePUqN"&amp;"n9zZBOmHT8/edit#gid=757525651"",""'Allocation Breakdown'!K4:K187""))*M$119"),14354.490438)</f>
        <v>14354.490438000001</v>
      </c>
      <c r="N63" s="30">
        <f ca="1">IFERROR(__xludf.DUMMYFUNCTION("XLOOKUP($B63,IMPORTRANGE(""https://docs.google.com/spreadsheets/d/1EjEqG6oc_vmuAWwHnH51YMvSMVUVePUqNn9zZBOmHT8/edit#gid=757525651"",""'Allocation Breakdown'!A4:A187""),IMPORTRANGE(""https://docs.google.com/spreadsheets/d/1EjEqG6oc_vmuAWwHnH51YMvSMVUVePUqN"&amp;"n9zZBOmHT8/edit#gid=757525651"",""'Allocation Breakdown'!l4:l187""))*N$119"),3807.4402032)</f>
        <v>3807.4402031999998</v>
      </c>
      <c r="O63" s="30">
        <f ca="1">IFERROR(__xludf.DUMMYFUNCTION("XLOOKUP($B63,IMPORTRANGE(""https://docs.google.com/spreadsheets/d/1EjEqG6oc_vmuAWwHnH51YMvSMVUVePUqNn9zZBOmHT8/edit#gid=757525651"",""'Allocation Breakdown'!A4:A187""),IMPORTRANGE(""https://docs.google.com/spreadsheets/d/1EjEqG6oc_vmuAWwHnH51YMvSMVUVePUqN"&amp;"n9zZBOmHT8/edit#gid=757525651"",""'Allocation Breakdown'!n4:n187""))*O$119"),0)</f>
        <v>0</v>
      </c>
      <c r="P63" s="30">
        <f ca="1">IFERROR(__xludf.DUMMYFUNCTION("XLOOKUP($B63,IMPORTRANGE(""https://docs.google.com/spreadsheets/d/1EjEqG6oc_vmuAWwHnH51YMvSMVUVePUqNn9zZBOmHT8/edit#gid=757525651"",""'Allocation Breakdown'!A4:A187""),IMPORTRANGE(""https://docs.google.com/spreadsheets/d/1EjEqG6oc_vmuAWwHnH51YMvSMVUVePUqN"&amp;"n9zZBOmHT8/edit#gid=757525651"",""'Allocation Breakdown'!o4:o187""))*P$119"),17600)</f>
        <v>17600</v>
      </c>
      <c r="Q63" s="30">
        <f ca="1">IFERROR(__xludf.DUMMYFUNCTION("XLOOKUP($B63,IMPORTRANGE(""https://docs.google.com/spreadsheets/d/1EjEqG6oc_vmuAWwHnH51YMvSMVUVePUqNn9zZBOmHT8/edit#gid=757525651"",""'Allocation Breakdown'!A4:A187""),IMPORTRANGE(""https://docs.google.com/spreadsheets/d/1EjEqG6oc_vmuAWwHnH51YMvSMVUVePUqN"&amp;"n9zZBOmHT8/edit#gid=757525651"",""'Allocation Breakdown'!p4:p187""))*Q$119"),0)</f>
        <v>0</v>
      </c>
      <c r="R63" s="30">
        <f ca="1">IFERROR(__xludf.DUMMYFUNCTION("XLOOKUP($B63,IMPORTRANGE(""https://docs.google.com/spreadsheets/d/1EjEqG6oc_vmuAWwHnH51YMvSMVUVePUqNn9zZBOmHT8/edit#gid=757525651"",""'Allocation Breakdown'!A4:A187""),IMPORTRANGE(""https://docs.google.com/spreadsheets/d/1EjEqG6oc_vmuAWwHnH51YMvSMVUVePUqN"&amp;"n9zZBOmHT8/edit#gid=757525651"",""'Allocation Breakdown'!q4:q187""))*R$119"),0)</f>
        <v>0</v>
      </c>
      <c r="S63" s="30">
        <f ca="1">IFERROR(__xludf.DUMMYFUNCTION("XLOOKUP($B63,IMPORTRANGE(""https://docs.google.com/spreadsheets/d/1EjEqG6oc_vmuAWwHnH51YMvSMVUVePUqNn9zZBOmHT8/edit#gid=757525651"",""'Allocation Breakdown'!A4:A187""),IMPORTRANGE(""https://docs.google.com/spreadsheets/d/1EjEqG6oc_vmuAWwHnH51YMvSMVUVePUqN"&amp;"n9zZBOmHT8/edit#gid=757525651"",""'Allocation Breakdown'!r4:r187""))*S$119"),0)</f>
        <v>0</v>
      </c>
      <c r="T63" s="30">
        <f ca="1">IFERROR(__xludf.DUMMYFUNCTION("XLOOKUP($B63,IMPORTRANGE(""https://docs.google.com/spreadsheets/d/1EjEqG6oc_vmuAWwHnH51YMvSMVUVePUqNn9zZBOmHT8/edit#gid=757525651"",""'Allocation Breakdown'!A4:A187""),IMPORTRANGE(""https://docs.google.com/spreadsheets/d/1EjEqG6oc_vmuAWwHnH51YMvSMVUVePUqN"&amp;"n9zZBOmHT8/edit#gid=757525651"",""'Allocation Breakdown'!t4:t187""))*T$119"),28000)</f>
        <v>28000</v>
      </c>
      <c r="U63" s="30">
        <f ca="1">IFERROR(__xludf.DUMMYFUNCTION("XLOOKUP($B63,IMPORTRANGE(""https://docs.google.com/spreadsheets/d/1EjEqG6oc_vmuAWwHnH51YMvSMVUVePUqNn9zZBOmHT8/edit#gid=757525651"",""'Allocation Breakdown'!A4:A187""),IMPORTRANGE(""https://docs.google.com/spreadsheets/d/1EjEqG6oc_vmuAWwHnH51YMvSMVUVePUqN"&amp;"n9zZBOmHT8/edit#gid=757525651"",""'Allocation Breakdown'!U4:U187""))*U$119"),44000)</f>
        <v>44000</v>
      </c>
      <c r="V63" s="31">
        <f t="shared" ca="1" si="1"/>
        <v>144940.85341759998</v>
      </c>
      <c r="W63" s="31">
        <f t="shared" ca="1" si="2"/>
        <v>174442.03678426199</v>
      </c>
      <c r="Z63" s="32"/>
      <c r="AA63" s="32"/>
      <c r="AB63" s="32"/>
    </row>
    <row r="64" spans="2:28" ht="15.75" customHeight="1">
      <c r="B64" s="28" t="s">
        <v>159</v>
      </c>
      <c r="C64" s="30">
        <f ca="1">IFERROR(__xludf.DUMMYFUNCTION("XLOOKUP($B64,IMPORTRANGE(""https://docs.google.com/spreadsheets/d/1EjEqG6oc_vmuAWwHnH51YMvSMVUVePUqNn9zZBOmHT8/edit#gid=757525651"",""'Allocation Breakdown'!A4:A187""),IMPORTRANGE(""https://docs.google.com/spreadsheets/d/1EjEqG6oc_vmuAWwHnH51YMvSMVUVePUqN"&amp;"n9zZBOmHT8/edit#gid=757525651"",""'Allocation Breakdown'!V4:V187""))*C$119"),0)</f>
        <v>0</v>
      </c>
      <c r="D64" s="30">
        <f ca="1">IFERROR(__xludf.DUMMYFUNCTION("XLOOKUP($B64,IMPORTRANGE(""https://docs.google.com/spreadsheets/d/1EjEqG6oc_vmuAWwHnH51YMvSMVUVePUqNn9zZBOmHT8/edit#gid=757525651"",""'Allocation Breakdown'!A4:A187""),IMPORTRANGE(""https://docs.google.com/spreadsheets/d/1EjEqG6oc_vmuAWwHnH51YMvSMVUVePUqN"&amp;"n9zZBOmHT8/edit#gid=757525651"",""'Allocation Breakdown'!I4:I187""))*$D$119"),0)</f>
        <v>0</v>
      </c>
      <c r="E64" s="30">
        <f ca="1">IFERROR(__xludf.DUMMYFUNCTION("XLOOKUP($B64,IMPORTRANGE(""https://docs.google.com/spreadsheets/d/1EjEqG6oc_vmuAWwHnH51YMvSMVUVePUqNn9zZBOmHT8/edit#gid=757525651"",""'Allocation Breakdown'!A4:A187""),IMPORTRANGE(""https://docs.google.com/spreadsheets/d/1EjEqG6oc_vmuAWwHnH51YMvSMVUVePUqN"&amp;"n9zZBOmHT8/edit#gid=757525651"",""'Allocation Breakdown'!V4:V187""))*E$119"),0)</f>
        <v>0</v>
      </c>
      <c r="F64" s="30">
        <f t="shared" ca="1" si="0"/>
        <v>0</v>
      </c>
      <c r="G64" s="30" t="str">
        <f ca="1">IFERROR(__xludf.DUMMYFUNCTION("XLOOKUP($B64,IMPORTRANGE(""https://docs.google.com/spreadsheets/d/1EjEqG6oc_vmuAWwHnH51YMvSMVUVePUqNn9zZBOmHT8/edit#gid=757525651"",""'Allocation Breakdown'!A4:A187""),IMPORTRANGE(""https://docs.google.com/spreadsheets/d/1EjEqG6oc_vmuAWwHnH51YMvSMVUVePUqN"&amp;"n9zZBOmHT8/edit#gid=757525651"",""'Allocation Breakdown'!D4:D187""))"),"")</f>
        <v/>
      </c>
      <c r="H64" s="30">
        <f ca="1">IFERROR(__xludf.DUMMYFUNCTION("XLOOKUP($B64,IMPORTRANGE(""https://docs.google.com/spreadsheets/d/1EjEqG6oc_vmuAWwHnH51YMvSMVUVePUqNn9zZBOmHT8/edit#gid=757525651"",""'Allocation Breakdown'!A4:A187""),IMPORTRANGE(""https://docs.google.com/spreadsheets/d/1EjEqG6oc_vmuAWwHnH51YMvSMVUVePUqN"&amp;"n9zZBOmHT8/edit#gid=757525651"",""'Allocation Breakdown'!E4:E187""))"),90000)</f>
        <v>90000</v>
      </c>
      <c r="I64" s="30">
        <f ca="1">IFERROR(__xludf.DUMMYFUNCTION("XLOOKUP($B64,IMPORTRANGE(""https://docs.google.com/spreadsheets/d/1EjEqG6oc_vmuAWwHnH51YMvSMVUVePUqNn9zZBOmHT8/edit#gid=757525651"",""'Allocation Breakdown'!A4:A187""),IMPORTRANGE(""https://docs.google.com/spreadsheets/d/1EjEqG6oc_vmuAWwHnH51YMvSMVUVePUqN"&amp;"n9zZBOmHT8/edit#gid=757525651"",""'Allocation Breakdown'!F4:F187""))"),3500)</f>
        <v>3500</v>
      </c>
      <c r="J64" s="30" t="str">
        <f ca="1">IFERROR(__xludf.DUMMYFUNCTION("XLOOKUP($B64,IMPORTRANGE(""https://docs.google.com/spreadsheets/d/1EjEqG6oc_vmuAWwHnH51YMvSMVUVePUqNn9zZBOmHT8/edit#gid=757525651"",""'Allocation Breakdown'!A4:A187""),IMPORTRANGE(""https://docs.google.com/spreadsheets/d/1EjEqG6oc_vmuAWwHnH51YMvSMVUVePUqN"&amp;"n9zZBOmHT8/edit#gid=757525651"",""'Allocation Breakdown'!G4:G187""))"),"")</f>
        <v/>
      </c>
      <c r="K64" s="30">
        <f ca="1">IFERROR(__xludf.DUMMYFUNCTION("XLOOKUP($B64,IMPORTRANGE(""https://docs.google.com/spreadsheets/d/1EjEqG6oc_vmuAWwHnH51YMvSMVUVePUqNn9zZBOmHT8/edit#gid=757525651"",""'Allocation Breakdown'!A4:A187""),IMPORTRANGE(""https://docs.google.com/spreadsheets/d/1EjEqG6oc_vmuAWwHnH51YMvSMVUVePUqN"&amp;"n9zZBOmHT8/edit#gid=757525651"",""'Allocation Breakdown'!I4:I187""))*K$119"),0)</f>
        <v>0</v>
      </c>
      <c r="L64" s="30">
        <f ca="1">IFERROR(__xludf.DUMMYFUNCTION("XLOOKUP($B64,IMPORTRANGE(""https://docs.google.com/spreadsheets/d/1EjEqG6oc_vmuAWwHnH51YMvSMVUVePUqNn9zZBOmHT8/edit#gid=757525651"",""'Allocation Breakdown'!A4:A187""),IMPORTRANGE(""https://docs.google.com/spreadsheets/d/1EjEqG6oc_vmuAWwHnH51YMvSMVUVePUqN"&amp;"n9zZBOmHT8/edit#gid=757525651"",""'Allocation Breakdown'!j4:j187""))*L$119"),0)</f>
        <v>0</v>
      </c>
      <c r="M64" s="30">
        <f ca="1">IFERROR(__xludf.DUMMYFUNCTION("XLOOKUP($B64,IMPORTRANGE(""https://docs.google.com/spreadsheets/d/1EjEqG6oc_vmuAWwHnH51YMvSMVUVePUqNn9zZBOmHT8/edit#gid=757525651"",""'Allocation Breakdown'!A4:A187""),IMPORTRANGE(""https://docs.google.com/spreadsheets/d/1EjEqG6oc_vmuAWwHnH51YMvSMVUVePUqN"&amp;"n9zZBOmHT8/edit#gid=757525651"",""'Allocation Breakdown'!K4:K187""))*M$119"),3588.6226095)</f>
        <v>3588.6226095000002</v>
      </c>
      <c r="N64" s="30">
        <f ca="1">IFERROR(__xludf.DUMMYFUNCTION("XLOOKUP($B64,IMPORTRANGE(""https://docs.google.com/spreadsheets/d/1EjEqG6oc_vmuAWwHnH51YMvSMVUVePUqNn9zZBOmHT8/edit#gid=757525651"",""'Allocation Breakdown'!A4:A187""),IMPORTRANGE(""https://docs.google.com/spreadsheets/d/1EjEqG6oc_vmuAWwHnH51YMvSMVUVePUqN"&amp;"n9zZBOmHT8/edit#gid=757525651"",""'Allocation Breakdown'!l4:l187""))*N$119"),0)</f>
        <v>0</v>
      </c>
      <c r="O64" s="30">
        <f ca="1">IFERROR(__xludf.DUMMYFUNCTION("XLOOKUP($B64,IMPORTRANGE(""https://docs.google.com/spreadsheets/d/1EjEqG6oc_vmuAWwHnH51YMvSMVUVePUqNn9zZBOmHT8/edit#gid=757525651"",""'Allocation Breakdown'!A4:A187""),IMPORTRANGE(""https://docs.google.com/spreadsheets/d/1EjEqG6oc_vmuAWwHnH51YMvSMVUVePUqN"&amp;"n9zZBOmHT8/edit#gid=757525651"",""'Allocation Breakdown'!n4:n187""))*O$119"),0)</f>
        <v>0</v>
      </c>
      <c r="P64" s="30">
        <f ca="1">IFERROR(__xludf.DUMMYFUNCTION("XLOOKUP($B64,IMPORTRANGE(""https://docs.google.com/spreadsheets/d/1EjEqG6oc_vmuAWwHnH51YMvSMVUVePUqNn9zZBOmHT8/edit#gid=757525651"",""'Allocation Breakdown'!A4:A187""),IMPORTRANGE(""https://docs.google.com/spreadsheets/d/1EjEqG6oc_vmuAWwHnH51YMvSMVUVePUqN"&amp;"n9zZBOmHT8/edit#gid=757525651"",""'Allocation Breakdown'!o4:o187""))*P$119"),0)</f>
        <v>0</v>
      </c>
      <c r="Q64" s="30">
        <f ca="1">IFERROR(__xludf.DUMMYFUNCTION("XLOOKUP($B64,IMPORTRANGE(""https://docs.google.com/spreadsheets/d/1EjEqG6oc_vmuAWwHnH51YMvSMVUVePUqNn9zZBOmHT8/edit#gid=757525651"",""'Allocation Breakdown'!A4:A187""),IMPORTRANGE(""https://docs.google.com/spreadsheets/d/1EjEqG6oc_vmuAWwHnH51YMvSMVUVePUqN"&amp;"n9zZBOmHT8/edit#gid=757525651"",""'Allocation Breakdown'!p4:p187""))*Q$119"),0)</f>
        <v>0</v>
      </c>
      <c r="R64" s="30">
        <f ca="1">IFERROR(__xludf.DUMMYFUNCTION("XLOOKUP($B64,IMPORTRANGE(""https://docs.google.com/spreadsheets/d/1EjEqG6oc_vmuAWwHnH51YMvSMVUVePUqNn9zZBOmHT8/edit#gid=757525651"",""'Allocation Breakdown'!A4:A187""),IMPORTRANGE(""https://docs.google.com/spreadsheets/d/1EjEqG6oc_vmuAWwHnH51YMvSMVUVePUqN"&amp;"n9zZBOmHT8/edit#gid=757525651"",""'Allocation Breakdown'!q4:q187""))*R$119"),0)</f>
        <v>0</v>
      </c>
      <c r="S64" s="30">
        <f ca="1">IFERROR(__xludf.DUMMYFUNCTION("XLOOKUP($B64,IMPORTRANGE(""https://docs.google.com/spreadsheets/d/1EjEqG6oc_vmuAWwHnH51YMvSMVUVePUqNn9zZBOmHT8/edit#gid=757525651"",""'Allocation Breakdown'!A4:A187""),IMPORTRANGE(""https://docs.google.com/spreadsheets/d/1EjEqG6oc_vmuAWwHnH51YMvSMVUVePUqN"&amp;"n9zZBOmHT8/edit#gid=757525651"",""'Allocation Breakdown'!r4:r187""))*S$119"),0)</f>
        <v>0</v>
      </c>
      <c r="T64" s="30">
        <f ca="1">IFERROR(__xludf.DUMMYFUNCTION("XLOOKUP($B64,IMPORTRANGE(""https://docs.google.com/spreadsheets/d/1EjEqG6oc_vmuAWwHnH51YMvSMVUVePUqNn9zZBOmHT8/edit#gid=757525651"",""'Allocation Breakdown'!A4:A187""),IMPORTRANGE(""https://docs.google.com/spreadsheets/d/1EjEqG6oc_vmuAWwHnH51YMvSMVUVePUqN"&amp;"n9zZBOmHT8/edit#gid=757525651"",""'Allocation Breakdown'!t4:t187""))*T$119"),7000)</f>
        <v>7000</v>
      </c>
      <c r="U64" s="30">
        <f ca="1">IFERROR(__xludf.DUMMYFUNCTION("XLOOKUP($B64,IMPORTRANGE(""https://docs.google.com/spreadsheets/d/1EjEqG6oc_vmuAWwHnH51YMvSMVUVePUqNn9zZBOmHT8/edit#gid=757525651"",""'Allocation Breakdown'!A4:A187""),IMPORTRANGE(""https://docs.google.com/spreadsheets/d/1EjEqG6oc_vmuAWwHnH51YMvSMVUVePUqN"&amp;"n9zZBOmHT8/edit#gid=757525651"",""'Allocation Breakdown'!U4:U187""))*U$119"),0)</f>
        <v>0</v>
      </c>
      <c r="V64" s="31">
        <f t="shared" ca="1" si="1"/>
        <v>104088.6226095</v>
      </c>
      <c r="W64" s="31">
        <f t="shared" ca="1" si="2"/>
        <v>104088.6226095</v>
      </c>
      <c r="Z64" s="32"/>
      <c r="AA64" s="32"/>
      <c r="AB64" s="32"/>
    </row>
    <row r="65" spans="2:28">
      <c r="B65" s="28" t="s">
        <v>160</v>
      </c>
      <c r="C65" s="30">
        <f ca="1">IFERROR(__xludf.DUMMYFUNCTION("XLOOKUP($B65,IMPORTRANGE(""https://docs.google.com/spreadsheets/d/1EjEqG6oc_vmuAWwHnH51YMvSMVUVePUqNn9zZBOmHT8/edit#gid=757525651"",""'Allocation Breakdown'!A4:A187""),IMPORTRANGE(""https://docs.google.com/spreadsheets/d/1EjEqG6oc_vmuAWwHnH51YMvSMVUVePUqN"&amp;"n9zZBOmHT8/edit#gid=757525651"",""'Allocation Breakdown'!V4:V187""))*C$119"),777.38105487)</f>
        <v>777.38105486999996</v>
      </c>
      <c r="D65" s="30">
        <f ca="1">IFERROR(__xludf.DUMMYFUNCTION("XLOOKUP($B65,IMPORTRANGE(""https://docs.google.com/spreadsheets/d/1EjEqG6oc_vmuAWwHnH51YMvSMVUVePUqNn9zZBOmHT8/edit#gid=757525651"",""'Allocation Breakdown'!A4:A187""),IMPORTRANGE(""https://docs.google.com/spreadsheets/d/1EjEqG6oc_vmuAWwHnH51YMvSMVUVePUqN"&amp;"n9zZBOmHT8/edit#gid=757525651"",""'Allocation Breakdown'!I4:I187""))*$D$119"),7112.7958416655)</f>
        <v>7112.7958416655001</v>
      </c>
      <c r="E65" s="30">
        <f ca="1">IFERROR(__xludf.DUMMYFUNCTION("XLOOKUP($B65,IMPORTRANGE(""https://docs.google.com/spreadsheets/d/1EjEqG6oc_vmuAWwHnH51YMvSMVUVePUqNn9zZBOmHT8/edit#gid=757525651"",""'Allocation Breakdown'!A4:A187""),IMPORTRANGE(""https://docs.google.com/spreadsheets/d/1EjEqG6oc_vmuAWwHnH51YMvSMVUVePUqN"&amp;"n9zZBOmHT8/edit#gid=757525651"",""'Allocation Breakdown'!V4:V187""))*E$119"),272.61894513)</f>
        <v>272.61894512999999</v>
      </c>
      <c r="F65" s="30">
        <f t="shared" ca="1" si="0"/>
        <v>7385.4147867954998</v>
      </c>
      <c r="G65" s="30" t="str">
        <f ca="1">IFERROR(__xludf.DUMMYFUNCTION("XLOOKUP($B65,IMPORTRANGE(""https://docs.google.com/spreadsheets/d/1EjEqG6oc_vmuAWwHnH51YMvSMVUVePUqNn9zZBOmHT8/edit#gid=757525651"",""'Allocation Breakdown'!A4:A187""),IMPORTRANGE(""https://docs.google.com/spreadsheets/d/1EjEqG6oc_vmuAWwHnH51YMvSMVUVePUqN"&amp;"n9zZBOmHT8/edit#gid=757525651"",""'Allocation Breakdown'!D4:D187""))"),"")</f>
        <v/>
      </c>
      <c r="H65" s="30" t="str">
        <f ca="1">IFERROR(__xludf.DUMMYFUNCTION("XLOOKUP($B65,IMPORTRANGE(""https://docs.google.com/spreadsheets/d/1EjEqG6oc_vmuAWwHnH51YMvSMVUVePUqNn9zZBOmHT8/edit#gid=757525651"",""'Allocation Breakdown'!A4:A187""),IMPORTRANGE(""https://docs.google.com/spreadsheets/d/1EjEqG6oc_vmuAWwHnH51YMvSMVUVePUqN"&amp;"n9zZBOmHT8/edit#gid=757525651"",""'Allocation Breakdown'!E4:E187""))"),"")</f>
        <v/>
      </c>
      <c r="I65" s="30">
        <f ca="1">IFERROR(__xludf.DUMMYFUNCTION("XLOOKUP($B65,IMPORTRANGE(""https://docs.google.com/spreadsheets/d/1EjEqG6oc_vmuAWwHnH51YMvSMVUVePUqNn9zZBOmHT8/edit#gid=757525651"",""'Allocation Breakdown'!A4:A187""),IMPORTRANGE(""https://docs.google.com/spreadsheets/d/1EjEqG6oc_vmuAWwHnH51YMvSMVUVePUqN"&amp;"n9zZBOmHT8/edit#gid=757525651"",""'Allocation Breakdown'!F4:F187""))"),14400)</f>
        <v>14400</v>
      </c>
      <c r="J65" s="30">
        <f ca="1">IFERROR(__xludf.DUMMYFUNCTION("XLOOKUP($B65,IMPORTRANGE(""https://docs.google.com/spreadsheets/d/1EjEqG6oc_vmuAWwHnH51YMvSMVUVePUqNn9zZBOmHT8/edit#gid=757525651"",""'Allocation Breakdown'!A4:A187""),IMPORTRANGE(""https://docs.google.com/spreadsheets/d/1EjEqG6oc_vmuAWwHnH51YMvSMVUVePUqN"&amp;"n9zZBOmHT8/edit#gid=757525651"",""'Allocation Breakdown'!G4:G187""))"),9175)</f>
        <v>9175</v>
      </c>
      <c r="K65" s="30">
        <f ca="1">IFERROR(__xludf.DUMMYFUNCTION("XLOOKUP($B65,IMPORTRANGE(""https://docs.google.com/spreadsheets/d/1EjEqG6oc_vmuAWwHnH51YMvSMVUVePUqNn9zZBOmHT8/edit#gid=757525651"",""'Allocation Breakdown'!A4:A187""),IMPORTRANGE(""https://docs.google.com/spreadsheets/d/1EjEqG6oc_vmuAWwHnH51YMvSMVUVePUqN"&amp;"n9zZBOmHT8/edit#gid=757525651"",""'Allocation Breakdown'!I4:I187""))*K$119"),624.9384636)</f>
        <v>624.93846359999998</v>
      </c>
      <c r="L65" s="30">
        <f ca="1">IFERROR(__xludf.DUMMYFUNCTION("XLOOKUP($B65,IMPORTRANGE(""https://docs.google.com/spreadsheets/d/1EjEqG6oc_vmuAWwHnH51YMvSMVUVePUqNn9zZBOmHT8/edit#gid=757525651"",""'Allocation Breakdown'!A4:A187""),IMPORTRANGE(""https://docs.google.com/spreadsheets/d/1EjEqG6oc_vmuAWwHnH51YMvSMVUVePUqN"&amp;"n9zZBOmHT8/edit#gid=757525651"",""'Allocation Breakdown'!j4:j187""))*L$119"),3701.5422305)</f>
        <v>3701.5422305000002</v>
      </c>
      <c r="M65" s="30">
        <f ca="1">IFERROR(__xludf.DUMMYFUNCTION("XLOOKUP($B65,IMPORTRANGE(""https://docs.google.com/spreadsheets/d/1EjEqG6oc_vmuAWwHnH51YMvSMVUVePUqNn9zZBOmHT8/edit#gid=757525651"",""'Allocation Breakdown'!A4:A187""),IMPORTRANGE(""https://docs.google.com/spreadsheets/d/1EjEqG6oc_vmuAWwHnH51YMvSMVUVePUqN"&amp;"n9zZBOmHT8/edit#gid=757525651"",""'Allocation Breakdown'!K4:K187""))*M$119"),3588.6226095)</f>
        <v>3588.6226095000002</v>
      </c>
      <c r="N65" s="30">
        <f ca="1">IFERROR(__xludf.DUMMYFUNCTION("XLOOKUP($B65,IMPORTRANGE(""https://docs.google.com/spreadsheets/d/1EjEqG6oc_vmuAWwHnH51YMvSMVUVePUqNn9zZBOmHT8/edit#gid=757525651"",""'Allocation Breakdown'!A4:A187""),IMPORTRANGE(""https://docs.google.com/spreadsheets/d/1EjEqG6oc_vmuAWwHnH51YMvSMVUVePUqN"&amp;"n9zZBOmHT8/edit#gid=757525651"",""'Allocation Breakdown'!l4:l187""))*N$119"),951.8600508)</f>
        <v>951.86005079999995</v>
      </c>
      <c r="O65" s="30">
        <f ca="1">IFERROR(__xludf.DUMMYFUNCTION("XLOOKUP($B65,IMPORTRANGE(""https://docs.google.com/spreadsheets/d/1EjEqG6oc_vmuAWwHnH51YMvSMVUVePUqNn9zZBOmHT8/edit#gid=757525651"",""'Allocation Breakdown'!A4:A187""),IMPORTRANGE(""https://docs.google.com/spreadsheets/d/1EjEqG6oc_vmuAWwHnH51YMvSMVUVePUqN"&amp;"n9zZBOmHT8/edit#gid=757525651"",""'Allocation Breakdown'!n4:n187""))*O$119"),0)</f>
        <v>0</v>
      </c>
      <c r="P65" s="30">
        <f ca="1">IFERROR(__xludf.DUMMYFUNCTION("XLOOKUP($B65,IMPORTRANGE(""https://docs.google.com/spreadsheets/d/1EjEqG6oc_vmuAWwHnH51YMvSMVUVePUqNn9zZBOmHT8/edit#gid=757525651"",""'Allocation Breakdown'!A4:A187""),IMPORTRANGE(""https://docs.google.com/spreadsheets/d/1EjEqG6oc_vmuAWwHnH51YMvSMVUVePUqN"&amp;"n9zZBOmHT8/edit#gid=757525651"",""'Allocation Breakdown'!o4:o187""))*P$119"),4400)</f>
        <v>4400</v>
      </c>
      <c r="Q65" s="30">
        <f ca="1">IFERROR(__xludf.DUMMYFUNCTION("XLOOKUP($B65,IMPORTRANGE(""https://docs.google.com/spreadsheets/d/1EjEqG6oc_vmuAWwHnH51YMvSMVUVePUqNn9zZBOmHT8/edit#gid=757525651"",""'Allocation Breakdown'!A4:A187""),IMPORTRANGE(""https://docs.google.com/spreadsheets/d/1EjEqG6oc_vmuAWwHnH51YMvSMVUVePUqN"&amp;"n9zZBOmHT8/edit#gid=757525651"",""'Allocation Breakdown'!p4:p187""))*Q$119"),2000)</f>
        <v>2000</v>
      </c>
      <c r="R65" s="30">
        <f ca="1">IFERROR(__xludf.DUMMYFUNCTION("XLOOKUP($B65,IMPORTRANGE(""https://docs.google.com/spreadsheets/d/1EjEqG6oc_vmuAWwHnH51YMvSMVUVePUqNn9zZBOmHT8/edit#gid=757525651"",""'Allocation Breakdown'!A4:A187""),IMPORTRANGE(""https://docs.google.com/spreadsheets/d/1EjEqG6oc_vmuAWwHnH51YMvSMVUVePUqN"&amp;"n9zZBOmHT8/edit#gid=757525651"",""'Allocation Breakdown'!q4:q187""))*R$119"),2000)</f>
        <v>2000</v>
      </c>
      <c r="S65" s="30">
        <f ca="1">IFERROR(__xludf.DUMMYFUNCTION("XLOOKUP($B65,IMPORTRANGE(""https://docs.google.com/spreadsheets/d/1EjEqG6oc_vmuAWwHnH51YMvSMVUVePUqNn9zZBOmHT8/edit#gid=757525651"",""'Allocation Breakdown'!A4:A187""),IMPORTRANGE(""https://docs.google.com/spreadsheets/d/1EjEqG6oc_vmuAWwHnH51YMvSMVUVePUqN"&amp;"n9zZBOmHT8/edit#gid=757525651"",""'Allocation Breakdown'!r4:r187""))*S$119"),2000)</f>
        <v>2000</v>
      </c>
      <c r="T65" s="30">
        <f ca="1">IFERROR(__xludf.DUMMYFUNCTION("XLOOKUP($B65,IMPORTRANGE(""https://docs.google.com/spreadsheets/d/1EjEqG6oc_vmuAWwHnH51YMvSMVUVePUqNn9zZBOmHT8/edit#gid=757525651"",""'Allocation Breakdown'!A4:A187""),IMPORTRANGE(""https://docs.google.com/spreadsheets/d/1EjEqG6oc_vmuAWwHnH51YMvSMVUVePUqN"&amp;"n9zZBOmHT8/edit#gid=757525651"",""'Allocation Breakdown'!t4:t187""))*T$119"),7000)</f>
        <v>7000</v>
      </c>
      <c r="U65" s="30">
        <f ca="1">IFERROR(__xludf.DUMMYFUNCTION("XLOOKUP($B65,IMPORTRANGE(""https://docs.google.com/spreadsheets/d/1EjEqG6oc_vmuAWwHnH51YMvSMVUVePUqNn9zZBOmHT8/edit#gid=757525651"",""'Allocation Breakdown'!A4:A187""),IMPORTRANGE(""https://docs.google.com/spreadsheets/d/1EjEqG6oc_vmuAWwHnH51YMvSMVUVePUqN"&amp;"n9zZBOmHT8/edit#gid=757525651"",""'Allocation Breakdown'!U4:U187""))*U$119"),11000)</f>
        <v>11000</v>
      </c>
      <c r="V65" s="31">
        <f t="shared" ca="1" si="1"/>
        <v>60841.963354400003</v>
      </c>
      <c r="W65" s="31">
        <f t="shared" ca="1" si="2"/>
        <v>69004.759196065497</v>
      </c>
      <c r="Z65" s="32"/>
      <c r="AA65" s="32"/>
      <c r="AB65" s="32"/>
    </row>
    <row r="66" spans="2:28" ht="15.75" customHeight="1">
      <c r="B66" s="28" t="s">
        <v>161</v>
      </c>
      <c r="C66" s="30">
        <f ca="1">IFERROR(__xludf.DUMMYFUNCTION("XLOOKUP($B66,IMPORTRANGE(""https://docs.google.com/spreadsheets/d/1EjEqG6oc_vmuAWwHnH51YMvSMVUVePUqNn9zZBOmHT8/edit#gid=757525651"",""'Allocation Breakdown'!A4:A187""),IMPORTRANGE(""https://docs.google.com/spreadsheets/d/1EjEqG6oc_vmuAWwHnH51YMvSMVUVePUqN"&amp;"n9zZBOmHT8/edit#gid=757525651"",""'Allocation Breakdown'!V4:V187""))*C$119"),0)</f>
        <v>0</v>
      </c>
      <c r="D66" s="30">
        <f ca="1">IFERROR(__xludf.DUMMYFUNCTION("XLOOKUP($B66,IMPORTRANGE(""https://docs.google.com/spreadsheets/d/1EjEqG6oc_vmuAWwHnH51YMvSMVUVePUqNn9zZBOmHT8/edit#gid=757525651"",""'Allocation Breakdown'!A4:A187""),IMPORTRANGE(""https://docs.google.com/spreadsheets/d/1EjEqG6oc_vmuAWwHnH51YMvSMVUVePUqN"&amp;"n9zZBOmHT8/edit#gid=757525651"",""'Allocation Breakdown'!I4:I187""))*$D$119"),7112.7958416655)</f>
        <v>7112.7958416655001</v>
      </c>
      <c r="E66" s="30">
        <f ca="1">IFERROR(__xludf.DUMMYFUNCTION("XLOOKUP($B66,IMPORTRANGE(""https://docs.google.com/spreadsheets/d/1EjEqG6oc_vmuAWwHnH51YMvSMVUVePUqNn9zZBOmHT8/edit#gid=757525651"",""'Allocation Breakdown'!A4:A187""),IMPORTRANGE(""https://docs.google.com/spreadsheets/d/1EjEqG6oc_vmuAWwHnH51YMvSMVUVePUqN"&amp;"n9zZBOmHT8/edit#gid=757525651"",""'Allocation Breakdown'!V4:V187""))*E$119"),0)</f>
        <v>0</v>
      </c>
      <c r="F66" s="30">
        <f t="shared" ca="1" si="0"/>
        <v>7112.7958416655001</v>
      </c>
      <c r="G66" s="30" t="str">
        <f ca="1">IFERROR(__xludf.DUMMYFUNCTION("XLOOKUP($B66,IMPORTRANGE(""https://docs.google.com/spreadsheets/d/1EjEqG6oc_vmuAWwHnH51YMvSMVUVePUqNn9zZBOmHT8/edit#gid=757525651"",""'Allocation Breakdown'!A4:A187""),IMPORTRANGE(""https://docs.google.com/spreadsheets/d/1EjEqG6oc_vmuAWwHnH51YMvSMVUVePUqN"&amp;"n9zZBOmHT8/edit#gid=757525651"",""'Allocation Breakdown'!D4:D187""))"),"")</f>
        <v/>
      </c>
      <c r="H66" s="30" t="str">
        <f ca="1">IFERROR(__xludf.DUMMYFUNCTION("XLOOKUP($B66,IMPORTRANGE(""https://docs.google.com/spreadsheets/d/1EjEqG6oc_vmuAWwHnH51YMvSMVUVePUqNn9zZBOmHT8/edit#gid=757525651"",""'Allocation Breakdown'!A4:A187""),IMPORTRANGE(""https://docs.google.com/spreadsheets/d/1EjEqG6oc_vmuAWwHnH51YMvSMVUVePUqN"&amp;"n9zZBOmHT8/edit#gid=757525651"",""'Allocation Breakdown'!E4:E187""))"),"")</f>
        <v/>
      </c>
      <c r="I66" s="30">
        <f ca="1">IFERROR(__xludf.DUMMYFUNCTION("XLOOKUP($B66,IMPORTRANGE(""https://docs.google.com/spreadsheets/d/1EjEqG6oc_vmuAWwHnH51YMvSMVUVePUqNn9zZBOmHT8/edit#gid=757525651"",""'Allocation Breakdown'!A4:A187""),IMPORTRANGE(""https://docs.google.com/spreadsheets/d/1EjEqG6oc_vmuAWwHnH51YMvSMVUVePUqN"&amp;"n9zZBOmHT8/edit#gid=757525651"",""'Allocation Breakdown'!F4:F187""))"),18000)</f>
        <v>18000</v>
      </c>
      <c r="J66" s="30">
        <f ca="1">IFERROR(__xludf.DUMMYFUNCTION("XLOOKUP($B66,IMPORTRANGE(""https://docs.google.com/spreadsheets/d/1EjEqG6oc_vmuAWwHnH51YMvSMVUVePUqNn9zZBOmHT8/edit#gid=757525651"",""'Allocation Breakdown'!A4:A187""),IMPORTRANGE(""https://docs.google.com/spreadsheets/d/1EjEqG6oc_vmuAWwHnH51YMvSMVUVePUqN"&amp;"n9zZBOmHT8/edit#gid=757525651"",""'Allocation Breakdown'!G4:G187""))"),9175)</f>
        <v>9175</v>
      </c>
      <c r="K66" s="30">
        <f ca="1">IFERROR(__xludf.DUMMYFUNCTION("XLOOKUP($B66,IMPORTRANGE(""https://docs.google.com/spreadsheets/d/1EjEqG6oc_vmuAWwHnH51YMvSMVUVePUqNn9zZBOmHT8/edit#gid=757525651"",""'Allocation Breakdown'!A4:A187""),IMPORTRANGE(""https://docs.google.com/spreadsheets/d/1EjEqG6oc_vmuAWwHnH51YMvSMVUVePUqN"&amp;"n9zZBOmHT8/edit#gid=757525651"",""'Allocation Breakdown'!I4:I187""))*K$119"),624.9384636)</f>
        <v>624.93846359999998</v>
      </c>
      <c r="L66" s="30">
        <f ca="1">IFERROR(__xludf.DUMMYFUNCTION("XLOOKUP($B66,IMPORTRANGE(""https://docs.google.com/spreadsheets/d/1EjEqG6oc_vmuAWwHnH51YMvSMVUVePUqNn9zZBOmHT8/edit#gid=757525651"",""'Allocation Breakdown'!A4:A187""),IMPORTRANGE(""https://docs.google.com/spreadsheets/d/1EjEqG6oc_vmuAWwHnH51YMvSMVUVePUqN"&amp;"n9zZBOmHT8/edit#gid=757525651"",""'Allocation Breakdown'!j4:j187""))*L$119"),3701.5422305)</f>
        <v>3701.5422305000002</v>
      </c>
      <c r="M66" s="30">
        <f ca="1">IFERROR(__xludf.DUMMYFUNCTION("XLOOKUP($B66,IMPORTRANGE(""https://docs.google.com/spreadsheets/d/1EjEqG6oc_vmuAWwHnH51YMvSMVUVePUqNn9zZBOmHT8/edit#gid=757525651"",""'Allocation Breakdown'!A4:A187""),IMPORTRANGE(""https://docs.google.com/spreadsheets/d/1EjEqG6oc_vmuAWwHnH51YMvSMVUVePUqN"&amp;"n9zZBOmHT8/edit#gid=757525651"",""'Allocation Breakdown'!K4:K187""))*M$119"),3588.6226095)</f>
        <v>3588.6226095000002</v>
      </c>
      <c r="N66" s="30">
        <f ca="1">IFERROR(__xludf.DUMMYFUNCTION("XLOOKUP($B66,IMPORTRANGE(""https://docs.google.com/spreadsheets/d/1EjEqG6oc_vmuAWwHnH51YMvSMVUVePUqNn9zZBOmHT8/edit#gid=757525651"",""'Allocation Breakdown'!A4:A187""),IMPORTRANGE(""https://docs.google.com/spreadsheets/d/1EjEqG6oc_vmuAWwHnH51YMvSMVUVePUqN"&amp;"n9zZBOmHT8/edit#gid=757525651"",""'Allocation Breakdown'!l4:l187""))*N$119"),0)</f>
        <v>0</v>
      </c>
      <c r="O66" s="30">
        <f ca="1">IFERROR(__xludf.DUMMYFUNCTION("XLOOKUP($B66,IMPORTRANGE(""https://docs.google.com/spreadsheets/d/1EjEqG6oc_vmuAWwHnH51YMvSMVUVePUqNn9zZBOmHT8/edit#gid=757525651"",""'Allocation Breakdown'!A4:A187""),IMPORTRANGE(""https://docs.google.com/spreadsheets/d/1EjEqG6oc_vmuAWwHnH51YMvSMVUVePUqN"&amp;"n9zZBOmHT8/edit#gid=757525651"",""'Allocation Breakdown'!n4:n187""))*O$119"),20000)</f>
        <v>20000</v>
      </c>
      <c r="P66" s="30">
        <f ca="1">IFERROR(__xludf.DUMMYFUNCTION("XLOOKUP($B66,IMPORTRANGE(""https://docs.google.com/spreadsheets/d/1EjEqG6oc_vmuAWwHnH51YMvSMVUVePUqNn9zZBOmHT8/edit#gid=757525651"",""'Allocation Breakdown'!A4:A187""),IMPORTRANGE(""https://docs.google.com/spreadsheets/d/1EjEqG6oc_vmuAWwHnH51YMvSMVUVePUqN"&amp;"n9zZBOmHT8/edit#gid=757525651"",""'Allocation Breakdown'!o4:o187""))*P$119"),0)</f>
        <v>0</v>
      </c>
      <c r="Q66" s="30">
        <f ca="1">IFERROR(__xludf.DUMMYFUNCTION("XLOOKUP($B66,IMPORTRANGE(""https://docs.google.com/spreadsheets/d/1EjEqG6oc_vmuAWwHnH51YMvSMVUVePUqNn9zZBOmHT8/edit#gid=757525651"",""'Allocation Breakdown'!A4:A187""),IMPORTRANGE(""https://docs.google.com/spreadsheets/d/1EjEqG6oc_vmuAWwHnH51YMvSMVUVePUqN"&amp;"n9zZBOmHT8/edit#gid=757525651"",""'Allocation Breakdown'!p4:p187""))*Q$119"),0)</f>
        <v>0</v>
      </c>
      <c r="R66" s="30">
        <f ca="1">IFERROR(__xludf.DUMMYFUNCTION("XLOOKUP($B66,IMPORTRANGE(""https://docs.google.com/spreadsheets/d/1EjEqG6oc_vmuAWwHnH51YMvSMVUVePUqNn9zZBOmHT8/edit#gid=757525651"",""'Allocation Breakdown'!A4:A187""),IMPORTRANGE(""https://docs.google.com/spreadsheets/d/1EjEqG6oc_vmuAWwHnH51YMvSMVUVePUqN"&amp;"n9zZBOmHT8/edit#gid=757525651"",""'Allocation Breakdown'!q4:q187""))*R$119"),2000)</f>
        <v>2000</v>
      </c>
      <c r="S66" s="30">
        <f ca="1">IFERROR(__xludf.DUMMYFUNCTION("XLOOKUP($B66,IMPORTRANGE(""https://docs.google.com/spreadsheets/d/1EjEqG6oc_vmuAWwHnH51YMvSMVUVePUqNn9zZBOmHT8/edit#gid=757525651"",""'Allocation Breakdown'!A4:A187""),IMPORTRANGE(""https://docs.google.com/spreadsheets/d/1EjEqG6oc_vmuAWwHnH51YMvSMVUVePUqN"&amp;"n9zZBOmHT8/edit#gid=757525651"",""'Allocation Breakdown'!r4:r187""))*S$119"),0)</f>
        <v>0</v>
      </c>
      <c r="T66" s="30">
        <f ca="1">IFERROR(__xludf.DUMMYFUNCTION("XLOOKUP($B66,IMPORTRANGE(""https://docs.google.com/spreadsheets/d/1EjEqG6oc_vmuAWwHnH51YMvSMVUVePUqNn9zZBOmHT8/edit#gid=757525651"",""'Allocation Breakdown'!A4:A187""),IMPORTRANGE(""https://docs.google.com/spreadsheets/d/1EjEqG6oc_vmuAWwHnH51YMvSMVUVePUqN"&amp;"n9zZBOmHT8/edit#gid=757525651"",""'Allocation Breakdown'!t4:t187""))*T$119"),7000)</f>
        <v>7000</v>
      </c>
      <c r="U66" s="30">
        <f ca="1">IFERROR(__xludf.DUMMYFUNCTION("XLOOKUP($B66,IMPORTRANGE(""https://docs.google.com/spreadsheets/d/1EjEqG6oc_vmuAWwHnH51YMvSMVUVePUqNn9zZBOmHT8/edit#gid=757525651"",""'Allocation Breakdown'!A4:A187""),IMPORTRANGE(""https://docs.google.com/spreadsheets/d/1EjEqG6oc_vmuAWwHnH51YMvSMVUVePUqN"&amp;"n9zZBOmHT8/edit#gid=757525651"",""'Allocation Breakdown'!U4:U187""))*U$119"),0)</f>
        <v>0</v>
      </c>
      <c r="V66" s="31">
        <f t="shared" ca="1" si="1"/>
        <v>64090.103303600001</v>
      </c>
      <c r="W66" s="31">
        <f t="shared" ca="1" si="2"/>
        <v>71202.899145265503</v>
      </c>
      <c r="Z66" s="32"/>
      <c r="AA66" s="32"/>
      <c r="AB66" s="32"/>
    </row>
    <row r="67" spans="2:28" ht="15.75" customHeight="1">
      <c r="B67" s="28" t="s">
        <v>162</v>
      </c>
      <c r="C67" s="30">
        <f ca="1">IFERROR(__xludf.DUMMYFUNCTION("XLOOKUP($B67,IMPORTRANGE(""https://docs.google.com/spreadsheets/d/1EjEqG6oc_vmuAWwHnH51YMvSMVUVePUqNn9zZBOmHT8/edit#gid=757525651"",""'Allocation Breakdown'!A4:A187""),IMPORTRANGE(""https://docs.google.com/spreadsheets/d/1EjEqG6oc_vmuAWwHnH51YMvSMVUVePUqN"&amp;"n9zZBOmHT8/edit#gid=757525651"",""'Allocation Breakdown'!V4:V187""))*C$119"),777.38105487)</f>
        <v>777.38105486999996</v>
      </c>
      <c r="D67" s="30">
        <f ca="1">IFERROR(__xludf.DUMMYFUNCTION("XLOOKUP($B67,IMPORTRANGE(""https://docs.google.com/spreadsheets/d/1EjEqG6oc_vmuAWwHnH51YMvSMVUVePUqNn9zZBOmHT8/edit#gid=757525651"",""'Allocation Breakdown'!A4:A187""),IMPORTRANGE(""https://docs.google.com/spreadsheets/d/1EjEqG6oc_vmuAWwHnH51YMvSMVUVePUqN"&amp;"n9zZBOmHT8/edit#gid=757525651"",""'Allocation Breakdown'!I4:I187""))*$D$119"),7112.7958416655)</f>
        <v>7112.7958416655001</v>
      </c>
      <c r="E67" s="30">
        <f ca="1">IFERROR(__xludf.DUMMYFUNCTION("XLOOKUP($B67,IMPORTRANGE(""https://docs.google.com/spreadsheets/d/1EjEqG6oc_vmuAWwHnH51YMvSMVUVePUqNn9zZBOmHT8/edit#gid=757525651"",""'Allocation Breakdown'!A4:A187""),IMPORTRANGE(""https://docs.google.com/spreadsheets/d/1EjEqG6oc_vmuAWwHnH51YMvSMVUVePUqN"&amp;"n9zZBOmHT8/edit#gid=757525651"",""'Allocation Breakdown'!V4:V187""))*E$119"),272.61894513)</f>
        <v>272.61894512999999</v>
      </c>
      <c r="F67" s="30">
        <f t="shared" ca="1" si="0"/>
        <v>7385.4147867954998</v>
      </c>
      <c r="G67" s="30" t="str">
        <f ca="1">IFERROR(__xludf.DUMMYFUNCTION("XLOOKUP($B67,IMPORTRANGE(""https://docs.google.com/spreadsheets/d/1EjEqG6oc_vmuAWwHnH51YMvSMVUVePUqNn9zZBOmHT8/edit#gid=757525651"",""'Allocation Breakdown'!A4:A187""),IMPORTRANGE(""https://docs.google.com/spreadsheets/d/1EjEqG6oc_vmuAWwHnH51YMvSMVUVePUqN"&amp;"n9zZBOmHT8/edit#gid=757525651"",""'Allocation Breakdown'!D4:D187""))"),"")</f>
        <v/>
      </c>
      <c r="H67" s="30" t="str">
        <f ca="1">IFERROR(__xludf.DUMMYFUNCTION("XLOOKUP($B67,IMPORTRANGE(""https://docs.google.com/spreadsheets/d/1EjEqG6oc_vmuAWwHnH51YMvSMVUVePUqNn9zZBOmHT8/edit#gid=757525651"",""'Allocation Breakdown'!A4:A187""),IMPORTRANGE(""https://docs.google.com/spreadsheets/d/1EjEqG6oc_vmuAWwHnH51YMvSMVUVePUqN"&amp;"n9zZBOmHT8/edit#gid=757525651"",""'Allocation Breakdown'!E4:E187""))"),"")</f>
        <v/>
      </c>
      <c r="I67" s="30">
        <f ca="1">IFERROR(__xludf.DUMMYFUNCTION("XLOOKUP($B67,IMPORTRANGE(""https://docs.google.com/spreadsheets/d/1EjEqG6oc_vmuAWwHnH51YMvSMVUVePUqNn9zZBOmHT8/edit#gid=757525651"",""'Allocation Breakdown'!A4:A187""),IMPORTRANGE(""https://docs.google.com/spreadsheets/d/1EjEqG6oc_vmuAWwHnH51YMvSMVUVePUqN"&amp;"n9zZBOmHT8/edit#gid=757525651"",""'Allocation Breakdown'!F4:F187""))"),18000)</f>
        <v>18000</v>
      </c>
      <c r="J67" s="30" t="str">
        <f ca="1">IFERROR(__xludf.DUMMYFUNCTION("XLOOKUP($B67,IMPORTRANGE(""https://docs.google.com/spreadsheets/d/1EjEqG6oc_vmuAWwHnH51YMvSMVUVePUqNn9zZBOmHT8/edit#gid=757525651"",""'Allocation Breakdown'!A4:A187""),IMPORTRANGE(""https://docs.google.com/spreadsheets/d/1EjEqG6oc_vmuAWwHnH51YMvSMVUVePUqN"&amp;"n9zZBOmHT8/edit#gid=757525651"",""'Allocation Breakdown'!G4:G187""))"),"")</f>
        <v/>
      </c>
      <c r="K67" s="30">
        <f ca="1">IFERROR(__xludf.DUMMYFUNCTION("XLOOKUP($B67,IMPORTRANGE(""https://docs.google.com/spreadsheets/d/1EjEqG6oc_vmuAWwHnH51YMvSMVUVePUqNn9zZBOmHT8/edit#gid=757525651"",""'Allocation Breakdown'!A4:A187""),IMPORTRANGE(""https://docs.google.com/spreadsheets/d/1EjEqG6oc_vmuAWwHnH51YMvSMVUVePUqN"&amp;"n9zZBOmHT8/edit#gid=757525651"",""'Allocation Breakdown'!I4:I187""))*K$119"),624.9384636)</f>
        <v>624.93846359999998</v>
      </c>
      <c r="L67" s="30">
        <f ca="1">IFERROR(__xludf.DUMMYFUNCTION("XLOOKUP($B67,IMPORTRANGE(""https://docs.google.com/spreadsheets/d/1EjEqG6oc_vmuAWwHnH51YMvSMVUVePUqNn9zZBOmHT8/edit#gid=757525651"",""'Allocation Breakdown'!A4:A187""),IMPORTRANGE(""https://docs.google.com/spreadsheets/d/1EjEqG6oc_vmuAWwHnH51YMvSMVUVePUqN"&amp;"n9zZBOmHT8/edit#gid=757525651"",""'Allocation Breakdown'!j4:j187""))*L$119"),3701.5422305)</f>
        <v>3701.5422305000002</v>
      </c>
      <c r="M67" s="30">
        <f ca="1">IFERROR(__xludf.DUMMYFUNCTION("XLOOKUP($B67,IMPORTRANGE(""https://docs.google.com/spreadsheets/d/1EjEqG6oc_vmuAWwHnH51YMvSMVUVePUqNn9zZBOmHT8/edit#gid=757525651"",""'Allocation Breakdown'!A4:A187""),IMPORTRANGE(""https://docs.google.com/spreadsheets/d/1EjEqG6oc_vmuAWwHnH51YMvSMVUVePUqN"&amp;"n9zZBOmHT8/edit#gid=757525651"",""'Allocation Breakdown'!K4:K187""))*M$119"),3588.6226095)</f>
        <v>3588.6226095000002</v>
      </c>
      <c r="N67" s="30">
        <f ca="1">IFERROR(__xludf.DUMMYFUNCTION("XLOOKUP($B67,IMPORTRANGE(""https://docs.google.com/spreadsheets/d/1EjEqG6oc_vmuAWwHnH51YMvSMVUVePUqNn9zZBOmHT8/edit#gid=757525651"",""'Allocation Breakdown'!A4:A187""),IMPORTRANGE(""https://docs.google.com/spreadsheets/d/1EjEqG6oc_vmuAWwHnH51YMvSMVUVePUqN"&amp;"n9zZBOmHT8/edit#gid=757525651"",""'Allocation Breakdown'!l4:l187""))*N$119"),951.8600508)</f>
        <v>951.86005079999995</v>
      </c>
      <c r="O67" s="30">
        <f ca="1">IFERROR(__xludf.DUMMYFUNCTION("XLOOKUP($B67,IMPORTRANGE(""https://docs.google.com/spreadsheets/d/1EjEqG6oc_vmuAWwHnH51YMvSMVUVePUqNn9zZBOmHT8/edit#gid=757525651"",""'Allocation Breakdown'!A4:A187""),IMPORTRANGE(""https://docs.google.com/spreadsheets/d/1EjEqG6oc_vmuAWwHnH51YMvSMVUVePUqN"&amp;"n9zZBOmHT8/edit#gid=757525651"",""'Allocation Breakdown'!n4:n187""))*O$119"),0)</f>
        <v>0</v>
      </c>
      <c r="P67" s="30">
        <f ca="1">IFERROR(__xludf.DUMMYFUNCTION("XLOOKUP($B67,IMPORTRANGE(""https://docs.google.com/spreadsheets/d/1EjEqG6oc_vmuAWwHnH51YMvSMVUVePUqNn9zZBOmHT8/edit#gid=757525651"",""'Allocation Breakdown'!A4:A187""),IMPORTRANGE(""https://docs.google.com/spreadsheets/d/1EjEqG6oc_vmuAWwHnH51YMvSMVUVePUqN"&amp;"n9zZBOmHT8/edit#gid=757525651"",""'Allocation Breakdown'!o4:o187""))*P$119"),4400)</f>
        <v>4400</v>
      </c>
      <c r="Q67" s="30">
        <f ca="1">IFERROR(__xludf.DUMMYFUNCTION("XLOOKUP($B67,IMPORTRANGE(""https://docs.google.com/spreadsheets/d/1EjEqG6oc_vmuAWwHnH51YMvSMVUVePUqNn9zZBOmHT8/edit#gid=757525651"",""'Allocation Breakdown'!A4:A187""),IMPORTRANGE(""https://docs.google.com/spreadsheets/d/1EjEqG6oc_vmuAWwHnH51YMvSMVUVePUqN"&amp;"n9zZBOmHT8/edit#gid=757525651"",""'Allocation Breakdown'!p4:p187""))*Q$119"),2000)</f>
        <v>2000</v>
      </c>
      <c r="R67" s="30">
        <f ca="1">IFERROR(__xludf.DUMMYFUNCTION("XLOOKUP($B67,IMPORTRANGE(""https://docs.google.com/spreadsheets/d/1EjEqG6oc_vmuAWwHnH51YMvSMVUVePUqNn9zZBOmHT8/edit#gid=757525651"",""'Allocation Breakdown'!A4:A187""),IMPORTRANGE(""https://docs.google.com/spreadsheets/d/1EjEqG6oc_vmuAWwHnH51YMvSMVUVePUqN"&amp;"n9zZBOmHT8/edit#gid=757525651"",""'Allocation Breakdown'!q4:q187""))*R$119"),2000)</f>
        <v>2000</v>
      </c>
      <c r="S67" s="30">
        <f ca="1">IFERROR(__xludf.DUMMYFUNCTION("XLOOKUP($B67,IMPORTRANGE(""https://docs.google.com/spreadsheets/d/1EjEqG6oc_vmuAWwHnH51YMvSMVUVePUqNn9zZBOmHT8/edit#gid=757525651"",""'Allocation Breakdown'!A4:A187""),IMPORTRANGE(""https://docs.google.com/spreadsheets/d/1EjEqG6oc_vmuAWwHnH51YMvSMVUVePUqN"&amp;"n9zZBOmHT8/edit#gid=757525651"",""'Allocation Breakdown'!r4:r187""))*S$119"),2000)</f>
        <v>2000</v>
      </c>
      <c r="T67" s="30">
        <f ca="1">IFERROR(__xludf.DUMMYFUNCTION("XLOOKUP($B67,IMPORTRANGE(""https://docs.google.com/spreadsheets/d/1EjEqG6oc_vmuAWwHnH51YMvSMVUVePUqNn9zZBOmHT8/edit#gid=757525651"",""'Allocation Breakdown'!A4:A187""),IMPORTRANGE(""https://docs.google.com/spreadsheets/d/1EjEqG6oc_vmuAWwHnH51YMvSMVUVePUqN"&amp;"n9zZBOmHT8/edit#gid=757525651"",""'Allocation Breakdown'!t4:t187""))*T$119"),7000)</f>
        <v>7000</v>
      </c>
      <c r="U67" s="30">
        <f ca="1">IFERROR(__xludf.DUMMYFUNCTION("XLOOKUP($B67,IMPORTRANGE(""https://docs.google.com/spreadsheets/d/1EjEqG6oc_vmuAWwHnH51YMvSMVUVePUqNn9zZBOmHT8/edit#gid=757525651"",""'Allocation Breakdown'!A4:A187""),IMPORTRANGE(""https://docs.google.com/spreadsheets/d/1EjEqG6oc_vmuAWwHnH51YMvSMVUVePUqN"&amp;"n9zZBOmHT8/edit#gid=757525651"",""'Allocation Breakdown'!U4:U187""))*U$119"),11000)</f>
        <v>11000</v>
      </c>
      <c r="V67" s="31">
        <f t="shared" ca="1" si="1"/>
        <v>55266.963354400003</v>
      </c>
      <c r="W67" s="31">
        <f t="shared" ca="1" si="2"/>
        <v>63429.759196065497</v>
      </c>
      <c r="Z67" s="32"/>
      <c r="AA67" s="32"/>
      <c r="AB67" s="32"/>
    </row>
    <row r="68" spans="2:28" ht="15.75" customHeight="1">
      <c r="B68" s="28" t="s">
        <v>163</v>
      </c>
      <c r="C68" s="30">
        <f ca="1">IFERROR(__xludf.DUMMYFUNCTION("XLOOKUP($B68,IMPORTRANGE(""https://docs.google.com/spreadsheets/d/1EjEqG6oc_vmuAWwHnH51YMvSMVUVePUqNn9zZBOmHT8/edit#gid=757525651"",""'Allocation Breakdown'!A4:A187""),IMPORTRANGE(""https://docs.google.com/spreadsheets/d/1EjEqG6oc_vmuAWwHnH51YMvSMVUVePUqN"&amp;"n9zZBOmHT8/edit#gid=757525651"",""'Allocation Breakdown'!V4:V187""))*C$119"),777.38105487)</f>
        <v>777.38105486999996</v>
      </c>
      <c r="D68" s="30">
        <f ca="1">IFERROR(__xludf.DUMMYFUNCTION("XLOOKUP($B68,IMPORTRANGE(""https://docs.google.com/spreadsheets/d/1EjEqG6oc_vmuAWwHnH51YMvSMVUVePUqNn9zZBOmHT8/edit#gid=757525651"",""'Allocation Breakdown'!A4:A187""),IMPORTRANGE(""https://docs.google.com/spreadsheets/d/1EjEqG6oc_vmuAWwHnH51YMvSMVUVePUqN"&amp;"n9zZBOmHT8/edit#gid=757525651"",""'Allocation Breakdown'!I4:I187""))*$D$119"),0)</f>
        <v>0</v>
      </c>
      <c r="E68" s="30">
        <f ca="1">IFERROR(__xludf.DUMMYFUNCTION("XLOOKUP($B68,IMPORTRANGE(""https://docs.google.com/spreadsheets/d/1EjEqG6oc_vmuAWwHnH51YMvSMVUVePUqNn9zZBOmHT8/edit#gid=757525651"",""'Allocation Breakdown'!A4:A187""),IMPORTRANGE(""https://docs.google.com/spreadsheets/d/1EjEqG6oc_vmuAWwHnH51YMvSMVUVePUqN"&amp;"n9zZBOmHT8/edit#gid=757525651"",""'Allocation Breakdown'!V4:V187""))*E$119"),272.61894513)</f>
        <v>272.61894512999999</v>
      </c>
      <c r="F68" s="30">
        <f t="shared" ca="1" si="0"/>
        <v>272.61894512999999</v>
      </c>
      <c r="G68" s="30">
        <f ca="1">IFERROR(__xludf.DUMMYFUNCTION("XLOOKUP($B68,IMPORTRANGE(""https://docs.google.com/spreadsheets/d/1EjEqG6oc_vmuAWwHnH51YMvSMVUVePUqNn9zZBOmHT8/edit#gid=757525651"",""'Allocation Breakdown'!A4:A187""),IMPORTRANGE(""https://docs.google.com/spreadsheets/d/1EjEqG6oc_vmuAWwHnH51YMvSMVUVePUqN"&amp;"n9zZBOmHT8/edit#gid=757525651"",""'Allocation Breakdown'!D4:D187""))"),5000)</f>
        <v>5000</v>
      </c>
      <c r="H68" s="30">
        <f ca="1">IFERROR(__xludf.DUMMYFUNCTION("XLOOKUP($B68,IMPORTRANGE(""https://docs.google.com/spreadsheets/d/1EjEqG6oc_vmuAWwHnH51YMvSMVUVePUqNn9zZBOmHT8/edit#gid=757525651"",""'Allocation Breakdown'!A4:A187""),IMPORTRANGE(""https://docs.google.com/spreadsheets/d/1EjEqG6oc_vmuAWwHnH51YMvSMVUVePUqN"&amp;"n9zZBOmHT8/edit#gid=757525651"",""'Allocation Breakdown'!E4:E187""))"),100000)</f>
        <v>100000</v>
      </c>
      <c r="I68" s="30" t="str">
        <f ca="1">IFERROR(__xludf.DUMMYFUNCTION("XLOOKUP($B68,IMPORTRANGE(""https://docs.google.com/spreadsheets/d/1EjEqG6oc_vmuAWwHnH51YMvSMVUVePUqNn9zZBOmHT8/edit#gid=757525651"",""'Allocation Breakdown'!A4:A187""),IMPORTRANGE(""https://docs.google.com/spreadsheets/d/1EjEqG6oc_vmuAWwHnH51YMvSMVUVePUqN"&amp;"n9zZBOmHT8/edit#gid=757525651"",""'Allocation Breakdown'!F4:F187""))"),"")</f>
        <v/>
      </c>
      <c r="J68" s="30" t="str">
        <f ca="1">IFERROR(__xludf.DUMMYFUNCTION("XLOOKUP($B68,IMPORTRANGE(""https://docs.google.com/spreadsheets/d/1EjEqG6oc_vmuAWwHnH51YMvSMVUVePUqNn9zZBOmHT8/edit#gid=757525651"",""'Allocation Breakdown'!A4:A187""),IMPORTRANGE(""https://docs.google.com/spreadsheets/d/1EjEqG6oc_vmuAWwHnH51YMvSMVUVePUqN"&amp;"n9zZBOmHT8/edit#gid=757525651"",""'Allocation Breakdown'!G4:G187""))"),"")</f>
        <v/>
      </c>
      <c r="K68" s="30">
        <f ca="1">IFERROR(__xludf.DUMMYFUNCTION("XLOOKUP($B68,IMPORTRANGE(""https://docs.google.com/spreadsheets/d/1EjEqG6oc_vmuAWwHnH51YMvSMVUVePUqNn9zZBOmHT8/edit#gid=757525651"",""'Allocation Breakdown'!A4:A187""),IMPORTRANGE(""https://docs.google.com/spreadsheets/d/1EjEqG6oc_vmuAWwHnH51YMvSMVUVePUqN"&amp;"n9zZBOmHT8/edit#gid=757525651"",""'Allocation Breakdown'!I4:I187""))*K$119"),0)</f>
        <v>0</v>
      </c>
      <c r="L68" s="30">
        <f ca="1">IFERROR(__xludf.DUMMYFUNCTION("XLOOKUP($B68,IMPORTRANGE(""https://docs.google.com/spreadsheets/d/1EjEqG6oc_vmuAWwHnH51YMvSMVUVePUqNn9zZBOmHT8/edit#gid=757525651"",""'Allocation Breakdown'!A4:A187""),IMPORTRANGE(""https://docs.google.com/spreadsheets/d/1EjEqG6oc_vmuAWwHnH51YMvSMVUVePUqN"&amp;"n9zZBOmHT8/edit#gid=757525651"",""'Allocation Breakdown'!j4:j187""))*L$119"),0)</f>
        <v>0</v>
      </c>
      <c r="M68" s="30">
        <f ca="1">IFERROR(__xludf.DUMMYFUNCTION("XLOOKUP($B68,IMPORTRANGE(""https://docs.google.com/spreadsheets/d/1EjEqG6oc_vmuAWwHnH51YMvSMVUVePUqNn9zZBOmHT8/edit#gid=757525651"",""'Allocation Breakdown'!A4:A187""),IMPORTRANGE(""https://docs.google.com/spreadsheets/d/1EjEqG6oc_vmuAWwHnH51YMvSMVUVePUqN"&amp;"n9zZBOmHT8/edit#gid=757525651"",""'Allocation Breakdown'!K4:K187""))*M$119"),0)</f>
        <v>0</v>
      </c>
      <c r="N68" s="30">
        <f ca="1">IFERROR(__xludf.DUMMYFUNCTION("XLOOKUP($B68,IMPORTRANGE(""https://docs.google.com/spreadsheets/d/1EjEqG6oc_vmuAWwHnH51YMvSMVUVePUqNn9zZBOmHT8/edit#gid=757525651"",""'Allocation Breakdown'!A4:A187""),IMPORTRANGE(""https://docs.google.com/spreadsheets/d/1EjEqG6oc_vmuAWwHnH51YMvSMVUVePUqN"&amp;"n9zZBOmHT8/edit#gid=757525651"",""'Allocation Breakdown'!l4:l187""))*N$119"),951.8600508)</f>
        <v>951.86005079999995</v>
      </c>
      <c r="O68" s="30">
        <f ca="1">IFERROR(__xludf.DUMMYFUNCTION("XLOOKUP($B68,IMPORTRANGE(""https://docs.google.com/spreadsheets/d/1EjEqG6oc_vmuAWwHnH51YMvSMVUVePUqNn9zZBOmHT8/edit#gid=757525651"",""'Allocation Breakdown'!A4:A187""),IMPORTRANGE(""https://docs.google.com/spreadsheets/d/1EjEqG6oc_vmuAWwHnH51YMvSMVUVePUqN"&amp;"n9zZBOmHT8/edit#gid=757525651"",""'Allocation Breakdown'!n4:n187""))*O$119"),0)</f>
        <v>0</v>
      </c>
      <c r="P68" s="30">
        <f ca="1">IFERROR(__xludf.DUMMYFUNCTION("XLOOKUP($B68,IMPORTRANGE(""https://docs.google.com/spreadsheets/d/1EjEqG6oc_vmuAWwHnH51YMvSMVUVePUqNn9zZBOmHT8/edit#gid=757525651"",""'Allocation Breakdown'!A4:A187""),IMPORTRANGE(""https://docs.google.com/spreadsheets/d/1EjEqG6oc_vmuAWwHnH51YMvSMVUVePUqN"&amp;"n9zZBOmHT8/edit#gid=757525651"",""'Allocation Breakdown'!o4:o187""))*P$119"),2200)</f>
        <v>2200</v>
      </c>
      <c r="Q68" s="30">
        <f ca="1">IFERROR(__xludf.DUMMYFUNCTION("XLOOKUP($B68,IMPORTRANGE(""https://docs.google.com/spreadsheets/d/1EjEqG6oc_vmuAWwHnH51YMvSMVUVePUqNn9zZBOmHT8/edit#gid=757525651"",""'Allocation Breakdown'!A4:A187""),IMPORTRANGE(""https://docs.google.com/spreadsheets/d/1EjEqG6oc_vmuAWwHnH51YMvSMVUVePUqN"&amp;"n9zZBOmHT8/edit#gid=757525651"",""'Allocation Breakdown'!p4:p187""))*Q$119"),0)</f>
        <v>0</v>
      </c>
      <c r="R68" s="30">
        <f ca="1">IFERROR(__xludf.DUMMYFUNCTION("XLOOKUP($B68,IMPORTRANGE(""https://docs.google.com/spreadsheets/d/1EjEqG6oc_vmuAWwHnH51YMvSMVUVePUqNn9zZBOmHT8/edit#gid=757525651"",""'Allocation Breakdown'!A4:A187""),IMPORTRANGE(""https://docs.google.com/spreadsheets/d/1EjEqG6oc_vmuAWwHnH51YMvSMVUVePUqN"&amp;"n9zZBOmHT8/edit#gid=757525651"",""'Allocation Breakdown'!q4:q187""))*R$119"),2000)</f>
        <v>2000</v>
      </c>
      <c r="S68" s="30">
        <f ca="1">IFERROR(__xludf.DUMMYFUNCTION("XLOOKUP($B68,IMPORTRANGE(""https://docs.google.com/spreadsheets/d/1EjEqG6oc_vmuAWwHnH51YMvSMVUVePUqNn9zZBOmHT8/edit#gid=757525651"",""'Allocation Breakdown'!A4:A187""),IMPORTRANGE(""https://docs.google.com/spreadsheets/d/1EjEqG6oc_vmuAWwHnH51YMvSMVUVePUqN"&amp;"n9zZBOmHT8/edit#gid=757525651"",""'Allocation Breakdown'!r4:r187""))*S$119"),0)</f>
        <v>0</v>
      </c>
      <c r="T68" s="30">
        <f ca="1">IFERROR(__xludf.DUMMYFUNCTION("XLOOKUP($B68,IMPORTRANGE(""https://docs.google.com/spreadsheets/d/1EjEqG6oc_vmuAWwHnH51YMvSMVUVePUqNn9zZBOmHT8/edit#gid=757525651"",""'Allocation Breakdown'!A4:A187""),IMPORTRANGE(""https://docs.google.com/spreadsheets/d/1EjEqG6oc_vmuAWwHnH51YMvSMVUVePUqN"&amp;"n9zZBOmHT8/edit#gid=757525651"",""'Allocation Breakdown'!t4:t187""))*T$119"),7000)</f>
        <v>7000</v>
      </c>
      <c r="U68" s="30">
        <f ca="1">IFERROR(__xludf.DUMMYFUNCTION("XLOOKUP($B68,IMPORTRANGE(""https://docs.google.com/spreadsheets/d/1EjEqG6oc_vmuAWwHnH51YMvSMVUVePUqNn9zZBOmHT8/edit#gid=757525651"",""'Allocation Breakdown'!A4:A187""),IMPORTRANGE(""https://docs.google.com/spreadsheets/d/1EjEqG6oc_vmuAWwHnH51YMvSMVUVePUqN"&amp;"n9zZBOmHT8/edit#gid=757525651"",""'Allocation Breakdown'!U4:U187""))*U$119"),0)</f>
        <v>0</v>
      </c>
      <c r="V68" s="31">
        <f t="shared" ca="1" si="1"/>
        <v>117151.86005079999</v>
      </c>
      <c r="W68" s="31">
        <f t="shared" ca="1" si="2"/>
        <v>118201.86005079999</v>
      </c>
      <c r="Z68" s="32"/>
      <c r="AA68" s="32"/>
      <c r="AB68" s="32"/>
    </row>
    <row r="69" spans="2:28" ht="15.75" customHeight="1">
      <c r="B69" s="28" t="s">
        <v>164</v>
      </c>
      <c r="C69" s="30">
        <f ca="1">IFERROR(__xludf.DUMMYFUNCTION("XLOOKUP($B69,IMPORTRANGE(""https://docs.google.com/spreadsheets/d/1EjEqG6oc_vmuAWwHnH51YMvSMVUVePUqNn9zZBOmHT8/edit#gid=757525651"",""'Allocation Breakdown'!A4:A187""),IMPORTRANGE(""https://docs.google.com/spreadsheets/d/1EjEqG6oc_vmuAWwHnH51YMvSMVUVePUqN"&amp;"n9zZBOmHT8/edit#gid=757525651"",""'Allocation Breakdown'!V4:V187""))*C$119"),0)</f>
        <v>0</v>
      </c>
      <c r="D69" s="30">
        <f ca="1">IFERROR(__xludf.DUMMYFUNCTION("XLOOKUP($B69,IMPORTRANGE(""https://docs.google.com/spreadsheets/d/1EjEqG6oc_vmuAWwHnH51YMvSMVUVePUqNn9zZBOmHT8/edit#gid=757525651"",""'Allocation Breakdown'!A4:A187""),IMPORTRANGE(""https://docs.google.com/spreadsheets/d/1EjEqG6oc_vmuAWwHnH51YMvSMVUVePUqN"&amp;"n9zZBOmHT8/edit#gid=757525651"",""'Allocation Breakdown'!I4:I187""))*$D$119"),7112.7958416655)</f>
        <v>7112.7958416655001</v>
      </c>
      <c r="E69" s="30">
        <f ca="1">IFERROR(__xludf.DUMMYFUNCTION("XLOOKUP($B69,IMPORTRANGE(""https://docs.google.com/spreadsheets/d/1EjEqG6oc_vmuAWwHnH51YMvSMVUVePUqNn9zZBOmHT8/edit#gid=757525651"",""'Allocation Breakdown'!A4:A187""),IMPORTRANGE(""https://docs.google.com/spreadsheets/d/1EjEqG6oc_vmuAWwHnH51YMvSMVUVePUqN"&amp;"n9zZBOmHT8/edit#gid=757525651"",""'Allocation Breakdown'!V4:V187""))*E$119"),0)</f>
        <v>0</v>
      </c>
      <c r="F69" s="30">
        <f t="shared" ca="1" si="0"/>
        <v>7112.7958416655001</v>
      </c>
      <c r="G69" s="30" t="str">
        <f ca="1">IFERROR(__xludf.DUMMYFUNCTION("XLOOKUP($B69,IMPORTRANGE(""https://docs.google.com/spreadsheets/d/1EjEqG6oc_vmuAWwHnH51YMvSMVUVePUqNn9zZBOmHT8/edit#gid=757525651"",""'Allocation Breakdown'!A4:A187""),IMPORTRANGE(""https://docs.google.com/spreadsheets/d/1EjEqG6oc_vmuAWwHnH51YMvSMVUVePUqN"&amp;"n9zZBOmHT8/edit#gid=757525651"",""'Allocation Breakdown'!D4:D187""))"),"")</f>
        <v/>
      </c>
      <c r="H69" s="30" t="str">
        <f ca="1">IFERROR(__xludf.DUMMYFUNCTION("XLOOKUP($B69,IMPORTRANGE(""https://docs.google.com/spreadsheets/d/1EjEqG6oc_vmuAWwHnH51YMvSMVUVePUqNn9zZBOmHT8/edit#gid=757525651"",""'Allocation Breakdown'!A4:A187""),IMPORTRANGE(""https://docs.google.com/spreadsheets/d/1EjEqG6oc_vmuAWwHnH51YMvSMVUVePUqN"&amp;"n9zZBOmHT8/edit#gid=757525651"",""'Allocation Breakdown'!E4:E187""))"),"")</f>
        <v/>
      </c>
      <c r="I69" s="30">
        <f ca="1">IFERROR(__xludf.DUMMYFUNCTION("XLOOKUP($B69,IMPORTRANGE(""https://docs.google.com/spreadsheets/d/1EjEqG6oc_vmuAWwHnH51YMvSMVUVePUqNn9zZBOmHT8/edit#gid=757525651"",""'Allocation Breakdown'!A4:A187""),IMPORTRANGE(""https://docs.google.com/spreadsheets/d/1EjEqG6oc_vmuAWwHnH51YMvSMVUVePUqN"&amp;"n9zZBOmHT8/edit#gid=757525651"",""'Allocation Breakdown'!F4:F187""))"),18000)</f>
        <v>18000</v>
      </c>
      <c r="J69" s="30" t="str">
        <f ca="1">IFERROR(__xludf.DUMMYFUNCTION("XLOOKUP($B69,IMPORTRANGE(""https://docs.google.com/spreadsheets/d/1EjEqG6oc_vmuAWwHnH51YMvSMVUVePUqNn9zZBOmHT8/edit#gid=757525651"",""'Allocation Breakdown'!A4:A187""),IMPORTRANGE(""https://docs.google.com/spreadsheets/d/1EjEqG6oc_vmuAWwHnH51YMvSMVUVePUqN"&amp;"n9zZBOmHT8/edit#gid=757525651"",""'Allocation Breakdown'!G4:G187""))"),"")</f>
        <v/>
      </c>
      <c r="K69" s="30">
        <f ca="1">IFERROR(__xludf.DUMMYFUNCTION("XLOOKUP($B69,IMPORTRANGE(""https://docs.google.com/spreadsheets/d/1EjEqG6oc_vmuAWwHnH51YMvSMVUVePUqNn9zZBOmHT8/edit#gid=757525651"",""'Allocation Breakdown'!A4:A187""),IMPORTRANGE(""https://docs.google.com/spreadsheets/d/1EjEqG6oc_vmuAWwHnH51YMvSMVUVePUqN"&amp;"n9zZBOmHT8/edit#gid=757525651"",""'Allocation Breakdown'!I4:I187""))*K$119"),624.9384636)</f>
        <v>624.93846359999998</v>
      </c>
      <c r="L69" s="30">
        <f ca="1">IFERROR(__xludf.DUMMYFUNCTION("XLOOKUP($B69,IMPORTRANGE(""https://docs.google.com/spreadsheets/d/1EjEqG6oc_vmuAWwHnH51YMvSMVUVePUqNn9zZBOmHT8/edit#gid=757525651"",""'Allocation Breakdown'!A4:A187""),IMPORTRANGE(""https://docs.google.com/spreadsheets/d/1EjEqG6oc_vmuAWwHnH51YMvSMVUVePUqN"&amp;"n9zZBOmHT8/edit#gid=757525651"",""'Allocation Breakdown'!j4:j187""))*L$119"),3701.5422305)</f>
        <v>3701.5422305000002</v>
      </c>
      <c r="M69" s="30">
        <f ca="1">IFERROR(__xludf.DUMMYFUNCTION("XLOOKUP($B69,IMPORTRANGE(""https://docs.google.com/spreadsheets/d/1EjEqG6oc_vmuAWwHnH51YMvSMVUVePUqNn9zZBOmHT8/edit#gid=757525651"",""'Allocation Breakdown'!A4:A187""),IMPORTRANGE(""https://docs.google.com/spreadsheets/d/1EjEqG6oc_vmuAWwHnH51YMvSMVUVePUqN"&amp;"n9zZBOmHT8/edit#gid=757525651"",""'Allocation Breakdown'!K4:K187""))*M$119"),3588.6226095)</f>
        <v>3588.6226095000002</v>
      </c>
      <c r="N69" s="30">
        <f ca="1">IFERROR(__xludf.DUMMYFUNCTION("XLOOKUP($B69,IMPORTRANGE(""https://docs.google.com/spreadsheets/d/1EjEqG6oc_vmuAWwHnH51YMvSMVUVePUqNn9zZBOmHT8/edit#gid=757525651"",""'Allocation Breakdown'!A4:A187""),IMPORTRANGE(""https://docs.google.com/spreadsheets/d/1EjEqG6oc_vmuAWwHnH51YMvSMVUVePUqN"&amp;"n9zZBOmHT8/edit#gid=757525651"",""'Allocation Breakdown'!l4:l187""))*N$119"),951.8600508)</f>
        <v>951.86005079999995</v>
      </c>
      <c r="O69" s="30">
        <f ca="1">IFERROR(__xludf.DUMMYFUNCTION("XLOOKUP($B69,IMPORTRANGE(""https://docs.google.com/spreadsheets/d/1EjEqG6oc_vmuAWwHnH51YMvSMVUVePUqNn9zZBOmHT8/edit#gid=757525651"",""'Allocation Breakdown'!A4:A187""),IMPORTRANGE(""https://docs.google.com/spreadsheets/d/1EjEqG6oc_vmuAWwHnH51YMvSMVUVePUqN"&amp;"n9zZBOmHT8/edit#gid=757525651"",""'Allocation Breakdown'!n4:n187""))*O$119"),0)</f>
        <v>0</v>
      </c>
      <c r="P69" s="30">
        <f ca="1">IFERROR(__xludf.DUMMYFUNCTION("XLOOKUP($B69,IMPORTRANGE(""https://docs.google.com/spreadsheets/d/1EjEqG6oc_vmuAWwHnH51YMvSMVUVePUqNn9zZBOmHT8/edit#gid=757525651"",""'Allocation Breakdown'!A4:A187""),IMPORTRANGE(""https://docs.google.com/spreadsheets/d/1EjEqG6oc_vmuAWwHnH51YMvSMVUVePUqN"&amp;"n9zZBOmHT8/edit#gid=757525651"",""'Allocation Breakdown'!o4:o187""))*P$119"),2200)</f>
        <v>2200</v>
      </c>
      <c r="Q69" s="30">
        <f ca="1">IFERROR(__xludf.DUMMYFUNCTION("XLOOKUP($B69,IMPORTRANGE(""https://docs.google.com/spreadsheets/d/1EjEqG6oc_vmuAWwHnH51YMvSMVUVePUqNn9zZBOmHT8/edit#gid=757525651"",""'Allocation Breakdown'!A4:A187""),IMPORTRANGE(""https://docs.google.com/spreadsheets/d/1EjEqG6oc_vmuAWwHnH51YMvSMVUVePUqN"&amp;"n9zZBOmHT8/edit#gid=757525651"",""'Allocation Breakdown'!p4:p187""))*Q$119"),2000)</f>
        <v>2000</v>
      </c>
      <c r="R69" s="30">
        <f ca="1">IFERROR(__xludf.DUMMYFUNCTION("XLOOKUP($B69,IMPORTRANGE(""https://docs.google.com/spreadsheets/d/1EjEqG6oc_vmuAWwHnH51YMvSMVUVePUqNn9zZBOmHT8/edit#gid=757525651"",""'Allocation Breakdown'!A4:A187""),IMPORTRANGE(""https://docs.google.com/spreadsheets/d/1EjEqG6oc_vmuAWwHnH51YMvSMVUVePUqN"&amp;"n9zZBOmHT8/edit#gid=757525651"",""'Allocation Breakdown'!q4:q187""))*R$119"),2000)</f>
        <v>2000</v>
      </c>
      <c r="S69" s="30">
        <f ca="1">IFERROR(__xludf.DUMMYFUNCTION("XLOOKUP($B69,IMPORTRANGE(""https://docs.google.com/spreadsheets/d/1EjEqG6oc_vmuAWwHnH51YMvSMVUVePUqNn9zZBOmHT8/edit#gid=757525651"",""'Allocation Breakdown'!A4:A187""),IMPORTRANGE(""https://docs.google.com/spreadsheets/d/1EjEqG6oc_vmuAWwHnH51YMvSMVUVePUqN"&amp;"n9zZBOmHT8/edit#gid=757525651"",""'Allocation Breakdown'!r4:r187""))*S$119"),2000)</f>
        <v>2000</v>
      </c>
      <c r="T69" s="30">
        <f ca="1">IFERROR(__xludf.DUMMYFUNCTION("XLOOKUP($B69,IMPORTRANGE(""https://docs.google.com/spreadsheets/d/1EjEqG6oc_vmuAWwHnH51YMvSMVUVePUqNn9zZBOmHT8/edit#gid=757525651"",""'Allocation Breakdown'!A4:A187""),IMPORTRANGE(""https://docs.google.com/spreadsheets/d/1EjEqG6oc_vmuAWwHnH51YMvSMVUVePUqN"&amp;"n9zZBOmHT8/edit#gid=757525651"",""'Allocation Breakdown'!t4:t187""))*T$119"),7000)</f>
        <v>7000</v>
      </c>
      <c r="U69" s="30">
        <f ca="1">IFERROR(__xludf.DUMMYFUNCTION("XLOOKUP($B69,IMPORTRANGE(""https://docs.google.com/spreadsheets/d/1EjEqG6oc_vmuAWwHnH51YMvSMVUVePUqNn9zZBOmHT8/edit#gid=757525651"",""'Allocation Breakdown'!A4:A187""),IMPORTRANGE(""https://docs.google.com/spreadsheets/d/1EjEqG6oc_vmuAWwHnH51YMvSMVUVePUqN"&amp;"n9zZBOmHT8/edit#gid=757525651"",""'Allocation Breakdown'!U4:U187""))*U$119"),0)</f>
        <v>0</v>
      </c>
      <c r="V69" s="31">
        <f t="shared" ca="1" si="1"/>
        <v>42066.963354400003</v>
      </c>
      <c r="W69" s="31">
        <f t="shared" ca="1" si="2"/>
        <v>49179.759196065505</v>
      </c>
      <c r="Z69" s="32"/>
      <c r="AA69" s="32"/>
      <c r="AB69" s="32"/>
    </row>
    <row r="70" spans="2:28" ht="15.75" customHeight="1">
      <c r="B70" s="28" t="s">
        <v>165</v>
      </c>
      <c r="C70" s="30">
        <f ca="1">IFERROR(__xludf.DUMMYFUNCTION("XLOOKUP($B70,IMPORTRANGE(""https://docs.google.com/spreadsheets/d/1EjEqG6oc_vmuAWwHnH51YMvSMVUVePUqNn9zZBOmHT8/edit#gid=757525651"",""'Allocation Breakdown'!A4:A187""),IMPORTRANGE(""https://docs.google.com/spreadsheets/d/1EjEqG6oc_vmuAWwHnH51YMvSMVUVePUqN"&amp;"n9zZBOmHT8/edit#gid=757525651"",""'Allocation Breakdown'!V4:V187""))*C$119"),0)</f>
        <v>0</v>
      </c>
      <c r="D70" s="30">
        <f ca="1">IFERROR(__xludf.DUMMYFUNCTION("XLOOKUP($B70,IMPORTRANGE(""https://docs.google.com/spreadsheets/d/1EjEqG6oc_vmuAWwHnH51YMvSMVUVePUqNn9zZBOmHT8/edit#gid=757525651"",""'Allocation Breakdown'!A4:A187""),IMPORTRANGE(""https://docs.google.com/spreadsheets/d/1EjEqG6oc_vmuAWwHnH51YMvSMVUVePUqN"&amp;"n9zZBOmHT8/edit#gid=757525651"",""'Allocation Breakdown'!I4:I187""))*$D$119"),0)</f>
        <v>0</v>
      </c>
      <c r="E70" s="30">
        <f ca="1">IFERROR(__xludf.DUMMYFUNCTION("XLOOKUP($B70,IMPORTRANGE(""https://docs.google.com/spreadsheets/d/1EjEqG6oc_vmuAWwHnH51YMvSMVUVePUqNn9zZBOmHT8/edit#gid=757525651"",""'Allocation Breakdown'!A4:A187""),IMPORTRANGE(""https://docs.google.com/spreadsheets/d/1EjEqG6oc_vmuAWwHnH51YMvSMVUVePUqN"&amp;"n9zZBOmHT8/edit#gid=757525651"",""'Allocation Breakdown'!V4:V187""))*E$119"),0)</f>
        <v>0</v>
      </c>
      <c r="F70" s="30">
        <f t="shared" ca="1" si="0"/>
        <v>0</v>
      </c>
      <c r="G70" s="30" t="str">
        <f ca="1">IFERROR(__xludf.DUMMYFUNCTION("XLOOKUP($B70,IMPORTRANGE(""https://docs.google.com/spreadsheets/d/1EjEqG6oc_vmuAWwHnH51YMvSMVUVePUqNn9zZBOmHT8/edit#gid=757525651"",""'Allocation Breakdown'!A4:A187""),IMPORTRANGE(""https://docs.google.com/spreadsheets/d/1EjEqG6oc_vmuAWwHnH51YMvSMVUVePUqN"&amp;"n9zZBOmHT8/edit#gid=757525651"",""'Allocation Breakdown'!D4:D187""))"),"")</f>
        <v/>
      </c>
      <c r="H70" s="30">
        <f ca="1">IFERROR(__xludf.DUMMYFUNCTION("XLOOKUP($B70,IMPORTRANGE(""https://docs.google.com/spreadsheets/d/1EjEqG6oc_vmuAWwHnH51YMvSMVUVePUqNn9zZBOmHT8/edit#gid=757525651"",""'Allocation Breakdown'!A4:A187""),IMPORTRANGE(""https://docs.google.com/spreadsheets/d/1EjEqG6oc_vmuAWwHnH51YMvSMVUVePUqN"&amp;"n9zZBOmHT8/edit#gid=757525651"",""'Allocation Breakdown'!E4:E187""))"),100000)</f>
        <v>100000</v>
      </c>
      <c r="I70" s="30" t="str">
        <f ca="1">IFERROR(__xludf.DUMMYFUNCTION("XLOOKUP($B70,IMPORTRANGE(""https://docs.google.com/spreadsheets/d/1EjEqG6oc_vmuAWwHnH51YMvSMVUVePUqNn9zZBOmHT8/edit#gid=757525651"",""'Allocation Breakdown'!A4:A187""),IMPORTRANGE(""https://docs.google.com/spreadsheets/d/1EjEqG6oc_vmuAWwHnH51YMvSMVUVePUqN"&amp;"n9zZBOmHT8/edit#gid=757525651"",""'Allocation Breakdown'!F4:F187""))"),"")</f>
        <v/>
      </c>
      <c r="J70" s="30">
        <f ca="1">IFERROR(__xludf.DUMMYFUNCTION("XLOOKUP($B70,IMPORTRANGE(""https://docs.google.com/spreadsheets/d/1EjEqG6oc_vmuAWwHnH51YMvSMVUVePUqNn9zZBOmHT8/edit#gid=757525651"",""'Allocation Breakdown'!A4:A187""),IMPORTRANGE(""https://docs.google.com/spreadsheets/d/1EjEqG6oc_vmuAWwHnH51YMvSMVUVePUqN"&amp;"n9zZBOmHT8/edit#gid=757525651"",""'Allocation Breakdown'!G4:G187""))"),9175)</f>
        <v>9175</v>
      </c>
      <c r="K70" s="30">
        <f ca="1">IFERROR(__xludf.DUMMYFUNCTION("XLOOKUP($B70,IMPORTRANGE(""https://docs.google.com/spreadsheets/d/1EjEqG6oc_vmuAWwHnH51YMvSMVUVePUqNn9zZBOmHT8/edit#gid=757525651"",""'Allocation Breakdown'!A4:A187""),IMPORTRANGE(""https://docs.google.com/spreadsheets/d/1EjEqG6oc_vmuAWwHnH51YMvSMVUVePUqN"&amp;"n9zZBOmHT8/edit#gid=757525651"",""'Allocation Breakdown'!I4:I187""))*K$119"),0)</f>
        <v>0</v>
      </c>
      <c r="L70" s="30">
        <f ca="1">IFERROR(__xludf.DUMMYFUNCTION("XLOOKUP($B70,IMPORTRANGE(""https://docs.google.com/spreadsheets/d/1EjEqG6oc_vmuAWwHnH51YMvSMVUVePUqNn9zZBOmHT8/edit#gid=757525651"",""'Allocation Breakdown'!A4:A187""),IMPORTRANGE(""https://docs.google.com/spreadsheets/d/1EjEqG6oc_vmuAWwHnH51YMvSMVUVePUqN"&amp;"n9zZBOmHT8/edit#gid=757525651"",""'Allocation Breakdown'!j4:j187""))*L$119"),0)</f>
        <v>0</v>
      </c>
      <c r="M70" s="30">
        <f ca="1">IFERROR(__xludf.DUMMYFUNCTION("XLOOKUP($B70,IMPORTRANGE(""https://docs.google.com/spreadsheets/d/1EjEqG6oc_vmuAWwHnH51YMvSMVUVePUqNn9zZBOmHT8/edit#gid=757525651"",""'Allocation Breakdown'!A4:A187""),IMPORTRANGE(""https://docs.google.com/spreadsheets/d/1EjEqG6oc_vmuAWwHnH51YMvSMVUVePUqN"&amp;"n9zZBOmHT8/edit#gid=757525651"",""'Allocation Breakdown'!K4:K187""))*M$119"),0)</f>
        <v>0</v>
      </c>
      <c r="N70" s="30">
        <f ca="1">IFERROR(__xludf.DUMMYFUNCTION("XLOOKUP($B70,IMPORTRANGE(""https://docs.google.com/spreadsheets/d/1EjEqG6oc_vmuAWwHnH51YMvSMVUVePUqNn9zZBOmHT8/edit#gid=757525651"",""'Allocation Breakdown'!A4:A187""),IMPORTRANGE(""https://docs.google.com/spreadsheets/d/1EjEqG6oc_vmuAWwHnH51YMvSMVUVePUqN"&amp;"n9zZBOmHT8/edit#gid=757525651"",""'Allocation Breakdown'!l4:l187""))*N$119"),0)</f>
        <v>0</v>
      </c>
      <c r="O70" s="30">
        <f ca="1">IFERROR(__xludf.DUMMYFUNCTION("XLOOKUP($B70,IMPORTRANGE(""https://docs.google.com/spreadsheets/d/1EjEqG6oc_vmuAWwHnH51YMvSMVUVePUqNn9zZBOmHT8/edit#gid=757525651"",""'Allocation Breakdown'!A4:A187""),IMPORTRANGE(""https://docs.google.com/spreadsheets/d/1EjEqG6oc_vmuAWwHnH51YMvSMVUVePUqN"&amp;"n9zZBOmHT8/edit#gid=757525651"",""'Allocation Breakdown'!n4:n187""))*O$119"),0)</f>
        <v>0</v>
      </c>
      <c r="P70" s="30">
        <f ca="1">IFERROR(__xludf.DUMMYFUNCTION("XLOOKUP($B70,IMPORTRANGE(""https://docs.google.com/spreadsheets/d/1EjEqG6oc_vmuAWwHnH51YMvSMVUVePUqNn9zZBOmHT8/edit#gid=757525651"",""'Allocation Breakdown'!A4:A187""),IMPORTRANGE(""https://docs.google.com/spreadsheets/d/1EjEqG6oc_vmuAWwHnH51YMvSMVUVePUqN"&amp;"n9zZBOmHT8/edit#gid=757525651"",""'Allocation Breakdown'!o4:o187""))*P$119"),0)</f>
        <v>0</v>
      </c>
      <c r="Q70" s="30">
        <f ca="1">IFERROR(__xludf.DUMMYFUNCTION("XLOOKUP($B70,IMPORTRANGE(""https://docs.google.com/spreadsheets/d/1EjEqG6oc_vmuAWwHnH51YMvSMVUVePUqNn9zZBOmHT8/edit#gid=757525651"",""'Allocation Breakdown'!A4:A187""),IMPORTRANGE(""https://docs.google.com/spreadsheets/d/1EjEqG6oc_vmuAWwHnH51YMvSMVUVePUqN"&amp;"n9zZBOmHT8/edit#gid=757525651"",""'Allocation Breakdown'!p4:p187""))*Q$119"),0)</f>
        <v>0</v>
      </c>
      <c r="R70" s="30">
        <f ca="1">IFERROR(__xludf.DUMMYFUNCTION("XLOOKUP($B70,IMPORTRANGE(""https://docs.google.com/spreadsheets/d/1EjEqG6oc_vmuAWwHnH51YMvSMVUVePUqNn9zZBOmHT8/edit#gid=757525651"",""'Allocation Breakdown'!A4:A187""),IMPORTRANGE(""https://docs.google.com/spreadsheets/d/1EjEqG6oc_vmuAWwHnH51YMvSMVUVePUqN"&amp;"n9zZBOmHT8/edit#gid=757525651"",""'Allocation Breakdown'!q4:q187""))*R$119"),0)</f>
        <v>0</v>
      </c>
      <c r="S70" s="30">
        <f ca="1">IFERROR(__xludf.DUMMYFUNCTION("XLOOKUP($B70,IMPORTRANGE(""https://docs.google.com/spreadsheets/d/1EjEqG6oc_vmuAWwHnH51YMvSMVUVePUqNn9zZBOmHT8/edit#gid=757525651"",""'Allocation Breakdown'!A4:A187""),IMPORTRANGE(""https://docs.google.com/spreadsheets/d/1EjEqG6oc_vmuAWwHnH51YMvSMVUVePUqN"&amp;"n9zZBOmHT8/edit#gid=757525651"",""'Allocation Breakdown'!r4:r187""))*S$119"),0)</f>
        <v>0</v>
      </c>
      <c r="T70" s="30">
        <f ca="1">IFERROR(__xludf.DUMMYFUNCTION("XLOOKUP($B70,IMPORTRANGE(""https://docs.google.com/spreadsheets/d/1EjEqG6oc_vmuAWwHnH51YMvSMVUVePUqNn9zZBOmHT8/edit#gid=757525651"",""'Allocation Breakdown'!A4:A187""),IMPORTRANGE(""https://docs.google.com/spreadsheets/d/1EjEqG6oc_vmuAWwHnH51YMvSMVUVePUqN"&amp;"n9zZBOmHT8/edit#gid=757525651"",""'Allocation Breakdown'!t4:t187""))*T$119"),7000)</f>
        <v>7000</v>
      </c>
      <c r="U70" s="30">
        <f ca="1">IFERROR(__xludf.DUMMYFUNCTION("XLOOKUP($B70,IMPORTRANGE(""https://docs.google.com/spreadsheets/d/1EjEqG6oc_vmuAWwHnH51YMvSMVUVePUqNn9zZBOmHT8/edit#gid=757525651"",""'Allocation Breakdown'!A4:A187""),IMPORTRANGE(""https://docs.google.com/spreadsheets/d/1EjEqG6oc_vmuAWwHnH51YMvSMVUVePUqN"&amp;"n9zZBOmHT8/edit#gid=757525651"",""'Allocation Breakdown'!U4:U187""))*U$119"),0)</f>
        <v>0</v>
      </c>
      <c r="V70" s="31">
        <f t="shared" ca="1" si="1"/>
        <v>116175</v>
      </c>
      <c r="W70" s="31">
        <f t="shared" ca="1" si="2"/>
        <v>116175</v>
      </c>
      <c r="Z70" s="32"/>
      <c r="AA70" s="32"/>
      <c r="AB70" s="32"/>
    </row>
    <row r="71" spans="2:28" ht="15.75" customHeight="1">
      <c r="B71" s="28" t="s">
        <v>166</v>
      </c>
      <c r="C71" s="30">
        <f ca="1">IFERROR(__xludf.DUMMYFUNCTION("XLOOKUP($B71,IMPORTRANGE(""https://docs.google.com/spreadsheets/d/1EjEqG6oc_vmuAWwHnH51YMvSMVUVePUqNn9zZBOmHT8/edit#gid=757525651"",""'Allocation Breakdown'!A4:A187""),IMPORTRANGE(""https://docs.google.com/spreadsheets/d/1EjEqG6oc_vmuAWwHnH51YMvSMVUVePUqN"&amp;"n9zZBOmHT8/edit#gid=757525651"",""'Allocation Breakdown'!V4:V187""))*C$119"),777.38105487)</f>
        <v>777.38105486999996</v>
      </c>
      <c r="D71" s="30">
        <f ca="1">IFERROR(__xludf.DUMMYFUNCTION("XLOOKUP($B71,IMPORTRANGE(""https://docs.google.com/spreadsheets/d/1EjEqG6oc_vmuAWwHnH51YMvSMVUVePUqNn9zZBOmHT8/edit#gid=757525651"",""'Allocation Breakdown'!A4:A187""),IMPORTRANGE(""https://docs.google.com/spreadsheets/d/1EjEqG6oc_vmuAWwHnH51YMvSMVUVePUqN"&amp;"n9zZBOmHT8/edit#gid=757525651"",""'Allocation Breakdown'!I4:I187""))*$D$119"),7112.7958416655)</f>
        <v>7112.7958416655001</v>
      </c>
      <c r="E71" s="30">
        <f ca="1">IFERROR(__xludf.DUMMYFUNCTION("XLOOKUP($B71,IMPORTRANGE(""https://docs.google.com/spreadsheets/d/1EjEqG6oc_vmuAWwHnH51YMvSMVUVePUqNn9zZBOmHT8/edit#gid=757525651"",""'Allocation Breakdown'!A4:A187""),IMPORTRANGE(""https://docs.google.com/spreadsheets/d/1EjEqG6oc_vmuAWwHnH51YMvSMVUVePUqN"&amp;"n9zZBOmHT8/edit#gid=757525651"",""'Allocation Breakdown'!V4:V187""))*E$119"),272.61894513)</f>
        <v>272.61894512999999</v>
      </c>
      <c r="F71" s="30">
        <f t="shared" ca="1" si="0"/>
        <v>7385.4147867954998</v>
      </c>
      <c r="G71" s="30" t="str">
        <f ca="1">IFERROR(__xludf.DUMMYFUNCTION("XLOOKUP($B71,IMPORTRANGE(""https://docs.google.com/spreadsheets/d/1EjEqG6oc_vmuAWwHnH51YMvSMVUVePUqNn9zZBOmHT8/edit#gid=757525651"",""'Allocation Breakdown'!A4:A187""),IMPORTRANGE(""https://docs.google.com/spreadsheets/d/1EjEqG6oc_vmuAWwHnH51YMvSMVUVePUqN"&amp;"n9zZBOmHT8/edit#gid=757525651"",""'Allocation Breakdown'!D4:D187""))"),"")</f>
        <v/>
      </c>
      <c r="H71" s="30">
        <f ca="1">IFERROR(__xludf.DUMMYFUNCTION("XLOOKUP($B71,IMPORTRANGE(""https://docs.google.com/spreadsheets/d/1EjEqG6oc_vmuAWwHnH51YMvSMVUVePUqNn9zZBOmHT8/edit#gid=757525651"",""'Allocation Breakdown'!A4:A187""),IMPORTRANGE(""https://docs.google.com/spreadsheets/d/1EjEqG6oc_vmuAWwHnH51YMvSMVUVePUqN"&amp;"n9zZBOmHT8/edit#gid=757525651"",""'Allocation Breakdown'!E4:E187""))"),19710)</f>
        <v>19710</v>
      </c>
      <c r="I71" s="30">
        <f ca="1">IFERROR(__xludf.DUMMYFUNCTION("XLOOKUP($B71,IMPORTRANGE(""https://docs.google.com/spreadsheets/d/1EjEqG6oc_vmuAWwHnH51YMvSMVUVePUqNn9zZBOmHT8/edit#gid=757525651"",""'Allocation Breakdown'!A4:A187""),IMPORTRANGE(""https://docs.google.com/spreadsheets/d/1EjEqG6oc_vmuAWwHnH51YMvSMVUVePUqN"&amp;"n9zZBOmHT8/edit#gid=757525651"",""'Allocation Breakdown'!F4:F187""))"),18000)</f>
        <v>18000</v>
      </c>
      <c r="J71" s="30">
        <f ca="1">IFERROR(__xludf.DUMMYFUNCTION("XLOOKUP($B71,IMPORTRANGE(""https://docs.google.com/spreadsheets/d/1EjEqG6oc_vmuAWwHnH51YMvSMVUVePUqNn9zZBOmHT8/edit#gid=757525651"",""'Allocation Breakdown'!A4:A187""),IMPORTRANGE(""https://docs.google.com/spreadsheets/d/1EjEqG6oc_vmuAWwHnH51YMvSMVUVePUqN"&amp;"n9zZBOmHT8/edit#gid=757525651"",""'Allocation Breakdown'!G4:G187""))"),7500)</f>
        <v>7500</v>
      </c>
      <c r="K71" s="30">
        <f ca="1">IFERROR(__xludf.DUMMYFUNCTION("XLOOKUP($B71,IMPORTRANGE(""https://docs.google.com/spreadsheets/d/1EjEqG6oc_vmuAWwHnH51YMvSMVUVePUqNn9zZBOmHT8/edit#gid=757525651"",""'Allocation Breakdown'!A4:A187""),IMPORTRANGE(""https://docs.google.com/spreadsheets/d/1EjEqG6oc_vmuAWwHnH51YMvSMVUVePUqN"&amp;"n9zZBOmHT8/edit#gid=757525651"",""'Allocation Breakdown'!I4:I187""))*K$119"),624.9384636)</f>
        <v>624.93846359999998</v>
      </c>
      <c r="L71" s="30">
        <f ca="1">IFERROR(__xludf.DUMMYFUNCTION("XLOOKUP($B71,IMPORTRANGE(""https://docs.google.com/spreadsheets/d/1EjEqG6oc_vmuAWwHnH51YMvSMVUVePUqNn9zZBOmHT8/edit#gid=757525651"",""'Allocation Breakdown'!A4:A187""),IMPORTRANGE(""https://docs.google.com/spreadsheets/d/1EjEqG6oc_vmuAWwHnH51YMvSMVUVePUqN"&amp;"n9zZBOmHT8/edit#gid=757525651"",""'Allocation Breakdown'!j4:j187""))*L$119"),3701.5422305)</f>
        <v>3701.5422305000002</v>
      </c>
      <c r="M71" s="30">
        <f ca="1">IFERROR(__xludf.DUMMYFUNCTION("XLOOKUP($B71,IMPORTRANGE(""https://docs.google.com/spreadsheets/d/1EjEqG6oc_vmuAWwHnH51YMvSMVUVePUqNn9zZBOmHT8/edit#gid=757525651"",""'Allocation Breakdown'!A4:A187""),IMPORTRANGE(""https://docs.google.com/spreadsheets/d/1EjEqG6oc_vmuAWwHnH51YMvSMVUVePUqN"&amp;"n9zZBOmHT8/edit#gid=757525651"",""'Allocation Breakdown'!K4:K187""))*M$119"),3588.6226095)</f>
        <v>3588.6226095000002</v>
      </c>
      <c r="N71" s="30">
        <f ca="1">IFERROR(__xludf.DUMMYFUNCTION("XLOOKUP($B71,IMPORTRANGE(""https://docs.google.com/spreadsheets/d/1EjEqG6oc_vmuAWwHnH51YMvSMVUVePUqNn9zZBOmHT8/edit#gid=757525651"",""'Allocation Breakdown'!A4:A187""),IMPORTRANGE(""https://docs.google.com/spreadsheets/d/1EjEqG6oc_vmuAWwHnH51YMvSMVUVePUqN"&amp;"n9zZBOmHT8/edit#gid=757525651"",""'Allocation Breakdown'!l4:l187""))*N$119"),951.8600508)</f>
        <v>951.86005079999995</v>
      </c>
      <c r="O71" s="30">
        <f ca="1">IFERROR(__xludf.DUMMYFUNCTION("XLOOKUP($B71,IMPORTRANGE(""https://docs.google.com/spreadsheets/d/1EjEqG6oc_vmuAWwHnH51YMvSMVUVePUqNn9zZBOmHT8/edit#gid=757525651"",""'Allocation Breakdown'!A4:A187""),IMPORTRANGE(""https://docs.google.com/spreadsheets/d/1EjEqG6oc_vmuAWwHnH51YMvSMVUVePUqN"&amp;"n9zZBOmHT8/edit#gid=757525651"",""'Allocation Breakdown'!n4:n187""))*O$119"),22000)</f>
        <v>22000</v>
      </c>
      <c r="P71" s="30">
        <f ca="1">IFERROR(__xludf.DUMMYFUNCTION("XLOOKUP($B71,IMPORTRANGE(""https://docs.google.com/spreadsheets/d/1EjEqG6oc_vmuAWwHnH51YMvSMVUVePUqNn9zZBOmHT8/edit#gid=757525651"",""'Allocation Breakdown'!A4:A187""),IMPORTRANGE(""https://docs.google.com/spreadsheets/d/1EjEqG6oc_vmuAWwHnH51YMvSMVUVePUqN"&amp;"n9zZBOmHT8/edit#gid=757525651"",""'Allocation Breakdown'!o4:o187""))*P$119"),4400)</f>
        <v>4400</v>
      </c>
      <c r="Q71" s="30">
        <f ca="1">IFERROR(__xludf.DUMMYFUNCTION("XLOOKUP($B71,IMPORTRANGE(""https://docs.google.com/spreadsheets/d/1EjEqG6oc_vmuAWwHnH51YMvSMVUVePUqNn9zZBOmHT8/edit#gid=757525651"",""'Allocation Breakdown'!A4:A187""),IMPORTRANGE(""https://docs.google.com/spreadsheets/d/1EjEqG6oc_vmuAWwHnH51YMvSMVUVePUqN"&amp;"n9zZBOmHT8/edit#gid=757525651"",""'Allocation Breakdown'!p4:p187""))*Q$119"),2000)</f>
        <v>2000</v>
      </c>
      <c r="R71" s="30">
        <f ca="1">IFERROR(__xludf.DUMMYFUNCTION("XLOOKUP($B71,IMPORTRANGE(""https://docs.google.com/spreadsheets/d/1EjEqG6oc_vmuAWwHnH51YMvSMVUVePUqNn9zZBOmHT8/edit#gid=757525651"",""'Allocation Breakdown'!A4:A187""),IMPORTRANGE(""https://docs.google.com/spreadsheets/d/1EjEqG6oc_vmuAWwHnH51YMvSMVUVePUqN"&amp;"n9zZBOmHT8/edit#gid=757525651"",""'Allocation Breakdown'!q4:q187""))*R$119"),2000)</f>
        <v>2000</v>
      </c>
      <c r="S71" s="30">
        <f ca="1">IFERROR(__xludf.DUMMYFUNCTION("XLOOKUP($B71,IMPORTRANGE(""https://docs.google.com/spreadsheets/d/1EjEqG6oc_vmuAWwHnH51YMvSMVUVePUqNn9zZBOmHT8/edit#gid=757525651"",""'Allocation Breakdown'!A4:A187""),IMPORTRANGE(""https://docs.google.com/spreadsheets/d/1EjEqG6oc_vmuAWwHnH51YMvSMVUVePUqN"&amp;"n9zZBOmHT8/edit#gid=757525651"",""'Allocation Breakdown'!r4:r187""))*S$119"),2000)</f>
        <v>2000</v>
      </c>
      <c r="T71" s="30">
        <f ca="1">IFERROR(__xludf.DUMMYFUNCTION("XLOOKUP($B71,IMPORTRANGE(""https://docs.google.com/spreadsheets/d/1EjEqG6oc_vmuAWwHnH51YMvSMVUVePUqNn9zZBOmHT8/edit#gid=757525651"",""'Allocation Breakdown'!A4:A187""),IMPORTRANGE(""https://docs.google.com/spreadsheets/d/1EjEqG6oc_vmuAWwHnH51YMvSMVUVePUqN"&amp;"n9zZBOmHT8/edit#gid=757525651"",""'Allocation Breakdown'!t4:t187""))*T$119"),7000)</f>
        <v>7000</v>
      </c>
      <c r="U71" s="30">
        <f ca="1">IFERROR(__xludf.DUMMYFUNCTION("XLOOKUP($B71,IMPORTRANGE(""https://docs.google.com/spreadsheets/d/1EjEqG6oc_vmuAWwHnH51YMvSMVUVePUqNn9zZBOmHT8/edit#gid=757525651"",""'Allocation Breakdown'!A4:A187""),IMPORTRANGE(""https://docs.google.com/spreadsheets/d/1EjEqG6oc_vmuAWwHnH51YMvSMVUVePUqN"&amp;"n9zZBOmHT8/edit#gid=757525651"",""'Allocation Breakdown'!U4:U187""))*U$119"),11000)</f>
        <v>11000</v>
      </c>
      <c r="V71" s="31">
        <f t="shared" ca="1" si="1"/>
        <v>104476.96335440001</v>
      </c>
      <c r="W71" s="31">
        <f t="shared" ca="1" si="2"/>
        <v>112639.75919606551</v>
      </c>
      <c r="Z71" s="32"/>
      <c r="AA71" s="32"/>
      <c r="AB71" s="32"/>
    </row>
    <row r="72" spans="2:28" ht="15.75" customHeight="1">
      <c r="B72" s="28" t="s">
        <v>167</v>
      </c>
      <c r="C72" s="30">
        <f ca="1">IFERROR(__xludf.DUMMYFUNCTION("XLOOKUP($B72,IMPORTRANGE(""https://docs.google.com/spreadsheets/d/1EjEqG6oc_vmuAWwHnH51YMvSMVUVePUqNn9zZBOmHT8/edit#gid=757525651"",""'Allocation Breakdown'!A4:A187""),IMPORTRANGE(""https://docs.google.com/spreadsheets/d/1EjEqG6oc_vmuAWwHnH51YMvSMVUVePUqN"&amp;"n9zZBOmHT8/edit#gid=757525651"",""'Allocation Breakdown'!V4:V187""))*C$119"),777.38105487)</f>
        <v>777.38105486999996</v>
      </c>
      <c r="D72" s="30">
        <f ca="1">IFERROR(__xludf.DUMMYFUNCTION("XLOOKUP($B72,IMPORTRANGE(""https://docs.google.com/spreadsheets/d/1EjEqG6oc_vmuAWwHnH51YMvSMVUVePUqNn9zZBOmHT8/edit#gid=757525651"",""'Allocation Breakdown'!A4:A187""),IMPORTRANGE(""https://docs.google.com/spreadsheets/d/1EjEqG6oc_vmuAWwHnH51YMvSMVUVePUqN"&amp;"n9zZBOmHT8/edit#gid=757525651"",""'Allocation Breakdown'!I4:I187""))*$D$119"),7112.7958416655)</f>
        <v>7112.7958416655001</v>
      </c>
      <c r="E72" s="30">
        <f ca="1">IFERROR(__xludf.DUMMYFUNCTION("XLOOKUP($B72,IMPORTRANGE(""https://docs.google.com/spreadsheets/d/1EjEqG6oc_vmuAWwHnH51YMvSMVUVePUqNn9zZBOmHT8/edit#gid=757525651"",""'Allocation Breakdown'!A4:A187""),IMPORTRANGE(""https://docs.google.com/spreadsheets/d/1EjEqG6oc_vmuAWwHnH51YMvSMVUVePUqN"&amp;"n9zZBOmHT8/edit#gid=757525651"",""'Allocation Breakdown'!V4:V187""))*E$119"),272.61894513)</f>
        <v>272.61894512999999</v>
      </c>
      <c r="F72" s="30">
        <f t="shared" ca="1" si="0"/>
        <v>7385.4147867954998</v>
      </c>
      <c r="G72" s="30" t="str">
        <f ca="1">IFERROR(__xludf.DUMMYFUNCTION("XLOOKUP($B72,IMPORTRANGE(""https://docs.google.com/spreadsheets/d/1EjEqG6oc_vmuAWwHnH51YMvSMVUVePUqNn9zZBOmHT8/edit#gid=757525651"",""'Allocation Breakdown'!A4:A187""),IMPORTRANGE(""https://docs.google.com/spreadsheets/d/1EjEqG6oc_vmuAWwHnH51YMvSMVUVePUqN"&amp;"n9zZBOmHT8/edit#gid=757525651"",""'Allocation Breakdown'!D4:D187""))"),"")</f>
        <v/>
      </c>
      <c r="H72" s="30" t="str">
        <f ca="1">IFERROR(__xludf.DUMMYFUNCTION("XLOOKUP($B72,IMPORTRANGE(""https://docs.google.com/spreadsheets/d/1EjEqG6oc_vmuAWwHnH51YMvSMVUVePUqNn9zZBOmHT8/edit#gid=757525651"",""'Allocation Breakdown'!A4:A187""),IMPORTRANGE(""https://docs.google.com/spreadsheets/d/1EjEqG6oc_vmuAWwHnH51YMvSMVUVePUqN"&amp;"n9zZBOmHT8/edit#gid=757525651"",""'Allocation Breakdown'!E4:E187""))"),"")</f>
        <v/>
      </c>
      <c r="I72" s="30">
        <f ca="1">IFERROR(__xludf.DUMMYFUNCTION("XLOOKUP($B72,IMPORTRANGE(""https://docs.google.com/spreadsheets/d/1EjEqG6oc_vmuAWwHnH51YMvSMVUVePUqNn9zZBOmHT8/edit#gid=757525651"",""'Allocation Breakdown'!A4:A187""),IMPORTRANGE(""https://docs.google.com/spreadsheets/d/1EjEqG6oc_vmuAWwHnH51YMvSMVUVePUqN"&amp;"n9zZBOmHT8/edit#gid=757525651"",""'Allocation Breakdown'!F4:F187""))"),18000)</f>
        <v>18000</v>
      </c>
      <c r="J72" s="30" t="str">
        <f ca="1">IFERROR(__xludf.DUMMYFUNCTION("XLOOKUP($B72,IMPORTRANGE(""https://docs.google.com/spreadsheets/d/1EjEqG6oc_vmuAWwHnH51YMvSMVUVePUqNn9zZBOmHT8/edit#gid=757525651"",""'Allocation Breakdown'!A4:A187""),IMPORTRANGE(""https://docs.google.com/spreadsheets/d/1EjEqG6oc_vmuAWwHnH51YMvSMVUVePUqN"&amp;"n9zZBOmHT8/edit#gid=757525651"",""'Allocation Breakdown'!G4:G187""))"),"")</f>
        <v/>
      </c>
      <c r="K72" s="30">
        <f ca="1">IFERROR(__xludf.DUMMYFUNCTION("XLOOKUP($B72,IMPORTRANGE(""https://docs.google.com/spreadsheets/d/1EjEqG6oc_vmuAWwHnH51YMvSMVUVePUqNn9zZBOmHT8/edit#gid=757525651"",""'Allocation Breakdown'!A4:A187""),IMPORTRANGE(""https://docs.google.com/spreadsheets/d/1EjEqG6oc_vmuAWwHnH51YMvSMVUVePUqN"&amp;"n9zZBOmHT8/edit#gid=757525651"",""'Allocation Breakdown'!I4:I187""))*K$119"),624.9384636)</f>
        <v>624.93846359999998</v>
      </c>
      <c r="L72" s="30">
        <f ca="1">IFERROR(__xludf.DUMMYFUNCTION("XLOOKUP($B72,IMPORTRANGE(""https://docs.google.com/spreadsheets/d/1EjEqG6oc_vmuAWwHnH51YMvSMVUVePUqNn9zZBOmHT8/edit#gid=757525651"",""'Allocation Breakdown'!A4:A187""),IMPORTRANGE(""https://docs.google.com/spreadsheets/d/1EjEqG6oc_vmuAWwHnH51YMvSMVUVePUqN"&amp;"n9zZBOmHT8/edit#gid=757525651"",""'Allocation Breakdown'!j4:j187""))*L$119"),3701.5422305)</f>
        <v>3701.5422305000002</v>
      </c>
      <c r="M72" s="30">
        <f ca="1">IFERROR(__xludf.DUMMYFUNCTION("XLOOKUP($B72,IMPORTRANGE(""https://docs.google.com/spreadsheets/d/1EjEqG6oc_vmuAWwHnH51YMvSMVUVePUqNn9zZBOmHT8/edit#gid=757525651"",""'Allocation Breakdown'!A4:A187""),IMPORTRANGE(""https://docs.google.com/spreadsheets/d/1EjEqG6oc_vmuAWwHnH51YMvSMVUVePUqN"&amp;"n9zZBOmHT8/edit#gid=757525651"",""'Allocation Breakdown'!K4:K187""))*M$119"),3588.6226095)</f>
        <v>3588.6226095000002</v>
      </c>
      <c r="N72" s="30">
        <f ca="1">IFERROR(__xludf.DUMMYFUNCTION("XLOOKUP($B72,IMPORTRANGE(""https://docs.google.com/spreadsheets/d/1EjEqG6oc_vmuAWwHnH51YMvSMVUVePUqNn9zZBOmHT8/edit#gid=757525651"",""'Allocation Breakdown'!A4:A187""),IMPORTRANGE(""https://docs.google.com/spreadsheets/d/1EjEqG6oc_vmuAWwHnH51YMvSMVUVePUqN"&amp;"n9zZBOmHT8/edit#gid=757525651"",""'Allocation Breakdown'!l4:l187""))*N$119"),951.8600508)</f>
        <v>951.86005079999995</v>
      </c>
      <c r="O72" s="30">
        <f ca="1">IFERROR(__xludf.DUMMYFUNCTION("XLOOKUP($B72,IMPORTRANGE(""https://docs.google.com/spreadsheets/d/1EjEqG6oc_vmuAWwHnH51YMvSMVUVePUqNn9zZBOmHT8/edit#gid=757525651"",""'Allocation Breakdown'!A4:A187""),IMPORTRANGE(""https://docs.google.com/spreadsheets/d/1EjEqG6oc_vmuAWwHnH51YMvSMVUVePUqN"&amp;"n9zZBOmHT8/edit#gid=757525651"",""'Allocation Breakdown'!n4:n187""))*O$119"),22000)</f>
        <v>22000</v>
      </c>
      <c r="P72" s="30">
        <f ca="1">IFERROR(__xludf.DUMMYFUNCTION("XLOOKUP($B72,IMPORTRANGE(""https://docs.google.com/spreadsheets/d/1EjEqG6oc_vmuAWwHnH51YMvSMVUVePUqNn9zZBOmHT8/edit#gid=757525651"",""'Allocation Breakdown'!A4:A187""),IMPORTRANGE(""https://docs.google.com/spreadsheets/d/1EjEqG6oc_vmuAWwHnH51YMvSMVUVePUqN"&amp;"n9zZBOmHT8/edit#gid=757525651"",""'Allocation Breakdown'!o4:o187""))*P$119"),4400)</f>
        <v>4400</v>
      </c>
      <c r="Q72" s="30">
        <f ca="1">IFERROR(__xludf.DUMMYFUNCTION("XLOOKUP($B72,IMPORTRANGE(""https://docs.google.com/spreadsheets/d/1EjEqG6oc_vmuAWwHnH51YMvSMVUVePUqNn9zZBOmHT8/edit#gid=757525651"",""'Allocation Breakdown'!A4:A187""),IMPORTRANGE(""https://docs.google.com/spreadsheets/d/1EjEqG6oc_vmuAWwHnH51YMvSMVUVePUqN"&amp;"n9zZBOmHT8/edit#gid=757525651"",""'Allocation Breakdown'!p4:p187""))*Q$119"),0)</f>
        <v>0</v>
      </c>
      <c r="R72" s="30">
        <f ca="1">IFERROR(__xludf.DUMMYFUNCTION("XLOOKUP($B72,IMPORTRANGE(""https://docs.google.com/spreadsheets/d/1EjEqG6oc_vmuAWwHnH51YMvSMVUVePUqNn9zZBOmHT8/edit#gid=757525651"",""'Allocation Breakdown'!A4:A187""),IMPORTRANGE(""https://docs.google.com/spreadsheets/d/1EjEqG6oc_vmuAWwHnH51YMvSMVUVePUqN"&amp;"n9zZBOmHT8/edit#gid=757525651"",""'Allocation Breakdown'!q4:q187""))*R$119"),2000)</f>
        <v>2000</v>
      </c>
      <c r="S72" s="30">
        <f ca="1">IFERROR(__xludf.DUMMYFUNCTION("XLOOKUP($B72,IMPORTRANGE(""https://docs.google.com/spreadsheets/d/1EjEqG6oc_vmuAWwHnH51YMvSMVUVePUqNn9zZBOmHT8/edit#gid=757525651"",""'Allocation Breakdown'!A4:A187""),IMPORTRANGE(""https://docs.google.com/spreadsheets/d/1EjEqG6oc_vmuAWwHnH51YMvSMVUVePUqN"&amp;"n9zZBOmHT8/edit#gid=757525651"",""'Allocation Breakdown'!r4:r187""))*S$119"),2000)</f>
        <v>2000</v>
      </c>
      <c r="T72" s="30">
        <f ca="1">IFERROR(__xludf.DUMMYFUNCTION("XLOOKUP($B72,IMPORTRANGE(""https://docs.google.com/spreadsheets/d/1EjEqG6oc_vmuAWwHnH51YMvSMVUVePUqNn9zZBOmHT8/edit#gid=757525651"",""'Allocation Breakdown'!A4:A187""),IMPORTRANGE(""https://docs.google.com/spreadsheets/d/1EjEqG6oc_vmuAWwHnH51YMvSMVUVePUqN"&amp;"n9zZBOmHT8/edit#gid=757525651"",""'Allocation Breakdown'!t4:t187""))*T$119"),7000)</f>
        <v>7000</v>
      </c>
      <c r="U72" s="30">
        <f ca="1">IFERROR(__xludf.DUMMYFUNCTION("XLOOKUP($B72,IMPORTRANGE(""https://docs.google.com/spreadsheets/d/1EjEqG6oc_vmuAWwHnH51YMvSMVUVePUqNn9zZBOmHT8/edit#gid=757525651"",""'Allocation Breakdown'!A4:A187""),IMPORTRANGE(""https://docs.google.com/spreadsheets/d/1EjEqG6oc_vmuAWwHnH51YMvSMVUVePUqN"&amp;"n9zZBOmHT8/edit#gid=757525651"",""'Allocation Breakdown'!U4:U187""))*U$119"),11000)</f>
        <v>11000</v>
      </c>
      <c r="V72" s="31">
        <f t="shared" ca="1" si="1"/>
        <v>75266.96335440001</v>
      </c>
      <c r="W72" s="31">
        <f t="shared" ca="1" si="2"/>
        <v>83429.759196065512</v>
      </c>
      <c r="Z72" s="32"/>
      <c r="AA72" s="32"/>
      <c r="AB72" s="32"/>
    </row>
    <row r="73" spans="2:28" ht="15.75" customHeight="1">
      <c r="B73" s="28" t="s">
        <v>168</v>
      </c>
      <c r="C73" s="30">
        <f ca="1">IFERROR(__xludf.DUMMYFUNCTION("XLOOKUP($B73,IMPORTRANGE(""https://docs.google.com/spreadsheets/d/1EjEqG6oc_vmuAWwHnH51YMvSMVUVePUqNn9zZBOmHT8/edit#gid=757525651"",""'Allocation Breakdown'!A4:A187""),IMPORTRANGE(""https://docs.google.com/spreadsheets/d/1EjEqG6oc_vmuAWwHnH51YMvSMVUVePUqN"&amp;"n9zZBOmHT8/edit#gid=757525651"",""'Allocation Breakdown'!V4:V187""))*C$119"),777.38105487)</f>
        <v>777.38105486999996</v>
      </c>
      <c r="D73" s="30">
        <f ca="1">IFERROR(__xludf.DUMMYFUNCTION("XLOOKUP($B73,IMPORTRANGE(""https://docs.google.com/spreadsheets/d/1EjEqG6oc_vmuAWwHnH51YMvSMVUVePUqNn9zZBOmHT8/edit#gid=757525651"",""'Allocation Breakdown'!A4:A187""),IMPORTRANGE(""https://docs.google.com/spreadsheets/d/1EjEqG6oc_vmuAWwHnH51YMvSMVUVePUqN"&amp;"n9zZBOmHT8/edit#gid=757525651"",""'Allocation Breakdown'!I4:I187""))*$D$119"),7112.7958416655)</f>
        <v>7112.7958416655001</v>
      </c>
      <c r="E73" s="30">
        <f ca="1">IFERROR(__xludf.DUMMYFUNCTION("XLOOKUP($B73,IMPORTRANGE(""https://docs.google.com/spreadsheets/d/1EjEqG6oc_vmuAWwHnH51YMvSMVUVePUqNn9zZBOmHT8/edit#gid=757525651"",""'Allocation Breakdown'!A4:A187""),IMPORTRANGE(""https://docs.google.com/spreadsheets/d/1EjEqG6oc_vmuAWwHnH51YMvSMVUVePUqN"&amp;"n9zZBOmHT8/edit#gid=757525651"",""'Allocation Breakdown'!V4:V187""))*E$119"),272.61894513)</f>
        <v>272.61894512999999</v>
      </c>
      <c r="F73" s="30">
        <f t="shared" ca="1" si="0"/>
        <v>7385.4147867954998</v>
      </c>
      <c r="G73" s="30" t="str">
        <f ca="1">IFERROR(__xludf.DUMMYFUNCTION("XLOOKUP($B73,IMPORTRANGE(""https://docs.google.com/spreadsheets/d/1EjEqG6oc_vmuAWwHnH51YMvSMVUVePUqNn9zZBOmHT8/edit#gid=757525651"",""'Allocation Breakdown'!A4:A187""),IMPORTRANGE(""https://docs.google.com/spreadsheets/d/1EjEqG6oc_vmuAWwHnH51YMvSMVUVePUqN"&amp;"n9zZBOmHT8/edit#gid=757525651"",""'Allocation Breakdown'!D4:D187""))"),"")</f>
        <v/>
      </c>
      <c r="H73" s="30" t="str">
        <f ca="1">IFERROR(__xludf.DUMMYFUNCTION("XLOOKUP($B73,IMPORTRANGE(""https://docs.google.com/spreadsheets/d/1EjEqG6oc_vmuAWwHnH51YMvSMVUVePUqNn9zZBOmHT8/edit#gid=757525651"",""'Allocation Breakdown'!A4:A187""),IMPORTRANGE(""https://docs.google.com/spreadsheets/d/1EjEqG6oc_vmuAWwHnH51YMvSMVUVePUqN"&amp;"n9zZBOmHT8/edit#gid=757525651"",""'Allocation Breakdown'!E4:E187""))"),"")</f>
        <v/>
      </c>
      <c r="I73" s="30">
        <f ca="1">IFERROR(__xludf.DUMMYFUNCTION("XLOOKUP($B73,IMPORTRANGE(""https://docs.google.com/spreadsheets/d/1EjEqG6oc_vmuAWwHnH51YMvSMVUVePUqNn9zZBOmHT8/edit#gid=757525651"",""'Allocation Breakdown'!A4:A187""),IMPORTRANGE(""https://docs.google.com/spreadsheets/d/1EjEqG6oc_vmuAWwHnH51YMvSMVUVePUqN"&amp;"n9zZBOmHT8/edit#gid=757525651"",""'Allocation Breakdown'!F4:F187""))"),18000)</f>
        <v>18000</v>
      </c>
      <c r="J73" s="30">
        <f ca="1">IFERROR(__xludf.DUMMYFUNCTION("XLOOKUP($B73,IMPORTRANGE(""https://docs.google.com/spreadsheets/d/1EjEqG6oc_vmuAWwHnH51YMvSMVUVePUqNn9zZBOmHT8/edit#gid=757525651"",""'Allocation Breakdown'!A4:A187""),IMPORTRANGE(""https://docs.google.com/spreadsheets/d/1EjEqG6oc_vmuAWwHnH51YMvSMVUVePUqN"&amp;"n9zZBOmHT8/edit#gid=757525651"",""'Allocation Breakdown'!G4:G187""))"),9175)</f>
        <v>9175</v>
      </c>
      <c r="K73" s="30">
        <f ca="1">IFERROR(__xludf.DUMMYFUNCTION("XLOOKUP($B73,IMPORTRANGE(""https://docs.google.com/spreadsheets/d/1EjEqG6oc_vmuAWwHnH51YMvSMVUVePUqNn9zZBOmHT8/edit#gid=757525651"",""'Allocation Breakdown'!A4:A187""),IMPORTRANGE(""https://docs.google.com/spreadsheets/d/1EjEqG6oc_vmuAWwHnH51YMvSMVUVePUqN"&amp;"n9zZBOmHT8/edit#gid=757525651"",""'Allocation Breakdown'!I4:I187""))*K$119"),624.9384636)</f>
        <v>624.93846359999998</v>
      </c>
      <c r="L73" s="30">
        <f ca="1">IFERROR(__xludf.DUMMYFUNCTION("XLOOKUP($B73,IMPORTRANGE(""https://docs.google.com/spreadsheets/d/1EjEqG6oc_vmuAWwHnH51YMvSMVUVePUqNn9zZBOmHT8/edit#gid=757525651"",""'Allocation Breakdown'!A4:A187""),IMPORTRANGE(""https://docs.google.com/spreadsheets/d/1EjEqG6oc_vmuAWwHnH51YMvSMVUVePUqN"&amp;"n9zZBOmHT8/edit#gid=757525651"",""'Allocation Breakdown'!j4:j187""))*L$119"),3701.5422305)</f>
        <v>3701.5422305000002</v>
      </c>
      <c r="M73" s="30">
        <f ca="1">IFERROR(__xludf.DUMMYFUNCTION("XLOOKUP($B73,IMPORTRANGE(""https://docs.google.com/spreadsheets/d/1EjEqG6oc_vmuAWwHnH51YMvSMVUVePUqNn9zZBOmHT8/edit#gid=757525651"",""'Allocation Breakdown'!A4:A187""),IMPORTRANGE(""https://docs.google.com/spreadsheets/d/1EjEqG6oc_vmuAWwHnH51YMvSMVUVePUqN"&amp;"n9zZBOmHT8/edit#gid=757525651"",""'Allocation Breakdown'!K4:K187""))*M$119"),3588.6226095)</f>
        <v>3588.6226095000002</v>
      </c>
      <c r="N73" s="30">
        <f ca="1">IFERROR(__xludf.DUMMYFUNCTION("XLOOKUP($B73,IMPORTRANGE(""https://docs.google.com/spreadsheets/d/1EjEqG6oc_vmuAWwHnH51YMvSMVUVePUqNn9zZBOmHT8/edit#gid=757525651"",""'Allocation Breakdown'!A4:A187""),IMPORTRANGE(""https://docs.google.com/spreadsheets/d/1EjEqG6oc_vmuAWwHnH51YMvSMVUVePUqN"&amp;"n9zZBOmHT8/edit#gid=757525651"",""'Allocation Breakdown'!l4:l187""))*N$119"),951.8600508)</f>
        <v>951.86005079999995</v>
      </c>
      <c r="O73" s="30">
        <f ca="1">IFERROR(__xludf.DUMMYFUNCTION("XLOOKUP($B73,IMPORTRANGE(""https://docs.google.com/spreadsheets/d/1EjEqG6oc_vmuAWwHnH51YMvSMVUVePUqNn9zZBOmHT8/edit#gid=757525651"",""'Allocation Breakdown'!A4:A187""),IMPORTRANGE(""https://docs.google.com/spreadsheets/d/1EjEqG6oc_vmuAWwHnH51YMvSMVUVePUqN"&amp;"n9zZBOmHT8/edit#gid=757525651"",""'Allocation Breakdown'!n4:n187""))*O$119"),17000)</f>
        <v>17000</v>
      </c>
      <c r="P73" s="30">
        <f ca="1">IFERROR(__xludf.DUMMYFUNCTION("XLOOKUP($B73,IMPORTRANGE(""https://docs.google.com/spreadsheets/d/1EjEqG6oc_vmuAWwHnH51YMvSMVUVePUqNn9zZBOmHT8/edit#gid=757525651"",""'Allocation Breakdown'!A4:A187""),IMPORTRANGE(""https://docs.google.com/spreadsheets/d/1EjEqG6oc_vmuAWwHnH51YMvSMVUVePUqN"&amp;"n9zZBOmHT8/edit#gid=757525651"",""'Allocation Breakdown'!o4:o187""))*P$119"),4400)</f>
        <v>4400</v>
      </c>
      <c r="Q73" s="30">
        <f ca="1">IFERROR(__xludf.DUMMYFUNCTION("XLOOKUP($B73,IMPORTRANGE(""https://docs.google.com/spreadsheets/d/1EjEqG6oc_vmuAWwHnH51YMvSMVUVePUqNn9zZBOmHT8/edit#gid=757525651"",""'Allocation Breakdown'!A4:A187""),IMPORTRANGE(""https://docs.google.com/spreadsheets/d/1EjEqG6oc_vmuAWwHnH51YMvSMVUVePUqN"&amp;"n9zZBOmHT8/edit#gid=757525651"",""'Allocation Breakdown'!p4:p187""))*Q$119"),2000)</f>
        <v>2000</v>
      </c>
      <c r="R73" s="30">
        <f ca="1">IFERROR(__xludf.DUMMYFUNCTION("XLOOKUP($B73,IMPORTRANGE(""https://docs.google.com/spreadsheets/d/1EjEqG6oc_vmuAWwHnH51YMvSMVUVePUqNn9zZBOmHT8/edit#gid=757525651"",""'Allocation Breakdown'!A4:A187""),IMPORTRANGE(""https://docs.google.com/spreadsheets/d/1EjEqG6oc_vmuAWwHnH51YMvSMVUVePUqN"&amp;"n9zZBOmHT8/edit#gid=757525651"",""'Allocation Breakdown'!q4:q187""))*R$119"),2000)</f>
        <v>2000</v>
      </c>
      <c r="S73" s="30">
        <f ca="1">IFERROR(__xludf.DUMMYFUNCTION("XLOOKUP($B73,IMPORTRANGE(""https://docs.google.com/spreadsheets/d/1EjEqG6oc_vmuAWwHnH51YMvSMVUVePUqNn9zZBOmHT8/edit#gid=757525651"",""'Allocation Breakdown'!A4:A187""),IMPORTRANGE(""https://docs.google.com/spreadsheets/d/1EjEqG6oc_vmuAWwHnH51YMvSMVUVePUqN"&amp;"n9zZBOmHT8/edit#gid=757525651"",""'Allocation Breakdown'!r4:r187""))*S$119"),2000)</f>
        <v>2000</v>
      </c>
      <c r="T73" s="30">
        <f ca="1">IFERROR(__xludf.DUMMYFUNCTION("XLOOKUP($B73,IMPORTRANGE(""https://docs.google.com/spreadsheets/d/1EjEqG6oc_vmuAWwHnH51YMvSMVUVePUqNn9zZBOmHT8/edit#gid=757525651"",""'Allocation Breakdown'!A4:A187""),IMPORTRANGE(""https://docs.google.com/spreadsheets/d/1EjEqG6oc_vmuAWwHnH51YMvSMVUVePUqN"&amp;"n9zZBOmHT8/edit#gid=757525651"",""'Allocation Breakdown'!t4:t187""))*T$119"),7000)</f>
        <v>7000</v>
      </c>
      <c r="U73" s="30">
        <f ca="1">IFERROR(__xludf.DUMMYFUNCTION("XLOOKUP($B73,IMPORTRANGE(""https://docs.google.com/spreadsheets/d/1EjEqG6oc_vmuAWwHnH51YMvSMVUVePUqNn9zZBOmHT8/edit#gid=757525651"",""'Allocation Breakdown'!A4:A187""),IMPORTRANGE(""https://docs.google.com/spreadsheets/d/1EjEqG6oc_vmuAWwHnH51YMvSMVUVePUqN"&amp;"n9zZBOmHT8/edit#gid=757525651"",""'Allocation Breakdown'!U4:U187""))*U$119"),11000)</f>
        <v>11000</v>
      </c>
      <c r="V73" s="31">
        <f t="shared" ca="1" si="1"/>
        <v>81441.96335440001</v>
      </c>
      <c r="W73" s="31">
        <f t="shared" ca="1" si="2"/>
        <v>89604.759196065512</v>
      </c>
      <c r="Z73" s="32"/>
      <c r="AA73" s="32"/>
      <c r="AB73" s="32"/>
    </row>
    <row r="74" spans="2:28" ht="15.75" customHeight="1">
      <c r="B74" s="33" t="s">
        <v>169</v>
      </c>
      <c r="C74" s="30">
        <f ca="1">IFERROR(__xludf.DUMMYFUNCTION("XLOOKUP($B74,IMPORTRANGE(""https://docs.google.com/spreadsheets/d/1EjEqG6oc_vmuAWwHnH51YMvSMVUVePUqNn9zZBOmHT8/edit#gid=757525651"",""'Allocation Breakdown'!A4:A187""),IMPORTRANGE(""https://docs.google.com/spreadsheets/d/1EjEqG6oc_vmuAWwHnH51YMvSMVUVePUqN"&amp;"n9zZBOmHT8/edit#gid=757525651"",""'Allocation Breakdown'!V4:V187""))*C$119"),0)</f>
        <v>0</v>
      </c>
      <c r="D74" s="30">
        <f ca="1">IFERROR(__xludf.DUMMYFUNCTION("XLOOKUP($B74,IMPORTRANGE(""https://docs.google.com/spreadsheets/d/1EjEqG6oc_vmuAWwHnH51YMvSMVUVePUqNn9zZBOmHT8/edit#gid=757525651"",""'Allocation Breakdown'!A4:A187""),IMPORTRANGE(""https://docs.google.com/spreadsheets/d/1EjEqG6oc_vmuAWwHnH51YMvSMVUVePUqN"&amp;"n9zZBOmHT8/edit#gid=757525651"",""'Allocation Breakdown'!I4:I187""))*$D$119"),0)</f>
        <v>0</v>
      </c>
      <c r="E74" s="30">
        <f ca="1">IFERROR(__xludf.DUMMYFUNCTION("XLOOKUP($B74,IMPORTRANGE(""https://docs.google.com/spreadsheets/d/1EjEqG6oc_vmuAWwHnH51YMvSMVUVePUqNn9zZBOmHT8/edit#gid=757525651"",""'Allocation Breakdown'!A4:A187""),IMPORTRANGE(""https://docs.google.com/spreadsheets/d/1EjEqG6oc_vmuAWwHnH51YMvSMVUVePUqN"&amp;"n9zZBOmHT8/edit#gid=757525651"",""'Allocation Breakdown'!V4:V187""))*E$119"),0)</f>
        <v>0</v>
      </c>
      <c r="F74" s="30">
        <f t="shared" ca="1" si="0"/>
        <v>0</v>
      </c>
      <c r="G74" s="30" t="str">
        <f ca="1">IFERROR(__xludf.DUMMYFUNCTION("XLOOKUP($B74,IMPORTRANGE(""https://docs.google.com/spreadsheets/d/1EjEqG6oc_vmuAWwHnH51YMvSMVUVePUqNn9zZBOmHT8/edit#gid=757525651"",""'Allocation Breakdown'!A4:A187""),IMPORTRANGE(""https://docs.google.com/spreadsheets/d/1EjEqG6oc_vmuAWwHnH51YMvSMVUVePUqN"&amp;"n9zZBOmHT8/edit#gid=757525651"",""'Allocation Breakdown'!D4:D187""))"),"")</f>
        <v/>
      </c>
      <c r="H74" s="30">
        <f ca="1">IFERROR(__xludf.DUMMYFUNCTION("XLOOKUP($B74,IMPORTRANGE(""https://docs.google.com/spreadsheets/d/1EjEqG6oc_vmuAWwHnH51YMvSMVUVePUqNn9zZBOmHT8/edit#gid=757525651"",""'Allocation Breakdown'!A4:A187""),IMPORTRANGE(""https://docs.google.com/spreadsheets/d/1EjEqG6oc_vmuAWwHnH51YMvSMVUVePUqN"&amp;"n9zZBOmHT8/edit#gid=757525651"",""'Allocation Breakdown'!E4:E187""))"),15000)</f>
        <v>15000</v>
      </c>
      <c r="I74" s="30" t="str">
        <f ca="1">IFERROR(__xludf.DUMMYFUNCTION("XLOOKUP($B74,IMPORTRANGE(""https://docs.google.com/spreadsheets/d/1EjEqG6oc_vmuAWwHnH51YMvSMVUVePUqNn9zZBOmHT8/edit#gid=757525651"",""'Allocation Breakdown'!A4:A187""),IMPORTRANGE(""https://docs.google.com/spreadsheets/d/1EjEqG6oc_vmuAWwHnH51YMvSMVUVePUqN"&amp;"n9zZBOmHT8/edit#gid=757525651"",""'Allocation Breakdown'!F4:F187""))"),"")</f>
        <v/>
      </c>
      <c r="J74" s="30" t="str">
        <f ca="1">IFERROR(__xludf.DUMMYFUNCTION("XLOOKUP($B74,IMPORTRANGE(""https://docs.google.com/spreadsheets/d/1EjEqG6oc_vmuAWwHnH51YMvSMVUVePUqNn9zZBOmHT8/edit#gid=757525651"",""'Allocation Breakdown'!A4:A187""),IMPORTRANGE(""https://docs.google.com/spreadsheets/d/1EjEqG6oc_vmuAWwHnH51YMvSMVUVePUqN"&amp;"n9zZBOmHT8/edit#gid=757525651"",""'Allocation Breakdown'!G4:G187""))"),"")</f>
        <v/>
      </c>
      <c r="K74" s="30">
        <f ca="1">IFERROR(__xludf.DUMMYFUNCTION("XLOOKUP($B74,IMPORTRANGE(""https://docs.google.com/spreadsheets/d/1EjEqG6oc_vmuAWwHnH51YMvSMVUVePUqNn9zZBOmHT8/edit#gid=757525651"",""'Allocation Breakdown'!A4:A187""),IMPORTRANGE(""https://docs.google.com/spreadsheets/d/1EjEqG6oc_vmuAWwHnH51YMvSMVUVePUqN"&amp;"n9zZBOmHT8/edit#gid=757525651"",""'Allocation Breakdown'!I4:I187""))*K$119"),0)</f>
        <v>0</v>
      </c>
      <c r="L74" s="30">
        <f ca="1">IFERROR(__xludf.DUMMYFUNCTION("XLOOKUP($B74,IMPORTRANGE(""https://docs.google.com/spreadsheets/d/1EjEqG6oc_vmuAWwHnH51YMvSMVUVePUqNn9zZBOmHT8/edit#gid=757525651"",""'Allocation Breakdown'!A4:A187""),IMPORTRANGE(""https://docs.google.com/spreadsheets/d/1EjEqG6oc_vmuAWwHnH51YMvSMVUVePUqN"&amp;"n9zZBOmHT8/edit#gid=757525651"",""'Allocation Breakdown'!j4:j187""))*L$119"),0)</f>
        <v>0</v>
      </c>
      <c r="M74" s="30">
        <f ca="1">IFERROR(__xludf.DUMMYFUNCTION("XLOOKUP($B74,IMPORTRANGE(""https://docs.google.com/spreadsheets/d/1EjEqG6oc_vmuAWwHnH51YMvSMVUVePUqNn9zZBOmHT8/edit#gid=757525651"",""'Allocation Breakdown'!A4:A187""),IMPORTRANGE(""https://docs.google.com/spreadsheets/d/1EjEqG6oc_vmuAWwHnH51YMvSMVUVePUqN"&amp;"n9zZBOmHT8/edit#gid=757525651"",""'Allocation Breakdown'!K4:K187""))*M$119"),0)</f>
        <v>0</v>
      </c>
      <c r="N74" s="30">
        <f ca="1">IFERROR(__xludf.DUMMYFUNCTION("XLOOKUP($B74,IMPORTRANGE(""https://docs.google.com/spreadsheets/d/1EjEqG6oc_vmuAWwHnH51YMvSMVUVePUqNn9zZBOmHT8/edit#gid=757525651"",""'Allocation Breakdown'!A4:A187""),IMPORTRANGE(""https://docs.google.com/spreadsheets/d/1EjEqG6oc_vmuAWwHnH51YMvSMVUVePUqN"&amp;"n9zZBOmHT8/edit#gid=757525651"",""'Allocation Breakdown'!l4:l187""))*N$119"),0)</f>
        <v>0</v>
      </c>
      <c r="O74" s="30">
        <f ca="1">IFERROR(__xludf.DUMMYFUNCTION("XLOOKUP($B74,IMPORTRANGE(""https://docs.google.com/spreadsheets/d/1EjEqG6oc_vmuAWwHnH51YMvSMVUVePUqNn9zZBOmHT8/edit#gid=757525651"",""'Allocation Breakdown'!A4:A187""),IMPORTRANGE(""https://docs.google.com/spreadsheets/d/1EjEqG6oc_vmuAWwHnH51YMvSMVUVePUqN"&amp;"n9zZBOmHT8/edit#gid=757525651"",""'Allocation Breakdown'!n4:n187""))*O$119"),0)</f>
        <v>0</v>
      </c>
      <c r="P74" s="30">
        <f ca="1">IFERROR(__xludf.DUMMYFUNCTION("XLOOKUP($B74,IMPORTRANGE(""https://docs.google.com/spreadsheets/d/1EjEqG6oc_vmuAWwHnH51YMvSMVUVePUqNn9zZBOmHT8/edit#gid=757525651"",""'Allocation Breakdown'!A4:A187""),IMPORTRANGE(""https://docs.google.com/spreadsheets/d/1EjEqG6oc_vmuAWwHnH51YMvSMVUVePUqN"&amp;"n9zZBOmHT8/edit#gid=757525651"",""'Allocation Breakdown'!o4:o187""))*P$119"),0)</f>
        <v>0</v>
      </c>
      <c r="Q74" s="30">
        <f ca="1">IFERROR(__xludf.DUMMYFUNCTION("XLOOKUP($B74,IMPORTRANGE(""https://docs.google.com/spreadsheets/d/1EjEqG6oc_vmuAWwHnH51YMvSMVUVePUqNn9zZBOmHT8/edit#gid=757525651"",""'Allocation Breakdown'!A4:A187""),IMPORTRANGE(""https://docs.google.com/spreadsheets/d/1EjEqG6oc_vmuAWwHnH51YMvSMVUVePUqN"&amp;"n9zZBOmHT8/edit#gid=757525651"",""'Allocation Breakdown'!p4:p187""))*Q$119"),0)</f>
        <v>0</v>
      </c>
      <c r="R74" s="30">
        <f ca="1">IFERROR(__xludf.DUMMYFUNCTION("XLOOKUP($B74,IMPORTRANGE(""https://docs.google.com/spreadsheets/d/1EjEqG6oc_vmuAWwHnH51YMvSMVUVePUqNn9zZBOmHT8/edit#gid=757525651"",""'Allocation Breakdown'!A4:A187""),IMPORTRANGE(""https://docs.google.com/spreadsheets/d/1EjEqG6oc_vmuAWwHnH51YMvSMVUVePUqN"&amp;"n9zZBOmHT8/edit#gid=757525651"",""'Allocation Breakdown'!q4:q187""))*R$119"),0)</f>
        <v>0</v>
      </c>
      <c r="S74" s="30">
        <f ca="1">IFERROR(__xludf.DUMMYFUNCTION("XLOOKUP($B74,IMPORTRANGE(""https://docs.google.com/spreadsheets/d/1EjEqG6oc_vmuAWwHnH51YMvSMVUVePUqNn9zZBOmHT8/edit#gid=757525651"",""'Allocation Breakdown'!A4:A187""),IMPORTRANGE(""https://docs.google.com/spreadsheets/d/1EjEqG6oc_vmuAWwHnH51YMvSMVUVePUqN"&amp;"n9zZBOmHT8/edit#gid=757525651"",""'Allocation Breakdown'!r4:r187""))*S$119"),0)</f>
        <v>0</v>
      </c>
      <c r="T74" s="30">
        <f ca="1">IFERROR(__xludf.DUMMYFUNCTION("XLOOKUP($B74,IMPORTRANGE(""https://docs.google.com/spreadsheets/d/1EjEqG6oc_vmuAWwHnH51YMvSMVUVePUqNn9zZBOmHT8/edit#gid=757525651"",""'Allocation Breakdown'!A4:A187""),IMPORTRANGE(""https://docs.google.com/spreadsheets/d/1EjEqG6oc_vmuAWwHnH51YMvSMVUVePUqN"&amp;"n9zZBOmHT8/edit#gid=757525651"",""'Allocation Breakdown'!t4:t187""))*T$119"),21000)</f>
        <v>21000</v>
      </c>
      <c r="U74" s="30">
        <f ca="1">IFERROR(__xludf.DUMMYFUNCTION("XLOOKUP($B74,IMPORTRANGE(""https://docs.google.com/spreadsheets/d/1EjEqG6oc_vmuAWwHnH51YMvSMVUVePUqNn9zZBOmHT8/edit#gid=757525651"",""'Allocation Breakdown'!A4:A187""),IMPORTRANGE(""https://docs.google.com/spreadsheets/d/1EjEqG6oc_vmuAWwHnH51YMvSMVUVePUqN"&amp;"n9zZBOmHT8/edit#gid=757525651"",""'Allocation Breakdown'!U4:U187""))*U$119"),0)</f>
        <v>0</v>
      </c>
      <c r="V74" s="31">
        <f t="shared" ca="1" si="1"/>
        <v>36000</v>
      </c>
      <c r="W74" s="31">
        <f t="shared" ca="1" si="2"/>
        <v>36000</v>
      </c>
      <c r="Y74" s="34">
        <f ca="1">V74+V40</f>
        <v>305024.3478327</v>
      </c>
      <c r="Z74" s="35" t="s">
        <v>170</v>
      </c>
      <c r="AA74" s="32"/>
      <c r="AB74" s="32"/>
    </row>
    <row r="75" spans="2:28" ht="15.75" customHeight="1">
      <c r="B75" s="28" t="s">
        <v>171</v>
      </c>
      <c r="C75" s="30">
        <f ca="1">IFERROR(__xludf.DUMMYFUNCTION("XLOOKUP($B75,IMPORTRANGE(""https://docs.google.com/spreadsheets/d/1EjEqG6oc_vmuAWwHnH51YMvSMVUVePUqNn9zZBOmHT8/edit#gid=757525651"",""'Allocation Breakdown'!A4:A187""),IMPORTRANGE(""https://docs.google.com/spreadsheets/d/1EjEqG6oc_vmuAWwHnH51YMvSMVUVePUqN"&amp;"n9zZBOmHT8/edit#gid=757525651"",""'Allocation Breakdown'!V4:V187""))*C$119"),0)</f>
        <v>0</v>
      </c>
      <c r="D75" s="30">
        <f ca="1">IFERROR(__xludf.DUMMYFUNCTION("XLOOKUP($B75,IMPORTRANGE(""https://docs.google.com/spreadsheets/d/1EjEqG6oc_vmuAWwHnH51YMvSMVUVePUqNn9zZBOmHT8/edit#gid=757525651"",""'Allocation Breakdown'!A4:A187""),IMPORTRANGE(""https://docs.google.com/spreadsheets/d/1EjEqG6oc_vmuAWwHnH51YMvSMVUVePUqN"&amp;"n9zZBOmHT8/edit#gid=757525651"",""'Allocation Breakdown'!I4:I187""))*$D$119"),0)</f>
        <v>0</v>
      </c>
      <c r="E75" s="30">
        <f ca="1">IFERROR(__xludf.DUMMYFUNCTION("XLOOKUP($B75,IMPORTRANGE(""https://docs.google.com/spreadsheets/d/1EjEqG6oc_vmuAWwHnH51YMvSMVUVePUqNn9zZBOmHT8/edit#gid=757525651"",""'Allocation Breakdown'!A4:A187""),IMPORTRANGE(""https://docs.google.com/spreadsheets/d/1EjEqG6oc_vmuAWwHnH51YMvSMVUVePUqN"&amp;"n9zZBOmHT8/edit#gid=757525651"",""'Allocation Breakdown'!V4:V187""))*E$119"),0)</f>
        <v>0</v>
      </c>
      <c r="F75" s="30">
        <f t="shared" ca="1" si="0"/>
        <v>0</v>
      </c>
      <c r="G75" s="30" t="str">
        <f ca="1">IFERROR(__xludf.DUMMYFUNCTION("XLOOKUP($B75,IMPORTRANGE(""https://docs.google.com/spreadsheets/d/1EjEqG6oc_vmuAWwHnH51YMvSMVUVePUqNn9zZBOmHT8/edit#gid=757525651"",""'Allocation Breakdown'!A4:A187""),IMPORTRANGE(""https://docs.google.com/spreadsheets/d/1EjEqG6oc_vmuAWwHnH51YMvSMVUVePUqN"&amp;"n9zZBOmHT8/edit#gid=757525651"",""'Allocation Breakdown'!D4:D187""))"),"")</f>
        <v/>
      </c>
      <c r="H75" s="30">
        <f ca="1">IFERROR(__xludf.DUMMYFUNCTION("XLOOKUP($B75,IMPORTRANGE(""https://docs.google.com/spreadsheets/d/1EjEqG6oc_vmuAWwHnH51YMvSMVUVePUqNn9zZBOmHT8/edit#gid=757525651"",""'Allocation Breakdown'!A4:A187""),IMPORTRANGE(""https://docs.google.com/spreadsheets/d/1EjEqG6oc_vmuAWwHnH51YMvSMVUVePUqN"&amp;"n9zZBOmHT8/edit#gid=757525651"",""'Allocation Breakdown'!E4:E187""))"),45000)</f>
        <v>45000</v>
      </c>
      <c r="I75" s="30">
        <f ca="1">IFERROR(__xludf.DUMMYFUNCTION("XLOOKUP($B75,IMPORTRANGE(""https://docs.google.com/spreadsheets/d/1EjEqG6oc_vmuAWwHnH51YMvSMVUVePUqNn9zZBOmHT8/edit#gid=757525651"",""'Allocation Breakdown'!A4:A187""),IMPORTRANGE(""https://docs.google.com/spreadsheets/d/1EjEqG6oc_vmuAWwHnH51YMvSMVUVePUqN"&amp;"n9zZBOmHT8/edit#gid=757525651"",""'Allocation Breakdown'!F4:F187""))"),1500)</f>
        <v>1500</v>
      </c>
      <c r="J75" s="30" t="str">
        <f ca="1">IFERROR(__xludf.DUMMYFUNCTION("XLOOKUP($B75,IMPORTRANGE(""https://docs.google.com/spreadsheets/d/1EjEqG6oc_vmuAWwHnH51YMvSMVUVePUqNn9zZBOmHT8/edit#gid=757525651"",""'Allocation Breakdown'!A4:A187""),IMPORTRANGE(""https://docs.google.com/spreadsheets/d/1EjEqG6oc_vmuAWwHnH51YMvSMVUVePUqN"&amp;"n9zZBOmHT8/edit#gid=757525651"",""'Allocation Breakdown'!G4:G187""))"),"")</f>
        <v/>
      </c>
      <c r="K75" s="30">
        <f ca="1">IFERROR(__xludf.DUMMYFUNCTION("XLOOKUP($B75,IMPORTRANGE(""https://docs.google.com/spreadsheets/d/1EjEqG6oc_vmuAWwHnH51YMvSMVUVePUqNn9zZBOmHT8/edit#gid=757525651"",""'Allocation Breakdown'!A4:A187""),IMPORTRANGE(""https://docs.google.com/spreadsheets/d/1EjEqG6oc_vmuAWwHnH51YMvSMVUVePUqN"&amp;"n9zZBOmHT8/edit#gid=757525651"",""'Allocation Breakdown'!I4:I187""))*K$119"),0)</f>
        <v>0</v>
      </c>
      <c r="L75" s="30">
        <f ca="1">IFERROR(__xludf.DUMMYFUNCTION("XLOOKUP($B75,IMPORTRANGE(""https://docs.google.com/spreadsheets/d/1EjEqG6oc_vmuAWwHnH51YMvSMVUVePUqNn9zZBOmHT8/edit#gid=757525651"",""'Allocation Breakdown'!A4:A187""),IMPORTRANGE(""https://docs.google.com/spreadsheets/d/1EjEqG6oc_vmuAWwHnH51YMvSMVUVePUqN"&amp;"n9zZBOmHT8/edit#gid=757525651"",""'Allocation Breakdown'!j4:j187""))*L$119"),0)</f>
        <v>0</v>
      </c>
      <c r="M75" s="30">
        <f ca="1">IFERROR(__xludf.DUMMYFUNCTION("XLOOKUP($B75,IMPORTRANGE(""https://docs.google.com/spreadsheets/d/1EjEqG6oc_vmuAWwHnH51YMvSMVUVePUqNn9zZBOmHT8/edit#gid=757525651"",""'Allocation Breakdown'!A4:A187""),IMPORTRANGE(""https://docs.google.com/spreadsheets/d/1EjEqG6oc_vmuAWwHnH51YMvSMVUVePUqN"&amp;"n9zZBOmHT8/edit#gid=757525651"",""'Allocation Breakdown'!K4:K187""))*M$119"),0)</f>
        <v>0</v>
      </c>
      <c r="N75" s="30">
        <f ca="1">IFERROR(__xludf.DUMMYFUNCTION("XLOOKUP($B75,IMPORTRANGE(""https://docs.google.com/spreadsheets/d/1EjEqG6oc_vmuAWwHnH51YMvSMVUVePUqNn9zZBOmHT8/edit#gid=757525651"",""'Allocation Breakdown'!A4:A187""),IMPORTRANGE(""https://docs.google.com/spreadsheets/d/1EjEqG6oc_vmuAWwHnH51YMvSMVUVePUqN"&amp;"n9zZBOmHT8/edit#gid=757525651"",""'Allocation Breakdown'!l4:l187""))*N$119"),0)</f>
        <v>0</v>
      </c>
      <c r="O75" s="30">
        <f ca="1">IFERROR(__xludf.DUMMYFUNCTION("XLOOKUP($B75,IMPORTRANGE(""https://docs.google.com/spreadsheets/d/1EjEqG6oc_vmuAWwHnH51YMvSMVUVePUqNn9zZBOmHT8/edit#gid=757525651"",""'Allocation Breakdown'!A4:A187""),IMPORTRANGE(""https://docs.google.com/spreadsheets/d/1EjEqG6oc_vmuAWwHnH51YMvSMVUVePUqN"&amp;"n9zZBOmHT8/edit#gid=757525651"",""'Allocation Breakdown'!n4:n187""))*O$119"),0)</f>
        <v>0</v>
      </c>
      <c r="P75" s="30">
        <f ca="1">IFERROR(__xludf.DUMMYFUNCTION("XLOOKUP($B75,IMPORTRANGE(""https://docs.google.com/spreadsheets/d/1EjEqG6oc_vmuAWwHnH51YMvSMVUVePUqNn9zZBOmHT8/edit#gid=757525651"",""'Allocation Breakdown'!A4:A187""),IMPORTRANGE(""https://docs.google.com/spreadsheets/d/1EjEqG6oc_vmuAWwHnH51YMvSMVUVePUqN"&amp;"n9zZBOmHT8/edit#gid=757525651"",""'Allocation Breakdown'!o4:o187""))*P$119"),2500)</f>
        <v>2500</v>
      </c>
      <c r="Q75" s="30">
        <f ca="1">IFERROR(__xludf.DUMMYFUNCTION("XLOOKUP($B75,IMPORTRANGE(""https://docs.google.com/spreadsheets/d/1EjEqG6oc_vmuAWwHnH51YMvSMVUVePUqNn9zZBOmHT8/edit#gid=757525651"",""'Allocation Breakdown'!A4:A187""),IMPORTRANGE(""https://docs.google.com/spreadsheets/d/1EjEqG6oc_vmuAWwHnH51YMvSMVUVePUqN"&amp;"n9zZBOmHT8/edit#gid=757525651"",""'Allocation Breakdown'!p4:p187""))*Q$119"),2000)</f>
        <v>2000</v>
      </c>
      <c r="R75" s="30">
        <f ca="1">IFERROR(__xludf.DUMMYFUNCTION("XLOOKUP($B75,IMPORTRANGE(""https://docs.google.com/spreadsheets/d/1EjEqG6oc_vmuAWwHnH51YMvSMVUVePUqNn9zZBOmHT8/edit#gid=757525651"",""'Allocation Breakdown'!A4:A187""),IMPORTRANGE(""https://docs.google.com/spreadsheets/d/1EjEqG6oc_vmuAWwHnH51YMvSMVUVePUqN"&amp;"n9zZBOmHT8/edit#gid=757525651"",""'Allocation Breakdown'!q4:q187""))*R$119"),0)</f>
        <v>0</v>
      </c>
      <c r="S75" s="30">
        <f ca="1">IFERROR(__xludf.DUMMYFUNCTION("XLOOKUP($B75,IMPORTRANGE(""https://docs.google.com/spreadsheets/d/1EjEqG6oc_vmuAWwHnH51YMvSMVUVePUqNn9zZBOmHT8/edit#gid=757525651"",""'Allocation Breakdown'!A4:A187""),IMPORTRANGE(""https://docs.google.com/spreadsheets/d/1EjEqG6oc_vmuAWwHnH51YMvSMVUVePUqN"&amp;"n9zZBOmHT8/edit#gid=757525651"",""'Allocation Breakdown'!r4:r187""))*S$119"),0)</f>
        <v>0</v>
      </c>
      <c r="T75" s="30">
        <f ca="1">IFERROR(__xludf.DUMMYFUNCTION("XLOOKUP($B75,IMPORTRANGE(""https://docs.google.com/spreadsheets/d/1EjEqG6oc_vmuAWwHnH51YMvSMVUVePUqNn9zZBOmHT8/edit#gid=757525651"",""'Allocation Breakdown'!A4:A187""),IMPORTRANGE(""https://docs.google.com/spreadsheets/d/1EjEqG6oc_vmuAWwHnH51YMvSMVUVePUqN"&amp;"n9zZBOmHT8/edit#gid=757525651"",""'Allocation Breakdown'!t4:t187""))*T$119"),7000)</f>
        <v>7000</v>
      </c>
      <c r="U75" s="30">
        <f ca="1">IFERROR(__xludf.DUMMYFUNCTION("XLOOKUP($B75,IMPORTRANGE(""https://docs.google.com/spreadsheets/d/1EjEqG6oc_vmuAWwHnH51YMvSMVUVePUqNn9zZBOmHT8/edit#gid=757525651"",""'Allocation Breakdown'!A4:A187""),IMPORTRANGE(""https://docs.google.com/spreadsheets/d/1EjEqG6oc_vmuAWwHnH51YMvSMVUVePUqN"&amp;"n9zZBOmHT8/edit#gid=757525651"",""'Allocation Breakdown'!U4:U187""))*U$119"),0)</f>
        <v>0</v>
      </c>
      <c r="V75" s="31">
        <f t="shared" ca="1" si="1"/>
        <v>58000</v>
      </c>
      <c r="W75" s="31">
        <f t="shared" ca="1" si="2"/>
        <v>58000</v>
      </c>
      <c r="Y75" s="36"/>
      <c r="Z75" s="34"/>
      <c r="AA75" s="32"/>
      <c r="AB75" s="32"/>
    </row>
    <row r="76" spans="2:28" ht="15.75" customHeight="1">
      <c r="B76" s="28" t="s">
        <v>172</v>
      </c>
      <c r="C76" s="30">
        <f ca="1">IFERROR(__xludf.DUMMYFUNCTION("XLOOKUP($B76,IMPORTRANGE(""https://docs.google.com/spreadsheets/d/1EjEqG6oc_vmuAWwHnH51YMvSMVUVePUqNn9zZBOmHT8/edit#gid=757525651"",""'Allocation Breakdown'!A4:A187""),IMPORTRANGE(""https://docs.google.com/spreadsheets/d/1EjEqG6oc_vmuAWwHnH51YMvSMVUVePUqN"&amp;"n9zZBOmHT8/edit#gid=757525651"",""'Allocation Breakdown'!V4:V187""))*C$119"),777.38105487)</f>
        <v>777.38105486999996</v>
      </c>
      <c r="D76" s="30">
        <f ca="1">IFERROR(__xludf.DUMMYFUNCTION("XLOOKUP($B76,IMPORTRANGE(""https://docs.google.com/spreadsheets/d/1EjEqG6oc_vmuAWwHnH51YMvSMVUVePUqNn9zZBOmHT8/edit#gid=757525651"",""'Allocation Breakdown'!A4:A187""),IMPORTRANGE(""https://docs.google.com/spreadsheets/d/1EjEqG6oc_vmuAWwHnH51YMvSMVUVePUqN"&amp;"n9zZBOmHT8/edit#gid=757525651"",""'Allocation Breakdown'!I4:I187""))*$D$119"),7112.7958416655)</f>
        <v>7112.7958416655001</v>
      </c>
      <c r="E76" s="30">
        <f ca="1">IFERROR(__xludf.DUMMYFUNCTION("XLOOKUP($B76,IMPORTRANGE(""https://docs.google.com/spreadsheets/d/1EjEqG6oc_vmuAWwHnH51YMvSMVUVePUqNn9zZBOmHT8/edit#gid=757525651"",""'Allocation Breakdown'!A4:A187""),IMPORTRANGE(""https://docs.google.com/spreadsheets/d/1EjEqG6oc_vmuAWwHnH51YMvSMVUVePUqN"&amp;"n9zZBOmHT8/edit#gid=757525651"",""'Allocation Breakdown'!V4:V187""))*E$119"),272.61894513)</f>
        <v>272.61894512999999</v>
      </c>
      <c r="F76" s="30">
        <f t="shared" ca="1" si="0"/>
        <v>7385.4147867954998</v>
      </c>
      <c r="G76" s="30" t="str">
        <f ca="1">IFERROR(__xludf.DUMMYFUNCTION("XLOOKUP($B76,IMPORTRANGE(""https://docs.google.com/spreadsheets/d/1EjEqG6oc_vmuAWwHnH51YMvSMVUVePUqNn9zZBOmHT8/edit#gid=757525651"",""'Allocation Breakdown'!A4:A187""),IMPORTRANGE(""https://docs.google.com/spreadsheets/d/1EjEqG6oc_vmuAWwHnH51YMvSMVUVePUqN"&amp;"n9zZBOmHT8/edit#gid=757525651"",""'Allocation Breakdown'!D4:D187""))"),"")</f>
        <v/>
      </c>
      <c r="H76" s="30">
        <f ca="1">IFERROR(__xludf.DUMMYFUNCTION("XLOOKUP($B76,IMPORTRANGE(""https://docs.google.com/spreadsheets/d/1EjEqG6oc_vmuAWwHnH51YMvSMVUVePUqNn9zZBOmHT8/edit#gid=757525651"",""'Allocation Breakdown'!A4:A187""),IMPORTRANGE(""https://docs.google.com/spreadsheets/d/1EjEqG6oc_vmuAWwHnH51YMvSMVUVePUqN"&amp;"n9zZBOmHT8/edit#gid=757525651"",""'Allocation Breakdown'!E4:E187""))"),100000)</f>
        <v>100000</v>
      </c>
      <c r="I76" s="30" t="str">
        <f ca="1">IFERROR(__xludf.DUMMYFUNCTION("XLOOKUP($B76,IMPORTRANGE(""https://docs.google.com/spreadsheets/d/1EjEqG6oc_vmuAWwHnH51YMvSMVUVePUqNn9zZBOmHT8/edit#gid=757525651"",""'Allocation Breakdown'!A4:A187""),IMPORTRANGE(""https://docs.google.com/spreadsheets/d/1EjEqG6oc_vmuAWwHnH51YMvSMVUVePUqN"&amp;"n9zZBOmHT8/edit#gid=757525651"",""'Allocation Breakdown'!F4:F187""))"),"")</f>
        <v/>
      </c>
      <c r="J76" s="30">
        <f ca="1">IFERROR(__xludf.DUMMYFUNCTION("XLOOKUP($B76,IMPORTRANGE(""https://docs.google.com/spreadsheets/d/1EjEqG6oc_vmuAWwHnH51YMvSMVUVePUqNn9zZBOmHT8/edit#gid=757525651"",""'Allocation Breakdown'!A4:A187""),IMPORTRANGE(""https://docs.google.com/spreadsheets/d/1EjEqG6oc_vmuAWwHnH51YMvSMVUVePUqN"&amp;"n9zZBOmHT8/edit#gid=757525651"",""'Allocation Breakdown'!G4:G187""))"),9175)</f>
        <v>9175</v>
      </c>
      <c r="K76" s="30">
        <f ca="1">IFERROR(__xludf.DUMMYFUNCTION("XLOOKUP($B76,IMPORTRANGE(""https://docs.google.com/spreadsheets/d/1EjEqG6oc_vmuAWwHnH51YMvSMVUVePUqNn9zZBOmHT8/edit#gid=757525651"",""'Allocation Breakdown'!A4:A187""),IMPORTRANGE(""https://docs.google.com/spreadsheets/d/1EjEqG6oc_vmuAWwHnH51YMvSMVUVePUqN"&amp;"n9zZBOmHT8/edit#gid=757525651"",""'Allocation Breakdown'!I4:I187""))*K$119"),624.9384636)</f>
        <v>624.93846359999998</v>
      </c>
      <c r="L76" s="30">
        <f ca="1">IFERROR(__xludf.DUMMYFUNCTION("XLOOKUP($B76,IMPORTRANGE(""https://docs.google.com/spreadsheets/d/1EjEqG6oc_vmuAWwHnH51YMvSMVUVePUqNn9zZBOmHT8/edit#gid=757525651"",""'Allocation Breakdown'!A4:A187""),IMPORTRANGE(""https://docs.google.com/spreadsheets/d/1EjEqG6oc_vmuAWwHnH51YMvSMVUVePUqN"&amp;"n9zZBOmHT8/edit#gid=757525651"",""'Allocation Breakdown'!j4:j187""))*L$119"),3701.5422305)</f>
        <v>3701.5422305000002</v>
      </c>
      <c r="M76" s="30">
        <f ca="1">IFERROR(__xludf.DUMMYFUNCTION("XLOOKUP($B76,IMPORTRANGE(""https://docs.google.com/spreadsheets/d/1EjEqG6oc_vmuAWwHnH51YMvSMVUVePUqNn9zZBOmHT8/edit#gid=757525651"",""'Allocation Breakdown'!A4:A187""),IMPORTRANGE(""https://docs.google.com/spreadsheets/d/1EjEqG6oc_vmuAWwHnH51YMvSMVUVePUqN"&amp;"n9zZBOmHT8/edit#gid=757525651"",""'Allocation Breakdown'!K4:K187""))*M$119"),3588.6226095)</f>
        <v>3588.6226095000002</v>
      </c>
      <c r="N76" s="30">
        <f ca="1">IFERROR(__xludf.DUMMYFUNCTION("XLOOKUP($B76,IMPORTRANGE(""https://docs.google.com/spreadsheets/d/1EjEqG6oc_vmuAWwHnH51YMvSMVUVePUqNn9zZBOmHT8/edit#gid=757525651"",""'Allocation Breakdown'!A4:A187""),IMPORTRANGE(""https://docs.google.com/spreadsheets/d/1EjEqG6oc_vmuAWwHnH51YMvSMVUVePUqN"&amp;"n9zZBOmHT8/edit#gid=757525651"",""'Allocation Breakdown'!l4:l187""))*N$119"),951.8600508)</f>
        <v>951.86005079999995</v>
      </c>
      <c r="O76" s="30">
        <f ca="1">IFERROR(__xludf.DUMMYFUNCTION("XLOOKUP($B76,IMPORTRANGE(""https://docs.google.com/spreadsheets/d/1EjEqG6oc_vmuAWwHnH51YMvSMVUVePUqNn9zZBOmHT8/edit#gid=757525651"",""'Allocation Breakdown'!A4:A187""),IMPORTRANGE(""https://docs.google.com/spreadsheets/d/1EjEqG6oc_vmuAWwHnH51YMvSMVUVePUqN"&amp;"n9zZBOmHT8/edit#gid=757525651"",""'Allocation Breakdown'!n4:n187""))*O$119"),0)</f>
        <v>0</v>
      </c>
      <c r="P76" s="30">
        <f ca="1">IFERROR(__xludf.DUMMYFUNCTION("XLOOKUP($B76,IMPORTRANGE(""https://docs.google.com/spreadsheets/d/1EjEqG6oc_vmuAWwHnH51YMvSMVUVePUqNn9zZBOmHT8/edit#gid=757525651"",""'Allocation Breakdown'!A4:A187""),IMPORTRANGE(""https://docs.google.com/spreadsheets/d/1EjEqG6oc_vmuAWwHnH51YMvSMVUVePUqN"&amp;"n9zZBOmHT8/edit#gid=757525651"",""'Allocation Breakdown'!o4:o187""))*P$119"),0)</f>
        <v>0</v>
      </c>
      <c r="Q76" s="30">
        <f ca="1">IFERROR(__xludf.DUMMYFUNCTION("XLOOKUP($B76,IMPORTRANGE(""https://docs.google.com/spreadsheets/d/1EjEqG6oc_vmuAWwHnH51YMvSMVUVePUqNn9zZBOmHT8/edit#gid=757525651"",""'Allocation Breakdown'!A4:A187""),IMPORTRANGE(""https://docs.google.com/spreadsheets/d/1EjEqG6oc_vmuAWwHnH51YMvSMVUVePUqN"&amp;"n9zZBOmHT8/edit#gid=757525651"",""'Allocation Breakdown'!p4:p187""))*Q$119"),0)</f>
        <v>0</v>
      </c>
      <c r="R76" s="30">
        <f ca="1">IFERROR(__xludf.DUMMYFUNCTION("XLOOKUP($B76,IMPORTRANGE(""https://docs.google.com/spreadsheets/d/1EjEqG6oc_vmuAWwHnH51YMvSMVUVePUqNn9zZBOmHT8/edit#gid=757525651"",""'Allocation Breakdown'!A4:A187""),IMPORTRANGE(""https://docs.google.com/spreadsheets/d/1EjEqG6oc_vmuAWwHnH51YMvSMVUVePUqN"&amp;"n9zZBOmHT8/edit#gid=757525651"",""'Allocation Breakdown'!q4:q187""))*R$119"),2000)</f>
        <v>2000</v>
      </c>
      <c r="S76" s="30">
        <f ca="1">IFERROR(__xludf.DUMMYFUNCTION("XLOOKUP($B76,IMPORTRANGE(""https://docs.google.com/spreadsheets/d/1EjEqG6oc_vmuAWwHnH51YMvSMVUVePUqNn9zZBOmHT8/edit#gid=757525651"",""'Allocation Breakdown'!A4:A187""),IMPORTRANGE(""https://docs.google.com/spreadsheets/d/1EjEqG6oc_vmuAWwHnH51YMvSMVUVePUqN"&amp;"n9zZBOmHT8/edit#gid=757525651"",""'Allocation Breakdown'!r4:r187""))*S$119"),0)</f>
        <v>0</v>
      </c>
      <c r="T76" s="30">
        <f ca="1">IFERROR(__xludf.DUMMYFUNCTION("XLOOKUP($B76,IMPORTRANGE(""https://docs.google.com/spreadsheets/d/1EjEqG6oc_vmuAWwHnH51YMvSMVUVePUqNn9zZBOmHT8/edit#gid=757525651"",""'Allocation Breakdown'!A4:A187""),IMPORTRANGE(""https://docs.google.com/spreadsheets/d/1EjEqG6oc_vmuAWwHnH51YMvSMVUVePUqN"&amp;"n9zZBOmHT8/edit#gid=757525651"",""'Allocation Breakdown'!t4:t187""))*T$119"),7000)</f>
        <v>7000</v>
      </c>
      <c r="U76" s="30">
        <f ca="1">IFERROR(__xludf.DUMMYFUNCTION("XLOOKUP($B76,IMPORTRANGE(""https://docs.google.com/spreadsheets/d/1EjEqG6oc_vmuAWwHnH51YMvSMVUVePUqNn9zZBOmHT8/edit#gid=757525651"",""'Allocation Breakdown'!A4:A187""),IMPORTRANGE(""https://docs.google.com/spreadsheets/d/1EjEqG6oc_vmuAWwHnH51YMvSMVUVePUqN"&amp;"n9zZBOmHT8/edit#gid=757525651"",""'Allocation Breakdown'!U4:U187""))*U$119"),11000)</f>
        <v>11000</v>
      </c>
      <c r="V76" s="31">
        <f t="shared" ca="1" si="1"/>
        <v>138041.96335440001</v>
      </c>
      <c r="W76" s="31">
        <f t="shared" ca="1" si="2"/>
        <v>146204.75919606551</v>
      </c>
      <c r="Y76" s="36"/>
      <c r="Z76" s="34"/>
      <c r="AA76" s="32"/>
      <c r="AB76" s="32"/>
    </row>
    <row r="77" spans="2:28" ht="15.75" customHeight="1">
      <c r="B77" s="28" t="s">
        <v>173</v>
      </c>
      <c r="C77" s="30">
        <f ca="1">IFERROR(__xludf.DUMMYFUNCTION("XLOOKUP($B77,IMPORTRANGE(""https://docs.google.com/spreadsheets/d/1EjEqG6oc_vmuAWwHnH51YMvSMVUVePUqNn9zZBOmHT8/edit#gid=757525651"",""'Allocation Breakdown'!A4:A187""),IMPORTRANGE(""https://docs.google.com/spreadsheets/d/1EjEqG6oc_vmuAWwHnH51YMvSMVUVePUqN"&amp;"n9zZBOmHT8/edit#gid=757525651"",""'Allocation Breakdown'!V4:V187""))*C$119"),0)</f>
        <v>0</v>
      </c>
      <c r="D77" s="30">
        <f ca="1">IFERROR(__xludf.DUMMYFUNCTION("XLOOKUP($B77,IMPORTRANGE(""https://docs.google.com/spreadsheets/d/1EjEqG6oc_vmuAWwHnH51YMvSMVUVePUqNn9zZBOmHT8/edit#gid=757525651"",""'Allocation Breakdown'!A4:A187""),IMPORTRANGE(""https://docs.google.com/spreadsheets/d/1EjEqG6oc_vmuAWwHnH51YMvSMVUVePUqN"&amp;"n9zZBOmHT8/edit#gid=757525651"",""'Allocation Breakdown'!I4:I187""))*$D$119"),7112.7958416655)</f>
        <v>7112.7958416655001</v>
      </c>
      <c r="E77" s="30">
        <f ca="1">IFERROR(__xludf.DUMMYFUNCTION("XLOOKUP($B77,IMPORTRANGE(""https://docs.google.com/spreadsheets/d/1EjEqG6oc_vmuAWwHnH51YMvSMVUVePUqNn9zZBOmHT8/edit#gid=757525651"",""'Allocation Breakdown'!A4:A187""),IMPORTRANGE(""https://docs.google.com/spreadsheets/d/1EjEqG6oc_vmuAWwHnH51YMvSMVUVePUqN"&amp;"n9zZBOmHT8/edit#gid=757525651"",""'Allocation Breakdown'!V4:V187""))*E$119"),0)</f>
        <v>0</v>
      </c>
      <c r="F77" s="30">
        <f t="shared" ca="1" si="0"/>
        <v>7112.7958416655001</v>
      </c>
      <c r="G77" s="30" t="str">
        <f ca="1">IFERROR(__xludf.DUMMYFUNCTION("XLOOKUP($B77,IMPORTRANGE(""https://docs.google.com/spreadsheets/d/1EjEqG6oc_vmuAWwHnH51YMvSMVUVePUqNn9zZBOmHT8/edit#gid=757525651"",""'Allocation Breakdown'!A4:A187""),IMPORTRANGE(""https://docs.google.com/spreadsheets/d/1EjEqG6oc_vmuAWwHnH51YMvSMVUVePUqN"&amp;"n9zZBOmHT8/edit#gid=757525651"",""'Allocation Breakdown'!D4:D187""))"),"")</f>
        <v/>
      </c>
      <c r="H77" s="30">
        <f ca="1">IFERROR(__xludf.DUMMYFUNCTION("XLOOKUP($B77,IMPORTRANGE(""https://docs.google.com/spreadsheets/d/1EjEqG6oc_vmuAWwHnH51YMvSMVUVePUqNn9zZBOmHT8/edit#gid=757525651"",""'Allocation Breakdown'!A4:A187""),IMPORTRANGE(""https://docs.google.com/spreadsheets/d/1EjEqG6oc_vmuAWwHnH51YMvSMVUVePUqN"&amp;"n9zZBOmHT8/edit#gid=757525651"",""'Allocation Breakdown'!E4:E187""))"),60000)</f>
        <v>60000</v>
      </c>
      <c r="I77" s="30">
        <f ca="1">IFERROR(__xludf.DUMMYFUNCTION("XLOOKUP($B77,IMPORTRANGE(""https://docs.google.com/spreadsheets/d/1EjEqG6oc_vmuAWwHnH51YMvSMVUVePUqNn9zZBOmHT8/edit#gid=757525651"",""'Allocation Breakdown'!A4:A187""),IMPORTRANGE(""https://docs.google.com/spreadsheets/d/1EjEqG6oc_vmuAWwHnH51YMvSMVUVePUqN"&amp;"n9zZBOmHT8/edit#gid=757525651"",""'Allocation Breakdown'!F4:F187""))"),15000)</f>
        <v>15000</v>
      </c>
      <c r="J77" s="30">
        <f ca="1">IFERROR(__xludf.DUMMYFUNCTION("XLOOKUP($B77,IMPORTRANGE(""https://docs.google.com/spreadsheets/d/1EjEqG6oc_vmuAWwHnH51YMvSMVUVePUqNn9zZBOmHT8/edit#gid=757525651"",""'Allocation Breakdown'!A4:A187""),IMPORTRANGE(""https://docs.google.com/spreadsheets/d/1EjEqG6oc_vmuAWwHnH51YMvSMVUVePUqN"&amp;"n9zZBOmHT8/edit#gid=757525651"",""'Allocation Breakdown'!G4:G187""))"),2500)</f>
        <v>2500</v>
      </c>
      <c r="K77" s="30">
        <f ca="1">IFERROR(__xludf.DUMMYFUNCTION("XLOOKUP($B77,IMPORTRANGE(""https://docs.google.com/spreadsheets/d/1EjEqG6oc_vmuAWwHnH51YMvSMVUVePUqNn9zZBOmHT8/edit#gid=757525651"",""'Allocation Breakdown'!A4:A187""),IMPORTRANGE(""https://docs.google.com/spreadsheets/d/1EjEqG6oc_vmuAWwHnH51YMvSMVUVePUqN"&amp;"n9zZBOmHT8/edit#gid=757525651"",""'Allocation Breakdown'!I4:I187""))*K$119"),624.9384636)</f>
        <v>624.93846359999998</v>
      </c>
      <c r="L77" s="30">
        <f ca="1">IFERROR(__xludf.DUMMYFUNCTION("XLOOKUP($B77,IMPORTRANGE(""https://docs.google.com/spreadsheets/d/1EjEqG6oc_vmuAWwHnH51YMvSMVUVePUqNn9zZBOmHT8/edit#gid=757525651"",""'Allocation Breakdown'!A4:A187""),IMPORTRANGE(""https://docs.google.com/spreadsheets/d/1EjEqG6oc_vmuAWwHnH51YMvSMVUVePUqN"&amp;"n9zZBOmHT8/edit#gid=757525651"",""'Allocation Breakdown'!j4:j187""))*L$119"),3701.5422305)</f>
        <v>3701.5422305000002</v>
      </c>
      <c r="M77" s="30">
        <f ca="1">IFERROR(__xludf.DUMMYFUNCTION("XLOOKUP($B77,IMPORTRANGE(""https://docs.google.com/spreadsheets/d/1EjEqG6oc_vmuAWwHnH51YMvSMVUVePUqNn9zZBOmHT8/edit#gid=757525651"",""'Allocation Breakdown'!A4:A187""),IMPORTRANGE(""https://docs.google.com/spreadsheets/d/1EjEqG6oc_vmuAWwHnH51YMvSMVUVePUqN"&amp;"n9zZBOmHT8/edit#gid=757525651"",""'Allocation Breakdown'!K4:K187""))*M$119"),2153.1735657)</f>
        <v>2153.1735656999999</v>
      </c>
      <c r="N77" s="30">
        <f ca="1">IFERROR(__xludf.DUMMYFUNCTION("XLOOKUP($B77,IMPORTRANGE(""https://docs.google.com/spreadsheets/d/1EjEqG6oc_vmuAWwHnH51YMvSMVUVePUqNn9zZBOmHT8/edit#gid=757525651"",""'Allocation Breakdown'!A4:A187""),IMPORTRANGE(""https://docs.google.com/spreadsheets/d/1EjEqG6oc_vmuAWwHnH51YMvSMVUVePUqN"&amp;"n9zZBOmHT8/edit#gid=757525651"",""'Allocation Breakdown'!l4:l187""))*N$119"),951.8600508)</f>
        <v>951.86005079999995</v>
      </c>
      <c r="O77" s="30">
        <f ca="1">IFERROR(__xludf.DUMMYFUNCTION("XLOOKUP($B77,IMPORTRANGE(""https://docs.google.com/spreadsheets/d/1EjEqG6oc_vmuAWwHnH51YMvSMVUVePUqNn9zZBOmHT8/edit#gid=757525651"",""'Allocation Breakdown'!A4:A187""),IMPORTRANGE(""https://docs.google.com/spreadsheets/d/1EjEqG6oc_vmuAWwHnH51YMvSMVUVePUqN"&amp;"n9zZBOmHT8/edit#gid=757525651"",""'Allocation Breakdown'!n4:n187""))*O$119"),0)</f>
        <v>0</v>
      </c>
      <c r="P77" s="30">
        <f ca="1">IFERROR(__xludf.DUMMYFUNCTION("XLOOKUP($B77,IMPORTRANGE(""https://docs.google.com/spreadsheets/d/1EjEqG6oc_vmuAWwHnH51YMvSMVUVePUqNn9zZBOmHT8/edit#gid=757525651"",""'Allocation Breakdown'!A4:A187""),IMPORTRANGE(""https://docs.google.com/spreadsheets/d/1EjEqG6oc_vmuAWwHnH51YMvSMVUVePUqN"&amp;"n9zZBOmHT8/edit#gid=757525651"",""'Allocation Breakdown'!o4:o187""))*P$119"),2200)</f>
        <v>2200</v>
      </c>
      <c r="Q77" s="30">
        <f ca="1">IFERROR(__xludf.DUMMYFUNCTION("XLOOKUP($B77,IMPORTRANGE(""https://docs.google.com/spreadsheets/d/1EjEqG6oc_vmuAWwHnH51YMvSMVUVePUqNn9zZBOmHT8/edit#gid=757525651"",""'Allocation Breakdown'!A4:A187""),IMPORTRANGE(""https://docs.google.com/spreadsheets/d/1EjEqG6oc_vmuAWwHnH51YMvSMVUVePUqN"&amp;"n9zZBOmHT8/edit#gid=757525651"",""'Allocation Breakdown'!p4:p187""))*Q$119"),2000)</f>
        <v>2000</v>
      </c>
      <c r="R77" s="30">
        <f ca="1">IFERROR(__xludf.DUMMYFUNCTION("XLOOKUP($B77,IMPORTRANGE(""https://docs.google.com/spreadsheets/d/1EjEqG6oc_vmuAWwHnH51YMvSMVUVePUqNn9zZBOmHT8/edit#gid=757525651"",""'Allocation Breakdown'!A4:A187""),IMPORTRANGE(""https://docs.google.com/spreadsheets/d/1EjEqG6oc_vmuAWwHnH51YMvSMVUVePUqN"&amp;"n9zZBOmHT8/edit#gid=757525651"",""'Allocation Breakdown'!q4:q187""))*R$119"),2000)</f>
        <v>2000</v>
      </c>
      <c r="S77" s="30">
        <f ca="1">IFERROR(__xludf.DUMMYFUNCTION("XLOOKUP($B77,IMPORTRANGE(""https://docs.google.com/spreadsheets/d/1EjEqG6oc_vmuAWwHnH51YMvSMVUVePUqNn9zZBOmHT8/edit#gid=757525651"",""'Allocation Breakdown'!A4:A187""),IMPORTRANGE(""https://docs.google.com/spreadsheets/d/1EjEqG6oc_vmuAWwHnH51YMvSMVUVePUqN"&amp;"n9zZBOmHT8/edit#gid=757525651"",""'Allocation Breakdown'!r4:r187""))*S$119"),2000)</f>
        <v>2000</v>
      </c>
      <c r="T77" s="30">
        <f ca="1">IFERROR(__xludf.DUMMYFUNCTION("XLOOKUP($B77,IMPORTRANGE(""https://docs.google.com/spreadsheets/d/1EjEqG6oc_vmuAWwHnH51YMvSMVUVePUqNn9zZBOmHT8/edit#gid=757525651"",""'Allocation Breakdown'!A4:A187""),IMPORTRANGE(""https://docs.google.com/spreadsheets/d/1EjEqG6oc_vmuAWwHnH51YMvSMVUVePUqN"&amp;"n9zZBOmHT8/edit#gid=757525651"",""'Allocation Breakdown'!t4:t187""))*T$119"),7000)</f>
        <v>7000</v>
      </c>
      <c r="U77" s="30">
        <f ca="1">IFERROR(__xludf.DUMMYFUNCTION("XLOOKUP($B77,IMPORTRANGE(""https://docs.google.com/spreadsheets/d/1EjEqG6oc_vmuAWwHnH51YMvSMVUVePUqNn9zZBOmHT8/edit#gid=757525651"",""'Allocation Breakdown'!A4:A187""),IMPORTRANGE(""https://docs.google.com/spreadsheets/d/1EjEqG6oc_vmuAWwHnH51YMvSMVUVePUqN"&amp;"n9zZBOmHT8/edit#gid=757525651"",""'Allocation Breakdown'!U4:U187""))*U$119"),11000)</f>
        <v>11000</v>
      </c>
      <c r="V77" s="31">
        <f t="shared" ca="1" si="1"/>
        <v>111131.51431059999</v>
      </c>
      <c r="W77" s="31">
        <f t="shared" ca="1" si="2"/>
        <v>118244.31015226549</v>
      </c>
      <c r="Y77" s="36"/>
      <c r="Z77" s="34"/>
      <c r="AA77" s="32"/>
      <c r="AB77" s="32"/>
    </row>
    <row r="78" spans="2:28" ht="15.75" customHeight="1">
      <c r="B78" s="28" t="s">
        <v>174</v>
      </c>
      <c r="C78" s="30">
        <f ca="1">IFERROR(__xludf.DUMMYFUNCTION("XLOOKUP($B78,IMPORTRANGE(""https://docs.google.com/spreadsheets/d/1EjEqG6oc_vmuAWwHnH51YMvSMVUVePUqNn9zZBOmHT8/edit#gid=757525651"",""'Allocation Breakdown'!A4:A187""),IMPORTRANGE(""https://docs.google.com/spreadsheets/d/1EjEqG6oc_vmuAWwHnH51YMvSMVUVePUqN"&amp;"n9zZBOmHT8/edit#gid=757525651"",""'Allocation Breakdown'!V4:V187""))*C$119"),0)</f>
        <v>0</v>
      </c>
      <c r="D78" s="30">
        <f ca="1">IFERROR(__xludf.DUMMYFUNCTION("XLOOKUP($B78,IMPORTRANGE(""https://docs.google.com/spreadsheets/d/1EjEqG6oc_vmuAWwHnH51YMvSMVUVePUqNn9zZBOmHT8/edit#gid=757525651"",""'Allocation Breakdown'!A4:A187""),IMPORTRANGE(""https://docs.google.com/spreadsheets/d/1EjEqG6oc_vmuAWwHnH51YMvSMVUVePUqN"&amp;"n9zZBOmHT8/edit#gid=757525651"",""'Allocation Breakdown'!I4:I187""))*$D$119"),7112.7958416655)</f>
        <v>7112.7958416655001</v>
      </c>
      <c r="E78" s="30">
        <f ca="1">IFERROR(__xludf.DUMMYFUNCTION("XLOOKUP($B78,IMPORTRANGE(""https://docs.google.com/spreadsheets/d/1EjEqG6oc_vmuAWwHnH51YMvSMVUVePUqNn9zZBOmHT8/edit#gid=757525651"",""'Allocation Breakdown'!A4:A187""),IMPORTRANGE(""https://docs.google.com/spreadsheets/d/1EjEqG6oc_vmuAWwHnH51YMvSMVUVePUqN"&amp;"n9zZBOmHT8/edit#gid=757525651"",""'Allocation Breakdown'!V4:V187""))*E$119"),0)</f>
        <v>0</v>
      </c>
      <c r="F78" s="30">
        <f t="shared" ca="1" si="0"/>
        <v>7112.7958416655001</v>
      </c>
      <c r="G78" s="30" t="str">
        <f ca="1">IFERROR(__xludf.DUMMYFUNCTION("XLOOKUP($B78,IMPORTRANGE(""https://docs.google.com/spreadsheets/d/1EjEqG6oc_vmuAWwHnH51YMvSMVUVePUqNn9zZBOmHT8/edit#gid=757525651"",""'Allocation Breakdown'!A4:A187""),IMPORTRANGE(""https://docs.google.com/spreadsheets/d/1EjEqG6oc_vmuAWwHnH51YMvSMVUVePUqN"&amp;"n9zZBOmHT8/edit#gid=757525651"",""'Allocation Breakdown'!D4:D187""))"),"")</f>
        <v/>
      </c>
      <c r="H78" s="30">
        <f ca="1">IFERROR(__xludf.DUMMYFUNCTION("XLOOKUP($B78,IMPORTRANGE(""https://docs.google.com/spreadsheets/d/1EjEqG6oc_vmuAWwHnH51YMvSMVUVePUqNn9zZBOmHT8/edit#gid=757525651"",""'Allocation Breakdown'!A4:A187""),IMPORTRANGE(""https://docs.google.com/spreadsheets/d/1EjEqG6oc_vmuAWwHnH51YMvSMVUVePUqN"&amp;"n9zZBOmHT8/edit#gid=757525651"",""'Allocation Breakdown'!E4:E187""))"),28000)</f>
        <v>28000</v>
      </c>
      <c r="I78" s="30">
        <f ca="1">IFERROR(__xludf.DUMMYFUNCTION("XLOOKUP($B78,IMPORTRANGE(""https://docs.google.com/spreadsheets/d/1EjEqG6oc_vmuAWwHnH51YMvSMVUVePUqNn9zZBOmHT8/edit#gid=757525651"",""'Allocation Breakdown'!A4:A187""),IMPORTRANGE(""https://docs.google.com/spreadsheets/d/1EjEqG6oc_vmuAWwHnH51YMvSMVUVePUqN"&amp;"n9zZBOmHT8/edit#gid=757525651"",""'Allocation Breakdown'!F4:F187""))"),18000)</f>
        <v>18000</v>
      </c>
      <c r="J78" s="30">
        <f ca="1">IFERROR(__xludf.DUMMYFUNCTION("XLOOKUP($B78,IMPORTRANGE(""https://docs.google.com/spreadsheets/d/1EjEqG6oc_vmuAWwHnH51YMvSMVUVePUqNn9zZBOmHT8/edit#gid=757525651"",""'Allocation Breakdown'!A4:A187""),IMPORTRANGE(""https://docs.google.com/spreadsheets/d/1EjEqG6oc_vmuAWwHnH51YMvSMVUVePUqN"&amp;"n9zZBOmHT8/edit#gid=757525651"",""'Allocation Breakdown'!G4:G187""))"),9175)</f>
        <v>9175</v>
      </c>
      <c r="K78" s="30">
        <f ca="1">IFERROR(__xludf.DUMMYFUNCTION("XLOOKUP($B78,IMPORTRANGE(""https://docs.google.com/spreadsheets/d/1EjEqG6oc_vmuAWwHnH51YMvSMVUVePUqNn9zZBOmHT8/edit#gid=757525651"",""'Allocation Breakdown'!A4:A187""),IMPORTRANGE(""https://docs.google.com/spreadsheets/d/1EjEqG6oc_vmuAWwHnH51YMvSMVUVePUqN"&amp;"n9zZBOmHT8/edit#gid=757525651"",""'Allocation Breakdown'!I4:I187""))*K$119"),624.9384636)</f>
        <v>624.93846359999998</v>
      </c>
      <c r="L78" s="30">
        <f ca="1">IFERROR(__xludf.DUMMYFUNCTION("XLOOKUP($B78,IMPORTRANGE(""https://docs.google.com/spreadsheets/d/1EjEqG6oc_vmuAWwHnH51YMvSMVUVePUqNn9zZBOmHT8/edit#gid=757525651"",""'Allocation Breakdown'!A4:A187""),IMPORTRANGE(""https://docs.google.com/spreadsheets/d/1EjEqG6oc_vmuAWwHnH51YMvSMVUVePUqN"&amp;"n9zZBOmHT8/edit#gid=757525651"",""'Allocation Breakdown'!j4:j187""))*L$119"),3701.5422305)</f>
        <v>3701.5422305000002</v>
      </c>
      <c r="M78" s="30">
        <f ca="1">IFERROR(__xludf.DUMMYFUNCTION("XLOOKUP($B78,IMPORTRANGE(""https://docs.google.com/spreadsheets/d/1EjEqG6oc_vmuAWwHnH51YMvSMVUVePUqNn9zZBOmHT8/edit#gid=757525651"",""'Allocation Breakdown'!A4:A187""),IMPORTRANGE(""https://docs.google.com/spreadsheets/d/1EjEqG6oc_vmuAWwHnH51YMvSMVUVePUqN"&amp;"n9zZBOmHT8/edit#gid=757525651"",""'Allocation Breakdown'!K4:K187""))*M$119"),3588.6226095)</f>
        <v>3588.6226095000002</v>
      </c>
      <c r="N78" s="30">
        <f ca="1">IFERROR(__xludf.DUMMYFUNCTION("XLOOKUP($B78,IMPORTRANGE(""https://docs.google.com/spreadsheets/d/1EjEqG6oc_vmuAWwHnH51YMvSMVUVePUqNn9zZBOmHT8/edit#gid=757525651"",""'Allocation Breakdown'!A4:A187""),IMPORTRANGE(""https://docs.google.com/spreadsheets/d/1EjEqG6oc_vmuAWwHnH51YMvSMVUVePUqN"&amp;"n9zZBOmHT8/edit#gid=757525651"",""'Allocation Breakdown'!l4:l187""))*N$119"),951.8600508)</f>
        <v>951.86005079999995</v>
      </c>
      <c r="O78" s="30">
        <f ca="1">IFERROR(__xludf.DUMMYFUNCTION("XLOOKUP($B78,IMPORTRANGE(""https://docs.google.com/spreadsheets/d/1EjEqG6oc_vmuAWwHnH51YMvSMVUVePUqNn9zZBOmHT8/edit#gid=757525651"",""'Allocation Breakdown'!A4:A187""),IMPORTRANGE(""https://docs.google.com/spreadsheets/d/1EjEqG6oc_vmuAWwHnH51YMvSMVUVePUqN"&amp;"n9zZBOmHT8/edit#gid=757525651"",""'Allocation Breakdown'!n4:n187""))*O$119"),0)</f>
        <v>0</v>
      </c>
      <c r="P78" s="30">
        <f ca="1">IFERROR(__xludf.DUMMYFUNCTION("XLOOKUP($B78,IMPORTRANGE(""https://docs.google.com/spreadsheets/d/1EjEqG6oc_vmuAWwHnH51YMvSMVUVePUqNn9zZBOmHT8/edit#gid=757525651"",""'Allocation Breakdown'!A4:A187""),IMPORTRANGE(""https://docs.google.com/spreadsheets/d/1EjEqG6oc_vmuAWwHnH51YMvSMVUVePUqN"&amp;"n9zZBOmHT8/edit#gid=757525651"",""'Allocation Breakdown'!o4:o187""))*P$119"),2200)</f>
        <v>2200</v>
      </c>
      <c r="Q78" s="30">
        <f ca="1">IFERROR(__xludf.DUMMYFUNCTION("XLOOKUP($B78,IMPORTRANGE(""https://docs.google.com/spreadsheets/d/1EjEqG6oc_vmuAWwHnH51YMvSMVUVePUqNn9zZBOmHT8/edit#gid=757525651"",""'Allocation Breakdown'!A4:A187""),IMPORTRANGE(""https://docs.google.com/spreadsheets/d/1EjEqG6oc_vmuAWwHnH51YMvSMVUVePUqN"&amp;"n9zZBOmHT8/edit#gid=757525651"",""'Allocation Breakdown'!p4:p187""))*Q$119"),2000)</f>
        <v>2000</v>
      </c>
      <c r="R78" s="30">
        <f ca="1">IFERROR(__xludf.DUMMYFUNCTION("XLOOKUP($B78,IMPORTRANGE(""https://docs.google.com/spreadsheets/d/1EjEqG6oc_vmuAWwHnH51YMvSMVUVePUqNn9zZBOmHT8/edit#gid=757525651"",""'Allocation Breakdown'!A4:A187""),IMPORTRANGE(""https://docs.google.com/spreadsheets/d/1EjEqG6oc_vmuAWwHnH51YMvSMVUVePUqN"&amp;"n9zZBOmHT8/edit#gid=757525651"",""'Allocation Breakdown'!q4:q187""))*R$119"),2000)</f>
        <v>2000</v>
      </c>
      <c r="S78" s="30">
        <f ca="1">IFERROR(__xludf.DUMMYFUNCTION("XLOOKUP($B78,IMPORTRANGE(""https://docs.google.com/spreadsheets/d/1EjEqG6oc_vmuAWwHnH51YMvSMVUVePUqNn9zZBOmHT8/edit#gid=757525651"",""'Allocation Breakdown'!A4:A187""),IMPORTRANGE(""https://docs.google.com/spreadsheets/d/1EjEqG6oc_vmuAWwHnH51YMvSMVUVePUqN"&amp;"n9zZBOmHT8/edit#gid=757525651"",""'Allocation Breakdown'!r4:r187""))*S$119"),2000)</f>
        <v>2000</v>
      </c>
      <c r="T78" s="30">
        <f ca="1">IFERROR(__xludf.DUMMYFUNCTION("XLOOKUP($B78,IMPORTRANGE(""https://docs.google.com/spreadsheets/d/1EjEqG6oc_vmuAWwHnH51YMvSMVUVePUqNn9zZBOmHT8/edit#gid=757525651"",""'Allocation Breakdown'!A4:A187""),IMPORTRANGE(""https://docs.google.com/spreadsheets/d/1EjEqG6oc_vmuAWwHnH51YMvSMVUVePUqN"&amp;"n9zZBOmHT8/edit#gid=757525651"",""'Allocation Breakdown'!t4:t187""))*T$119"),7000)</f>
        <v>7000</v>
      </c>
      <c r="U78" s="30">
        <f ca="1">IFERROR(__xludf.DUMMYFUNCTION("XLOOKUP($B78,IMPORTRANGE(""https://docs.google.com/spreadsheets/d/1EjEqG6oc_vmuAWwHnH51YMvSMVUVePUqNn9zZBOmHT8/edit#gid=757525651"",""'Allocation Breakdown'!A4:A187""),IMPORTRANGE(""https://docs.google.com/spreadsheets/d/1EjEqG6oc_vmuAWwHnH51YMvSMVUVePUqN"&amp;"n9zZBOmHT8/edit#gid=757525651"",""'Allocation Breakdown'!U4:U187""))*U$119"),0)</f>
        <v>0</v>
      </c>
      <c r="V78" s="31">
        <f t="shared" ca="1" si="1"/>
        <v>79241.96335440001</v>
      </c>
      <c r="W78" s="31">
        <f t="shared" ca="1" si="2"/>
        <v>86354.759196065512</v>
      </c>
      <c r="Y78" s="36"/>
      <c r="Z78" s="34"/>
      <c r="AA78" s="32"/>
      <c r="AB78" s="32"/>
    </row>
    <row r="79" spans="2:28" ht="15.75" customHeight="1">
      <c r="B79" s="33" t="s">
        <v>175</v>
      </c>
      <c r="C79" s="30">
        <f ca="1">IFERROR(__xludf.DUMMYFUNCTION("XLOOKUP($B79,IMPORTRANGE(""https://docs.google.com/spreadsheets/d/1EjEqG6oc_vmuAWwHnH51YMvSMVUVePUqNn9zZBOmHT8/edit#gid=757525651"",""'Allocation Breakdown'!A4:A187""),IMPORTRANGE(""https://docs.google.com/spreadsheets/d/1EjEqG6oc_vmuAWwHnH51YMvSMVUVePUqN"&amp;"n9zZBOmHT8/edit#gid=757525651"",""'Allocation Breakdown'!V4:V187""))*C$119"),0)</f>
        <v>0</v>
      </c>
      <c r="D79" s="30">
        <f ca="1">IFERROR(__xludf.DUMMYFUNCTION("XLOOKUP($B79,IMPORTRANGE(""https://docs.google.com/spreadsheets/d/1EjEqG6oc_vmuAWwHnH51YMvSMVUVePUqNn9zZBOmHT8/edit#gid=757525651"",""'Allocation Breakdown'!A4:A187""),IMPORTRANGE(""https://docs.google.com/spreadsheets/d/1EjEqG6oc_vmuAWwHnH51YMvSMVUVePUqN"&amp;"n9zZBOmHT8/edit#gid=757525651"",""'Allocation Breakdown'!I4:I187""))*$D$119"),0)</f>
        <v>0</v>
      </c>
      <c r="E79" s="30">
        <f ca="1">IFERROR(__xludf.DUMMYFUNCTION("XLOOKUP($B79,IMPORTRANGE(""https://docs.google.com/spreadsheets/d/1EjEqG6oc_vmuAWwHnH51YMvSMVUVePUqNn9zZBOmHT8/edit#gid=757525651"",""'Allocation Breakdown'!A4:A187""),IMPORTRANGE(""https://docs.google.com/spreadsheets/d/1EjEqG6oc_vmuAWwHnH51YMvSMVUVePUqN"&amp;"n9zZBOmHT8/edit#gid=757525651"",""'Allocation Breakdown'!V4:V187""))*E$119"),0)</f>
        <v>0</v>
      </c>
      <c r="F79" s="30">
        <f t="shared" ca="1" si="0"/>
        <v>0</v>
      </c>
      <c r="G79" s="30" t="str">
        <f ca="1">IFERROR(__xludf.DUMMYFUNCTION("XLOOKUP($B79,IMPORTRANGE(""https://docs.google.com/spreadsheets/d/1EjEqG6oc_vmuAWwHnH51YMvSMVUVePUqNn9zZBOmHT8/edit#gid=757525651"",""'Allocation Breakdown'!A4:A187""),IMPORTRANGE(""https://docs.google.com/spreadsheets/d/1EjEqG6oc_vmuAWwHnH51YMvSMVUVePUqN"&amp;"n9zZBOmHT8/edit#gid=757525651"",""'Allocation Breakdown'!D4:D187""))"),"")</f>
        <v/>
      </c>
      <c r="H79" s="30">
        <f ca="1">IFERROR(__xludf.DUMMYFUNCTION("XLOOKUP($B79,IMPORTRANGE(""https://docs.google.com/spreadsheets/d/1EjEqG6oc_vmuAWwHnH51YMvSMVUVePUqNn9zZBOmHT8/edit#gid=757525651"",""'Allocation Breakdown'!A4:A187""),IMPORTRANGE(""https://docs.google.com/spreadsheets/d/1EjEqG6oc_vmuAWwHnH51YMvSMVUVePUqN"&amp;"n9zZBOmHT8/edit#gid=757525651"",""'Allocation Breakdown'!E4:E187""))"),48000)</f>
        <v>48000</v>
      </c>
      <c r="I79" s="30" t="str">
        <f ca="1">IFERROR(__xludf.DUMMYFUNCTION("XLOOKUP($B79,IMPORTRANGE(""https://docs.google.com/spreadsheets/d/1EjEqG6oc_vmuAWwHnH51YMvSMVUVePUqNn9zZBOmHT8/edit#gid=757525651"",""'Allocation Breakdown'!A4:A187""),IMPORTRANGE(""https://docs.google.com/spreadsheets/d/1EjEqG6oc_vmuAWwHnH51YMvSMVUVePUqN"&amp;"n9zZBOmHT8/edit#gid=757525651"",""'Allocation Breakdown'!F4:F187""))"),"")</f>
        <v/>
      </c>
      <c r="J79" s="30" t="str">
        <f ca="1">IFERROR(__xludf.DUMMYFUNCTION("XLOOKUP($B79,IMPORTRANGE(""https://docs.google.com/spreadsheets/d/1EjEqG6oc_vmuAWwHnH51YMvSMVUVePUqNn9zZBOmHT8/edit#gid=757525651"",""'Allocation Breakdown'!A4:A187""),IMPORTRANGE(""https://docs.google.com/spreadsheets/d/1EjEqG6oc_vmuAWwHnH51YMvSMVUVePUqN"&amp;"n9zZBOmHT8/edit#gid=757525651"",""'Allocation Breakdown'!G4:G187""))"),"")</f>
        <v/>
      </c>
      <c r="K79" s="30">
        <f ca="1">IFERROR(__xludf.DUMMYFUNCTION("XLOOKUP($B79,IMPORTRANGE(""https://docs.google.com/spreadsheets/d/1EjEqG6oc_vmuAWwHnH51YMvSMVUVePUqNn9zZBOmHT8/edit#gid=757525651"",""'Allocation Breakdown'!A4:A187""),IMPORTRANGE(""https://docs.google.com/spreadsheets/d/1EjEqG6oc_vmuAWwHnH51YMvSMVUVePUqN"&amp;"n9zZBOmHT8/edit#gid=757525651"",""'Allocation Breakdown'!I4:I187""))*K$119"),0)</f>
        <v>0</v>
      </c>
      <c r="L79" s="30">
        <f ca="1">IFERROR(__xludf.DUMMYFUNCTION("XLOOKUP($B79,IMPORTRANGE(""https://docs.google.com/spreadsheets/d/1EjEqG6oc_vmuAWwHnH51YMvSMVUVePUqNn9zZBOmHT8/edit#gid=757525651"",""'Allocation Breakdown'!A4:A187""),IMPORTRANGE(""https://docs.google.com/spreadsheets/d/1EjEqG6oc_vmuAWwHnH51YMvSMVUVePUqN"&amp;"n9zZBOmHT8/edit#gid=757525651"",""'Allocation Breakdown'!j4:j187""))*L$119"),0)</f>
        <v>0</v>
      </c>
      <c r="M79" s="30">
        <f ca="1">IFERROR(__xludf.DUMMYFUNCTION("XLOOKUP($B79,IMPORTRANGE(""https://docs.google.com/spreadsheets/d/1EjEqG6oc_vmuAWwHnH51YMvSMVUVePUqNn9zZBOmHT8/edit#gid=757525651"",""'Allocation Breakdown'!A4:A187""),IMPORTRANGE(""https://docs.google.com/spreadsheets/d/1EjEqG6oc_vmuAWwHnH51YMvSMVUVePUqN"&amp;"n9zZBOmHT8/edit#gid=757525651"",""'Allocation Breakdown'!K4:K187""))*M$119"),0)</f>
        <v>0</v>
      </c>
      <c r="N79" s="30">
        <f ca="1">IFERROR(__xludf.DUMMYFUNCTION("XLOOKUP($B79,IMPORTRANGE(""https://docs.google.com/spreadsheets/d/1EjEqG6oc_vmuAWwHnH51YMvSMVUVePUqNn9zZBOmHT8/edit#gid=757525651"",""'Allocation Breakdown'!A4:A187""),IMPORTRANGE(""https://docs.google.com/spreadsheets/d/1EjEqG6oc_vmuAWwHnH51YMvSMVUVePUqN"&amp;"n9zZBOmHT8/edit#gid=757525651"",""'Allocation Breakdown'!l4:l187""))*N$119"),0)</f>
        <v>0</v>
      </c>
      <c r="O79" s="30">
        <f ca="1">IFERROR(__xludf.DUMMYFUNCTION("XLOOKUP($B79,IMPORTRANGE(""https://docs.google.com/spreadsheets/d/1EjEqG6oc_vmuAWwHnH51YMvSMVUVePUqNn9zZBOmHT8/edit#gid=757525651"",""'Allocation Breakdown'!A4:A187""),IMPORTRANGE(""https://docs.google.com/spreadsheets/d/1EjEqG6oc_vmuAWwHnH51YMvSMVUVePUqN"&amp;"n9zZBOmHT8/edit#gid=757525651"",""'Allocation Breakdown'!n4:n187""))*O$119"),0)</f>
        <v>0</v>
      </c>
      <c r="P79" s="30">
        <f ca="1">IFERROR(__xludf.DUMMYFUNCTION("XLOOKUP($B79,IMPORTRANGE(""https://docs.google.com/spreadsheets/d/1EjEqG6oc_vmuAWwHnH51YMvSMVUVePUqNn9zZBOmHT8/edit#gid=757525651"",""'Allocation Breakdown'!A4:A187""),IMPORTRANGE(""https://docs.google.com/spreadsheets/d/1EjEqG6oc_vmuAWwHnH51YMvSMVUVePUqN"&amp;"n9zZBOmHT8/edit#gid=757525651"",""'Allocation Breakdown'!o4:o187""))*P$119"),0)</f>
        <v>0</v>
      </c>
      <c r="Q79" s="30">
        <f ca="1">IFERROR(__xludf.DUMMYFUNCTION("XLOOKUP($B79,IMPORTRANGE(""https://docs.google.com/spreadsheets/d/1EjEqG6oc_vmuAWwHnH51YMvSMVUVePUqNn9zZBOmHT8/edit#gid=757525651"",""'Allocation Breakdown'!A4:A187""),IMPORTRANGE(""https://docs.google.com/spreadsheets/d/1EjEqG6oc_vmuAWwHnH51YMvSMVUVePUqN"&amp;"n9zZBOmHT8/edit#gid=757525651"",""'Allocation Breakdown'!p4:p187""))*Q$119"),0)</f>
        <v>0</v>
      </c>
      <c r="R79" s="30">
        <f ca="1">IFERROR(__xludf.DUMMYFUNCTION("XLOOKUP($B79,IMPORTRANGE(""https://docs.google.com/spreadsheets/d/1EjEqG6oc_vmuAWwHnH51YMvSMVUVePUqNn9zZBOmHT8/edit#gid=757525651"",""'Allocation Breakdown'!A4:A187""),IMPORTRANGE(""https://docs.google.com/spreadsheets/d/1EjEqG6oc_vmuAWwHnH51YMvSMVUVePUqN"&amp;"n9zZBOmHT8/edit#gid=757525651"",""'Allocation Breakdown'!q4:q187""))*R$119"),0)</f>
        <v>0</v>
      </c>
      <c r="S79" s="30">
        <f ca="1">IFERROR(__xludf.DUMMYFUNCTION("XLOOKUP($B79,IMPORTRANGE(""https://docs.google.com/spreadsheets/d/1EjEqG6oc_vmuAWwHnH51YMvSMVUVePUqNn9zZBOmHT8/edit#gid=757525651"",""'Allocation Breakdown'!A4:A187""),IMPORTRANGE(""https://docs.google.com/spreadsheets/d/1EjEqG6oc_vmuAWwHnH51YMvSMVUVePUqN"&amp;"n9zZBOmHT8/edit#gid=757525651"",""'Allocation Breakdown'!r4:r187""))*S$119"),0)</f>
        <v>0</v>
      </c>
      <c r="T79" s="30">
        <f ca="1">IFERROR(__xludf.DUMMYFUNCTION("XLOOKUP($B79,IMPORTRANGE(""https://docs.google.com/spreadsheets/d/1EjEqG6oc_vmuAWwHnH51YMvSMVUVePUqNn9zZBOmHT8/edit#gid=757525651"",""'Allocation Breakdown'!A4:A187""),IMPORTRANGE(""https://docs.google.com/spreadsheets/d/1EjEqG6oc_vmuAWwHnH51YMvSMVUVePUqN"&amp;"n9zZBOmHT8/edit#gid=757525651"",""'Allocation Breakdown'!t4:t187""))*T$119"),7000)</f>
        <v>7000</v>
      </c>
      <c r="U79" s="30">
        <f ca="1">IFERROR(__xludf.DUMMYFUNCTION("XLOOKUP($B79,IMPORTRANGE(""https://docs.google.com/spreadsheets/d/1EjEqG6oc_vmuAWwHnH51YMvSMVUVePUqNn9zZBOmHT8/edit#gid=757525651"",""'Allocation Breakdown'!A4:A187""),IMPORTRANGE(""https://docs.google.com/spreadsheets/d/1EjEqG6oc_vmuAWwHnH51YMvSMVUVePUqN"&amp;"n9zZBOmHT8/edit#gid=757525651"",""'Allocation Breakdown'!U4:U187""))*U$119"),11000)</f>
        <v>11000</v>
      </c>
      <c r="V79" s="31">
        <f t="shared" ca="1" si="1"/>
        <v>66000</v>
      </c>
      <c r="W79" s="31">
        <f t="shared" ca="1" si="2"/>
        <v>66000</v>
      </c>
      <c r="Y79" s="34">
        <f ca="1">V79+V34</f>
        <v>109736.6814898</v>
      </c>
      <c r="Z79" s="35" t="s">
        <v>176</v>
      </c>
      <c r="AA79" s="32"/>
      <c r="AB79" s="32"/>
    </row>
    <row r="80" spans="2:28" ht="15.75" customHeight="1">
      <c r="B80" s="28" t="s">
        <v>177</v>
      </c>
      <c r="C80" s="30">
        <f ca="1">IFERROR(__xludf.DUMMYFUNCTION("XLOOKUP($B80,IMPORTRANGE(""https://docs.google.com/spreadsheets/d/1EjEqG6oc_vmuAWwHnH51YMvSMVUVePUqNn9zZBOmHT8/edit#gid=757525651"",""'Allocation Breakdown'!A4:A187""),IMPORTRANGE(""https://docs.google.com/spreadsheets/d/1EjEqG6oc_vmuAWwHnH51YMvSMVUVePUqN"&amp;"n9zZBOmHT8/edit#gid=757525651"",""'Allocation Breakdown'!V4:V187""))*C$119"),0)</f>
        <v>0</v>
      </c>
      <c r="D80" s="30">
        <f ca="1">IFERROR(__xludf.DUMMYFUNCTION("XLOOKUP($B80,IMPORTRANGE(""https://docs.google.com/spreadsheets/d/1EjEqG6oc_vmuAWwHnH51YMvSMVUVePUqNn9zZBOmHT8/edit#gid=757525651"",""'Allocation Breakdown'!A4:A187""),IMPORTRANGE(""https://docs.google.com/spreadsheets/d/1EjEqG6oc_vmuAWwHnH51YMvSMVUVePUqN"&amp;"n9zZBOmHT8/edit#gid=757525651"",""'Allocation Breakdown'!I4:I187""))*$D$119"),7112.7958416655)</f>
        <v>7112.7958416655001</v>
      </c>
      <c r="E80" s="30">
        <f ca="1">IFERROR(__xludf.DUMMYFUNCTION("XLOOKUP($B80,IMPORTRANGE(""https://docs.google.com/spreadsheets/d/1EjEqG6oc_vmuAWwHnH51YMvSMVUVePUqNn9zZBOmHT8/edit#gid=757525651"",""'Allocation Breakdown'!A4:A187""),IMPORTRANGE(""https://docs.google.com/spreadsheets/d/1EjEqG6oc_vmuAWwHnH51YMvSMVUVePUqN"&amp;"n9zZBOmHT8/edit#gid=757525651"",""'Allocation Breakdown'!V4:V187""))*E$119"),0)</f>
        <v>0</v>
      </c>
      <c r="F80" s="30">
        <f t="shared" ca="1" si="0"/>
        <v>7112.7958416655001</v>
      </c>
      <c r="G80" s="30" t="str">
        <f ca="1">IFERROR(__xludf.DUMMYFUNCTION("XLOOKUP($B80,IMPORTRANGE(""https://docs.google.com/spreadsheets/d/1EjEqG6oc_vmuAWwHnH51YMvSMVUVePUqNn9zZBOmHT8/edit#gid=757525651"",""'Allocation Breakdown'!A4:A187""),IMPORTRANGE(""https://docs.google.com/spreadsheets/d/1EjEqG6oc_vmuAWwHnH51YMvSMVUVePUqN"&amp;"n9zZBOmHT8/edit#gid=757525651"",""'Allocation Breakdown'!D4:D187""))"),"")</f>
        <v/>
      </c>
      <c r="H80" s="30">
        <f ca="1">IFERROR(__xludf.DUMMYFUNCTION("XLOOKUP($B80,IMPORTRANGE(""https://docs.google.com/spreadsheets/d/1EjEqG6oc_vmuAWwHnH51YMvSMVUVePUqNn9zZBOmHT8/edit#gid=757525651"",""'Allocation Breakdown'!A4:A187""),IMPORTRANGE(""https://docs.google.com/spreadsheets/d/1EjEqG6oc_vmuAWwHnH51YMvSMVUVePUqN"&amp;"n9zZBOmHT8/edit#gid=757525651"",""'Allocation Breakdown'!E4:E187""))"),30000)</f>
        <v>30000</v>
      </c>
      <c r="I80" s="30">
        <f ca="1">IFERROR(__xludf.DUMMYFUNCTION("XLOOKUP($B80,IMPORTRANGE(""https://docs.google.com/spreadsheets/d/1EjEqG6oc_vmuAWwHnH51YMvSMVUVePUqNn9zZBOmHT8/edit#gid=757525651"",""'Allocation Breakdown'!A4:A187""),IMPORTRANGE(""https://docs.google.com/spreadsheets/d/1EjEqG6oc_vmuAWwHnH51YMvSMVUVePUqN"&amp;"n9zZBOmHT8/edit#gid=757525651"",""'Allocation Breakdown'!F4:F187""))"),6000)</f>
        <v>6000</v>
      </c>
      <c r="J80" s="30" t="str">
        <f ca="1">IFERROR(__xludf.DUMMYFUNCTION("XLOOKUP($B80,IMPORTRANGE(""https://docs.google.com/spreadsheets/d/1EjEqG6oc_vmuAWwHnH51YMvSMVUVePUqNn9zZBOmHT8/edit#gid=757525651"",""'Allocation Breakdown'!A4:A187""),IMPORTRANGE(""https://docs.google.com/spreadsheets/d/1EjEqG6oc_vmuAWwHnH51YMvSMVUVePUqN"&amp;"n9zZBOmHT8/edit#gid=757525651"",""'Allocation Breakdown'!G4:G187""))"),"")</f>
        <v/>
      </c>
      <c r="K80" s="30">
        <f ca="1">IFERROR(__xludf.DUMMYFUNCTION("XLOOKUP($B80,IMPORTRANGE(""https://docs.google.com/spreadsheets/d/1EjEqG6oc_vmuAWwHnH51YMvSMVUVePUqNn9zZBOmHT8/edit#gid=757525651"",""'Allocation Breakdown'!A4:A187""),IMPORTRANGE(""https://docs.google.com/spreadsheets/d/1EjEqG6oc_vmuAWwHnH51YMvSMVUVePUqN"&amp;"n9zZBOmHT8/edit#gid=757525651"",""'Allocation Breakdown'!I4:I187""))*K$119"),624.9384636)</f>
        <v>624.93846359999998</v>
      </c>
      <c r="L80" s="30">
        <f ca="1">IFERROR(__xludf.DUMMYFUNCTION("XLOOKUP($B80,IMPORTRANGE(""https://docs.google.com/spreadsheets/d/1EjEqG6oc_vmuAWwHnH51YMvSMVUVePUqNn9zZBOmHT8/edit#gid=757525651"",""'Allocation Breakdown'!A4:A187""),IMPORTRANGE(""https://docs.google.com/spreadsheets/d/1EjEqG6oc_vmuAWwHnH51YMvSMVUVePUqN"&amp;"n9zZBOmHT8/edit#gid=757525651"",""'Allocation Breakdown'!j4:j187""))*L$119"),3701.5422305)</f>
        <v>3701.5422305000002</v>
      </c>
      <c r="M80" s="30">
        <f ca="1">IFERROR(__xludf.DUMMYFUNCTION("XLOOKUP($B80,IMPORTRANGE(""https://docs.google.com/spreadsheets/d/1EjEqG6oc_vmuAWwHnH51YMvSMVUVePUqNn9zZBOmHT8/edit#gid=757525651"",""'Allocation Breakdown'!A4:A187""),IMPORTRANGE(""https://docs.google.com/spreadsheets/d/1EjEqG6oc_vmuAWwHnH51YMvSMVUVePUqN"&amp;"n9zZBOmHT8/edit#gid=757525651"",""'Allocation Breakdown'!K4:K187""))*M$119"),0)</f>
        <v>0</v>
      </c>
      <c r="N80" s="30">
        <f ca="1">IFERROR(__xludf.DUMMYFUNCTION("XLOOKUP($B80,IMPORTRANGE(""https://docs.google.com/spreadsheets/d/1EjEqG6oc_vmuAWwHnH51YMvSMVUVePUqNn9zZBOmHT8/edit#gid=757525651"",""'Allocation Breakdown'!A4:A187""),IMPORTRANGE(""https://docs.google.com/spreadsheets/d/1EjEqG6oc_vmuAWwHnH51YMvSMVUVePUqN"&amp;"n9zZBOmHT8/edit#gid=757525651"",""'Allocation Breakdown'!l4:l187""))*N$119"),951.8600508)</f>
        <v>951.86005079999995</v>
      </c>
      <c r="O80" s="30">
        <f ca="1">IFERROR(__xludf.DUMMYFUNCTION("XLOOKUP($B80,IMPORTRANGE(""https://docs.google.com/spreadsheets/d/1EjEqG6oc_vmuAWwHnH51YMvSMVUVePUqNn9zZBOmHT8/edit#gid=757525651"",""'Allocation Breakdown'!A4:A187""),IMPORTRANGE(""https://docs.google.com/spreadsheets/d/1EjEqG6oc_vmuAWwHnH51YMvSMVUVePUqN"&amp;"n9zZBOmHT8/edit#gid=757525651"",""'Allocation Breakdown'!n4:n187""))*O$119"),0)</f>
        <v>0</v>
      </c>
      <c r="P80" s="30">
        <f ca="1">IFERROR(__xludf.DUMMYFUNCTION("XLOOKUP($B80,IMPORTRANGE(""https://docs.google.com/spreadsheets/d/1EjEqG6oc_vmuAWwHnH51YMvSMVUVePUqNn9zZBOmHT8/edit#gid=757525651"",""'Allocation Breakdown'!A4:A187""),IMPORTRANGE(""https://docs.google.com/spreadsheets/d/1EjEqG6oc_vmuAWwHnH51YMvSMVUVePUqN"&amp;"n9zZBOmHT8/edit#gid=757525651"",""'Allocation Breakdown'!o4:o187""))*P$119"),2200)</f>
        <v>2200</v>
      </c>
      <c r="Q80" s="30">
        <f ca="1">IFERROR(__xludf.DUMMYFUNCTION("XLOOKUP($B80,IMPORTRANGE(""https://docs.google.com/spreadsheets/d/1EjEqG6oc_vmuAWwHnH51YMvSMVUVePUqNn9zZBOmHT8/edit#gid=757525651"",""'Allocation Breakdown'!A4:A187""),IMPORTRANGE(""https://docs.google.com/spreadsheets/d/1EjEqG6oc_vmuAWwHnH51YMvSMVUVePUqN"&amp;"n9zZBOmHT8/edit#gid=757525651"",""'Allocation Breakdown'!p4:p187""))*Q$119"),2000)</f>
        <v>2000</v>
      </c>
      <c r="R80" s="30">
        <f ca="1">IFERROR(__xludf.DUMMYFUNCTION("XLOOKUP($B80,IMPORTRANGE(""https://docs.google.com/spreadsheets/d/1EjEqG6oc_vmuAWwHnH51YMvSMVUVePUqNn9zZBOmHT8/edit#gid=757525651"",""'Allocation Breakdown'!A4:A187""),IMPORTRANGE(""https://docs.google.com/spreadsheets/d/1EjEqG6oc_vmuAWwHnH51YMvSMVUVePUqN"&amp;"n9zZBOmHT8/edit#gid=757525651"",""'Allocation Breakdown'!q4:q187""))*R$119"),2000)</f>
        <v>2000</v>
      </c>
      <c r="S80" s="30">
        <f ca="1">IFERROR(__xludf.DUMMYFUNCTION("XLOOKUP($B80,IMPORTRANGE(""https://docs.google.com/spreadsheets/d/1EjEqG6oc_vmuAWwHnH51YMvSMVUVePUqNn9zZBOmHT8/edit#gid=757525651"",""'Allocation Breakdown'!A4:A187""),IMPORTRANGE(""https://docs.google.com/spreadsheets/d/1EjEqG6oc_vmuAWwHnH51YMvSMVUVePUqN"&amp;"n9zZBOmHT8/edit#gid=757525651"",""'Allocation Breakdown'!r4:r187""))*S$119"),2000)</f>
        <v>2000</v>
      </c>
      <c r="T80" s="30">
        <f ca="1">IFERROR(__xludf.DUMMYFUNCTION("XLOOKUP($B80,IMPORTRANGE(""https://docs.google.com/spreadsheets/d/1EjEqG6oc_vmuAWwHnH51YMvSMVUVePUqNn9zZBOmHT8/edit#gid=757525651"",""'Allocation Breakdown'!A4:A187""),IMPORTRANGE(""https://docs.google.com/spreadsheets/d/1EjEqG6oc_vmuAWwHnH51YMvSMVUVePUqN"&amp;"n9zZBOmHT8/edit#gid=757525651"",""'Allocation Breakdown'!t4:t187""))*T$119"),7000)</f>
        <v>7000</v>
      </c>
      <c r="U80" s="30">
        <f ca="1">IFERROR(__xludf.DUMMYFUNCTION("XLOOKUP($B80,IMPORTRANGE(""https://docs.google.com/spreadsheets/d/1EjEqG6oc_vmuAWwHnH51YMvSMVUVePUqNn9zZBOmHT8/edit#gid=757525651"",""'Allocation Breakdown'!A4:A187""),IMPORTRANGE(""https://docs.google.com/spreadsheets/d/1EjEqG6oc_vmuAWwHnH51YMvSMVUVePUqN"&amp;"n9zZBOmHT8/edit#gid=757525651"",""'Allocation Breakdown'!U4:U187""))*U$119"),11000)</f>
        <v>11000</v>
      </c>
      <c r="V80" s="31">
        <f t="shared" ca="1" si="1"/>
        <v>67478.340744900008</v>
      </c>
      <c r="W80" s="31">
        <f t="shared" ca="1" si="2"/>
        <v>74591.13658656551</v>
      </c>
      <c r="Z80" s="32"/>
      <c r="AA80" s="32"/>
      <c r="AB80" s="32"/>
    </row>
    <row r="81" spans="2:28" ht="15.75" customHeight="1">
      <c r="B81" s="28" t="s">
        <v>178</v>
      </c>
      <c r="C81" s="30">
        <f ca="1">IFERROR(__xludf.DUMMYFUNCTION("XLOOKUP($B81,IMPORTRANGE(""https://docs.google.com/spreadsheets/d/1EjEqG6oc_vmuAWwHnH51YMvSMVUVePUqNn9zZBOmHT8/edit#gid=757525651"",""'Allocation Breakdown'!A4:A187""),IMPORTRANGE(""https://docs.google.com/spreadsheets/d/1EjEqG6oc_vmuAWwHnH51YMvSMVUVePUqN"&amp;"n9zZBOmHT8/edit#gid=757525651"",""'Allocation Breakdown'!V4:V187""))*C$119"),777.38105487)</f>
        <v>777.38105486999996</v>
      </c>
      <c r="D81" s="30">
        <f ca="1">IFERROR(__xludf.DUMMYFUNCTION("XLOOKUP($B81,IMPORTRANGE(""https://docs.google.com/spreadsheets/d/1EjEqG6oc_vmuAWwHnH51YMvSMVUVePUqNn9zZBOmHT8/edit#gid=757525651"",""'Allocation Breakdown'!A4:A187""),IMPORTRANGE(""https://docs.google.com/spreadsheets/d/1EjEqG6oc_vmuAWwHnH51YMvSMVUVePUqN"&amp;"n9zZBOmHT8/edit#gid=757525651"",""'Allocation Breakdown'!I4:I187""))*$D$119"),7112.7958416655)</f>
        <v>7112.7958416655001</v>
      </c>
      <c r="E81" s="30">
        <f ca="1">IFERROR(__xludf.DUMMYFUNCTION("XLOOKUP($B81,IMPORTRANGE(""https://docs.google.com/spreadsheets/d/1EjEqG6oc_vmuAWwHnH51YMvSMVUVePUqNn9zZBOmHT8/edit#gid=757525651"",""'Allocation Breakdown'!A4:A187""),IMPORTRANGE(""https://docs.google.com/spreadsheets/d/1EjEqG6oc_vmuAWwHnH51YMvSMVUVePUqN"&amp;"n9zZBOmHT8/edit#gid=757525651"",""'Allocation Breakdown'!V4:V187""))*E$119"),272.61894513)</f>
        <v>272.61894512999999</v>
      </c>
      <c r="F81" s="30">
        <f t="shared" ca="1" si="0"/>
        <v>7385.4147867954998</v>
      </c>
      <c r="G81" s="30" t="str">
        <f ca="1">IFERROR(__xludf.DUMMYFUNCTION("XLOOKUP($B81,IMPORTRANGE(""https://docs.google.com/spreadsheets/d/1EjEqG6oc_vmuAWwHnH51YMvSMVUVePUqNn9zZBOmHT8/edit#gid=757525651"",""'Allocation Breakdown'!A4:A187""),IMPORTRANGE(""https://docs.google.com/spreadsheets/d/1EjEqG6oc_vmuAWwHnH51YMvSMVUVePUqN"&amp;"n9zZBOmHT8/edit#gid=757525651"",""'Allocation Breakdown'!D4:D187""))"),"")</f>
        <v/>
      </c>
      <c r="H81" s="30">
        <f ca="1">IFERROR(__xludf.DUMMYFUNCTION("XLOOKUP($B81,IMPORTRANGE(""https://docs.google.com/spreadsheets/d/1EjEqG6oc_vmuAWwHnH51YMvSMVUVePUqNn9zZBOmHT8/edit#gid=757525651"",""'Allocation Breakdown'!A4:A187""),IMPORTRANGE(""https://docs.google.com/spreadsheets/d/1EjEqG6oc_vmuAWwHnH51YMvSMVUVePUqN"&amp;"n9zZBOmHT8/edit#gid=757525651"",""'Allocation Breakdown'!E4:E187""))"),62000)</f>
        <v>62000</v>
      </c>
      <c r="I81" s="30">
        <f ca="1">IFERROR(__xludf.DUMMYFUNCTION("XLOOKUP($B81,IMPORTRANGE(""https://docs.google.com/spreadsheets/d/1EjEqG6oc_vmuAWwHnH51YMvSMVUVePUqNn9zZBOmHT8/edit#gid=757525651"",""'Allocation Breakdown'!A4:A187""),IMPORTRANGE(""https://docs.google.com/spreadsheets/d/1EjEqG6oc_vmuAWwHnH51YMvSMVUVePUqN"&amp;"n9zZBOmHT8/edit#gid=757525651"",""'Allocation Breakdown'!F4:F187""))"),18000)</f>
        <v>18000</v>
      </c>
      <c r="J81" s="30">
        <f ca="1">IFERROR(__xludf.DUMMYFUNCTION("XLOOKUP($B81,IMPORTRANGE(""https://docs.google.com/spreadsheets/d/1EjEqG6oc_vmuAWwHnH51YMvSMVUVePUqNn9zZBOmHT8/edit#gid=757525651"",""'Allocation Breakdown'!A4:A187""),IMPORTRANGE(""https://docs.google.com/spreadsheets/d/1EjEqG6oc_vmuAWwHnH51YMvSMVUVePUqN"&amp;"n9zZBOmHT8/edit#gid=757525651"",""'Allocation Breakdown'!G4:G187""))"),9175)</f>
        <v>9175</v>
      </c>
      <c r="K81" s="30">
        <f ca="1">IFERROR(__xludf.DUMMYFUNCTION("XLOOKUP($B81,IMPORTRANGE(""https://docs.google.com/spreadsheets/d/1EjEqG6oc_vmuAWwHnH51YMvSMVUVePUqNn9zZBOmHT8/edit#gid=757525651"",""'Allocation Breakdown'!A4:A187""),IMPORTRANGE(""https://docs.google.com/spreadsheets/d/1EjEqG6oc_vmuAWwHnH51YMvSMVUVePUqN"&amp;"n9zZBOmHT8/edit#gid=757525651"",""'Allocation Breakdown'!I4:I187""))*K$119"),624.9384636)</f>
        <v>624.93846359999998</v>
      </c>
      <c r="L81" s="30">
        <f ca="1">IFERROR(__xludf.DUMMYFUNCTION("XLOOKUP($B81,IMPORTRANGE(""https://docs.google.com/spreadsheets/d/1EjEqG6oc_vmuAWwHnH51YMvSMVUVePUqNn9zZBOmHT8/edit#gid=757525651"",""'Allocation Breakdown'!A4:A187""),IMPORTRANGE(""https://docs.google.com/spreadsheets/d/1EjEqG6oc_vmuAWwHnH51YMvSMVUVePUqN"&amp;"n9zZBOmHT8/edit#gid=757525651"",""'Allocation Breakdown'!j4:j187""))*L$119"),3701.5422305)</f>
        <v>3701.5422305000002</v>
      </c>
      <c r="M81" s="30">
        <f ca="1">IFERROR(__xludf.DUMMYFUNCTION("XLOOKUP($B81,IMPORTRANGE(""https://docs.google.com/spreadsheets/d/1EjEqG6oc_vmuAWwHnH51YMvSMVUVePUqNn9zZBOmHT8/edit#gid=757525651"",""'Allocation Breakdown'!A4:A187""),IMPORTRANGE(""https://docs.google.com/spreadsheets/d/1EjEqG6oc_vmuAWwHnH51YMvSMVUVePUqN"&amp;"n9zZBOmHT8/edit#gid=757525651"",""'Allocation Breakdown'!K4:K187""))*M$119"),3588.6226095)</f>
        <v>3588.6226095000002</v>
      </c>
      <c r="N81" s="30">
        <f ca="1">IFERROR(__xludf.DUMMYFUNCTION("XLOOKUP($B81,IMPORTRANGE(""https://docs.google.com/spreadsheets/d/1EjEqG6oc_vmuAWwHnH51YMvSMVUVePUqNn9zZBOmHT8/edit#gid=757525651"",""'Allocation Breakdown'!A4:A187""),IMPORTRANGE(""https://docs.google.com/spreadsheets/d/1EjEqG6oc_vmuAWwHnH51YMvSMVUVePUqN"&amp;"n9zZBOmHT8/edit#gid=757525651"",""'Allocation Breakdown'!l4:l187""))*N$119"),951.8600508)</f>
        <v>951.86005079999995</v>
      </c>
      <c r="O81" s="30">
        <f ca="1">IFERROR(__xludf.DUMMYFUNCTION("XLOOKUP($B81,IMPORTRANGE(""https://docs.google.com/spreadsheets/d/1EjEqG6oc_vmuAWwHnH51YMvSMVUVePUqNn9zZBOmHT8/edit#gid=757525651"",""'Allocation Breakdown'!A4:A187""),IMPORTRANGE(""https://docs.google.com/spreadsheets/d/1EjEqG6oc_vmuAWwHnH51YMvSMVUVePUqN"&amp;"n9zZBOmHT8/edit#gid=757525651"",""'Allocation Breakdown'!n4:n187""))*O$119"),0)</f>
        <v>0</v>
      </c>
      <c r="P81" s="30">
        <f ca="1">IFERROR(__xludf.DUMMYFUNCTION("XLOOKUP($B81,IMPORTRANGE(""https://docs.google.com/spreadsheets/d/1EjEqG6oc_vmuAWwHnH51YMvSMVUVePUqNn9zZBOmHT8/edit#gid=757525651"",""'Allocation Breakdown'!A4:A187""),IMPORTRANGE(""https://docs.google.com/spreadsheets/d/1EjEqG6oc_vmuAWwHnH51YMvSMVUVePUqN"&amp;"n9zZBOmHT8/edit#gid=757525651"",""'Allocation Breakdown'!o4:o187""))*P$119"),1600)</f>
        <v>1600</v>
      </c>
      <c r="Q81" s="30">
        <f ca="1">IFERROR(__xludf.DUMMYFUNCTION("XLOOKUP($B81,IMPORTRANGE(""https://docs.google.com/spreadsheets/d/1EjEqG6oc_vmuAWwHnH51YMvSMVUVePUqNn9zZBOmHT8/edit#gid=757525651"",""'Allocation Breakdown'!A4:A187""),IMPORTRANGE(""https://docs.google.com/spreadsheets/d/1EjEqG6oc_vmuAWwHnH51YMvSMVUVePUqN"&amp;"n9zZBOmHT8/edit#gid=757525651"",""'Allocation Breakdown'!p4:p187""))*Q$119"),1500)</f>
        <v>1500</v>
      </c>
      <c r="R81" s="30">
        <f ca="1">IFERROR(__xludf.DUMMYFUNCTION("XLOOKUP($B81,IMPORTRANGE(""https://docs.google.com/spreadsheets/d/1EjEqG6oc_vmuAWwHnH51YMvSMVUVePUqNn9zZBOmHT8/edit#gid=757525651"",""'Allocation Breakdown'!A4:A187""),IMPORTRANGE(""https://docs.google.com/spreadsheets/d/1EjEqG6oc_vmuAWwHnH51YMvSMVUVePUqN"&amp;"n9zZBOmHT8/edit#gid=757525651"",""'Allocation Breakdown'!q4:q187""))*R$119"),2000)</f>
        <v>2000</v>
      </c>
      <c r="S81" s="30">
        <f ca="1">IFERROR(__xludf.DUMMYFUNCTION("XLOOKUP($B81,IMPORTRANGE(""https://docs.google.com/spreadsheets/d/1EjEqG6oc_vmuAWwHnH51YMvSMVUVePUqNn9zZBOmHT8/edit#gid=757525651"",""'Allocation Breakdown'!A4:A187""),IMPORTRANGE(""https://docs.google.com/spreadsheets/d/1EjEqG6oc_vmuAWwHnH51YMvSMVUVePUqN"&amp;"n9zZBOmHT8/edit#gid=757525651"",""'Allocation Breakdown'!r4:r187""))*S$119"),1500)</f>
        <v>1500</v>
      </c>
      <c r="T81" s="30">
        <f ca="1">IFERROR(__xludf.DUMMYFUNCTION("XLOOKUP($B81,IMPORTRANGE(""https://docs.google.com/spreadsheets/d/1EjEqG6oc_vmuAWwHnH51YMvSMVUVePUqNn9zZBOmHT8/edit#gid=757525651"",""'Allocation Breakdown'!A4:A187""),IMPORTRANGE(""https://docs.google.com/spreadsheets/d/1EjEqG6oc_vmuAWwHnH51YMvSMVUVePUqN"&amp;"n9zZBOmHT8/edit#gid=757525651"",""'Allocation Breakdown'!t4:t187""))*T$119"),7000)</f>
        <v>7000</v>
      </c>
      <c r="U81" s="30">
        <f ca="1">IFERROR(__xludf.DUMMYFUNCTION("XLOOKUP($B81,IMPORTRANGE(""https://docs.google.com/spreadsheets/d/1EjEqG6oc_vmuAWwHnH51YMvSMVUVePUqNn9zZBOmHT8/edit#gid=757525651"",""'Allocation Breakdown'!A4:A187""),IMPORTRANGE(""https://docs.google.com/spreadsheets/d/1EjEqG6oc_vmuAWwHnH51YMvSMVUVePUqN"&amp;"n9zZBOmHT8/edit#gid=757525651"",""'Allocation Breakdown'!U4:U187""))*U$119"),10000)</f>
        <v>10000</v>
      </c>
      <c r="V81" s="31">
        <f t="shared" ca="1" si="1"/>
        <v>121641.9633544</v>
      </c>
      <c r="W81" s="31">
        <f t="shared" ca="1" si="2"/>
        <v>129804.7591960655</v>
      </c>
      <c r="Z81" s="32"/>
      <c r="AA81" s="32"/>
      <c r="AB81" s="32"/>
    </row>
    <row r="82" spans="2:28" ht="15.75" customHeight="1">
      <c r="B82" s="28" t="s">
        <v>179</v>
      </c>
      <c r="C82" s="30">
        <f ca="1">IFERROR(__xludf.DUMMYFUNCTION("XLOOKUP($B82,IMPORTRANGE(""https://docs.google.com/spreadsheets/d/1EjEqG6oc_vmuAWwHnH51YMvSMVUVePUqNn9zZBOmHT8/edit#gid=757525651"",""'Allocation Breakdown'!A4:A187""),IMPORTRANGE(""https://docs.google.com/spreadsheets/d/1EjEqG6oc_vmuAWwHnH51YMvSMVUVePUqN"&amp;"n9zZBOmHT8/edit#gid=757525651"",""'Allocation Breakdown'!V4:V187""))*C$119"),777.38105487)</f>
        <v>777.38105486999996</v>
      </c>
      <c r="D82" s="30">
        <f ca="1">IFERROR(__xludf.DUMMYFUNCTION("XLOOKUP($B82,IMPORTRANGE(""https://docs.google.com/spreadsheets/d/1EjEqG6oc_vmuAWwHnH51YMvSMVUVePUqNn9zZBOmHT8/edit#gid=757525651"",""'Allocation Breakdown'!A4:A187""),IMPORTRANGE(""https://docs.google.com/spreadsheets/d/1EjEqG6oc_vmuAWwHnH51YMvSMVUVePUqN"&amp;"n9zZBOmHT8/edit#gid=757525651"",""'Allocation Breakdown'!I4:I187""))*$D$119"),5334.59688124913)</f>
        <v>5334.5968812491301</v>
      </c>
      <c r="E82" s="30">
        <f ca="1">IFERROR(__xludf.DUMMYFUNCTION("XLOOKUP($B82,IMPORTRANGE(""https://docs.google.com/spreadsheets/d/1EjEqG6oc_vmuAWwHnH51YMvSMVUVePUqNn9zZBOmHT8/edit#gid=757525651"",""'Allocation Breakdown'!A4:A187""),IMPORTRANGE(""https://docs.google.com/spreadsheets/d/1EjEqG6oc_vmuAWwHnH51YMvSMVUVePUqN"&amp;"n9zZBOmHT8/edit#gid=757525651"",""'Allocation Breakdown'!V4:V187""))*E$119"),272.61894513)</f>
        <v>272.61894512999999</v>
      </c>
      <c r="F82" s="30">
        <f t="shared" ca="1" si="0"/>
        <v>5607.2158263791298</v>
      </c>
      <c r="G82" s="30">
        <f ca="1">IFERROR(__xludf.DUMMYFUNCTION("XLOOKUP($B82,IMPORTRANGE(""https://docs.google.com/spreadsheets/d/1EjEqG6oc_vmuAWwHnH51YMvSMVUVePUqNn9zZBOmHT8/edit#gid=757525651"",""'Allocation Breakdown'!A4:A187""),IMPORTRANGE(""https://docs.google.com/spreadsheets/d/1EjEqG6oc_vmuAWwHnH51YMvSMVUVePUqN"&amp;"n9zZBOmHT8/edit#gid=757525651"",""'Allocation Breakdown'!D4:D187""))"),2500)</f>
        <v>2500</v>
      </c>
      <c r="H82" s="30" t="str">
        <f ca="1">IFERROR(__xludf.DUMMYFUNCTION("XLOOKUP($B82,IMPORTRANGE(""https://docs.google.com/spreadsheets/d/1EjEqG6oc_vmuAWwHnH51YMvSMVUVePUqNn9zZBOmHT8/edit#gid=757525651"",""'Allocation Breakdown'!A4:A187""),IMPORTRANGE(""https://docs.google.com/spreadsheets/d/1EjEqG6oc_vmuAWwHnH51YMvSMVUVePUqN"&amp;"n9zZBOmHT8/edit#gid=757525651"",""'Allocation Breakdown'!E4:E187""))"),"")</f>
        <v/>
      </c>
      <c r="I82" s="30" t="str">
        <f ca="1">IFERROR(__xludf.DUMMYFUNCTION("XLOOKUP($B82,IMPORTRANGE(""https://docs.google.com/spreadsheets/d/1EjEqG6oc_vmuAWwHnH51YMvSMVUVePUqNn9zZBOmHT8/edit#gid=757525651"",""'Allocation Breakdown'!A4:A187""),IMPORTRANGE(""https://docs.google.com/spreadsheets/d/1EjEqG6oc_vmuAWwHnH51YMvSMVUVePUqN"&amp;"n9zZBOmHT8/edit#gid=757525651"",""'Allocation Breakdown'!F4:F187""))"),"")</f>
        <v/>
      </c>
      <c r="J82" s="30" t="str">
        <f ca="1">IFERROR(__xludf.DUMMYFUNCTION("XLOOKUP($B82,IMPORTRANGE(""https://docs.google.com/spreadsheets/d/1EjEqG6oc_vmuAWwHnH51YMvSMVUVePUqNn9zZBOmHT8/edit#gid=757525651"",""'Allocation Breakdown'!A4:A187""),IMPORTRANGE(""https://docs.google.com/spreadsheets/d/1EjEqG6oc_vmuAWwHnH51YMvSMVUVePUqN"&amp;"n9zZBOmHT8/edit#gid=757525651"",""'Allocation Breakdown'!G4:G187""))"),"")</f>
        <v/>
      </c>
      <c r="K82" s="30">
        <f ca="1">IFERROR(__xludf.DUMMYFUNCTION("XLOOKUP($B82,IMPORTRANGE(""https://docs.google.com/spreadsheets/d/1EjEqG6oc_vmuAWwHnH51YMvSMVUVePUqNn9zZBOmHT8/edit#gid=757525651"",""'Allocation Breakdown'!A4:A187""),IMPORTRANGE(""https://docs.google.com/spreadsheets/d/1EjEqG6oc_vmuAWwHnH51YMvSMVUVePUqN"&amp;"n9zZBOmHT8/edit#gid=757525651"",""'Allocation Breakdown'!I4:I187""))*K$119"),468.7038477)</f>
        <v>468.70384769999998</v>
      </c>
      <c r="L82" s="30">
        <f ca="1">IFERROR(__xludf.DUMMYFUNCTION("XLOOKUP($B82,IMPORTRANGE(""https://docs.google.com/spreadsheets/d/1EjEqG6oc_vmuAWwHnH51YMvSMVUVePUqNn9zZBOmHT8/edit#gid=757525651"",""'Allocation Breakdown'!A4:A187""),IMPORTRANGE(""https://docs.google.com/spreadsheets/d/1EjEqG6oc_vmuAWwHnH51YMvSMVUVePUqN"&amp;"n9zZBOmHT8/edit#gid=757525651"",""'Allocation Breakdown'!j4:j187""))*L$119"),0)</f>
        <v>0</v>
      </c>
      <c r="M82" s="30">
        <f ca="1">IFERROR(__xludf.DUMMYFUNCTION("XLOOKUP($B82,IMPORTRANGE(""https://docs.google.com/spreadsheets/d/1EjEqG6oc_vmuAWwHnH51YMvSMVUVePUqNn9zZBOmHT8/edit#gid=757525651"",""'Allocation Breakdown'!A4:A187""),IMPORTRANGE(""https://docs.google.com/spreadsheets/d/1EjEqG6oc_vmuAWwHnH51YMvSMVUVePUqN"&amp;"n9zZBOmHT8/edit#gid=757525651"",""'Allocation Breakdown'!K4:K187""))*M$119"),0)</f>
        <v>0</v>
      </c>
      <c r="N82" s="30">
        <f ca="1">IFERROR(__xludf.DUMMYFUNCTION("XLOOKUP($B82,IMPORTRANGE(""https://docs.google.com/spreadsheets/d/1EjEqG6oc_vmuAWwHnH51YMvSMVUVePUqNn9zZBOmHT8/edit#gid=757525651"",""'Allocation Breakdown'!A4:A187""),IMPORTRANGE(""https://docs.google.com/spreadsheets/d/1EjEqG6oc_vmuAWwHnH51YMvSMVUVePUqN"&amp;"n9zZBOmHT8/edit#gid=757525651"",""'Allocation Breakdown'!l4:l187""))*N$119"),951.8600508)</f>
        <v>951.86005079999995</v>
      </c>
      <c r="O82" s="30">
        <f ca="1">IFERROR(__xludf.DUMMYFUNCTION("XLOOKUP($B82,IMPORTRANGE(""https://docs.google.com/spreadsheets/d/1EjEqG6oc_vmuAWwHnH51YMvSMVUVePUqNn9zZBOmHT8/edit#gid=757525651"",""'Allocation Breakdown'!A4:A187""),IMPORTRANGE(""https://docs.google.com/spreadsheets/d/1EjEqG6oc_vmuAWwHnH51YMvSMVUVePUqN"&amp;"n9zZBOmHT8/edit#gid=757525651"",""'Allocation Breakdown'!n4:n187""))*O$119"),5500)</f>
        <v>5500</v>
      </c>
      <c r="P82" s="30">
        <f ca="1">IFERROR(__xludf.DUMMYFUNCTION("XLOOKUP($B82,IMPORTRANGE(""https://docs.google.com/spreadsheets/d/1EjEqG6oc_vmuAWwHnH51YMvSMVUVePUqNn9zZBOmHT8/edit#gid=757525651"",""'Allocation Breakdown'!A4:A187""),IMPORTRANGE(""https://docs.google.com/spreadsheets/d/1EjEqG6oc_vmuAWwHnH51YMvSMVUVePUqN"&amp;"n9zZBOmHT8/edit#gid=757525651"",""'Allocation Breakdown'!o4:o187""))*P$119"),2750)</f>
        <v>2750</v>
      </c>
      <c r="Q82" s="30">
        <f ca="1">IFERROR(__xludf.DUMMYFUNCTION("XLOOKUP($B82,IMPORTRANGE(""https://docs.google.com/spreadsheets/d/1EjEqG6oc_vmuAWwHnH51YMvSMVUVePUqNn9zZBOmHT8/edit#gid=757525651"",""'Allocation Breakdown'!A4:A187""),IMPORTRANGE(""https://docs.google.com/spreadsheets/d/1EjEqG6oc_vmuAWwHnH51YMvSMVUVePUqN"&amp;"n9zZBOmHT8/edit#gid=757525651"",""'Allocation Breakdown'!p4:p187""))*Q$119"),0)</f>
        <v>0</v>
      </c>
      <c r="R82" s="30">
        <f ca="1">IFERROR(__xludf.DUMMYFUNCTION("XLOOKUP($B82,IMPORTRANGE(""https://docs.google.com/spreadsheets/d/1EjEqG6oc_vmuAWwHnH51YMvSMVUVePUqNn9zZBOmHT8/edit#gid=757525651"",""'Allocation Breakdown'!A4:A187""),IMPORTRANGE(""https://docs.google.com/spreadsheets/d/1EjEqG6oc_vmuAWwHnH51YMvSMVUVePUqN"&amp;"n9zZBOmHT8/edit#gid=757525651"",""'Allocation Breakdown'!q4:q187""))*R$119"),0)</f>
        <v>0</v>
      </c>
      <c r="S82" s="30">
        <f ca="1">IFERROR(__xludf.DUMMYFUNCTION("XLOOKUP($B82,IMPORTRANGE(""https://docs.google.com/spreadsheets/d/1EjEqG6oc_vmuAWwHnH51YMvSMVUVePUqNn9zZBOmHT8/edit#gid=757525651"",""'Allocation Breakdown'!A4:A187""),IMPORTRANGE(""https://docs.google.com/spreadsheets/d/1EjEqG6oc_vmuAWwHnH51YMvSMVUVePUqN"&amp;"n9zZBOmHT8/edit#gid=757525651"",""'Allocation Breakdown'!r4:r187""))*S$119"),0)</f>
        <v>0</v>
      </c>
      <c r="T82" s="30">
        <f ca="1">IFERROR(__xludf.DUMMYFUNCTION("XLOOKUP($B82,IMPORTRANGE(""https://docs.google.com/spreadsheets/d/1EjEqG6oc_vmuAWwHnH51YMvSMVUVePUqNn9zZBOmHT8/edit#gid=757525651"",""'Allocation Breakdown'!A4:A187""),IMPORTRANGE(""https://docs.google.com/spreadsheets/d/1EjEqG6oc_vmuAWwHnH51YMvSMVUVePUqN"&amp;"n9zZBOmHT8/edit#gid=757525651"",""'Allocation Breakdown'!t4:t187""))*T$119"),7000)</f>
        <v>7000</v>
      </c>
      <c r="U82" s="30">
        <f ca="1">IFERROR(__xludf.DUMMYFUNCTION("XLOOKUP($B82,IMPORTRANGE(""https://docs.google.com/spreadsheets/d/1EjEqG6oc_vmuAWwHnH51YMvSMVUVePUqNn9zZBOmHT8/edit#gid=757525651"",""'Allocation Breakdown'!A4:A187""),IMPORTRANGE(""https://docs.google.com/spreadsheets/d/1EjEqG6oc_vmuAWwHnH51YMvSMVUVePUqN"&amp;"n9zZBOmHT8/edit#gid=757525651"",""'Allocation Breakdown'!U4:U187""))*U$119"),6100)</f>
        <v>6100</v>
      </c>
      <c r="V82" s="31">
        <f t="shared" ca="1" si="1"/>
        <v>25270.563898500001</v>
      </c>
      <c r="W82" s="31">
        <f t="shared" ca="1" si="2"/>
        <v>31655.160779749131</v>
      </c>
      <c r="Z82" s="32"/>
      <c r="AA82" s="32"/>
      <c r="AB82" s="32"/>
    </row>
    <row r="83" spans="2:28" ht="15.75" customHeight="1">
      <c r="B83" s="28" t="s">
        <v>180</v>
      </c>
      <c r="C83" s="30">
        <f ca="1">IFERROR(__xludf.DUMMYFUNCTION("XLOOKUP($B83,IMPORTRANGE(""https://docs.google.com/spreadsheets/d/1EjEqG6oc_vmuAWwHnH51YMvSMVUVePUqNn9zZBOmHT8/edit#gid=757525651"",""'Allocation Breakdown'!A4:A187""),IMPORTRANGE(""https://docs.google.com/spreadsheets/d/1EjEqG6oc_vmuAWwHnH51YMvSMVUVePUqN"&amp;"n9zZBOmHT8/edit#gid=757525651"",""'Allocation Breakdown'!V4:V187""))*C$119"),777.38105487)</f>
        <v>777.38105486999996</v>
      </c>
      <c r="D83" s="30">
        <f ca="1">IFERROR(__xludf.DUMMYFUNCTION("XLOOKUP($B83,IMPORTRANGE(""https://docs.google.com/spreadsheets/d/1EjEqG6oc_vmuAWwHnH51YMvSMVUVePUqNn9zZBOmHT8/edit#gid=757525651"",""'Allocation Breakdown'!A4:A187""),IMPORTRANGE(""https://docs.google.com/spreadsheets/d/1EjEqG6oc_vmuAWwHnH51YMvSMVUVePUqN"&amp;"n9zZBOmHT8/edit#gid=757525651"",""'Allocation Breakdown'!I4:I187""))*$D$119"),6045.87646541568)</f>
        <v>6045.8764654156803</v>
      </c>
      <c r="E83" s="30">
        <f ca="1">IFERROR(__xludf.DUMMYFUNCTION("XLOOKUP($B83,IMPORTRANGE(""https://docs.google.com/spreadsheets/d/1EjEqG6oc_vmuAWwHnH51YMvSMVUVePUqNn9zZBOmHT8/edit#gid=757525651"",""'Allocation Breakdown'!A4:A187""),IMPORTRANGE(""https://docs.google.com/spreadsheets/d/1EjEqG6oc_vmuAWwHnH51YMvSMVUVePUqN"&amp;"n9zZBOmHT8/edit#gid=757525651"",""'Allocation Breakdown'!V4:V187""))*E$119"),272.61894513)</f>
        <v>272.61894512999999</v>
      </c>
      <c r="F83" s="30">
        <f t="shared" ca="1" si="0"/>
        <v>6318.49541054568</v>
      </c>
      <c r="G83" s="30">
        <f ca="1">IFERROR(__xludf.DUMMYFUNCTION("XLOOKUP($B83,IMPORTRANGE(""https://docs.google.com/spreadsheets/d/1EjEqG6oc_vmuAWwHnH51YMvSMVUVePUqNn9zZBOmHT8/edit#gid=757525651"",""'Allocation Breakdown'!A4:A187""),IMPORTRANGE(""https://docs.google.com/spreadsheets/d/1EjEqG6oc_vmuAWwHnH51YMvSMVUVePUqN"&amp;"n9zZBOmHT8/edit#gid=757525651"",""'Allocation Breakdown'!D4:D187""))"),5000)</f>
        <v>5000</v>
      </c>
      <c r="H83" s="30">
        <f ca="1">IFERROR(__xludf.DUMMYFUNCTION("XLOOKUP($B83,IMPORTRANGE(""https://docs.google.com/spreadsheets/d/1EjEqG6oc_vmuAWwHnH51YMvSMVUVePUqNn9zZBOmHT8/edit#gid=757525651"",""'Allocation Breakdown'!A4:A187""),IMPORTRANGE(""https://docs.google.com/spreadsheets/d/1EjEqG6oc_vmuAWwHnH51YMvSMVUVePUqN"&amp;"n9zZBOmHT8/edit#gid=757525651"",""'Allocation Breakdown'!E4:E187""))"),76000)</f>
        <v>76000</v>
      </c>
      <c r="I83" s="30" t="str">
        <f ca="1">IFERROR(__xludf.DUMMYFUNCTION("XLOOKUP($B83,IMPORTRANGE(""https://docs.google.com/spreadsheets/d/1EjEqG6oc_vmuAWwHnH51YMvSMVUVePUqNn9zZBOmHT8/edit#gid=757525651"",""'Allocation Breakdown'!A4:A187""),IMPORTRANGE(""https://docs.google.com/spreadsheets/d/1EjEqG6oc_vmuAWwHnH51YMvSMVUVePUqN"&amp;"n9zZBOmHT8/edit#gid=757525651"",""'Allocation Breakdown'!F4:F187""))"),"")</f>
        <v/>
      </c>
      <c r="J83" s="30" t="str">
        <f ca="1">IFERROR(__xludf.DUMMYFUNCTION("XLOOKUP($B83,IMPORTRANGE(""https://docs.google.com/spreadsheets/d/1EjEqG6oc_vmuAWwHnH51YMvSMVUVePUqNn9zZBOmHT8/edit#gid=757525651"",""'Allocation Breakdown'!A4:A187""),IMPORTRANGE(""https://docs.google.com/spreadsheets/d/1EjEqG6oc_vmuAWwHnH51YMvSMVUVePUqN"&amp;"n9zZBOmHT8/edit#gid=757525651"",""'Allocation Breakdown'!G4:G187""))"),"")</f>
        <v/>
      </c>
      <c r="K83" s="30">
        <f ca="1">IFERROR(__xludf.DUMMYFUNCTION("XLOOKUP($B83,IMPORTRANGE(""https://docs.google.com/spreadsheets/d/1EjEqG6oc_vmuAWwHnH51YMvSMVUVePUqNn9zZBOmHT8/edit#gid=757525651"",""'Allocation Breakdown'!A4:A187""),IMPORTRANGE(""https://docs.google.com/spreadsheets/d/1EjEqG6oc_vmuAWwHnH51YMvSMVUVePUqN"&amp;"n9zZBOmHT8/edit#gid=757525651"",""'Allocation Breakdown'!I4:I187""))*K$119"),531.19769406)</f>
        <v>531.19769406</v>
      </c>
      <c r="L83" s="30">
        <f ca="1">IFERROR(__xludf.DUMMYFUNCTION("XLOOKUP($B83,IMPORTRANGE(""https://docs.google.com/spreadsheets/d/1EjEqG6oc_vmuAWwHnH51YMvSMVUVePUqNn9zZBOmHT8/edit#gid=757525651"",""'Allocation Breakdown'!A4:A187""),IMPORTRANGE(""https://docs.google.com/spreadsheets/d/1EjEqG6oc_vmuAWwHnH51YMvSMVUVePUqN"&amp;"n9zZBOmHT8/edit#gid=757525651"",""'Allocation Breakdown'!j4:j187""))*L$119"),0)</f>
        <v>0</v>
      </c>
      <c r="M83" s="30">
        <f ca="1">IFERROR(__xludf.DUMMYFUNCTION("XLOOKUP($B83,IMPORTRANGE(""https://docs.google.com/spreadsheets/d/1EjEqG6oc_vmuAWwHnH51YMvSMVUVePUqNn9zZBOmHT8/edit#gid=757525651"",""'Allocation Breakdown'!A4:A187""),IMPORTRANGE(""https://docs.google.com/spreadsheets/d/1EjEqG6oc_vmuAWwHnH51YMvSMVUVePUqN"&amp;"n9zZBOmHT8/edit#gid=757525651"",""'Allocation Breakdown'!K4:K187""))*M$119"),0)</f>
        <v>0</v>
      </c>
      <c r="N83" s="30">
        <f ca="1">IFERROR(__xludf.DUMMYFUNCTION("XLOOKUP($B83,IMPORTRANGE(""https://docs.google.com/spreadsheets/d/1EjEqG6oc_vmuAWwHnH51YMvSMVUVePUqNn9zZBOmHT8/edit#gid=757525651"",""'Allocation Breakdown'!A4:A187""),IMPORTRANGE(""https://docs.google.com/spreadsheets/d/1EjEqG6oc_vmuAWwHnH51YMvSMVUVePUqN"&amp;"n9zZBOmHT8/edit#gid=757525651"",""'Allocation Breakdown'!l4:l187""))*N$119"),951.8600508)</f>
        <v>951.86005079999995</v>
      </c>
      <c r="O83" s="30">
        <f ca="1">IFERROR(__xludf.DUMMYFUNCTION("XLOOKUP($B83,IMPORTRANGE(""https://docs.google.com/spreadsheets/d/1EjEqG6oc_vmuAWwHnH51YMvSMVUVePUqNn9zZBOmHT8/edit#gid=757525651"",""'Allocation Breakdown'!A4:A187""),IMPORTRANGE(""https://docs.google.com/spreadsheets/d/1EjEqG6oc_vmuAWwHnH51YMvSMVUVePUqN"&amp;"n9zZBOmHT8/edit#gid=757525651"",""'Allocation Breakdown'!n4:n187""))*O$119"),5500)</f>
        <v>5500</v>
      </c>
      <c r="P83" s="30">
        <f ca="1">IFERROR(__xludf.DUMMYFUNCTION("XLOOKUP($B83,IMPORTRANGE(""https://docs.google.com/spreadsheets/d/1EjEqG6oc_vmuAWwHnH51YMvSMVUVePUqNn9zZBOmHT8/edit#gid=757525651"",""'Allocation Breakdown'!A4:A187""),IMPORTRANGE(""https://docs.google.com/spreadsheets/d/1EjEqG6oc_vmuAWwHnH51YMvSMVUVePUqN"&amp;"n9zZBOmHT8/edit#gid=757525651"",""'Allocation Breakdown'!o4:o187""))*P$119"),4400)</f>
        <v>4400</v>
      </c>
      <c r="Q83" s="30">
        <f ca="1">IFERROR(__xludf.DUMMYFUNCTION("XLOOKUP($B83,IMPORTRANGE(""https://docs.google.com/spreadsheets/d/1EjEqG6oc_vmuAWwHnH51YMvSMVUVePUqNn9zZBOmHT8/edit#gid=757525651"",""'Allocation Breakdown'!A4:A187""),IMPORTRANGE(""https://docs.google.com/spreadsheets/d/1EjEqG6oc_vmuAWwHnH51YMvSMVUVePUqN"&amp;"n9zZBOmHT8/edit#gid=757525651"",""'Allocation Breakdown'!p4:p187""))*Q$119"),0)</f>
        <v>0</v>
      </c>
      <c r="R83" s="30">
        <f ca="1">IFERROR(__xludf.DUMMYFUNCTION("XLOOKUP($B83,IMPORTRANGE(""https://docs.google.com/spreadsheets/d/1EjEqG6oc_vmuAWwHnH51YMvSMVUVePUqNn9zZBOmHT8/edit#gid=757525651"",""'Allocation Breakdown'!A4:A187""),IMPORTRANGE(""https://docs.google.com/spreadsheets/d/1EjEqG6oc_vmuAWwHnH51YMvSMVUVePUqN"&amp;"n9zZBOmHT8/edit#gid=757525651"",""'Allocation Breakdown'!q4:q187""))*R$119"),2000)</f>
        <v>2000</v>
      </c>
      <c r="S83" s="30">
        <f ca="1">IFERROR(__xludf.DUMMYFUNCTION("XLOOKUP($B83,IMPORTRANGE(""https://docs.google.com/spreadsheets/d/1EjEqG6oc_vmuAWwHnH51YMvSMVUVePUqNn9zZBOmHT8/edit#gid=757525651"",""'Allocation Breakdown'!A4:A187""),IMPORTRANGE(""https://docs.google.com/spreadsheets/d/1EjEqG6oc_vmuAWwHnH51YMvSMVUVePUqN"&amp;"n9zZBOmHT8/edit#gid=757525651"",""'Allocation Breakdown'!r4:r187""))*S$119"),0)</f>
        <v>0</v>
      </c>
      <c r="T83" s="30">
        <f ca="1">IFERROR(__xludf.DUMMYFUNCTION("XLOOKUP($B83,IMPORTRANGE(""https://docs.google.com/spreadsheets/d/1EjEqG6oc_vmuAWwHnH51YMvSMVUVePUqNn9zZBOmHT8/edit#gid=757525651"",""'Allocation Breakdown'!A4:A187""),IMPORTRANGE(""https://docs.google.com/spreadsheets/d/1EjEqG6oc_vmuAWwHnH51YMvSMVUVePUqN"&amp;"n9zZBOmHT8/edit#gid=757525651"",""'Allocation Breakdown'!t4:t187""))*T$119"),7000)</f>
        <v>7000</v>
      </c>
      <c r="U83" s="30">
        <f ca="1">IFERROR(__xludf.DUMMYFUNCTION("XLOOKUP($B83,IMPORTRANGE(""https://docs.google.com/spreadsheets/d/1EjEqG6oc_vmuAWwHnH51YMvSMVUVePUqNn9zZBOmHT8/edit#gid=757525651"",""'Allocation Breakdown'!A4:A187""),IMPORTRANGE(""https://docs.google.com/spreadsheets/d/1EjEqG6oc_vmuAWwHnH51YMvSMVUVePUqN"&amp;"n9zZBOmHT8/edit#gid=757525651"",""'Allocation Breakdown'!U4:U187""))*U$119"),8100)</f>
        <v>8100</v>
      </c>
      <c r="V83" s="31">
        <f t="shared" ca="1" si="1"/>
        <v>109483.05774485999</v>
      </c>
      <c r="W83" s="31">
        <f t="shared" ca="1" si="2"/>
        <v>116578.93421027568</v>
      </c>
      <c r="Z83" s="32"/>
      <c r="AA83" s="32"/>
      <c r="AB83" s="32"/>
    </row>
    <row r="84" spans="2:28" ht="15.75" customHeight="1">
      <c r="B84" s="28" t="s">
        <v>181</v>
      </c>
      <c r="C84" s="30">
        <f ca="1">IFERROR(__xludf.DUMMYFUNCTION("XLOOKUP($B84,IMPORTRANGE(""https://docs.google.com/spreadsheets/d/1EjEqG6oc_vmuAWwHnH51YMvSMVUVePUqNn9zZBOmHT8/edit#gid=757525651"",""'Allocation Breakdown'!A4:A187""),IMPORTRANGE(""https://docs.google.com/spreadsheets/d/1EjEqG6oc_vmuAWwHnH51YMvSMVUVePUqN"&amp;"n9zZBOmHT8/edit#gid=757525651"",""'Allocation Breakdown'!V4:V187""))*C$119"),0)</f>
        <v>0</v>
      </c>
      <c r="D84" s="30">
        <f ca="1">IFERROR(__xludf.DUMMYFUNCTION("XLOOKUP($B84,IMPORTRANGE(""https://docs.google.com/spreadsheets/d/1EjEqG6oc_vmuAWwHnH51YMvSMVUVePUqNn9zZBOmHT8/edit#gid=757525651"",""'Allocation Breakdown'!A4:A187""),IMPORTRANGE(""https://docs.google.com/spreadsheets/d/1EjEqG6oc_vmuAWwHnH51YMvSMVUVePUqN"&amp;"n9zZBOmHT8/edit#gid=757525651"",""'Allocation Breakdown'!I4:I187""))*$D$119"),0)</f>
        <v>0</v>
      </c>
      <c r="E84" s="30">
        <f ca="1">IFERROR(__xludf.DUMMYFUNCTION("XLOOKUP($B84,IMPORTRANGE(""https://docs.google.com/spreadsheets/d/1EjEqG6oc_vmuAWwHnH51YMvSMVUVePUqNn9zZBOmHT8/edit#gid=757525651"",""'Allocation Breakdown'!A4:A187""),IMPORTRANGE(""https://docs.google.com/spreadsheets/d/1EjEqG6oc_vmuAWwHnH51YMvSMVUVePUqN"&amp;"n9zZBOmHT8/edit#gid=757525651"",""'Allocation Breakdown'!V4:V187""))*E$119"),0)</f>
        <v>0</v>
      </c>
      <c r="F84" s="30">
        <f t="shared" ca="1" si="0"/>
        <v>0</v>
      </c>
      <c r="G84" s="30" t="str">
        <f ca="1">IFERROR(__xludf.DUMMYFUNCTION("XLOOKUP($B84,IMPORTRANGE(""https://docs.google.com/spreadsheets/d/1EjEqG6oc_vmuAWwHnH51YMvSMVUVePUqNn9zZBOmHT8/edit#gid=757525651"",""'Allocation Breakdown'!A4:A187""),IMPORTRANGE(""https://docs.google.com/spreadsheets/d/1EjEqG6oc_vmuAWwHnH51YMvSMVUVePUqN"&amp;"n9zZBOmHT8/edit#gid=757525651"",""'Allocation Breakdown'!D4:D187""))"),"")</f>
        <v/>
      </c>
      <c r="H84" s="30">
        <f ca="1">IFERROR(__xludf.DUMMYFUNCTION("XLOOKUP($B84,IMPORTRANGE(""https://docs.google.com/spreadsheets/d/1EjEqG6oc_vmuAWwHnH51YMvSMVUVePUqNn9zZBOmHT8/edit#gid=757525651"",""'Allocation Breakdown'!A4:A187""),IMPORTRANGE(""https://docs.google.com/spreadsheets/d/1EjEqG6oc_vmuAWwHnH51YMvSMVUVePUqN"&amp;"n9zZBOmHT8/edit#gid=757525651"",""'Allocation Breakdown'!E4:E187""))"),6000)</f>
        <v>6000</v>
      </c>
      <c r="I84" s="30" t="str">
        <f ca="1">IFERROR(__xludf.DUMMYFUNCTION("XLOOKUP($B84,IMPORTRANGE(""https://docs.google.com/spreadsheets/d/1EjEqG6oc_vmuAWwHnH51YMvSMVUVePUqNn9zZBOmHT8/edit#gid=757525651"",""'Allocation Breakdown'!A4:A187""),IMPORTRANGE(""https://docs.google.com/spreadsheets/d/1EjEqG6oc_vmuAWwHnH51YMvSMVUVePUqN"&amp;"n9zZBOmHT8/edit#gid=757525651"",""'Allocation Breakdown'!F4:F187""))"),"")</f>
        <v/>
      </c>
      <c r="J84" s="30" t="str">
        <f ca="1">IFERROR(__xludf.DUMMYFUNCTION("XLOOKUP($B84,IMPORTRANGE(""https://docs.google.com/spreadsheets/d/1EjEqG6oc_vmuAWwHnH51YMvSMVUVePUqNn9zZBOmHT8/edit#gid=757525651"",""'Allocation Breakdown'!A4:A187""),IMPORTRANGE(""https://docs.google.com/spreadsheets/d/1EjEqG6oc_vmuAWwHnH51YMvSMVUVePUqN"&amp;"n9zZBOmHT8/edit#gid=757525651"",""'Allocation Breakdown'!G4:G187""))"),"")</f>
        <v/>
      </c>
      <c r="K84" s="30">
        <f ca="1">IFERROR(__xludf.DUMMYFUNCTION("XLOOKUP($B84,IMPORTRANGE(""https://docs.google.com/spreadsheets/d/1EjEqG6oc_vmuAWwHnH51YMvSMVUVePUqNn9zZBOmHT8/edit#gid=757525651"",""'Allocation Breakdown'!A4:A187""),IMPORTRANGE(""https://docs.google.com/spreadsheets/d/1EjEqG6oc_vmuAWwHnH51YMvSMVUVePUqN"&amp;"n9zZBOmHT8/edit#gid=757525651"",""'Allocation Breakdown'!I4:I187""))*K$119"),0)</f>
        <v>0</v>
      </c>
      <c r="L84" s="30">
        <f ca="1">IFERROR(__xludf.DUMMYFUNCTION("XLOOKUP($B84,IMPORTRANGE(""https://docs.google.com/spreadsheets/d/1EjEqG6oc_vmuAWwHnH51YMvSMVUVePUqNn9zZBOmHT8/edit#gid=757525651"",""'Allocation Breakdown'!A4:A187""),IMPORTRANGE(""https://docs.google.com/spreadsheets/d/1EjEqG6oc_vmuAWwHnH51YMvSMVUVePUqN"&amp;"n9zZBOmHT8/edit#gid=757525651"",""'Allocation Breakdown'!j4:j187""))*L$119"),0)</f>
        <v>0</v>
      </c>
      <c r="M84" s="30">
        <f ca="1">IFERROR(__xludf.DUMMYFUNCTION("XLOOKUP($B84,IMPORTRANGE(""https://docs.google.com/spreadsheets/d/1EjEqG6oc_vmuAWwHnH51YMvSMVUVePUqNn9zZBOmHT8/edit#gid=757525651"",""'Allocation Breakdown'!A4:A187""),IMPORTRANGE(""https://docs.google.com/spreadsheets/d/1EjEqG6oc_vmuAWwHnH51YMvSMVUVePUqN"&amp;"n9zZBOmHT8/edit#gid=757525651"",""'Allocation Breakdown'!K4:K187""))*M$119"),0)</f>
        <v>0</v>
      </c>
      <c r="N84" s="30">
        <f ca="1">IFERROR(__xludf.DUMMYFUNCTION("XLOOKUP($B84,IMPORTRANGE(""https://docs.google.com/spreadsheets/d/1EjEqG6oc_vmuAWwHnH51YMvSMVUVePUqNn9zZBOmHT8/edit#gid=757525651"",""'Allocation Breakdown'!A4:A187""),IMPORTRANGE(""https://docs.google.com/spreadsheets/d/1EjEqG6oc_vmuAWwHnH51YMvSMVUVePUqN"&amp;"n9zZBOmHT8/edit#gid=757525651"",""'Allocation Breakdown'!l4:l187""))*N$119"),951.8600508)</f>
        <v>951.86005079999995</v>
      </c>
      <c r="O84" s="30">
        <f ca="1">IFERROR(__xludf.DUMMYFUNCTION("XLOOKUP($B84,IMPORTRANGE(""https://docs.google.com/spreadsheets/d/1EjEqG6oc_vmuAWwHnH51YMvSMVUVePUqNn9zZBOmHT8/edit#gid=757525651"",""'Allocation Breakdown'!A4:A187""),IMPORTRANGE(""https://docs.google.com/spreadsheets/d/1EjEqG6oc_vmuAWwHnH51YMvSMVUVePUqN"&amp;"n9zZBOmHT8/edit#gid=757525651"",""'Allocation Breakdown'!n4:n187""))*O$119"),0)</f>
        <v>0</v>
      </c>
      <c r="P84" s="30">
        <f ca="1">IFERROR(__xludf.DUMMYFUNCTION("XLOOKUP($B84,IMPORTRANGE(""https://docs.google.com/spreadsheets/d/1EjEqG6oc_vmuAWwHnH51YMvSMVUVePUqNn9zZBOmHT8/edit#gid=757525651"",""'Allocation Breakdown'!A4:A187""),IMPORTRANGE(""https://docs.google.com/spreadsheets/d/1EjEqG6oc_vmuAWwHnH51YMvSMVUVePUqN"&amp;"n9zZBOmHT8/edit#gid=757525651"",""'Allocation Breakdown'!o4:o187""))*P$119"),0)</f>
        <v>0</v>
      </c>
      <c r="Q84" s="30">
        <f ca="1">IFERROR(__xludf.DUMMYFUNCTION("XLOOKUP($B84,IMPORTRANGE(""https://docs.google.com/spreadsheets/d/1EjEqG6oc_vmuAWwHnH51YMvSMVUVePUqNn9zZBOmHT8/edit#gid=757525651"",""'Allocation Breakdown'!A4:A187""),IMPORTRANGE(""https://docs.google.com/spreadsheets/d/1EjEqG6oc_vmuAWwHnH51YMvSMVUVePUqN"&amp;"n9zZBOmHT8/edit#gid=757525651"",""'Allocation Breakdown'!p4:p187""))*Q$119"),2000)</f>
        <v>2000</v>
      </c>
      <c r="R84" s="30">
        <f ca="1">IFERROR(__xludf.DUMMYFUNCTION("XLOOKUP($B84,IMPORTRANGE(""https://docs.google.com/spreadsheets/d/1EjEqG6oc_vmuAWwHnH51YMvSMVUVePUqNn9zZBOmHT8/edit#gid=757525651"",""'Allocation Breakdown'!A4:A187""),IMPORTRANGE(""https://docs.google.com/spreadsheets/d/1EjEqG6oc_vmuAWwHnH51YMvSMVUVePUqN"&amp;"n9zZBOmHT8/edit#gid=757525651"",""'Allocation Breakdown'!q4:q187""))*R$119"),2000)</f>
        <v>2000</v>
      </c>
      <c r="S84" s="30">
        <f ca="1">IFERROR(__xludf.DUMMYFUNCTION("XLOOKUP($B84,IMPORTRANGE(""https://docs.google.com/spreadsheets/d/1EjEqG6oc_vmuAWwHnH51YMvSMVUVePUqNn9zZBOmHT8/edit#gid=757525651"",""'Allocation Breakdown'!A4:A187""),IMPORTRANGE(""https://docs.google.com/spreadsheets/d/1EjEqG6oc_vmuAWwHnH51YMvSMVUVePUqN"&amp;"n9zZBOmHT8/edit#gid=757525651"",""'Allocation Breakdown'!r4:r187""))*S$119"),2000)</f>
        <v>2000</v>
      </c>
      <c r="T84" s="30">
        <f ca="1">IFERROR(__xludf.DUMMYFUNCTION("XLOOKUP($B84,IMPORTRANGE(""https://docs.google.com/spreadsheets/d/1EjEqG6oc_vmuAWwHnH51YMvSMVUVePUqNn9zZBOmHT8/edit#gid=757525651"",""'Allocation Breakdown'!A4:A187""),IMPORTRANGE(""https://docs.google.com/spreadsheets/d/1EjEqG6oc_vmuAWwHnH51YMvSMVUVePUqN"&amp;"n9zZBOmHT8/edit#gid=757525651"",""'Allocation Breakdown'!t4:t187""))*T$119"),7000)</f>
        <v>7000</v>
      </c>
      <c r="U84" s="30">
        <f ca="1">IFERROR(__xludf.DUMMYFUNCTION("XLOOKUP($B84,IMPORTRANGE(""https://docs.google.com/spreadsheets/d/1EjEqG6oc_vmuAWwHnH51YMvSMVUVePUqNn9zZBOmHT8/edit#gid=757525651"",""'Allocation Breakdown'!A4:A187""),IMPORTRANGE(""https://docs.google.com/spreadsheets/d/1EjEqG6oc_vmuAWwHnH51YMvSMVUVePUqN"&amp;"n9zZBOmHT8/edit#gid=757525651"",""'Allocation Breakdown'!U4:U187""))*U$119"),11000)</f>
        <v>11000</v>
      </c>
      <c r="V84" s="31">
        <f t="shared" ca="1" si="1"/>
        <v>30951.860050800002</v>
      </c>
      <c r="W84" s="31">
        <f t="shared" ca="1" si="2"/>
        <v>30951.860050800002</v>
      </c>
      <c r="Z84" s="32"/>
      <c r="AA84" s="32"/>
      <c r="AB84" s="32"/>
    </row>
    <row r="85" spans="2:28" ht="15.75" customHeight="1">
      <c r="B85" s="28" t="s">
        <v>182</v>
      </c>
      <c r="C85" s="30">
        <f ca="1">IFERROR(__xludf.DUMMYFUNCTION("XLOOKUP($B85,IMPORTRANGE(""https://docs.google.com/spreadsheets/d/1EjEqG6oc_vmuAWwHnH51YMvSMVUVePUqNn9zZBOmHT8/edit#gid=757525651"",""'Allocation Breakdown'!A4:A187""),IMPORTRANGE(""https://docs.google.com/spreadsheets/d/1EjEqG6oc_vmuAWwHnH51YMvSMVUVePUqN"&amp;"n9zZBOmHT8/edit#gid=757525651"",""'Allocation Breakdown'!V4:V187""))*C$119"),0)</f>
        <v>0</v>
      </c>
      <c r="D85" s="30">
        <f ca="1">IFERROR(__xludf.DUMMYFUNCTION("XLOOKUP($B85,IMPORTRANGE(""https://docs.google.com/spreadsheets/d/1EjEqG6oc_vmuAWwHnH51YMvSMVUVePUqNn9zZBOmHT8/edit#gid=757525651"",""'Allocation Breakdown'!A4:A187""),IMPORTRANGE(""https://docs.google.com/spreadsheets/d/1EjEqG6oc_vmuAWwHnH51YMvSMVUVePUqN"&amp;"n9zZBOmHT8/edit#gid=757525651"",""'Allocation Breakdown'!I4:I187""))*$D$119"),7112.7958416655)</f>
        <v>7112.7958416655001</v>
      </c>
      <c r="E85" s="30">
        <f ca="1">IFERROR(__xludf.DUMMYFUNCTION("XLOOKUP($B85,IMPORTRANGE(""https://docs.google.com/spreadsheets/d/1EjEqG6oc_vmuAWwHnH51YMvSMVUVePUqNn9zZBOmHT8/edit#gid=757525651"",""'Allocation Breakdown'!A4:A187""),IMPORTRANGE(""https://docs.google.com/spreadsheets/d/1EjEqG6oc_vmuAWwHnH51YMvSMVUVePUqN"&amp;"n9zZBOmHT8/edit#gid=757525651"",""'Allocation Breakdown'!V4:V187""))*E$119"),0)</f>
        <v>0</v>
      </c>
      <c r="F85" s="30">
        <f t="shared" ca="1" si="0"/>
        <v>7112.7958416655001</v>
      </c>
      <c r="G85" s="30">
        <f ca="1">IFERROR(__xludf.DUMMYFUNCTION("XLOOKUP($B85,IMPORTRANGE(""https://docs.google.com/spreadsheets/d/1EjEqG6oc_vmuAWwHnH51YMvSMVUVePUqNn9zZBOmHT8/edit#gid=757525651"",""'Allocation Breakdown'!A4:A187""),IMPORTRANGE(""https://docs.google.com/spreadsheets/d/1EjEqG6oc_vmuAWwHnH51YMvSMVUVePUqN"&amp;"n9zZBOmHT8/edit#gid=757525651"",""'Allocation Breakdown'!D4:D187""))"),5000)</f>
        <v>5000</v>
      </c>
      <c r="H85" s="30" t="str">
        <f ca="1">IFERROR(__xludf.DUMMYFUNCTION("XLOOKUP($B85,IMPORTRANGE(""https://docs.google.com/spreadsheets/d/1EjEqG6oc_vmuAWwHnH51YMvSMVUVePUqNn9zZBOmHT8/edit#gid=757525651"",""'Allocation Breakdown'!A4:A187""),IMPORTRANGE(""https://docs.google.com/spreadsheets/d/1EjEqG6oc_vmuAWwHnH51YMvSMVUVePUqN"&amp;"n9zZBOmHT8/edit#gid=757525651"",""'Allocation Breakdown'!E4:E187""))"),"")</f>
        <v/>
      </c>
      <c r="I85" s="30" t="str">
        <f ca="1">IFERROR(__xludf.DUMMYFUNCTION("XLOOKUP($B85,IMPORTRANGE(""https://docs.google.com/spreadsheets/d/1EjEqG6oc_vmuAWwHnH51YMvSMVUVePUqNn9zZBOmHT8/edit#gid=757525651"",""'Allocation Breakdown'!A4:A187""),IMPORTRANGE(""https://docs.google.com/spreadsheets/d/1EjEqG6oc_vmuAWwHnH51YMvSMVUVePUqN"&amp;"n9zZBOmHT8/edit#gid=757525651"",""'Allocation Breakdown'!F4:F187""))"),"")</f>
        <v/>
      </c>
      <c r="J85" s="30" t="str">
        <f ca="1">IFERROR(__xludf.DUMMYFUNCTION("XLOOKUP($B85,IMPORTRANGE(""https://docs.google.com/spreadsheets/d/1EjEqG6oc_vmuAWwHnH51YMvSMVUVePUqNn9zZBOmHT8/edit#gid=757525651"",""'Allocation Breakdown'!A4:A187""),IMPORTRANGE(""https://docs.google.com/spreadsheets/d/1EjEqG6oc_vmuAWwHnH51YMvSMVUVePUqN"&amp;"n9zZBOmHT8/edit#gid=757525651"",""'Allocation Breakdown'!G4:G187""))"),"")</f>
        <v/>
      </c>
      <c r="K85" s="30">
        <f ca="1">IFERROR(__xludf.DUMMYFUNCTION("XLOOKUP($B85,IMPORTRANGE(""https://docs.google.com/spreadsheets/d/1EjEqG6oc_vmuAWwHnH51YMvSMVUVePUqNn9zZBOmHT8/edit#gid=757525651"",""'Allocation Breakdown'!A4:A187""),IMPORTRANGE(""https://docs.google.com/spreadsheets/d/1EjEqG6oc_vmuAWwHnH51YMvSMVUVePUqN"&amp;"n9zZBOmHT8/edit#gid=757525651"",""'Allocation Breakdown'!I4:I187""))*K$119"),624.9384636)</f>
        <v>624.93846359999998</v>
      </c>
      <c r="L85" s="30">
        <f ca="1">IFERROR(__xludf.DUMMYFUNCTION("XLOOKUP($B85,IMPORTRANGE(""https://docs.google.com/spreadsheets/d/1EjEqG6oc_vmuAWwHnH51YMvSMVUVePUqNn9zZBOmHT8/edit#gid=757525651"",""'Allocation Breakdown'!A4:A187""),IMPORTRANGE(""https://docs.google.com/spreadsheets/d/1EjEqG6oc_vmuAWwHnH51YMvSMVUVePUqN"&amp;"n9zZBOmHT8/edit#gid=757525651"",""'Allocation Breakdown'!j4:j187""))*L$119"),0)</f>
        <v>0</v>
      </c>
      <c r="M85" s="30">
        <f ca="1">IFERROR(__xludf.DUMMYFUNCTION("XLOOKUP($B85,IMPORTRANGE(""https://docs.google.com/spreadsheets/d/1EjEqG6oc_vmuAWwHnH51YMvSMVUVePUqNn9zZBOmHT8/edit#gid=757525651"",""'Allocation Breakdown'!A4:A187""),IMPORTRANGE(""https://docs.google.com/spreadsheets/d/1EjEqG6oc_vmuAWwHnH51YMvSMVUVePUqN"&amp;"n9zZBOmHT8/edit#gid=757525651"",""'Allocation Breakdown'!K4:K187""))*M$119"),0)</f>
        <v>0</v>
      </c>
      <c r="N85" s="30">
        <f ca="1">IFERROR(__xludf.DUMMYFUNCTION("XLOOKUP($B85,IMPORTRANGE(""https://docs.google.com/spreadsheets/d/1EjEqG6oc_vmuAWwHnH51YMvSMVUVePUqNn9zZBOmHT8/edit#gid=757525651"",""'Allocation Breakdown'!A4:A187""),IMPORTRANGE(""https://docs.google.com/spreadsheets/d/1EjEqG6oc_vmuAWwHnH51YMvSMVUVePUqN"&amp;"n9zZBOmHT8/edit#gid=757525651"",""'Allocation Breakdown'!l4:l187""))*N$119"),951.8600508)</f>
        <v>951.86005079999995</v>
      </c>
      <c r="O85" s="30">
        <f ca="1">IFERROR(__xludf.DUMMYFUNCTION("XLOOKUP($B85,IMPORTRANGE(""https://docs.google.com/spreadsheets/d/1EjEqG6oc_vmuAWwHnH51YMvSMVUVePUqNn9zZBOmHT8/edit#gid=757525651"",""'Allocation Breakdown'!A4:A187""),IMPORTRANGE(""https://docs.google.com/spreadsheets/d/1EjEqG6oc_vmuAWwHnH51YMvSMVUVePUqN"&amp;"n9zZBOmHT8/edit#gid=757525651"",""'Allocation Breakdown'!n4:n187""))*O$119"),0)</f>
        <v>0</v>
      </c>
      <c r="P85" s="30">
        <f ca="1">IFERROR(__xludf.DUMMYFUNCTION("XLOOKUP($B85,IMPORTRANGE(""https://docs.google.com/spreadsheets/d/1EjEqG6oc_vmuAWwHnH51YMvSMVUVePUqNn9zZBOmHT8/edit#gid=757525651"",""'Allocation Breakdown'!A4:A187""),IMPORTRANGE(""https://docs.google.com/spreadsheets/d/1EjEqG6oc_vmuAWwHnH51YMvSMVUVePUqN"&amp;"n9zZBOmHT8/edit#gid=757525651"",""'Allocation Breakdown'!o4:o187""))*P$119"),2000)</f>
        <v>2000</v>
      </c>
      <c r="Q85" s="30">
        <f ca="1">IFERROR(__xludf.DUMMYFUNCTION("XLOOKUP($B85,IMPORTRANGE(""https://docs.google.com/spreadsheets/d/1EjEqG6oc_vmuAWwHnH51YMvSMVUVePUqNn9zZBOmHT8/edit#gid=757525651"",""'Allocation Breakdown'!A4:A187""),IMPORTRANGE(""https://docs.google.com/spreadsheets/d/1EjEqG6oc_vmuAWwHnH51YMvSMVUVePUqN"&amp;"n9zZBOmHT8/edit#gid=757525651"",""'Allocation Breakdown'!p4:p187""))*Q$119"),0)</f>
        <v>0</v>
      </c>
      <c r="R85" s="30">
        <f ca="1">IFERROR(__xludf.DUMMYFUNCTION("XLOOKUP($B85,IMPORTRANGE(""https://docs.google.com/spreadsheets/d/1EjEqG6oc_vmuAWwHnH51YMvSMVUVePUqNn9zZBOmHT8/edit#gid=757525651"",""'Allocation Breakdown'!A4:A187""),IMPORTRANGE(""https://docs.google.com/spreadsheets/d/1EjEqG6oc_vmuAWwHnH51YMvSMVUVePUqN"&amp;"n9zZBOmHT8/edit#gid=757525651"",""'Allocation Breakdown'!q4:q187""))*R$119"),2000)</f>
        <v>2000</v>
      </c>
      <c r="S85" s="30">
        <f ca="1">IFERROR(__xludf.DUMMYFUNCTION("XLOOKUP($B85,IMPORTRANGE(""https://docs.google.com/spreadsheets/d/1EjEqG6oc_vmuAWwHnH51YMvSMVUVePUqNn9zZBOmHT8/edit#gid=757525651"",""'Allocation Breakdown'!A4:A187""),IMPORTRANGE(""https://docs.google.com/spreadsheets/d/1EjEqG6oc_vmuAWwHnH51YMvSMVUVePUqN"&amp;"n9zZBOmHT8/edit#gid=757525651"",""'Allocation Breakdown'!r4:r187""))*S$119"),2000)</f>
        <v>2000</v>
      </c>
      <c r="T85" s="30">
        <f ca="1">IFERROR(__xludf.DUMMYFUNCTION("XLOOKUP($B85,IMPORTRANGE(""https://docs.google.com/spreadsheets/d/1EjEqG6oc_vmuAWwHnH51YMvSMVUVePUqNn9zZBOmHT8/edit#gid=757525651"",""'Allocation Breakdown'!A4:A187""),IMPORTRANGE(""https://docs.google.com/spreadsheets/d/1EjEqG6oc_vmuAWwHnH51YMvSMVUVePUqN"&amp;"n9zZBOmHT8/edit#gid=757525651"",""'Allocation Breakdown'!t4:t187""))*T$119"),7000)</f>
        <v>7000</v>
      </c>
      <c r="U85" s="30">
        <f ca="1">IFERROR(__xludf.DUMMYFUNCTION("XLOOKUP($B85,IMPORTRANGE(""https://docs.google.com/spreadsheets/d/1EjEqG6oc_vmuAWwHnH51YMvSMVUVePUqNn9zZBOmHT8/edit#gid=757525651"",""'Allocation Breakdown'!A4:A187""),IMPORTRANGE(""https://docs.google.com/spreadsheets/d/1EjEqG6oc_vmuAWwHnH51YMvSMVUVePUqN"&amp;"n9zZBOmHT8/edit#gid=757525651"",""'Allocation Breakdown'!U4:U187""))*U$119"),0)</f>
        <v>0</v>
      </c>
      <c r="V85" s="31">
        <f t="shared" ca="1" si="1"/>
        <v>19576.798514399998</v>
      </c>
      <c r="W85" s="31">
        <f t="shared" ca="1" si="2"/>
        <v>26689.5943560655</v>
      </c>
      <c r="Z85" s="32"/>
      <c r="AA85" s="32"/>
      <c r="AB85" s="32"/>
    </row>
    <row r="86" spans="2:28" ht="15.75" customHeight="1">
      <c r="B86" s="28" t="s">
        <v>183</v>
      </c>
      <c r="C86" s="30">
        <f ca="1">IFERROR(__xludf.DUMMYFUNCTION("XLOOKUP($B86,IMPORTRANGE(""https://docs.google.com/spreadsheets/d/1EjEqG6oc_vmuAWwHnH51YMvSMVUVePUqNn9zZBOmHT8/edit#gid=757525651"",""'Allocation Breakdown'!A4:A187""),IMPORTRANGE(""https://docs.google.com/spreadsheets/d/1EjEqG6oc_vmuAWwHnH51YMvSMVUVePUqN"&amp;"n9zZBOmHT8/edit#gid=757525651"",""'Allocation Breakdown'!V4:V187""))*C$119"),0)</f>
        <v>0</v>
      </c>
      <c r="D86" s="30">
        <f ca="1">IFERROR(__xludf.DUMMYFUNCTION("XLOOKUP($B86,IMPORTRANGE(""https://docs.google.com/spreadsheets/d/1EjEqG6oc_vmuAWwHnH51YMvSMVUVePUqNn9zZBOmHT8/edit#gid=757525651"",""'Allocation Breakdown'!A4:A187""),IMPORTRANGE(""https://docs.google.com/spreadsheets/d/1EjEqG6oc_vmuAWwHnH51YMvSMVUVePUqN"&amp;"n9zZBOmHT8/edit#gid=757525651"",""'Allocation Breakdown'!I4:I187""))*$D$119"),0)</f>
        <v>0</v>
      </c>
      <c r="E86" s="30">
        <f ca="1">IFERROR(__xludf.DUMMYFUNCTION("XLOOKUP($B86,IMPORTRANGE(""https://docs.google.com/spreadsheets/d/1EjEqG6oc_vmuAWwHnH51YMvSMVUVePUqNn9zZBOmHT8/edit#gid=757525651"",""'Allocation Breakdown'!A4:A187""),IMPORTRANGE(""https://docs.google.com/spreadsheets/d/1EjEqG6oc_vmuAWwHnH51YMvSMVUVePUqN"&amp;"n9zZBOmHT8/edit#gid=757525651"",""'Allocation Breakdown'!V4:V187""))*E$119"),0)</f>
        <v>0</v>
      </c>
      <c r="F86" s="30">
        <f t="shared" ca="1" si="0"/>
        <v>0</v>
      </c>
      <c r="G86" s="30" t="str">
        <f ca="1">IFERROR(__xludf.DUMMYFUNCTION("XLOOKUP($B86,IMPORTRANGE(""https://docs.google.com/spreadsheets/d/1EjEqG6oc_vmuAWwHnH51YMvSMVUVePUqNn9zZBOmHT8/edit#gid=757525651"",""'Allocation Breakdown'!A4:A187""),IMPORTRANGE(""https://docs.google.com/spreadsheets/d/1EjEqG6oc_vmuAWwHnH51YMvSMVUVePUqN"&amp;"n9zZBOmHT8/edit#gid=757525651"",""'Allocation Breakdown'!D4:D187""))"),"")</f>
        <v/>
      </c>
      <c r="H86" s="30">
        <f ca="1">IFERROR(__xludf.DUMMYFUNCTION("XLOOKUP($B86,IMPORTRANGE(""https://docs.google.com/spreadsheets/d/1EjEqG6oc_vmuAWwHnH51YMvSMVUVePUqNn9zZBOmHT8/edit#gid=757525651"",""'Allocation Breakdown'!A4:A187""),IMPORTRANGE(""https://docs.google.com/spreadsheets/d/1EjEqG6oc_vmuAWwHnH51YMvSMVUVePUqN"&amp;"n9zZBOmHT8/edit#gid=757525651"",""'Allocation Breakdown'!E4:E187""))"),6000)</f>
        <v>6000</v>
      </c>
      <c r="I86" s="30" t="str">
        <f ca="1">IFERROR(__xludf.DUMMYFUNCTION("XLOOKUP($B86,IMPORTRANGE(""https://docs.google.com/spreadsheets/d/1EjEqG6oc_vmuAWwHnH51YMvSMVUVePUqNn9zZBOmHT8/edit#gid=757525651"",""'Allocation Breakdown'!A4:A187""),IMPORTRANGE(""https://docs.google.com/spreadsheets/d/1EjEqG6oc_vmuAWwHnH51YMvSMVUVePUqN"&amp;"n9zZBOmHT8/edit#gid=757525651"",""'Allocation Breakdown'!F4:F187""))"),"")</f>
        <v/>
      </c>
      <c r="J86" s="30" t="str">
        <f ca="1">IFERROR(__xludf.DUMMYFUNCTION("XLOOKUP($B86,IMPORTRANGE(""https://docs.google.com/spreadsheets/d/1EjEqG6oc_vmuAWwHnH51YMvSMVUVePUqNn9zZBOmHT8/edit#gid=757525651"",""'Allocation Breakdown'!A4:A187""),IMPORTRANGE(""https://docs.google.com/spreadsheets/d/1EjEqG6oc_vmuAWwHnH51YMvSMVUVePUqN"&amp;"n9zZBOmHT8/edit#gid=757525651"",""'Allocation Breakdown'!G4:G187""))"),"")</f>
        <v/>
      </c>
      <c r="K86" s="30">
        <f ca="1">IFERROR(__xludf.DUMMYFUNCTION("XLOOKUP($B86,IMPORTRANGE(""https://docs.google.com/spreadsheets/d/1EjEqG6oc_vmuAWwHnH51YMvSMVUVePUqNn9zZBOmHT8/edit#gid=757525651"",""'Allocation Breakdown'!A4:A187""),IMPORTRANGE(""https://docs.google.com/spreadsheets/d/1EjEqG6oc_vmuAWwHnH51YMvSMVUVePUqN"&amp;"n9zZBOmHT8/edit#gid=757525651"",""'Allocation Breakdown'!I4:I187""))*K$119"),0)</f>
        <v>0</v>
      </c>
      <c r="L86" s="30">
        <f ca="1">IFERROR(__xludf.DUMMYFUNCTION("XLOOKUP($B86,IMPORTRANGE(""https://docs.google.com/spreadsheets/d/1EjEqG6oc_vmuAWwHnH51YMvSMVUVePUqNn9zZBOmHT8/edit#gid=757525651"",""'Allocation Breakdown'!A4:A187""),IMPORTRANGE(""https://docs.google.com/spreadsheets/d/1EjEqG6oc_vmuAWwHnH51YMvSMVUVePUqN"&amp;"n9zZBOmHT8/edit#gid=757525651"",""'Allocation Breakdown'!j4:j187""))*L$119"),0)</f>
        <v>0</v>
      </c>
      <c r="M86" s="30">
        <f ca="1">IFERROR(__xludf.DUMMYFUNCTION("XLOOKUP($B86,IMPORTRANGE(""https://docs.google.com/spreadsheets/d/1EjEqG6oc_vmuAWwHnH51YMvSMVUVePUqNn9zZBOmHT8/edit#gid=757525651"",""'Allocation Breakdown'!A4:A187""),IMPORTRANGE(""https://docs.google.com/spreadsheets/d/1EjEqG6oc_vmuAWwHnH51YMvSMVUVePUqN"&amp;"n9zZBOmHT8/edit#gid=757525651"",""'Allocation Breakdown'!K4:K187""))*M$119"),0)</f>
        <v>0</v>
      </c>
      <c r="N86" s="30">
        <f ca="1">IFERROR(__xludf.DUMMYFUNCTION("XLOOKUP($B86,IMPORTRANGE(""https://docs.google.com/spreadsheets/d/1EjEqG6oc_vmuAWwHnH51YMvSMVUVePUqNn9zZBOmHT8/edit#gid=757525651"",""'Allocation Breakdown'!A4:A187""),IMPORTRANGE(""https://docs.google.com/spreadsheets/d/1EjEqG6oc_vmuAWwHnH51YMvSMVUVePUqN"&amp;"n9zZBOmHT8/edit#gid=757525651"",""'Allocation Breakdown'!l4:l187""))*N$119"),951.8600508)</f>
        <v>951.86005079999995</v>
      </c>
      <c r="O86" s="30">
        <f ca="1">IFERROR(__xludf.DUMMYFUNCTION("XLOOKUP($B86,IMPORTRANGE(""https://docs.google.com/spreadsheets/d/1EjEqG6oc_vmuAWwHnH51YMvSMVUVePUqNn9zZBOmHT8/edit#gid=757525651"",""'Allocation Breakdown'!A4:A187""),IMPORTRANGE(""https://docs.google.com/spreadsheets/d/1EjEqG6oc_vmuAWwHnH51YMvSMVUVePUqN"&amp;"n9zZBOmHT8/edit#gid=757525651"",""'Allocation Breakdown'!n4:n187""))*O$119"),0)</f>
        <v>0</v>
      </c>
      <c r="P86" s="30">
        <f ca="1">IFERROR(__xludf.DUMMYFUNCTION("XLOOKUP($B86,IMPORTRANGE(""https://docs.google.com/spreadsheets/d/1EjEqG6oc_vmuAWwHnH51YMvSMVUVePUqNn9zZBOmHT8/edit#gid=757525651"",""'Allocation Breakdown'!A4:A187""),IMPORTRANGE(""https://docs.google.com/spreadsheets/d/1EjEqG6oc_vmuAWwHnH51YMvSMVUVePUqN"&amp;"n9zZBOmHT8/edit#gid=757525651"",""'Allocation Breakdown'!o4:o187""))*P$119"),2000)</f>
        <v>2000</v>
      </c>
      <c r="Q86" s="30">
        <f ca="1">IFERROR(__xludf.DUMMYFUNCTION("XLOOKUP($B86,IMPORTRANGE(""https://docs.google.com/spreadsheets/d/1EjEqG6oc_vmuAWwHnH51YMvSMVUVePUqNn9zZBOmHT8/edit#gid=757525651"",""'Allocation Breakdown'!A4:A187""),IMPORTRANGE(""https://docs.google.com/spreadsheets/d/1EjEqG6oc_vmuAWwHnH51YMvSMVUVePUqN"&amp;"n9zZBOmHT8/edit#gid=757525651"",""'Allocation Breakdown'!p4:p187""))*Q$119"),2000)</f>
        <v>2000</v>
      </c>
      <c r="R86" s="30">
        <f ca="1">IFERROR(__xludf.DUMMYFUNCTION("XLOOKUP($B86,IMPORTRANGE(""https://docs.google.com/spreadsheets/d/1EjEqG6oc_vmuAWwHnH51YMvSMVUVePUqNn9zZBOmHT8/edit#gid=757525651"",""'Allocation Breakdown'!A4:A187""),IMPORTRANGE(""https://docs.google.com/spreadsheets/d/1EjEqG6oc_vmuAWwHnH51YMvSMVUVePUqN"&amp;"n9zZBOmHT8/edit#gid=757525651"",""'Allocation Breakdown'!q4:q187""))*R$119"),2000)</f>
        <v>2000</v>
      </c>
      <c r="S86" s="30">
        <f ca="1">IFERROR(__xludf.DUMMYFUNCTION("XLOOKUP($B86,IMPORTRANGE(""https://docs.google.com/spreadsheets/d/1EjEqG6oc_vmuAWwHnH51YMvSMVUVePUqNn9zZBOmHT8/edit#gid=757525651"",""'Allocation Breakdown'!A4:A187""),IMPORTRANGE(""https://docs.google.com/spreadsheets/d/1EjEqG6oc_vmuAWwHnH51YMvSMVUVePUqN"&amp;"n9zZBOmHT8/edit#gid=757525651"",""'Allocation Breakdown'!r4:r187""))*S$119"),2000)</f>
        <v>2000</v>
      </c>
      <c r="T86" s="30">
        <f ca="1">IFERROR(__xludf.DUMMYFUNCTION("XLOOKUP($B86,IMPORTRANGE(""https://docs.google.com/spreadsheets/d/1EjEqG6oc_vmuAWwHnH51YMvSMVUVePUqNn9zZBOmHT8/edit#gid=757525651"",""'Allocation Breakdown'!A4:A187""),IMPORTRANGE(""https://docs.google.com/spreadsheets/d/1EjEqG6oc_vmuAWwHnH51YMvSMVUVePUqN"&amp;"n9zZBOmHT8/edit#gid=757525651"",""'Allocation Breakdown'!t4:t187""))*T$119"),7000)</f>
        <v>7000</v>
      </c>
      <c r="U86" s="30">
        <f ca="1">IFERROR(__xludf.DUMMYFUNCTION("XLOOKUP($B86,IMPORTRANGE(""https://docs.google.com/spreadsheets/d/1EjEqG6oc_vmuAWwHnH51YMvSMVUVePUqNn9zZBOmHT8/edit#gid=757525651"",""'Allocation Breakdown'!A4:A187""),IMPORTRANGE(""https://docs.google.com/spreadsheets/d/1EjEqG6oc_vmuAWwHnH51YMvSMVUVePUqN"&amp;"n9zZBOmHT8/edit#gid=757525651"",""'Allocation Breakdown'!U4:U187""))*U$119"),11000)</f>
        <v>11000</v>
      </c>
      <c r="V86" s="31">
        <f t="shared" ca="1" si="1"/>
        <v>32951.860050800002</v>
      </c>
      <c r="W86" s="31">
        <f t="shared" ca="1" si="2"/>
        <v>32951.860050800002</v>
      </c>
      <c r="Z86" s="32"/>
      <c r="AA86" s="32"/>
      <c r="AB86" s="32"/>
    </row>
    <row r="87" spans="2:28" ht="15.75" customHeight="1">
      <c r="B87" s="28" t="s">
        <v>184</v>
      </c>
      <c r="C87" s="30">
        <f ca="1">IFERROR(__xludf.DUMMYFUNCTION("XLOOKUP($B87,IMPORTRANGE(""https://docs.google.com/spreadsheets/d/1EjEqG6oc_vmuAWwHnH51YMvSMVUVePUqNn9zZBOmHT8/edit#gid=757525651"",""'Allocation Breakdown'!A4:A187""),IMPORTRANGE(""https://docs.google.com/spreadsheets/d/1EjEqG6oc_vmuAWwHnH51YMvSMVUVePUqN"&amp;"n9zZBOmHT8/edit#gid=757525651"",""'Allocation Breakdown'!V4:V187""))*C$119"),0)</f>
        <v>0</v>
      </c>
      <c r="D87" s="30">
        <f ca="1">IFERROR(__xludf.DUMMYFUNCTION("XLOOKUP($B87,IMPORTRANGE(""https://docs.google.com/spreadsheets/d/1EjEqG6oc_vmuAWwHnH51YMvSMVUVePUqNn9zZBOmHT8/edit#gid=757525651"",""'Allocation Breakdown'!A4:A187""),IMPORTRANGE(""https://docs.google.com/spreadsheets/d/1EjEqG6oc_vmuAWwHnH51YMvSMVUVePUqN"&amp;"n9zZBOmHT8/edit#gid=757525651"",""'Allocation Breakdown'!I4:I187""))*$D$119"),0)</f>
        <v>0</v>
      </c>
      <c r="E87" s="30">
        <f ca="1">IFERROR(__xludf.DUMMYFUNCTION("XLOOKUP($B87,IMPORTRANGE(""https://docs.google.com/spreadsheets/d/1EjEqG6oc_vmuAWwHnH51YMvSMVUVePUqNn9zZBOmHT8/edit#gid=757525651"",""'Allocation Breakdown'!A4:A187""),IMPORTRANGE(""https://docs.google.com/spreadsheets/d/1EjEqG6oc_vmuAWwHnH51YMvSMVUVePUqN"&amp;"n9zZBOmHT8/edit#gid=757525651"",""'Allocation Breakdown'!V4:V187""))*E$119"),0)</f>
        <v>0</v>
      </c>
      <c r="F87" s="30">
        <f t="shared" ca="1" si="0"/>
        <v>0</v>
      </c>
      <c r="G87" s="30" t="str">
        <f ca="1">IFERROR(__xludf.DUMMYFUNCTION("XLOOKUP($B87,IMPORTRANGE(""https://docs.google.com/spreadsheets/d/1EjEqG6oc_vmuAWwHnH51YMvSMVUVePUqNn9zZBOmHT8/edit#gid=757525651"",""'Allocation Breakdown'!A4:A187""),IMPORTRANGE(""https://docs.google.com/spreadsheets/d/1EjEqG6oc_vmuAWwHnH51YMvSMVUVePUqN"&amp;"n9zZBOmHT8/edit#gid=757525651"",""'Allocation Breakdown'!D4:D187""))"),"")</f>
        <v/>
      </c>
      <c r="H87" s="30">
        <f ca="1">IFERROR(__xludf.DUMMYFUNCTION("XLOOKUP($B87,IMPORTRANGE(""https://docs.google.com/spreadsheets/d/1EjEqG6oc_vmuAWwHnH51YMvSMVUVePUqNn9zZBOmHT8/edit#gid=757525651"",""'Allocation Breakdown'!A4:A187""),IMPORTRANGE(""https://docs.google.com/spreadsheets/d/1EjEqG6oc_vmuAWwHnH51YMvSMVUVePUqN"&amp;"n9zZBOmHT8/edit#gid=757525651"",""'Allocation Breakdown'!E4:E187""))"),6000)</f>
        <v>6000</v>
      </c>
      <c r="I87" s="30" t="str">
        <f ca="1">IFERROR(__xludf.DUMMYFUNCTION("XLOOKUP($B87,IMPORTRANGE(""https://docs.google.com/spreadsheets/d/1EjEqG6oc_vmuAWwHnH51YMvSMVUVePUqNn9zZBOmHT8/edit#gid=757525651"",""'Allocation Breakdown'!A4:A187""),IMPORTRANGE(""https://docs.google.com/spreadsheets/d/1EjEqG6oc_vmuAWwHnH51YMvSMVUVePUqN"&amp;"n9zZBOmHT8/edit#gid=757525651"",""'Allocation Breakdown'!F4:F187""))"),"")</f>
        <v/>
      </c>
      <c r="J87" s="30" t="str">
        <f ca="1">IFERROR(__xludf.DUMMYFUNCTION("XLOOKUP($B87,IMPORTRANGE(""https://docs.google.com/spreadsheets/d/1EjEqG6oc_vmuAWwHnH51YMvSMVUVePUqNn9zZBOmHT8/edit#gid=757525651"",""'Allocation Breakdown'!A4:A187""),IMPORTRANGE(""https://docs.google.com/spreadsheets/d/1EjEqG6oc_vmuAWwHnH51YMvSMVUVePUqN"&amp;"n9zZBOmHT8/edit#gid=757525651"",""'Allocation Breakdown'!G4:G187""))"),"")</f>
        <v/>
      </c>
      <c r="K87" s="30">
        <f ca="1">IFERROR(__xludf.DUMMYFUNCTION("XLOOKUP($B87,IMPORTRANGE(""https://docs.google.com/spreadsheets/d/1EjEqG6oc_vmuAWwHnH51YMvSMVUVePUqNn9zZBOmHT8/edit#gid=757525651"",""'Allocation Breakdown'!A4:A187""),IMPORTRANGE(""https://docs.google.com/spreadsheets/d/1EjEqG6oc_vmuAWwHnH51YMvSMVUVePUqN"&amp;"n9zZBOmHT8/edit#gid=757525651"",""'Allocation Breakdown'!I4:I187""))*K$119"),0)</f>
        <v>0</v>
      </c>
      <c r="L87" s="30">
        <f ca="1">IFERROR(__xludf.DUMMYFUNCTION("XLOOKUP($B87,IMPORTRANGE(""https://docs.google.com/spreadsheets/d/1EjEqG6oc_vmuAWwHnH51YMvSMVUVePUqNn9zZBOmHT8/edit#gid=757525651"",""'Allocation Breakdown'!A4:A187""),IMPORTRANGE(""https://docs.google.com/spreadsheets/d/1EjEqG6oc_vmuAWwHnH51YMvSMVUVePUqN"&amp;"n9zZBOmHT8/edit#gid=757525651"",""'Allocation Breakdown'!j4:j187""))*L$119"),0)</f>
        <v>0</v>
      </c>
      <c r="M87" s="30">
        <f ca="1">IFERROR(__xludf.DUMMYFUNCTION("XLOOKUP($B87,IMPORTRANGE(""https://docs.google.com/spreadsheets/d/1EjEqG6oc_vmuAWwHnH51YMvSMVUVePUqNn9zZBOmHT8/edit#gid=757525651"",""'Allocation Breakdown'!A4:A187""),IMPORTRANGE(""https://docs.google.com/spreadsheets/d/1EjEqG6oc_vmuAWwHnH51YMvSMVUVePUqN"&amp;"n9zZBOmHT8/edit#gid=757525651"",""'Allocation Breakdown'!K4:K187""))*M$119"),0)</f>
        <v>0</v>
      </c>
      <c r="N87" s="30">
        <f ca="1">IFERROR(__xludf.DUMMYFUNCTION("XLOOKUP($B87,IMPORTRANGE(""https://docs.google.com/spreadsheets/d/1EjEqG6oc_vmuAWwHnH51YMvSMVUVePUqNn9zZBOmHT8/edit#gid=757525651"",""'Allocation Breakdown'!A4:A187""),IMPORTRANGE(""https://docs.google.com/spreadsheets/d/1EjEqG6oc_vmuAWwHnH51YMvSMVUVePUqN"&amp;"n9zZBOmHT8/edit#gid=757525651"",""'Allocation Breakdown'!l4:l187""))*N$119"),951.8600508)</f>
        <v>951.86005079999995</v>
      </c>
      <c r="O87" s="30">
        <f ca="1">IFERROR(__xludf.DUMMYFUNCTION("XLOOKUP($B87,IMPORTRANGE(""https://docs.google.com/spreadsheets/d/1EjEqG6oc_vmuAWwHnH51YMvSMVUVePUqNn9zZBOmHT8/edit#gid=757525651"",""'Allocation Breakdown'!A4:A187""),IMPORTRANGE(""https://docs.google.com/spreadsheets/d/1EjEqG6oc_vmuAWwHnH51YMvSMVUVePUqN"&amp;"n9zZBOmHT8/edit#gid=757525651"",""'Allocation Breakdown'!n4:n187""))*O$119"),0)</f>
        <v>0</v>
      </c>
      <c r="P87" s="30">
        <f ca="1">IFERROR(__xludf.DUMMYFUNCTION("XLOOKUP($B87,IMPORTRANGE(""https://docs.google.com/spreadsheets/d/1EjEqG6oc_vmuAWwHnH51YMvSMVUVePUqNn9zZBOmHT8/edit#gid=757525651"",""'Allocation Breakdown'!A4:A187""),IMPORTRANGE(""https://docs.google.com/spreadsheets/d/1EjEqG6oc_vmuAWwHnH51YMvSMVUVePUqN"&amp;"n9zZBOmHT8/edit#gid=757525651"",""'Allocation Breakdown'!o4:o187""))*P$119"),0)</f>
        <v>0</v>
      </c>
      <c r="Q87" s="30">
        <f ca="1">IFERROR(__xludf.DUMMYFUNCTION("XLOOKUP($B87,IMPORTRANGE(""https://docs.google.com/spreadsheets/d/1EjEqG6oc_vmuAWwHnH51YMvSMVUVePUqNn9zZBOmHT8/edit#gid=757525651"",""'Allocation Breakdown'!A4:A187""),IMPORTRANGE(""https://docs.google.com/spreadsheets/d/1EjEqG6oc_vmuAWwHnH51YMvSMVUVePUqN"&amp;"n9zZBOmHT8/edit#gid=757525651"",""'Allocation Breakdown'!p4:p187""))*Q$119"),0)</f>
        <v>0</v>
      </c>
      <c r="R87" s="30">
        <f ca="1">IFERROR(__xludf.DUMMYFUNCTION("XLOOKUP($B87,IMPORTRANGE(""https://docs.google.com/spreadsheets/d/1EjEqG6oc_vmuAWwHnH51YMvSMVUVePUqNn9zZBOmHT8/edit#gid=757525651"",""'Allocation Breakdown'!A4:A187""),IMPORTRANGE(""https://docs.google.com/spreadsheets/d/1EjEqG6oc_vmuAWwHnH51YMvSMVUVePUqN"&amp;"n9zZBOmHT8/edit#gid=757525651"",""'Allocation Breakdown'!q4:q187""))*R$119"),0)</f>
        <v>0</v>
      </c>
      <c r="S87" s="30">
        <f ca="1">IFERROR(__xludf.DUMMYFUNCTION("XLOOKUP($B87,IMPORTRANGE(""https://docs.google.com/spreadsheets/d/1EjEqG6oc_vmuAWwHnH51YMvSMVUVePUqNn9zZBOmHT8/edit#gid=757525651"",""'Allocation Breakdown'!A4:A187""),IMPORTRANGE(""https://docs.google.com/spreadsheets/d/1EjEqG6oc_vmuAWwHnH51YMvSMVUVePUqN"&amp;"n9zZBOmHT8/edit#gid=757525651"",""'Allocation Breakdown'!r4:r187""))*S$119"),0)</f>
        <v>0</v>
      </c>
      <c r="T87" s="30">
        <f ca="1">IFERROR(__xludf.DUMMYFUNCTION("XLOOKUP($B87,IMPORTRANGE(""https://docs.google.com/spreadsheets/d/1EjEqG6oc_vmuAWwHnH51YMvSMVUVePUqNn9zZBOmHT8/edit#gid=757525651"",""'Allocation Breakdown'!A4:A187""),IMPORTRANGE(""https://docs.google.com/spreadsheets/d/1EjEqG6oc_vmuAWwHnH51YMvSMVUVePUqN"&amp;"n9zZBOmHT8/edit#gid=757525651"",""'Allocation Breakdown'!t4:t187""))*T$119"),7000)</f>
        <v>7000</v>
      </c>
      <c r="U87" s="30">
        <f ca="1">IFERROR(__xludf.DUMMYFUNCTION("XLOOKUP($B87,IMPORTRANGE(""https://docs.google.com/spreadsheets/d/1EjEqG6oc_vmuAWwHnH51YMvSMVUVePUqNn9zZBOmHT8/edit#gid=757525651"",""'Allocation Breakdown'!A4:A187""),IMPORTRANGE(""https://docs.google.com/spreadsheets/d/1EjEqG6oc_vmuAWwHnH51YMvSMVUVePUqN"&amp;"n9zZBOmHT8/edit#gid=757525651"",""'Allocation Breakdown'!U4:U187""))*U$119"),0)</f>
        <v>0</v>
      </c>
      <c r="V87" s="31">
        <f t="shared" ca="1" si="1"/>
        <v>13951.8600508</v>
      </c>
      <c r="W87" s="31">
        <f t="shared" ca="1" si="2"/>
        <v>13951.8600508</v>
      </c>
      <c r="Z87" s="32"/>
      <c r="AA87" s="32"/>
      <c r="AB87" s="32"/>
    </row>
    <row r="88" spans="2:28" ht="15.75" customHeight="1">
      <c r="B88" s="28" t="s">
        <v>185</v>
      </c>
      <c r="C88" s="30">
        <f ca="1">IFERROR(__xludf.DUMMYFUNCTION("XLOOKUP($B88,IMPORTRANGE(""https://docs.google.com/spreadsheets/d/1EjEqG6oc_vmuAWwHnH51YMvSMVUVePUqNn9zZBOmHT8/edit#gid=757525651"",""'Allocation Breakdown'!A4:A187""),IMPORTRANGE(""https://docs.google.com/spreadsheets/d/1EjEqG6oc_vmuAWwHnH51YMvSMVUVePUqN"&amp;"n9zZBOmHT8/edit#gid=757525651"",""'Allocation Breakdown'!V4:V187""))*C$119"),0)</f>
        <v>0</v>
      </c>
      <c r="D88" s="30">
        <f ca="1">IFERROR(__xludf.DUMMYFUNCTION("XLOOKUP($B88,IMPORTRANGE(""https://docs.google.com/spreadsheets/d/1EjEqG6oc_vmuAWwHnH51YMvSMVUVePUqNn9zZBOmHT8/edit#gid=757525651"",""'Allocation Breakdown'!A4:A187""),IMPORTRANGE(""https://docs.google.com/spreadsheets/d/1EjEqG6oc_vmuAWwHnH51YMvSMVUVePUqN"&amp;"n9zZBOmHT8/edit#gid=757525651"",""'Allocation Breakdown'!I4:I187""))*$D$119"),0)</f>
        <v>0</v>
      </c>
      <c r="E88" s="30">
        <f ca="1">IFERROR(__xludf.DUMMYFUNCTION("XLOOKUP($B88,IMPORTRANGE(""https://docs.google.com/spreadsheets/d/1EjEqG6oc_vmuAWwHnH51YMvSMVUVePUqNn9zZBOmHT8/edit#gid=757525651"",""'Allocation Breakdown'!A4:A187""),IMPORTRANGE(""https://docs.google.com/spreadsheets/d/1EjEqG6oc_vmuAWwHnH51YMvSMVUVePUqN"&amp;"n9zZBOmHT8/edit#gid=757525651"",""'Allocation Breakdown'!V4:V187""))*E$119"),0)</f>
        <v>0</v>
      </c>
      <c r="F88" s="30">
        <f t="shared" ca="1" si="0"/>
        <v>0</v>
      </c>
      <c r="G88" s="30" t="str">
        <f ca="1">IFERROR(__xludf.DUMMYFUNCTION("XLOOKUP($B88,IMPORTRANGE(""https://docs.google.com/spreadsheets/d/1EjEqG6oc_vmuAWwHnH51YMvSMVUVePUqNn9zZBOmHT8/edit#gid=757525651"",""'Allocation Breakdown'!A4:A187""),IMPORTRANGE(""https://docs.google.com/spreadsheets/d/1EjEqG6oc_vmuAWwHnH51YMvSMVUVePUqN"&amp;"n9zZBOmHT8/edit#gid=757525651"",""'Allocation Breakdown'!D4:D187""))"),"")</f>
        <v/>
      </c>
      <c r="H88" s="30" t="str">
        <f ca="1">IFERROR(__xludf.DUMMYFUNCTION("XLOOKUP($B88,IMPORTRANGE(""https://docs.google.com/spreadsheets/d/1EjEqG6oc_vmuAWwHnH51YMvSMVUVePUqNn9zZBOmHT8/edit#gid=757525651"",""'Allocation Breakdown'!A4:A187""),IMPORTRANGE(""https://docs.google.com/spreadsheets/d/1EjEqG6oc_vmuAWwHnH51YMvSMVUVePUqN"&amp;"n9zZBOmHT8/edit#gid=757525651"",""'Allocation Breakdown'!E4:E187""))"),"")</f>
        <v/>
      </c>
      <c r="I88" s="30" t="str">
        <f ca="1">IFERROR(__xludf.DUMMYFUNCTION("XLOOKUP($B88,IMPORTRANGE(""https://docs.google.com/spreadsheets/d/1EjEqG6oc_vmuAWwHnH51YMvSMVUVePUqNn9zZBOmHT8/edit#gid=757525651"",""'Allocation Breakdown'!A4:A187""),IMPORTRANGE(""https://docs.google.com/spreadsheets/d/1EjEqG6oc_vmuAWwHnH51YMvSMVUVePUqN"&amp;"n9zZBOmHT8/edit#gid=757525651"",""'Allocation Breakdown'!F4:F187""))"),"")</f>
        <v/>
      </c>
      <c r="J88" s="30" t="str">
        <f ca="1">IFERROR(__xludf.DUMMYFUNCTION("XLOOKUP($B88,IMPORTRANGE(""https://docs.google.com/spreadsheets/d/1EjEqG6oc_vmuAWwHnH51YMvSMVUVePUqNn9zZBOmHT8/edit#gid=757525651"",""'Allocation Breakdown'!A4:A187""),IMPORTRANGE(""https://docs.google.com/spreadsheets/d/1EjEqG6oc_vmuAWwHnH51YMvSMVUVePUqN"&amp;"n9zZBOmHT8/edit#gid=757525651"",""'Allocation Breakdown'!G4:G187""))"),"")</f>
        <v/>
      </c>
      <c r="K88" s="30">
        <f ca="1">IFERROR(__xludf.DUMMYFUNCTION("XLOOKUP($B88,IMPORTRANGE(""https://docs.google.com/spreadsheets/d/1EjEqG6oc_vmuAWwHnH51YMvSMVUVePUqNn9zZBOmHT8/edit#gid=757525651"",""'Allocation Breakdown'!A4:A187""),IMPORTRANGE(""https://docs.google.com/spreadsheets/d/1EjEqG6oc_vmuAWwHnH51YMvSMVUVePUqN"&amp;"n9zZBOmHT8/edit#gid=757525651"",""'Allocation Breakdown'!I4:I187""))*K$119"),0)</f>
        <v>0</v>
      </c>
      <c r="L88" s="30">
        <f ca="1">IFERROR(__xludf.DUMMYFUNCTION("XLOOKUP($B88,IMPORTRANGE(""https://docs.google.com/spreadsheets/d/1EjEqG6oc_vmuAWwHnH51YMvSMVUVePUqNn9zZBOmHT8/edit#gid=757525651"",""'Allocation Breakdown'!A4:A187""),IMPORTRANGE(""https://docs.google.com/spreadsheets/d/1EjEqG6oc_vmuAWwHnH51YMvSMVUVePUqN"&amp;"n9zZBOmHT8/edit#gid=757525651"",""'Allocation Breakdown'!j4:j187""))*L$119"),0)</f>
        <v>0</v>
      </c>
      <c r="M88" s="30">
        <f ca="1">IFERROR(__xludf.DUMMYFUNCTION("XLOOKUP($B88,IMPORTRANGE(""https://docs.google.com/spreadsheets/d/1EjEqG6oc_vmuAWwHnH51YMvSMVUVePUqNn9zZBOmHT8/edit#gid=757525651"",""'Allocation Breakdown'!A4:A187""),IMPORTRANGE(""https://docs.google.com/spreadsheets/d/1EjEqG6oc_vmuAWwHnH51YMvSMVUVePUqN"&amp;"n9zZBOmHT8/edit#gid=757525651"",""'Allocation Breakdown'!K4:K187""))*M$119"),0)</f>
        <v>0</v>
      </c>
      <c r="N88" s="30">
        <f ca="1">IFERROR(__xludf.DUMMYFUNCTION("XLOOKUP($B88,IMPORTRANGE(""https://docs.google.com/spreadsheets/d/1EjEqG6oc_vmuAWwHnH51YMvSMVUVePUqNn9zZBOmHT8/edit#gid=757525651"",""'Allocation Breakdown'!A4:A187""),IMPORTRANGE(""https://docs.google.com/spreadsheets/d/1EjEqG6oc_vmuAWwHnH51YMvSMVUVePUqN"&amp;"n9zZBOmHT8/edit#gid=757525651"",""'Allocation Breakdown'!l4:l187""))*N$119"),951.8600508)</f>
        <v>951.86005079999995</v>
      </c>
      <c r="O88" s="30">
        <f ca="1">IFERROR(__xludf.DUMMYFUNCTION("XLOOKUP($B88,IMPORTRANGE(""https://docs.google.com/spreadsheets/d/1EjEqG6oc_vmuAWwHnH51YMvSMVUVePUqNn9zZBOmHT8/edit#gid=757525651"",""'Allocation Breakdown'!A4:A187""),IMPORTRANGE(""https://docs.google.com/spreadsheets/d/1EjEqG6oc_vmuAWwHnH51YMvSMVUVePUqN"&amp;"n9zZBOmHT8/edit#gid=757525651"",""'Allocation Breakdown'!n4:n187""))*O$119"),0)</f>
        <v>0</v>
      </c>
      <c r="P88" s="30">
        <f ca="1">IFERROR(__xludf.DUMMYFUNCTION("XLOOKUP($B88,IMPORTRANGE(""https://docs.google.com/spreadsheets/d/1EjEqG6oc_vmuAWwHnH51YMvSMVUVePUqNn9zZBOmHT8/edit#gid=757525651"",""'Allocation Breakdown'!A4:A187""),IMPORTRANGE(""https://docs.google.com/spreadsheets/d/1EjEqG6oc_vmuAWwHnH51YMvSMVUVePUqN"&amp;"n9zZBOmHT8/edit#gid=757525651"",""'Allocation Breakdown'!o4:o187""))*P$119"),2000)</f>
        <v>2000</v>
      </c>
      <c r="Q88" s="30">
        <f ca="1">IFERROR(__xludf.DUMMYFUNCTION("XLOOKUP($B88,IMPORTRANGE(""https://docs.google.com/spreadsheets/d/1EjEqG6oc_vmuAWwHnH51YMvSMVUVePUqNn9zZBOmHT8/edit#gid=757525651"",""'Allocation Breakdown'!A4:A187""),IMPORTRANGE(""https://docs.google.com/spreadsheets/d/1EjEqG6oc_vmuAWwHnH51YMvSMVUVePUqN"&amp;"n9zZBOmHT8/edit#gid=757525651"",""'Allocation Breakdown'!p4:p187""))*Q$119"),2000)</f>
        <v>2000</v>
      </c>
      <c r="R88" s="30">
        <f ca="1">IFERROR(__xludf.DUMMYFUNCTION("XLOOKUP($B88,IMPORTRANGE(""https://docs.google.com/spreadsheets/d/1EjEqG6oc_vmuAWwHnH51YMvSMVUVePUqNn9zZBOmHT8/edit#gid=757525651"",""'Allocation Breakdown'!A4:A187""),IMPORTRANGE(""https://docs.google.com/spreadsheets/d/1EjEqG6oc_vmuAWwHnH51YMvSMVUVePUqN"&amp;"n9zZBOmHT8/edit#gid=757525651"",""'Allocation Breakdown'!q4:q187""))*R$119"),2000)</f>
        <v>2000</v>
      </c>
      <c r="S88" s="30">
        <f ca="1">IFERROR(__xludf.DUMMYFUNCTION("XLOOKUP($B88,IMPORTRANGE(""https://docs.google.com/spreadsheets/d/1EjEqG6oc_vmuAWwHnH51YMvSMVUVePUqNn9zZBOmHT8/edit#gid=757525651"",""'Allocation Breakdown'!A4:A187""),IMPORTRANGE(""https://docs.google.com/spreadsheets/d/1EjEqG6oc_vmuAWwHnH51YMvSMVUVePUqN"&amp;"n9zZBOmHT8/edit#gid=757525651"",""'Allocation Breakdown'!r4:r187""))*S$119"),2000)</f>
        <v>2000</v>
      </c>
      <c r="T88" s="30">
        <f ca="1">IFERROR(__xludf.DUMMYFUNCTION("XLOOKUP($B88,IMPORTRANGE(""https://docs.google.com/spreadsheets/d/1EjEqG6oc_vmuAWwHnH51YMvSMVUVePUqNn9zZBOmHT8/edit#gid=757525651"",""'Allocation Breakdown'!A4:A187""),IMPORTRANGE(""https://docs.google.com/spreadsheets/d/1EjEqG6oc_vmuAWwHnH51YMvSMVUVePUqN"&amp;"n9zZBOmHT8/edit#gid=757525651"",""'Allocation Breakdown'!t4:t187""))*T$119"),7000)</f>
        <v>7000</v>
      </c>
      <c r="U88" s="30">
        <f ca="1">IFERROR(__xludf.DUMMYFUNCTION("XLOOKUP($B88,IMPORTRANGE(""https://docs.google.com/spreadsheets/d/1EjEqG6oc_vmuAWwHnH51YMvSMVUVePUqNn9zZBOmHT8/edit#gid=757525651"",""'Allocation Breakdown'!A4:A187""),IMPORTRANGE(""https://docs.google.com/spreadsheets/d/1EjEqG6oc_vmuAWwHnH51YMvSMVUVePUqN"&amp;"n9zZBOmHT8/edit#gid=757525651"",""'Allocation Breakdown'!U4:U187""))*U$119"),11000)</f>
        <v>11000</v>
      </c>
      <c r="V88" s="31">
        <f t="shared" ca="1" si="1"/>
        <v>26951.860050800002</v>
      </c>
      <c r="W88" s="31">
        <f t="shared" ca="1" si="2"/>
        <v>26951.860050800002</v>
      </c>
      <c r="Z88" s="32"/>
      <c r="AA88" s="32"/>
      <c r="AB88" s="32"/>
    </row>
    <row r="89" spans="2:28" ht="15.75" customHeight="1">
      <c r="B89" s="28" t="s">
        <v>186</v>
      </c>
      <c r="C89" s="30">
        <f ca="1">IFERROR(__xludf.DUMMYFUNCTION("XLOOKUP($B89,IMPORTRANGE(""https://docs.google.com/spreadsheets/d/1EjEqG6oc_vmuAWwHnH51YMvSMVUVePUqNn9zZBOmHT8/edit#gid=757525651"",""'Allocation Breakdown'!A4:A187""),IMPORTRANGE(""https://docs.google.com/spreadsheets/d/1EjEqG6oc_vmuAWwHnH51YMvSMVUVePUqN"&amp;"n9zZBOmHT8/edit#gid=757525651"",""'Allocation Breakdown'!V4:V187""))*C$119"),777.38105487)</f>
        <v>777.38105486999996</v>
      </c>
      <c r="D89" s="30">
        <f ca="1">IFERROR(__xludf.DUMMYFUNCTION("XLOOKUP($B89,IMPORTRANGE(""https://docs.google.com/spreadsheets/d/1EjEqG6oc_vmuAWwHnH51YMvSMVUVePUqNn9zZBOmHT8/edit#gid=757525651"",""'Allocation Breakdown'!A4:A187""),IMPORTRANGE(""https://docs.google.com/spreadsheets/d/1EjEqG6oc_vmuAWwHnH51YMvSMVUVePUqN"&amp;"n9zZBOmHT8/edit#gid=757525651"",""'Allocation Breakdown'!I4:I187""))*$D$119"),0)</f>
        <v>0</v>
      </c>
      <c r="E89" s="30">
        <f ca="1">IFERROR(__xludf.DUMMYFUNCTION("XLOOKUP($B89,IMPORTRANGE(""https://docs.google.com/spreadsheets/d/1EjEqG6oc_vmuAWwHnH51YMvSMVUVePUqNn9zZBOmHT8/edit#gid=757525651"",""'Allocation Breakdown'!A4:A187""),IMPORTRANGE(""https://docs.google.com/spreadsheets/d/1EjEqG6oc_vmuAWwHnH51YMvSMVUVePUqN"&amp;"n9zZBOmHT8/edit#gid=757525651"",""'Allocation Breakdown'!V4:V187""))*E$119"),272.61894513)</f>
        <v>272.61894512999999</v>
      </c>
      <c r="F89" s="30">
        <f t="shared" ca="1" si="0"/>
        <v>272.61894512999999</v>
      </c>
      <c r="G89" s="30" t="str">
        <f ca="1">IFERROR(__xludf.DUMMYFUNCTION("XLOOKUP($B89,IMPORTRANGE(""https://docs.google.com/spreadsheets/d/1EjEqG6oc_vmuAWwHnH51YMvSMVUVePUqNn9zZBOmHT8/edit#gid=757525651"",""'Allocation Breakdown'!A4:A187""),IMPORTRANGE(""https://docs.google.com/spreadsheets/d/1EjEqG6oc_vmuAWwHnH51YMvSMVUVePUqN"&amp;"n9zZBOmHT8/edit#gid=757525651"",""'Allocation Breakdown'!D4:D187""))"),"")</f>
        <v/>
      </c>
      <c r="H89" s="30">
        <f ca="1">IFERROR(__xludf.DUMMYFUNCTION("XLOOKUP($B89,IMPORTRANGE(""https://docs.google.com/spreadsheets/d/1EjEqG6oc_vmuAWwHnH51YMvSMVUVePUqNn9zZBOmHT8/edit#gid=757525651"",""'Allocation Breakdown'!A4:A187""),IMPORTRANGE(""https://docs.google.com/spreadsheets/d/1EjEqG6oc_vmuAWwHnH51YMvSMVUVePUqN"&amp;"n9zZBOmHT8/edit#gid=757525651"",""'Allocation Breakdown'!E4:E187""))"),100000)</f>
        <v>100000</v>
      </c>
      <c r="I89" s="30" t="str">
        <f ca="1">IFERROR(__xludf.DUMMYFUNCTION("XLOOKUP($B89,IMPORTRANGE(""https://docs.google.com/spreadsheets/d/1EjEqG6oc_vmuAWwHnH51YMvSMVUVePUqNn9zZBOmHT8/edit#gid=757525651"",""'Allocation Breakdown'!A4:A187""),IMPORTRANGE(""https://docs.google.com/spreadsheets/d/1EjEqG6oc_vmuAWwHnH51YMvSMVUVePUqN"&amp;"n9zZBOmHT8/edit#gid=757525651"",""'Allocation Breakdown'!F4:F187""))"),"")</f>
        <v/>
      </c>
      <c r="J89" s="30" t="str">
        <f ca="1">IFERROR(__xludf.DUMMYFUNCTION("XLOOKUP($B89,IMPORTRANGE(""https://docs.google.com/spreadsheets/d/1EjEqG6oc_vmuAWwHnH51YMvSMVUVePUqNn9zZBOmHT8/edit#gid=757525651"",""'Allocation Breakdown'!A4:A187""),IMPORTRANGE(""https://docs.google.com/spreadsheets/d/1EjEqG6oc_vmuAWwHnH51YMvSMVUVePUqN"&amp;"n9zZBOmHT8/edit#gid=757525651"",""'Allocation Breakdown'!G4:G187""))"),"")</f>
        <v/>
      </c>
      <c r="K89" s="30">
        <f ca="1">IFERROR(__xludf.DUMMYFUNCTION("XLOOKUP($B89,IMPORTRANGE(""https://docs.google.com/spreadsheets/d/1EjEqG6oc_vmuAWwHnH51YMvSMVUVePUqNn9zZBOmHT8/edit#gid=757525651"",""'Allocation Breakdown'!A4:A187""),IMPORTRANGE(""https://docs.google.com/spreadsheets/d/1EjEqG6oc_vmuAWwHnH51YMvSMVUVePUqN"&amp;"n9zZBOmHT8/edit#gid=757525651"",""'Allocation Breakdown'!I4:I187""))*K$119"),0)</f>
        <v>0</v>
      </c>
      <c r="L89" s="30">
        <f ca="1">IFERROR(__xludf.DUMMYFUNCTION("XLOOKUP($B89,IMPORTRANGE(""https://docs.google.com/spreadsheets/d/1EjEqG6oc_vmuAWwHnH51YMvSMVUVePUqNn9zZBOmHT8/edit#gid=757525651"",""'Allocation Breakdown'!A4:A187""),IMPORTRANGE(""https://docs.google.com/spreadsheets/d/1EjEqG6oc_vmuAWwHnH51YMvSMVUVePUqN"&amp;"n9zZBOmHT8/edit#gid=757525651"",""'Allocation Breakdown'!j4:j187""))*L$119"),0)</f>
        <v>0</v>
      </c>
      <c r="M89" s="30">
        <f ca="1">IFERROR(__xludf.DUMMYFUNCTION("XLOOKUP($B89,IMPORTRANGE(""https://docs.google.com/spreadsheets/d/1EjEqG6oc_vmuAWwHnH51YMvSMVUVePUqNn9zZBOmHT8/edit#gid=757525651"",""'Allocation Breakdown'!A4:A187""),IMPORTRANGE(""https://docs.google.com/spreadsheets/d/1EjEqG6oc_vmuAWwHnH51YMvSMVUVePUqN"&amp;"n9zZBOmHT8/edit#gid=757525651"",""'Allocation Breakdown'!K4:K187""))*M$119"),0)</f>
        <v>0</v>
      </c>
      <c r="N89" s="30">
        <f ca="1">IFERROR(__xludf.DUMMYFUNCTION("XLOOKUP($B89,IMPORTRANGE(""https://docs.google.com/spreadsheets/d/1EjEqG6oc_vmuAWwHnH51YMvSMVUVePUqNn9zZBOmHT8/edit#gid=757525651"",""'Allocation Breakdown'!A4:A187""),IMPORTRANGE(""https://docs.google.com/spreadsheets/d/1EjEqG6oc_vmuAWwHnH51YMvSMVUVePUqN"&amp;"n9zZBOmHT8/edit#gid=757525651"",""'Allocation Breakdown'!l4:l187""))*N$119"),951.8600508)</f>
        <v>951.86005079999995</v>
      </c>
      <c r="O89" s="30">
        <f ca="1">IFERROR(__xludf.DUMMYFUNCTION("XLOOKUP($B89,IMPORTRANGE(""https://docs.google.com/spreadsheets/d/1EjEqG6oc_vmuAWwHnH51YMvSMVUVePUqNn9zZBOmHT8/edit#gid=757525651"",""'Allocation Breakdown'!A4:A187""),IMPORTRANGE(""https://docs.google.com/spreadsheets/d/1EjEqG6oc_vmuAWwHnH51YMvSMVUVePUqN"&amp;"n9zZBOmHT8/edit#gid=757525651"",""'Allocation Breakdown'!n4:n187""))*O$119"),0)</f>
        <v>0</v>
      </c>
      <c r="P89" s="30">
        <f ca="1">IFERROR(__xludf.DUMMYFUNCTION("XLOOKUP($B89,IMPORTRANGE(""https://docs.google.com/spreadsheets/d/1EjEqG6oc_vmuAWwHnH51YMvSMVUVePUqNn9zZBOmHT8/edit#gid=757525651"",""'Allocation Breakdown'!A4:A187""),IMPORTRANGE(""https://docs.google.com/spreadsheets/d/1EjEqG6oc_vmuAWwHnH51YMvSMVUVePUqN"&amp;"n9zZBOmHT8/edit#gid=757525651"",""'Allocation Breakdown'!o4:o187""))*P$119"),2000)</f>
        <v>2000</v>
      </c>
      <c r="Q89" s="30">
        <f ca="1">IFERROR(__xludf.DUMMYFUNCTION("XLOOKUP($B89,IMPORTRANGE(""https://docs.google.com/spreadsheets/d/1EjEqG6oc_vmuAWwHnH51YMvSMVUVePUqNn9zZBOmHT8/edit#gid=757525651"",""'Allocation Breakdown'!A4:A187""),IMPORTRANGE(""https://docs.google.com/spreadsheets/d/1EjEqG6oc_vmuAWwHnH51YMvSMVUVePUqN"&amp;"n9zZBOmHT8/edit#gid=757525651"",""'Allocation Breakdown'!p4:p187""))*Q$119"),2000)</f>
        <v>2000</v>
      </c>
      <c r="R89" s="30">
        <f ca="1">IFERROR(__xludf.DUMMYFUNCTION("XLOOKUP($B89,IMPORTRANGE(""https://docs.google.com/spreadsheets/d/1EjEqG6oc_vmuAWwHnH51YMvSMVUVePUqNn9zZBOmHT8/edit#gid=757525651"",""'Allocation Breakdown'!A4:A187""),IMPORTRANGE(""https://docs.google.com/spreadsheets/d/1EjEqG6oc_vmuAWwHnH51YMvSMVUVePUqN"&amp;"n9zZBOmHT8/edit#gid=757525651"",""'Allocation Breakdown'!q4:q187""))*R$119"),2000)</f>
        <v>2000</v>
      </c>
      <c r="S89" s="30">
        <f ca="1">IFERROR(__xludf.DUMMYFUNCTION("XLOOKUP($B89,IMPORTRANGE(""https://docs.google.com/spreadsheets/d/1EjEqG6oc_vmuAWwHnH51YMvSMVUVePUqNn9zZBOmHT8/edit#gid=757525651"",""'Allocation Breakdown'!A4:A187""),IMPORTRANGE(""https://docs.google.com/spreadsheets/d/1EjEqG6oc_vmuAWwHnH51YMvSMVUVePUqN"&amp;"n9zZBOmHT8/edit#gid=757525651"",""'Allocation Breakdown'!r4:r187""))*S$119"),2000)</f>
        <v>2000</v>
      </c>
      <c r="T89" s="30">
        <f ca="1">IFERROR(__xludf.DUMMYFUNCTION("XLOOKUP($B89,IMPORTRANGE(""https://docs.google.com/spreadsheets/d/1EjEqG6oc_vmuAWwHnH51YMvSMVUVePUqNn9zZBOmHT8/edit#gid=757525651"",""'Allocation Breakdown'!A4:A187""),IMPORTRANGE(""https://docs.google.com/spreadsheets/d/1EjEqG6oc_vmuAWwHnH51YMvSMVUVePUqN"&amp;"n9zZBOmHT8/edit#gid=757525651"",""'Allocation Breakdown'!t4:t187""))*T$119"),7000)</f>
        <v>7000</v>
      </c>
      <c r="U89" s="30">
        <f ca="1">IFERROR(__xludf.DUMMYFUNCTION("XLOOKUP($B89,IMPORTRANGE(""https://docs.google.com/spreadsheets/d/1EjEqG6oc_vmuAWwHnH51YMvSMVUVePUqNn9zZBOmHT8/edit#gid=757525651"",""'Allocation Breakdown'!A4:A187""),IMPORTRANGE(""https://docs.google.com/spreadsheets/d/1EjEqG6oc_vmuAWwHnH51YMvSMVUVePUqN"&amp;"n9zZBOmHT8/edit#gid=757525651"",""'Allocation Breakdown'!U4:U187""))*U$119"),0)</f>
        <v>0</v>
      </c>
      <c r="V89" s="31">
        <f t="shared" ca="1" si="1"/>
        <v>115951.86005079999</v>
      </c>
      <c r="W89" s="31">
        <f t="shared" ca="1" si="2"/>
        <v>117001.86005079999</v>
      </c>
      <c r="Z89" s="32"/>
      <c r="AA89" s="32"/>
      <c r="AB89" s="32"/>
    </row>
    <row r="90" spans="2:28" ht="15.75" customHeight="1">
      <c r="B90" s="28" t="s">
        <v>187</v>
      </c>
      <c r="C90" s="30">
        <f ca="1">IFERROR(__xludf.DUMMYFUNCTION("XLOOKUP($B90,IMPORTRANGE(""https://docs.google.com/spreadsheets/d/1EjEqG6oc_vmuAWwHnH51YMvSMVUVePUqNn9zZBOmHT8/edit#gid=757525651"",""'Allocation Breakdown'!A4:A187""),IMPORTRANGE(""https://docs.google.com/spreadsheets/d/1EjEqG6oc_vmuAWwHnH51YMvSMVUVePUqN"&amp;"n9zZBOmHT8/edit#gid=757525651"",""'Allocation Breakdown'!V4:V187""))*C$119"),0)</f>
        <v>0</v>
      </c>
      <c r="D90" s="30">
        <f ca="1">IFERROR(__xludf.DUMMYFUNCTION("XLOOKUP($B90,IMPORTRANGE(""https://docs.google.com/spreadsheets/d/1EjEqG6oc_vmuAWwHnH51YMvSMVUVePUqNn9zZBOmHT8/edit#gid=757525651"",""'Allocation Breakdown'!A4:A187""),IMPORTRANGE(""https://docs.google.com/spreadsheets/d/1EjEqG6oc_vmuAWwHnH51YMvSMVUVePUqN"&amp;"n9zZBOmHT8/edit#gid=757525651"",""'Allocation Breakdown'!I4:I187""))*$D$119"),4267.6775049993)</f>
        <v>4267.6775049993003</v>
      </c>
      <c r="E90" s="30">
        <f ca="1">IFERROR(__xludf.DUMMYFUNCTION("XLOOKUP($B90,IMPORTRANGE(""https://docs.google.com/spreadsheets/d/1EjEqG6oc_vmuAWwHnH51YMvSMVUVePUqNn9zZBOmHT8/edit#gid=757525651"",""'Allocation Breakdown'!A4:A187""),IMPORTRANGE(""https://docs.google.com/spreadsheets/d/1EjEqG6oc_vmuAWwHnH51YMvSMVUVePUqN"&amp;"n9zZBOmHT8/edit#gid=757525651"",""'Allocation Breakdown'!V4:V187""))*E$119"),0)</f>
        <v>0</v>
      </c>
      <c r="F90" s="30">
        <f t="shared" ca="1" si="0"/>
        <v>4267.6775049993003</v>
      </c>
      <c r="G90" s="30" t="str">
        <f ca="1">IFERROR(__xludf.DUMMYFUNCTION("XLOOKUP($B90,IMPORTRANGE(""https://docs.google.com/spreadsheets/d/1EjEqG6oc_vmuAWwHnH51YMvSMVUVePUqNn9zZBOmHT8/edit#gid=757525651"",""'Allocation Breakdown'!A4:A187""),IMPORTRANGE(""https://docs.google.com/spreadsheets/d/1EjEqG6oc_vmuAWwHnH51YMvSMVUVePUqN"&amp;"n9zZBOmHT8/edit#gid=757525651"",""'Allocation Breakdown'!D4:D187""))"),"")</f>
        <v/>
      </c>
      <c r="H90" s="30">
        <f ca="1">IFERROR(__xludf.DUMMYFUNCTION("XLOOKUP($B90,IMPORTRANGE(""https://docs.google.com/spreadsheets/d/1EjEqG6oc_vmuAWwHnH51YMvSMVUVePUqNn9zZBOmHT8/edit#gid=757525651"",""'Allocation Breakdown'!A4:A187""),IMPORTRANGE(""https://docs.google.com/spreadsheets/d/1EjEqG6oc_vmuAWwHnH51YMvSMVUVePUqN"&amp;"n9zZBOmHT8/edit#gid=757525651"",""'Allocation Breakdown'!E4:E187""))"),60000)</f>
        <v>60000</v>
      </c>
      <c r="I90" s="30" t="str">
        <f ca="1">IFERROR(__xludf.DUMMYFUNCTION("XLOOKUP($B90,IMPORTRANGE(""https://docs.google.com/spreadsheets/d/1EjEqG6oc_vmuAWwHnH51YMvSMVUVePUqNn9zZBOmHT8/edit#gid=757525651"",""'Allocation Breakdown'!A4:A187""),IMPORTRANGE(""https://docs.google.com/spreadsheets/d/1EjEqG6oc_vmuAWwHnH51YMvSMVUVePUqN"&amp;"n9zZBOmHT8/edit#gid=757525651"",""'Allocation Breakdown'!F4:F187""))"),"")</f>
        <v/>
      </c>
      <c r="J90" s="30">
        <f ca="1">IFERROR(__xludf.DUMMYFUNCTION("XLOOKUP($B90,IMPORTRANGE(""https://docs.google.com/spreadsheets/d/1EjEqG6oc_vmuAWwHnH51YMvSMVUVePUqNn9zZBOmHT8/edit#gid=757525651"",""'Allocation Breakdown'!A4:A187""),IMPORTRANGE(""https://docs.google.com/spreadsheets/d/1EjEqG6oc_vmuAWwHnH51YMvSMVUVePUqN"&amp;"n9zZBOmHT8/edit#gid=757525651"",""'Allocation Breakdown'!G4:G187""))"),2500)</f>
        <v>2500</v>
      </c>
      <c r="K90" s="30">
        <f ca="1">IFERROR(__xludf.DUMMYFUNCTION("XLOOKUP($B90,IMPORTRANGE(""https://docs.google.com/spreadsheets/d/1EjEqG6oc_vmuAWwHnH51YMvSMVUVePUqNn9zZBOmHT8/edit#gid=757525651"",""'Allocation Breakdown'!A4:A187""),IMPORTRANGE(""https://docs.google.com/spreadsheets/d/1EjEqG6oc_vmuAWwHnH51YMvSMVUVePUqN"&amp;"n9zZBOmHT8/edit#gid=757525651"",""'Allocation Breakdown'!I4:I187""))*K$119"),374.96307816)</f>
        <v>374.96307816000001</v>
      </c>
      <c r="L90" s="30">
        <f ca="1">IFERROR(__xludf.DUMMYFUNCTION("XLOOKUP($B90,IMPORTRANGE(""https://docs.google.com/spreadsheets/d/1EjEqG6oc_vmuAWwHnH51YMvSMVUVePUqNn9zZBOmHT8/edit#gid=757525651"",""'Allocation Breakdown'!A4:A187""),IMPORTRANGE(""https://docs.google.com/spreadsheets/d/1EjEqG6oc_vmuAWwHnH51YMvSMVUVePUqN"&amp;"n9zZBOmHT8/edit#gid=757525651"",""'Allocation Breakdown'!j4:j187""))*L$119"),2220.9253383)</f>
        <v>2220.9253383</v>
      </c>
      <c r="M90" s="30">
        <f ca="1">IFERROR(__xludf.DUMMYFUNCTION("XLOOKUP($B90,IMPORTRANGE(""https://docs.google.com/spreadsheets/d/1EjEqG6oc_vmuAWwHnH51YMvSMVUVePUqNn9zZBOmHT8/edit#gid=757525651"",""'Allocation Breakdown'!A4:A187""),IMPORTRANGE(""https://docs.google.com/spreadsheets/d/1EjEqG6oc_vmuAWwHnH51YMvSMVUVePUqN"&amp;"n9zZBOmHT8/edit#gid=757525651"",""'Allocation Breakdown'!K4:K187""))*M$119"),0)</f>
        <v>0</v>
      </c>
      <c r="N90" s="30">
        <f ca="1">IFERROR(__xludf.DUMMYFUNCTION("XLOOKUP($B90,IMPORTRANGE(""https://docs.google.com/spreadsheets/d/1EjEqG6oc_vmuAWwHnH51YMvSMVUVePUqNn9zZBOmHT8/edit#gid=757525651"",""'Allocation Breakdown'!A4:A187""),IMPORTRANGE(""https://docs.google.com/spreadsheets/d/1EjEqG6oc_vmuAWwHnH51YMvSMVUVePUqN"&amp;"n9zZBOmHT8/edit#gid=757525651"",""'Allocation Breakdown'!l4:l187""))*N$119"),951.8600508)</f>
        <v>951.86005079999995</v>
      </c>
      <c r="O90" s="30">
        <f ca="1">IFERROR(__xludf.DUMMYFUNCTION("XLOOKUP($B90,IMPORTRANGE(""https://docs.google.com/spreadsheets/d/1EjEqG6oc_vmuAWwHnH51YMvSMVUVePUqNn9zZBOmHT8/edit#gid=757525651"",""'Allocation Breakdown'!A4:A187""),IMPORTRANGE(""https://docs.google.com/spreadsheets/d/1EjEqG6oc_vmuAWwHnH51YMvSMVUVePUqN"&amp;"n9zZBOmHT8/edit#gid=757525651"",""'Allocation Breakdown'!n4:n187""))*O$119"),0)</f>
        <v>0</v>
      </c>
      <c r="P90" s="30">
        <f ca="1">IFERROR(__xludf.DUMMYFUNCTION("XLOOKUP($B90,IMPORTRANGE(""https://docs.google.com/spreadsheets/d/1EjEqG6oc_vmuAWwHnH51YMvSMVUVePUqNn9zZBOmHT8/edit#gid=757525651"",""'Allocation Breakdown'!A4:A187""),IMPORTRANGE(""https://docs.google.com/spreadsheets/d/1EjEqG6oc_vmuAWwHnH51YMvSMVUVePUqN"&amp;"n9zZBOmHT8/edit#gid=757525651"",""'Allocation Breakdown'!o4:o187""))*P$119"),2200)</f>
        <v>2200</v>
      </c>
      <c r="Q90" s="30">
        <f ca="1">IFERROR(__xludf.DUMMYFUNCTION("XLOOKUP($B90,IMPORTRANGE(""https://docs.google.com/spreadsheets/d/1EjEqG6oc_vmuAWwHnH51YMvSMVUVePUqNn9zZBOmHT8/edit#gid=757525651"",""'Allocation Breakdown'!A4:A187""),IMPORTRANGE(""https://docs.google.com/spreadsheets/d/1EjEqG6oc_vmuAWwHnH51YMvSMVUVePUqN"&amp;"n9zZBOmHT8/edit#gid=757525651"",""'Allocation Breakdown'!p4:p187""))*Q$119"),0)</f>
        <v>0</v>
      </c>
      <c r="R90" s="30">
        <f ca="1">IFERROR(__xludf.DUMMYFUNCTION("XLOOKUP($B90,IMPORTRANGE(""https://docs.google.com/spreadsheets/d/1EjEqG6oc_vmuAWwHnH51YMvSMVUVePUqNn9zZBOmHT8/edit#gid=757525651"",""'Allocation Breakdown'!A4:A187""),IMPORTRANGE(""https://docs.google.com/spreadsheets/d/1EjEqG6oc_vmuAWwHnH51YMvSMVUVePUqN"&amp;"n9zZBOmHT8/edit#gid=757525651"",""'Allocation Breakdown'!q4:q187""))*R$119"),0)</f>
        <v>0</v>
      </c>
      <c r="S90" s="30">
        <f ca="1">IFERROR(__xludf.DUMMYFUNCTION("XLOOKUP($B90,IMPORTRANGE(""https://docs.google.com/spreadsheets/d/1EjEqG6oc_vmuAWwHnH51YMvSMVUVePUqNn9zZBOmHT8/edit#gid=757525651"",""'Allocation Breakdown'!A4:A187""),IMPORTRANGE(""https://docs.google.com/spreadsheets/d/1EjEqG6oc_vmuAWwHnH51YMvSMVUVePUqN"&amp;"n9zZBOmHT8/edit#gid=757525651"",""'Allocation Breakdown'!r4:r187""))*S$119"),0)</f>
        <v>0</v>
      </c>
      <c r="T90" s="30">
        <f ca="1">IFERROR(__xludf.DUMMYFUNCTION("XLOOKUP($B90,IMPORTRANGE(""https://docs.google.com/spreadsheets/d/1EjEqG6oc_vmuAWwHnH51YMvSMVUVePUqNn9zZBOmHT8/edit#gid=757525651"",""'Allocation Breakdown'!A4:A187""),IMPORTRANGE(""https://docs.google.com/spreadsheets/d/1EjEqG6oc_vmuAWwHnH51YMvSMVUVePUqN"&amp;"n9zZBOmHT8/edit#gid=757525651"",""'Allocation Breakdown'!t4:t187""))*T$119"),7000)</f>
        <v>7000</v>
      </c>
      <c r="U90" s="30">
        <f ca="1">IFERROR(__xludf.DUMMYFUNCTION("XLOOKUP($B90,IMPORTRANGE(""https://docs.google.com/spreadsheets/d/1EjEqG6oc_vmuAWwHnH51YMvSMVUVePUqNn9zZBOmHT8/edit#gid=757525651"",""'Allocation Breakdown'!A4:A187""),IMPORTRANGE(""https://docs.google.com/spreadsheets/d/1EjEqG6oc_vmuAWwHnH51YMvSMVUVePUqN"&amp;"n9zZBOmHT8/edit#gid=757525651"",""'Allocation Breakdown'!U4:U187""))*U$119"),0)</f>
        <v>0</v>
      </c>
      <c r="V90" s="31">
        <f t="shared" ca="1" si="1"/>
        <v>75247.748467259997</v>
      </c>
      <c r="W90" s="31">
        <f t="shared" ca="1" si="2"/>
        <v>79515.425972259298</v>
      </c>
      <c r="Z90" s="32"/>
      <c r="AA90" s="32"/>
      <c r="AB90" s="32"/>
    </row>
    <row r="91" spans="2:28" ht="15.75" customHeight="1">
      <c r="B91" s="28" t="s">
        <v>188</v>
      </c>
      <c r="C91" s="30">
        <f ca="1">IFERROR(__xludf.DUMMYFUNCTION("XLOOKUP($B91,IMPORTRANGE(""https://docs.google.com/spreadsheets/d/1EjEqG6oc_vmuAWwHnH51YMvSMVUVePUqNn9zZBOmHT8/edit#gid=757525651"",""'Allocation Breakdown'!A4:A187""),IMPORTRANGE(""https://docs.google.com/spreadsheets/d/1EjEqG6oc_vmuAWwHnH51YMvSMVUVePUqN"&amp;"n9zZBOmHT8/edit#gid=757525651"",""'Allocation Breakdown'!V4:V187""))*C$119"),1295.63509145)</f>
        <v>1295.6350914499999</v>
      </c>
      <c r="D91" s="30">
        <f ca="1">IFERROR(__xludf.DUMMYFUNCTION("XLOOKUP($B91,IMPORTRANGE(""https://docs.google.com/spreadsheets/d/1EjEqG6oc_vmuAWwHnH51YMvSMVUVePUqNn9zZBOmHT8/edit#gid=757525651"",""'Allocation Breakdown'!A4:A187""),IMPORTRANGE(""https://docs.google.com/spreadsheets/d/1EjEqG6oc_vmuAWwHnH51YMvSMVUVePUqN"&amp;"n9zZBOmHT8/edit#gid=757525651"",""'Allocation Breakdown'!I4:I187""))*$D$119"),7112.7958416655)</f>
        <v>7112.7958416655001</v>
      </c>
      <c r="E91" s="30">
        <f ca="1">IFERROR(__xludf.DUMMYFUNCTION("XLOOKUP($B91,IMPORTRANGE(""https://docs.google.com/spreadsheets/d/1EjEqG6oc_vmuAWwHnH51YMvSMVUVePUqNn9zZBOmHT8/edit#gid=757525651"",""'Allocation Breakdown'!A4:A187""),IMPORTRANGE(""https://docs.google.com/spreadsheets/d/1EjEqG6oc_vmuAWwHnH51YMvSMVUVePUqN"&amp;"n9zZBOmHT8/edit#gid=757525651"",""'Allocation Breakdown'!V4:V187""))*E$119"),454.36490855)</f>
        <v>454.36490855</v>
      </c>
      <c r="F91" s="30">
        <f t="shared" ca="1" si="0"/>
        <v>7567.1607502155002</v>
      </c>
      <c r="G91" s="30">
        <f ca="1">IFERROR(__xludf.DUMMYFUNCTION("XLOOKUP($B91,IMPORTRANGE(""https://docs.google.com/spreadsheets/d/1EjEqG6oc_vmuAWwHnH51YMvSMVUVePUqNn9zZBOmHT8/edit#gid=757525651"",""'Allocation Breakdown'!A4:A187""),IMPORTRANGE(""https://docs.google.com/spreadsheets/d/1EjEqG6oc_vmuAWwHnH51YMvSMVUVePUqN"&amp;"n9zZBOmHT8/edit#gid=757525651"",""'Allocation Breakdown'!D4:D187""))"),5000)</f>
        <v>5000</v>
      </c>
      <c r="H91" s="30" t="str">
        <f ca="1">IFERROR(__xludf.DUMMYFUNCTION("XLOOKUP($B91,IMPORTRANGE(""https://docs.google.com/spreadsheets/d/1EjEqG6oc_vmuAWwHnH51YMvSMVUVePUqNn9zZBOmHT8/edit#gid=757525651"",""'Allocation Breakdown'!A4:A187""),IMPORTRANGE(""https://docs.google.com/spreadsheets/d/1EjEqG6oc_vmuAWwHnH51YMvSMVUVePUqN"&amp;"n9zZBOmHT8/edit#gid=757525651"",""'Allocation Breakdown'!E4:E187""))"),"")</f>
        <v/>
      </c>
      <c r="I91" s="30" t="str">
        <f ca="1">IFERROR(__xludf.DUMMYFUNCTION("XLOOKUP($B91,IMPORTRANGE(""https://docs.google.com/spreadsheets/d/1EjEqG6oc_vmuAWwHnH51YMvSMVUVePUqNn9zZBOmHT8/edit#gid=757525651"",""'Allocation Breakdown'!A4:A187""),IMPORTRANGE(""https://docs.google.com/spreadsheets/d/1EjEqG6oc_vmuAWwHnH51YMvSMVUVePUqN"&amp;"n9zZBOmHT8/edit#gid=757525651"",""'Allocation Breakdown'!F4:F187""))"),"")</f>
        <v/>
      </c>
      <c r="J91" s="30" t="str">
        <f ca="1">IFERROR(__xludf.DUMMYFUNCTION("XLOOKUP($B91,IMPORTRANGE(""https://docs.google.com/spreadsheets/d/1EjEqG6oc_vmuAWwHnH51YMvSMVUVePUqNn9zZBOmHT8/edit#gid=757525651"",""'Allocation Breakdown'!A4:A187""),IMPORTRANGE(""https://docs.google.com/spreadsheets/d/1EjEqG6oc_vmuAWwHnH51YMvSMVUVePUqN"&amp;"n9zZBOmHT8/edit#gid=757525651"",""'Allocation Breakdown'!G4:G187""))"),"")</f>
        <v/>
      </c>
      <c r="K91" s="30">
        <f ca="1">IFERROR(__xludf.DUMMYFUNCTION("XLOOKUP($B91,IMPORTRANGE(""https://docs.google.com/spreadsheets/d/1EjEqG6oc_vmuAWwHnH51YMvSMVUVePUqNn9zZBOmHT8/edit#gid=757525651"",""'Allocation Breakdown'!A4:A187""),IMPORTRANGE(""https://docs.google.com/spreadsheets/d/1EjEqG6oc_vmuAWwHnH51YMvSMVUVePUqN"&amp;"n9zZBOmHT8/edit#gid=757525651"",""'Allocation Breakdown'!I4:I187""))*K$119"),624.9384636)</f>
        <v>624.93846359999998</v>
      </c>
      <c r="L91" s="30">
        <f ca="1">IFERROR(__xludf.DUMMYFUNCTION("XLOOKUP($B91,IMPORTRANGE(""https://docs.google.com/spreadsheets/d/1EjEqG6oc_vmuAWwHnH51YMvSMVUVePUqNn9zZBOmHT8/edit#gid=757525651"",""'Allocation Breakdown'!A4:A187""),IMPORTRANGE(""https://docs.google.com/spreadsheets/d/1EjEqG6oc_vmuAWwHnH51YMvSMVUVePUqN"&amp;"n9zZBOmHT8/edit#gid=757525651"",""'Allocation Breakdown'!j4:j187""))*L$119"),0)</f>
        <v>0</v>
      </c>
      <c r="M91" s="30">
        <f ca="1">IFERROR(__xludf.DUMMYFUNCTION("XLOOKUP($B91,IMPORTRANGE(""https://docs.google.com/spreadsheets/d/1EjEqG6oc_vmuAWwHnH51YMvSMVUVePUqNn9zZBOmHT8/edit#gid=757525651"",""'Allocation Breakdown'!A4:A187""),IMPORTRANGE(""https://docs.google.com/spreadsheets/d/1EjEqG6oc_vmuAWwHnH51YMvSMVUVePUqN"&amp;"n9zZBOmHT8/edit#gid=757525651"",""'Allocation Breakdown'!K4:K187""))*M$119"),0)</f>
        <v>0</v>
      </c>
      <c r="N91" s="30">
        <f ca="1">IFERROR(__xludf.DUMMYFUNCTION("XLOOKUP($B91,IMPORTRANGE(""https://docs.google.com/spreadsheets/d/1EjEqG6oc_vmuAWwHnH51YMvSMVUVePUqNn9zZBOmHT8/edit#gid=757525651"",""'Allocation Breakdown'!A4:A187""),IMPORTRANGE(""https://docs.google.com/spreadsheets/d/1EjEqG6oc_vmuAWwHnH51YMvSMVUVePUqN"&amp;"n9zZBOmHT8/edit#gid=757525651"",""'Allocation Breakdown'!l4:l187""))*N$119"),951.8600508)</f>
        <v>951.86005079999995</v>
      </c>
      <c r="O91" s="30">
        <f ca="1">IFERROR(__xludf.DUMMYFUNCTION("XLOOKUP($B91,IMPORTRANGE(""https://docs.google.com/spreadsheets/d/1EjEqG6oc_vmuAWwHnH51YMvSMVUVePUqNn9zZBOmHT8/edit#gid=757525651"",""'Allocation Breakdown'!A4:A187""),IMPORTRANGE(""https://docs.google.com/spreadsheets/d/1EjEqG6oc_vmuAWwHnH51YMvSMVUVePUqN"&amp;"n9zZBOmHT8/edit#gid=757525651"",""'Allocation Breakdown'!n4:n187""))*O$119"),60000)</f>
        <v>60000</v>
      </c>
      <c r="P91" s="30">
        <f ca="1">IFERROR(__xludf.DUMMYFUNCTION("XLOOKUP($B91,IMPORTRANGE(""https://docs.google.com/spreadsheets/d/1EjEqG6oc_vmuAWwHnH51YMvSMVUVePUqNn9zZBOmHT8/edit#gid=757525651"",""'Allocation Breakdown'!A4:A187""),IMPORTRANGE(""https://docs.google.com/spreadsheets/d/1EjEqG6oc_vmuAWwHnH51YMvSMVUVePUqN"&amp;"n9zZBOmHT8/edit#gid=757525651"",""'Allocation Breakdown'!o4:o187""))*P$119"),4400)</f>
        <v>4400</v>
      </c>
      <c r="Q91" s="30">
        <f ca="1">IFERROR(__xludf.DUMMYFUNCTION("XLOOKUP($B91,IMPORTRANGE(""https://docs.google.com/spreadsheets/d/1EjEqG6oc_vmuAWwHnH51YMvSMVUVePUqNn9zZBOmHT8/edit#gid=757525651"",""'Allocation Breakdown'!A4:A187""),IMPORTRANGE(""https://docs.google.com/spreadsheets/d/1EjEqG6oc_vmuAWwHnH51YMvSMVUVePUqN"&amp;"n9zZBOmHT8/edit#gid=757525651"",""'Allocation Breakdown'!p4:p187""))*Q$119"),0)</f>
        <v>0</v>
      </c>
      <c r="R91" s="30">
        <f ca="1">IFERROR(__xludf.DUMMYFUNCTION("XLOOKUP($B91,IMPORTRANGE(""https://docs.google.com/spreadsheets/d/1EjEqG6oc_vmuAWwHnH51YMvSMVUVePUqNn9zZBOmHT8/edit#gid=757525651"",""'Allocation Breakdown'!A4:A187""),IMPORTRANGE(""https://docs.google.com/spreadsheets/d/1EjEqG6oc_vmuAWwHnH51YMvSMVUVePUqN"&amp;"n9zZBOmHT8/edit#gid=757525651"",""'Allocation Breakdown'!q4:q187""))*R$119"),2000)</f>
        <v>2000</v>
      </c>
      <c r="S91" s="30">
        <f ca="1">IFERROR(__xludf.DUMMYFUNCTION("XLOOKUP($B91,IMPORTRANGE(""https://docs.google.com/spreadsheets/d/1EjEqG6oc_vmuAWwHnH51YMvSMVUVePUqNn9zZBOmHT8/edit#gid=757525651"",""'Allocation Breakdown'!A4:A187""),IMPORTRANGE(""https://docs.google.com/spreadsheets/d/1EjEqG6oc_vmuAWwHnH51YMvSMVUVePUqN"&amp;"n9zZBOmHT8/edit#gid=757525651"",""'Allocation Breakdown'!r4:r187""))*S$119"),2000)</f>
        <v>2000</v>
      </c>
      <c r="T91" s="30">
        <f ca="1">IFERROR(__xludf.DUMMYFUNCTION("XLOOKUP($B91,IMPORTRANGE(""https://docs.google.com/spreadsheets/d/1EjEqG6oc_vmuAWwHnH51YMvSMVUVePUqNn9zZBOmHT8/edit#gid=757525651"",""'Allocation Breakdown'!A4:A187""),IMPORTRANGE(""https://docs.google.com/spreadsheets/d/1EjEqG6oc_vmuAWwHnH51YMvSMVUVePUqN"&amp;"n9zZBOmHT8/edit#gid=757525651"",""'Allocation Breakdown'!t4:t187""))*T$119"),7000)</f>
        <v>7000</v>
      </c>
      <c r="U91" s="30">
        <f ca="1">IFERROR(__xludf.DUMMYFUNCTION("XLOOKUP($B91,IMPORTRANGE(""https://docs.google.com/spreadsheets/d/1EjEqG6oc_vmuAWwHnH51YMvSMVUVePUqNn9zZBOmHT8/edit#gid=757525651"",""'Allocation Breakdown'!A4:A187""),IMPORTRANGE(""https://docs.google.com/spreadsheets/d/1EjEqG6oc_vmuAWwHnH51YMvSMVUVePUqN"&amp;"n9zZBOmHT8/edit#gid=757525651"",""'Allocation Breakdown'!U4:U187""))*U$119"),11000)</f>
        <v>11000</v>
      </c>
      <c r="V91" s="31">
        <f t="shared" ca="1" si="1"/>
        <v>92976.798514399998</v>
      </c>
      <c r="W91" s="31">
        <f t="shared" ca="1" si="2"/>
        <v>101839.5943560655</v>
      </c>
      <c r="Z91" s="32"/>
      <c r="AA91" s="32"/>
      <c r="AB91" s="32"/>
    </row>
    <row r="92" spans="2:28" ht="15.75" customHeight="1">
      <c r="B92" s="28" t="s">
        <v>189</v>
      </c>
      <c r="C92" s="30">
        <f ca="1">IFERROR(__xludf.DUMMYFUNCTION("XLOOKUP($B92,IMPORTRANGE(""https://docs.google.com/spreadsheets/d/1EjEqG6oc_vmuAWwHnH51YMvSMVUVePUqNn9zZBOmHT8/edit#gid=757525651"",""'Allocation Breakdown'!A4:A187""),IMPORTRANGE(""https://docs.google.com/spreadsheets/d/1EjEqG6oc_vmuAWwHnH51YMvSMVUVePUqN"&amp;"n9zZBOmHT8/edit#gid=757525651"",""'Allocation Breakdown'!V4:V187""))*C$119"),777.38105487)</f>
        <v>777.38105486999996</v>
      </c>
      <c r="D92" s="30">
        <f ca="1">IFERROR(__xludf.DUMMYFUNCTION("XLOOKUP($B92,IMPORTRANGE(""https://docs.google.com/spreadsheets/d/1EjEqG6oc_vmuAWwHnH51YMvSMVUVePUqNn9zZBOmHT8/edit#gid=757525651"",""'Allocation Breakdown'!A4:A187""),IMPORTRANGE(""https://docs.google.com/spreadsheets/d/1EjEqG6oc_vmuAWwHnH51YMvSMVUVePUqN"&amp;"n9zZBOmHT8/edit#gid=757525651"",""'Allocation Breakdown'!I4:I187""))*$D$119"),7112.7958416655)</f>
        <v>7112.7958416655001</v>
      </c>
      <c r="E92" s="30">
        <f ca="1">IFERROR(__xludf.DUMMYFUNCTION("XLOOKUP($B92,IMPORTRANGE(""https://docs.google.com/spreadsheets/d/1EjEqG6oc_vmuAWwHnH51YMvSMVUVePUqNn9zZBOmHT8/edit#gid=757525651"",""'Allocation Breakdown'!A4:A187""),IMPORTRANGE(""https://docs.google.com/spreadsheets/d/1EjEqG6oc_vmuAWwHnH51YMvSMVUVePUqN"&amp;"n9zZBOmHT8/edit#gid=757525651"",""'Allocation Breakdown'!V4:V187""))*E$119"),272.61894513)</f>
        <v>272.61894512999999</v>
      </c>
      <c r="F92" s="30">
        <f t="shared" ca="1" si="0"/>
        <v>7385.4147867954998</v>
      </c>
      <c r="G92" s="30">
        <f ca="1">IFERROR(__xludf.DUMMYFUNCTION("XLOOKUP($B92,IMPORTRANGE(""https://docs.google.com/spreadsheets/d/1EjEqG6oc_vmuAWwHnH51YMvSMVUVePUqNn9zZBOmHT8/edit#gid=757525651"",""'Allocation Breakdown'!A4:A187""),IMPORTRANGE(""https://docs.google.com/spreadsheets/d/1EjEqG6oc_vmuAWwHnH51YMvSMVUVePUqN"&amp;"n9zZBOmHT8/edit#gid=757525651"",""'Allocation Breakdown'!D4:D187""))"),5000)</f>
        <v>5000</v>
      </c>
      <c r="H92" s="30">
        <f ca="1">IFERROR(__xludf.DUMMYFUNCTION("XLOOKUP($B92,IMPORTRANGE(""https://docs.google.com/spreadsheets/d/1EjEqG6oc_vmuAWwHnH51YMvSMVUVePUqNn9zZBOmHT8/edit#gid=757525651"",""'Allocation Breakdown'!A4:A187""),IMPORTRANGE(""https://docs.google.com/spreadsheets/d/1EjEqG6oc_vmuAWwHnH51YMvSMVUVePUqN"&amp;"n9zZBOmHT8/edit#gid=757525651"",""'Allocation Breakdown'!E4:E187""))"),8301)</f>
        <v>8301</v>
      </c>
      <c r="I92" s="30">
        <f ca="1">IFERROR(__xludf.DUMMYFUNCTION("XLOOKUP($B92,IMPORTRANGE(""https://docs.google.com/spreadsheets/d/1EjEqG6oc_vmuAWwHnH51YMvSMVUVePUqNn9zZBOmHT8/edit#gid=757525651"",""'Allocation Breakdown'!A4:A187""),IMPORTRANGE(""https://docs.google.com/spreadsheets/d/1EjEqG6oc_vmuAWwHnH51YMvSMVUVePUqN"&amp;"n9zZBOmHT8/edit#gid=757525651"",""'Allocation Breakdown'!F4:F187""))"),7781)</f>
        <v>7781</v>
      </c>
      <c r="J92" s="30" t="str">
        <f ca="1">IFERROR(__xludf.DUMMYFUNCTION("XLOOKUP($B92,IMPORTRANGE(""https://docs.google.com/spreadsheets/d/1EjEqG6oc_vmuAWwHnH51YMvSMVUVePUqNn9zZBOmHT8/edit#gid=757525651"",""'Allocation Breakdown'!A4:A187""),IMPORTRANGE(""https://docs.google.com/spreadsheets/d/1EjEqG6oc_vmuAWwHnH51YMvSMVUVePUqN"&amp;"n9zZBOmHT8/edit#gid=757525651"",""'Allocation Breakdown'!G4:G187""))"),"")</f>
        <v/>
      </c>
      <c r="K92" s="30">
        <f ca="1">IFERROR(__xludf.DUMMYFUNCTION("XLOOKUP($B92,IMPORTRANGE(""https://docs.google.com/spreadsheets/d/1EjEqG6oc_vmuAWwHnH51YMvSMVUVePUqNn9zZBOmHT8/edit#gid=757525651"",""'Allocation Breakdown'!A4:A187""),IMPORTRANGE(""https://docs.google.com/spreadsheets/d/1EjEqG6oc_vmuAWwHnH51YMvSMVUVePUqN"&amp;"n9zZBOmHT8/edit#gid=757525651"",""'Allocation Breakdown'!I4:I187""))*K$119"),624.9384636)</f>
        <v>624.93846359999998</v>
      </c>
      <c r="L92" s="30">
        <f ca="1">IFERROR(__xludf.DUMMYFUNCTION("XLOOKUP($B92,IMPORTRANGE(""https://docs.google.com/spreadsheets/d/1EjEqG6oc_vmuAWwHnH51YMvSMVUVePUqNn9zZBOmHT8/edit#gid=757525651"",""'Allocation Breakdown'!A4:A187""),IMPORTRANGE(""https://docs.google.com/spreadsheets/d/1EjEqG6oc_vmuAWwHnH51YMvSMVUVePUqN"&amp;"n9zZBOmHT8/edit#gid=757525651"",""'Allocation Breakdown'!j4:j187""))*L$119"),0)</f>
        <v>0</v>
      </c>
      <c r="M92" s="30">
        <f ca="1">IFERROR(__xludf.DUMMYFUNCTION("XLOOKUP($B92,IMPORTRANGE(""https://docs.google.com/spreadsheets/d/1EjEqG6oc_vmuAWwHnH51YMvSMVUVePUqNn9zZBOmHT8/edit#gid=757525651"",""'Allocation Breakdown'!A4:A187""),IMPORTRANGE(""https://docs.google.com/spreadsheets/d/1EjEqG6oc_vmuAWwHnH51YMvSMVUVePUqN"&amp;"n9zZBOmHT8/edit#gid=757525651"",""'Allocation Breakdown'!K4:K187""))*M$119"),3588.6226095)</f>
        <v>3588.6226095000002</v>
      </c>
      <c r="N92" s="30">
        <f ca="1">IFERROR(__xludf.DUMMYFUNCTION("XLOOKUP($B92,IMPORTRANGE(""https://docs.google.com/spreadsheets/d/1EjEqG6oc_vmuAWwHnH51YMvSMVUVePUqNn9zZBOmHT8/edit#gid=757525651"",""'Allocation Breakdown'!A4:A187""),IMPORTRANGE(""https://docs.google.com/spreadsheets/d/1EjEqG6oc_vmuAWwHnH51YMvSMVUVePUqN"&amp;"n9zZBOmHT8/edit#gid=757525651"",""'Allocation Breakdown'!l4:l187""))*N$119"),0)</f>
        <v>0</v>
      </c>
      <c r="O92" s="30">
        <f ca="1">IFERROR(__xludf.DUMMYFUNCTION("XLOOKUP($B92,IMPORTRANGE(""https://docs.google.com/spreadsheets/d/1EjEqG6oc_vmuAWwHnH51YMvSMVUVePUqNn9zZBOmHT8/edit#gid=757525651"",""'Allocation Breakdown'!A4:A187""),IMPORTRANGE(""https://docs.google.com/spreadsheets/d/1EjEqG6oc_vmuAWwHnH51YMvSMVUVePUqN"&amp;"n9zZBOmHT8/edit#gid=757525651"",""'Allocation Breakdown'!n4:n187""))*O$119"),0)</f>
        <v>0</v>
      </c>
      <c r="P92" s="30">
        <f ca="1">IFERROR(__xludf.DUMMYFUNCTION("XLOOKUP($B92,IMPORTRANGE(""https://docs.google.com/spreadsheets/d/1EjEqG6oc_vmuAWwHnH51YMvSMVUVePUqNn9zZBOmHT8/edit#gid=757525651"",""'Allocation Breakdown'!A4:A187""),IMPORTRANGE(""https://docs.google.com/spreadsheets/d/1EjEqG6oc_vmuAWwHnH51YMvSMVUVePUqN"&amp;"n9zZBOmHT8/edit#gid=757525651"",""'Allocation Breakdown'!o4:o187""))*P$119"),2200)</f>
        <v>2200</v>
      </c>
      <c r="Q92" s="30">
        <f ca="1">IFERROR(__xludf.DUMMYFUNCTION("XLOOKUP($B92,IMPORTRANGE(""https://docs.google.com/spreadsheets/d/1EjEqG6oc_vmuAWwHnH51YMvSMVUVePUqNn9zZBOmHT8/edit#gid=757525651"",""'Allocation Breakdown'!A4:A187""),IMPORTRANGE(""https://docs.google.com/spreadsheets/d/1EjEqG6oc_vmuAWwHnH51YMvSMVUVePUqN"&amp;"n9zZBOmHT8/edit#gid=757525651"",""'Allocation Breakdown'!p4:p187""))*Q$119"),2000)</f>
        <v>2000</v>
      </c>
      <c r="R92" s="30">
        <f ca="1">IFERROR(__xludf.DUMMYFUNCTION("XLOOKUP($B92,IMPORTRANGE(""https://docs.google.com/spreadsheets/d/1EjEqG6oc_vmuAWwHnH51YMvSMVUVePUqNn9zZBOmHT8/edit#gid=757525651"",""'Allocation Breakdown'!A4:A187""),IMPORTRANGE(""https://docs.google.com/spreadsheets/d/1EjEqG6oc_vmuAWwHnH51YMvSMVUVePUqN"&amp;"n9zZBOmHT8/edit#gid=757525651"",""'Allocation Breakdown'!q4:q187""))*R$119"),0)</f>
        <v>0</v>
      </c>
      <c r="S92" s="30">
        <f ca="1">IFERROR(__xludf.DUMMYFUNCTION("XLOOKUP($B92,IMPORTRANGE(""https://docs.google.com/spreadsheets/d/1EjEqG6oc_vmuAWwHnH51YMvSMVUVePUqNn9zZBOmHT8/edit#gid=757525651"",""'Allocation Breakdown'!A4:A187""),IMPORTRANGE(""https://docs.google.com/spreadsheets/d/1EjEqG6oc_vmuAWwHnH51YMvSMVUVePUqN"&amp;"n9zZBOmHT8/edit#gid=757525651"",""'Allocation Breakdown'!r4:r187""))*S$119"),2000)</f>
        <v>2000</v>
      </c>
      <c r="T92" s="30">
        <f ca="1">IFERROR(__xludf.DUMMYFUNCTION("XLOOKUP($B92,IMPORTRANGE(""https://docs.google.com/spreadsheets/d/1EjEqG6oc_vmuAWwHnH51YMvSMVUVePUqNn9zZBOmHT8/edit#gid=757525651"",""'Allocation Breakdown'!A4:A187""),IMPORTRANGE(""https://docs.google.com/spreadsheets/d/1EjEqG6oc_vmuAWwHnH51YMvSMVUVePUqN"&amp;"n9zZBOmHT8/edit#gid=757525651"",""'Allocation Breakdown'!t4:t187""))*T$119"),7000)</f>
        <v>7000</v>
      </c>
      <c r="U92" s="30">
        <f ca="1">IFERROR(__xludf.DUMMYFUNCTION("XLOOKUP($B92,IMPORTRANGE(""https://docs.google.com/spreadsheets/d/1EjEqG6oc_vmuAWwHnH51YMvSMVUVePUqNn9zZBOmHT8/edit#gid=757525651"",""'Allocation Breakdown'!A4:A187""),IMPORTRANGE(""https://docs.google.com/spreadsheets/d/1EjEqG6oc_vmuAWwHnH51YMvSMVUVePUqN"&amp;"n9zZBOmHT8/edit#gid=757525651"",""'Allocation Breakdown'!U4:U187""))*U$119"),11000)</f>
        <v>11000</v>
      </c>
      <c r="V92" s="31">
        <f t="shared" ca="1" si="1"/>
        <v>49495.561073099998</v>
      </c>
      <c r="W92" s="31">
        <f t="shared" ca="1" si="2"/>
        <v>57658.356914765493</v>
      </c>
      <c r="Z92" s="32"/>
      <c r="AA92" s="32"/>
      <c r="AB92" s="32"/>
    </row>
    <row r="93" spans="2:28" ht="15.75" customHeight="1">
      <c r="B93" s="28" t="s">
        <v>190</v>
      </c>
      <c r="C93" s="30">
        <f ca="1">IFERROR(__xludf.DUMMYFUNCTION("XLOOKUP($B93,IMPORTRANGE(""https://docs.google.com/spreadsheets/d/1EjEqG6oc_vmuAWwHnH51YMvSMVUVePUqNn9zZBOmHT8/edit#gid=757525651"",""'Allocation Breakdown'!A4:A187""),IMPORTRANGE(""https://docs.google.com/spreadsheets/d/1EjEqG6oc_vmuAWwHnH51YMvSMVUVePUqN"&amp;"n9zZBOmHT8/edit#gid=757525651"",""'Allocation Breakdown'!V4:V187""))*C$119"),2332.14316461)</f>
        <v>2332.14316461</v>
      </c>
      <c r="D93" s="30">
        <f ca="1">IFERROR(__xludf.DUMMYFUNCTION("XLOOKUP($B93,IMPORTRANGE(""https://docs.google.com/spreadsheets/d/1EjEqG6oc_vmuAWwHnH51YMvSMVUVePUqNn9zZBOmHT8/edit#gid=757525651"",""'Allocation Breakdown'!A4:A187""),IMPORTRANGE(""https://docs.google.com/spreadsheets/d/1EjEqG6oc_vmuAWwHnH51YMvSMVUVePUqN"&amp;"n9zZBOmHT8/edit#gid=757525651"",""'Allocation Breakdown'!I4:I187""))*$D$119"),7112.7958416655)</f>
        <v>7112.7958416655001</v>
      </c>
      <c r="E93" s="30">
        <f ca="1">IFERROR(__xludf.DUMMYFUNCTION("XLOOKUP($B93,IMPORTRANGE(""https://docs.google.com/spreadsheets/d/1EjEqG6oc_vmuAWwHnH51YMvSMVUVePUqNn9zZBOmHT8/edit#gid=757525651"",""'Allocation Breakdown'!A4:A187""),IMPORTRANGE(""https://docs.google.com/spreadsheets/d/1EjEqG6oc_vmuAWwHnH51YMvSMVUVePUqN"&amp;"n9zZBOmHT8/edit#gid=757525651"",""'Allocation Breakdown'!V4:V187""))*E$119"),817.85683539)</f>
        <v>817.85683539000001</v>
      </c>
      <c r="F93" s="30">
        <f t="shared" ca="1" si="0"/>
        <v>7930.6526770555001</v>
      </c>
      <c r="G93" s="30">
        <f ca="1">IFERROR(__xludf.DUMMYFUNCTION("XLOOKUP($B93,IMPORTRANGE(""https://docs.google.com/spreadsheets/d/1EjEqG6oc_vmuAWwHnH51YMvSMVUVePUqNn9zZBOmHT8/edit#gid=757525651"",""'Allocation Breakdown'!A4:A187""),IMPORTRANGE(""https://docs.google.com/spreadsheets/d/1EjEqG6oc_vmuAWwHnH51YMvSMVUVePUqN"&amp;"n9zZBOmHT8/edit#gid=757525651"",""'Allocation Breakdown'!D4:D187""))"),5000)</f>
        <v>5000</v>
      </c>
      <c r="H93" s="30">
        <f ca="1">IFERROR(__xludf.DUMMYFUNCTION("XLOOKUP($B93,IMPORTRANGE(""https://docs.google.com/spreadsheets/d/1EjEqG6oc_vmuAWwHnH51YMvSMVUVePUqNn9zZBOmHT8/edit#gid=757525651"",""'Allocation Breakdown'!A4:A187""),IMPORTRANGE(""https://docs.google.com/spreadsheets/d/1EjEqG6oc_vmuAWwHnH51YMvSMVUVePUqN"&amp;"n9zZBOmHT8/edit#gid=757525651"",""'Allocation Breakdown'!E4:E187""))"),48125)</f>
        <v>48125</v>
      </c>
      <c r="I93" s="30" t="str">
        <f ca="1">IFERROR(__xludf.DUMMYFUNCTION("XLOOKUP($B93,IMPORTRANGE(""https://docs.google.com/spreadsheets/d/1EjEqG6oc_vmuAWwHnH51YMvSMVUVePUqNn9zZBOmHT8/edit#gid=757525651"",""'Allocation Breakdown'!A4:A187""),IMPORTRANGE(""https://docs.google.com/spreadsheets/d/1EjEqG6oc_vmuAWwHnH51YMvSMVUVePUqN"&amp;"n9zZBOmHT8/edit#gid=757525651"",""'Allocation Breakdown'!F4:F187""))"),"")</f>
        <v/>
      </c>
      <c r="J93" s="30" t="str">
        <f ca="1">IFERROR(__xludf.DUMMYFUNCTION("XLOOKUP($B93,IMPORTRANGE(""https://docs.google.com/spreadsheets/d/1EjEqG6oc_vmuAWwHnH51YMvSMVUVePUqNn9zZBOmHT8/edit#gid=757525651"",""'Allocation Breakdown'!A4:A187""),IMPORTRANGE(""https://docs.google.com/spreadsheets/d/1EjEqG6oc_vmuAWwHnH51YMvSMVUVePUqN"&amp;"n9zZBOmHT8/edit#gid=757525651"",""'Allocation Breakdown'!G4:G187""))"),"")</f>
        <v/>
      </c>
      <c r="K93" s="30">
        <f ca="1">IFERROR(__xludf.DUMMYFUNCTION("XLOOKUP($B93,IMPORTRANGE(""https://docs.google.com/spreadsheets/d/1EjEqG6oc_vmuAWwHnH51YMvSMVUVePUqNn9zZBOmHT8/edit#gid=757525651"",""'Allocation Breakdown'!A4:A187""),IMPORTRANGE(""https://docs.google.com/spreadsheets/d/1EjEqG6oc_vmuAWwHnH51YMvSMVUVePUqN"&amp;"n9zZBOmHT8/edit#gid=757525651"",""'Allocation Breakdown'!I4:I187""))*K$119"),624.9384636)</f>
        <v>624.93846359999998</v>
      </c>
      <c r="L93" s="30">
        <f ca="1">IFERROR(__xludf.DUMMYFUNCTION("XLOOKUP($B93,IMPORTRANGE(""https://docs.google.com/spreadsheets/d/1EjEqG6oc_vmuAWwHnH51YMvSMVUVePUqNn9zZBOmHT8/edit#gid=757525651"",""'Allocation Breakdown'!A4:A187""),IMPORTRANGE(""https://docs.google.com/spreadsheets/d/1EjEqG6oc_vmuAWwHnH51YMvSMVUVePUqN"&amp;"n9zZBOmHT8/edit#gid=757525651"",""'Allocation Breakdown'!j4:j187""))*L$119"),3701.5422305)</f>
        <v>3701.5422305000002</v>
      </c>
      <c r="M93" s="30">
        <f ca="1">IFERROR(__xludf.DUMMYFUNCTION("XLOOKUP($B93,IMPORTRANGE(""https://docs.google.com/spreadsheets/d/1EjEqG6oc_vmuAWwHnH51YMvSMVUVePUqNn9zZBOmHT8/edit#gid=757525651"",""'Allocation Breakdown'!A4:A187""),IMPORTRANGE(""https://docs.google.com/spreadsheets/d/1EjEqG6oc_vmuAWwHnH51YMvSMVUVePUqN"&amp;"n9zZBOmHT8/edit#gid=757525651"",""'Allocation Breakdown'!K4:K187""))*M$119"),3588.6226095)</f>
        <v>3588.6226095000002</v>
      </c>
      <c r="N93" s="30">
        <f ca="1">IFERROR(__xludf.DUMMYFUNCTION("XLOOKUP($B93,IMPORTRANGE(""https://docs.google.com/spreadsheets/d/1EjEqG6oc_vmuAWwHnH51YMvSMVUVePUqNn9zZBOmHT8/edit#gid=757525651"",""'Allocation Breakdown'!A4:A187""),IMPORTRANGE(""https://docs.google.com/spreadsheets/d/1EjEqG6oc_vmuAWwHnH51YMvSMVUVePUqN"&amp;"n9zZBOmHT8/edit#gid=757525651"",""'Allocation Breakdown'!l4:l187""))*N$119"),951.8600508)</f>
        <v>951.86005079999995</v>
      </c>
      <c r="O93" s="30">
        <f ca="1">IFERROR(__xludf.DUMMYFUNCTION("XLOOKUP($B93,IMPORTRANGE(""https://docs.google.com/spreadsheets/d/1EjEqG6oc_vmuAWwHnH51YMvSMVUVePUqNn9zZBOmHT8/edit#gid=757525651"",""'Allocation Breakdown'!A4:A187""),IMPORTRANGE(""https://docs.google.com/spreadsheets/d/1EjEqG6oc_vmuAWwHnH51YMvSMVUVePUqN"&amp;"n9zZBOmHT8/edit#gid=757525651"",""'Allocation Breakdown'!n4:n187""))*O$119"),5000)</f>
        <v>5000</v>
      </c>
      <c r="P93" s="30">
        <f ca="1">IFERROR(__xludf.DUMMYFUNCTION("XLOOKUP($B93,IMPORTRANGE(""https://docs.google.com/spreadsheets/d/1EjEqG6oc_vmuAWwHnH51YMvSMVUVePUqNn9zZBOmHT8/edit#gid=757525651"",""'Allocation Breakdown'!A4:A187""),IMPORTRANGE(""https://docs.google.com/spreadsheets/d/1EjEqG6oc_vmuAWwHnH51YMvSMVUVePUqN"&amp;"n9zZBOmHT8/edit#gid=757525651"",""'Allocation Breakdown'!o4:o187""))*P$119"),4400)</f>
        <v>4400</v>
      </c>
      <c r="Q93" s="30">
        <f ca="1">IFERROR(__xludf.DUMMYFUNCTION("XLOOKUP($B93,IMPORTRANGE(""https://docs.google.com/spreadsheets/d/1EjEqG6oc_vmuAWwHnH51YMvSMVUVePUqNn9zZBOmHT8/edit#gid=757525651"",""'Allocation Breakdown'!A4:A187""),IMPORTRANGE(""https://docs.google.com/spreadsheets/d/1EjEqG6oc_vmuAWwHnH51YMvSMVUVePUqN"&amp;"n9zZBOmHT8/edit#gid=757525651"",""'Allocation Breakdown'!p4:p187""))*Q$119"),2000)</f>
        <v>2000</v>
      </c>
      <c r="R93" s="30">
        <f ca="1">IFERROR(__xludf.DUMMYFUNCTION("XLOOKUP($B93,IMPORTRANGE(""https://docs.google.com/spreadsheets/d/1EjEqG6oc_vmuAWwHnH51YMvSMVUVePUqNn9zZBOmHT8/edit#gid=757525651"",""'Allocation Breakdown'!A4:A187""),IMPORTRANGE(""https://docs.google.com/spreadsheets/d/1EjEqG6oc_vmuAWwHnH51YMvSMVUVePUqN"&amp;"n9zZBOmHT8/edit#gid=757525651"",""'Allocation Breakdown'!q4:q187""))*R$119"),2000)</f>
        <v>2000</v>
      </c>
      <c r="S93" s="30">
        <f ca="1">IFERROR(__xludf.DUMMYFUNCTION("XLOOKUP($B93,IMPORTRANGE(""https://docs.google.com/spreadsheets/d/1EjEqG6oc_vmuAWwHnH51YMvSMVUVePUqNn9zZBOmHT8/edit#gid=757525651"",""'Allocation Breakdown'!A4:A187""),IMPORTRANGE(""https://docs.google.com/spreadsheets/d/1EjEqG6oc_vmuAWwHnH51YMvSMVUVePUqN"&amp;"n9zZBOmHT8/edit#gid=757525651"",""'Allocation Breakdown'!r4:r187""))*S$119"),2000)</f>
        <v>2000</v>
      </c>
      <c r="T93" s="30">
        <f ca="1">IFERROR(__xludf.DUMMYFUNCTION("XLOOKUP($B93,IMPORTRANGE(""https://docs.google.com/spreadsheets/d/1EjEqG6oc_vmuAWwHnH51YMvSMVUVePUqNn9zZBOmHT8/edit#gid=757525651"",""'Allocation Breakdown'!A4:A187""),IMPORTRANGE(""https://docs.google.com/spreadsheets/d/1EjEqG6oc_vmuAWwHnH51YMvSMVUVePUqN"&amp;"n9zZBOmHT8/edit#gid=757525651"",""'Allocation Breakdown'!t4:t187""))*T$119"),7000)</f>
        <v>7000</v>
      </c>
      <c r="U93" s="30">
        <f ca="1">IFERROR(__xludf.DUMMYFUNCTION("XLOOKUP($B93,IMPORTRANGE(""https://docs.google.com/spreadsheets/d/1EjEqG6oc_vmuAWwHnH51YMvSMVUVePUqNn9zZBOmHT8/edit#gid=757525651"",""'Allocation Breakdown'!A4:A187""),IMPORTRANGE(""https://docs.google.com/spreadsheets/d/1EjEqG6oc_vmuAWwHnH51YMvSMVUVePUqN"&amp;"n9zZBOmHT8/edit#gid=757525651"",""'Allocation Breakdown'!U4:U187""))*U$119"),11000)</f>
        <v>11000</v>
      </c>
      <c r="V93" s="31">
        <f t="shared" ca="1" si="1"/>
        <v>95391.96335440001</v>
      </c>
      <c r="W93" s="31">
        <f t="shared" ca="1" si="2"/>
        <v>105654.75919606551</v>
      </c>
      <c r="Z93" s="32"/>
      <c r="AA93" s="32"/>
      <c r="AB93" s="32"/>
    </row>
    <row r="94" spans="2:28" ht="15.75" customHeight="1">
      <c r="B94" s="28" t="s">
        <v>191</v>
      </c>
      <c r="C94" s="30">
        <f ca="1">IFERROR(__xludf.DUMMYFUNCTION("XLOOKUP($B94,IMPORTRANGE(""https://docs.google.com/spreadsheets/d/1EjEqG6oc_vmuAWwHnH51YMvSMVUVePUqNn9zZBOmHT8/edit#gid=757525651"",""'Allocation Breakdown'!A4:A187""),IMPORTRANGE(""https://docs.google.com/spreadsheets/d/1EjEqG6oc_vmuAWwHnH51YMvSMVUVePUqN"&amp;"n9zZBOmHT8/edit#gid=757525651"",""'Allocation Breakdown'!V4:V187""))*C$119"),777.38105487)</f>
        <v>777.38105486999996</v>
      </c>
      <c r="D94" s="30">
        <f ca="1">IFERROR(__xludf.DUMMYFUNCTION("XLOOKUP($B94,IMPORTRANGE(""https://docs.google.com/spreadsheets/d/1EjEqG6oc_vmuAWwHnH51YMvSMVUVePUqNn9zZBOmHT8/edit#gid=757525651"",""'Allocation Breakdown'!A4:A187""),IMPORTRANGE(""https://docs.google.com/spreadsheets/d/1EjEqG6oc_vmuAWwHnH51YMvSMVUVePUqN"&amp;"n9zZBOmHT8/edit#gid=757525651"",""'Allocation Breakdown'!I4:I187""))*$D$119"),7112.7958416655)</f>
        <v>7112.7958416655001</v>
      </c>
      <c r="E94" s="30">
        <f ca="1">IFERROR(__xludf.DUMMYFUNCTION("XLOOKUP($B94,IMPORTRANGE(""https://docs.google.com/spreadsheets/d/1EjEqG6oc_vmuAWwHnH51YMvSMVUVePUqNn9zZBOmHT8/edit#gid=757525651"",""'Allocation Breakdown'!A4:A187""),IMPORTRANGE(""https://docs.google.com/spreadsheets/d/1EjEqG6oc_vmuAWwHnH51YMvSMVUVePUqN"&amp;"n9zZBOmHT8/edit#gid=757525651"",""'Allocation Breakdown'!V4:V187""))*E$119"),272.61894513)</f>
        <v>272.61894512999999</v>
      </c>
      <c r="F94" s="30">
        <f t="shared" ca="1" si="0"/>
        <v>7385.4147867954998</v>
      </c>
      <c r="G94" s="30">
        <f ca="1">IFERROR(__xludf.DUMMYFUNCTION("XLOOKUP($B94,IMPORTRANGE(""https://docs.google.com/spreadsheets/d/1EjEqG6oc_vmuAWwHnH51YMvSMVUVePUqNn9zZBOmHT8/edit#gid=757525651"",""'Allocation Breakdown'!A4:A187""),IMPORTRANGE(""https://docs.google.com/spreadsheets/d/1EjEqG6oc_vmuAWwHnH51YMvSMVUVePUqN"&amp;"n9zZBOmHT8/edit#gid=757525651"",""'Allocation Breakdown'!D4:D187""))"),5000)</f>
        <v>5000</v>
      </c>
      <c r="H94" s="30">
        <f ca="1">IFERROR(__xludf.DUMMYFUNCTION("XLOOKUP($B94,IMPORTRANGE(""https://docs.google.com/spreadsheets/d/1EjEqG6oc_vmuAWwHnH51YMvSMVUVePUqNn9zZBOmHT8/edit#gid=757525651"",""'Allocation Breakdown'!A4:A187""),IMPORTRANGE(""https://docs.google.com/spreadsheets/d/1EjEqG6oc_vmuAWwHnH51YMvSMVUVePUqN"&amp;"n9zZBOmHT8/edit#gid=757525651"",""'Allocation Breakdown'!E4:E187""))"),90000)</f>
        <v>90000</v>
      </c>
      <c r="I94" s="30">
        <f ca="1">IFERROR(__xludf.DUMMYFUNCTION("XLOOKUP($B94,IMPORTRANGE(""https://docs.google.com/spreadsheets/d/1EjEqG6oc_vmuAWwHnH51YMvSMVUVePUqNn9zZBOmHT8/edit#gid=757525651"",""'Allocation Breakdown'!A4:A187""),IMPORTRANGE(""https://docs.google.com/spreadsheets/d/1EjEqG6oc_vmuAWwHnH51YMvSMVUVePUqN"&amp;"n9zZBOmHT8/edit#gid=757525651"",""'Allocation Breakdown'!F4:F187""))"),18000)</f>
        <v>18000</v>
      </c>
      <c r="J94" s="30">
        <f ca="1">IFERROR(__xludf.DUMMYFUNCTION("XLOOKUP($B94,IMPORTRANGE(""https://docs.google.com/spreadsheets/d/1EjEqG6oc_vmuAWwHnH51YMvSMVUVePUqNn9zZBOmHT8/edit#gid=757525651"",""'Allocation Breakdown'!A4:A187""),IMPORTRANGE(""https://docs.google.com/spreadsheets/d/1EjEqG6oc_vmuAWwHnH51YMvSMVUVePUqN"&amp;"n9zZBOmHT8/edit#gid=757525651"",""'Allocation Breakdown'!G4:G187""))"),9175)</f>
        <v>9175</v>
      </c>
      <c r="K94" s="30">
        <f ca="1">IFERROR(__xludf.DUMMYFUNCTION("XLOOKUP($B94,IMPORTRANGE(""https://docs.google.com/spreadsheets/d/1EjEqG6oc_vmuAWwHnH51YMvSMVUVePUqNn9zZBOmHT8/edit#gid=757525651"",""'Allocation Breakdown'!A4:A187""),IMPORTRANGE(""https://docs.google.com/spreadsheets/d/1EjEqG6oc_vmuAWwHnH51YMvSMVUVePUqN"&amp;"n9zZBOmHT8/edit#gid=757525651"",""'Allocation Breakdown'!I4:I187""))*K$119"),624.9384636)</f>
        <v>624.93846359999998</v>
      </c>
      <c r="L94" s="30">
        <f ca="1">IFERROR(__xludf.DUMMYFUNCTION("XLOOKUP($B94,IMPORTRANGE(""https://docs.google.com/spreadsheets/d/1EjEqG6oc_vmuAWwHnH51YMvSMVUVePUqNn9zZBOmHT8/edit#gid=757525651"",""'Allocation Breakdown'!A4:A187""),IMPORTRANGE(""https://docs.google.com/spreadsheets/d/1EjEqG6oc_vmuAWwHnH51YMvSMVUVePUqN"&amp;"n9zZBOmHT8/edit#gid=757525651"",""'Allocation Breakdown'!j4:j187""))*L$119"),3701.5422305)</f>
        <v>3701.5422305000002</v>
      </c>
      <c r="M94" s="30">
        <f ca="1">IFERROR(__xludf.DUMMYFUNCTION("XLOOKUP($B94,IMPORTRANGE(""https://docs.google.com/spreadsheets/d/1EjEqG6oc_vmuAWwHnH51YMvSMVUVePUqNn9zZBOmHT8/edit#gid=757525651"",""'Allocation Breakdown'!A4:A187""),IMPORTRANGE(""https://docs.google.com/spreadsheets/d/1EjEqG6oc_vmuAWwHnH51YMvSMVUVePUqN"&amp;"n9zZBOmHT8/edit#gid=757525651"",""'Allocation Breakdown'!K4:K187""))*M$119"),3588.6226095)</f>
        <v>3588.6226095000002</v>
      </c>
      <c r="N94" s="30">
        <f ca="1">IFERROR(__xludf.DUMMYFUNCTION("XLOOKUP($B94,IMPORTRANGE(""https://docs.google.com/spreadsheets/d/1EjEqG6oc_vmuAWwHnH51YMvSMVUVePUqNn9zZBOmHT8/edit#gid=757525651"",""'Allocation Breakdown'!A4:A187""),IMPORTRANGE(""https://docs.google.com/spreadsheets/d/1EjEqG6oc_vmuAWwHnH51YMvSMVUVePUqN"&amp;"n9zZBOmHT8/edit#gid=757525651"",""'Allocation Breakdown'!l4:l187""))*N$119"),951.8600508)</f>
        <v>951.86005079999995</v>
      </c>
      <c r="O94" s="30">
        <f ca="1">IFERROR(__xludf.DUMMYFUNCTION("XLOOKUP($B94,IMPORTRANGE(""https://docs.google.com/spreadsheets/d/1EjEqG6oc_vmuAWwHnH51YMvSMVUVePUqNn9zZBOmHT8/edit#gid=757525651"",""'Allocation Breakdown'!A4:A187""),IMPORTRANGE(""https://docs.google.com/spreadsheets/d/1EjEqG6oc_vmuAWwHnH51YMvSMVUVePUqN"&amp;"n9zZBOmHT8/edit#gid=757525651"",""'Allocation Breakdown'!n4:n187""))*O$119"),60000)</f>
        <v>60000</v>
      </c>
      <c r="P94" s="30">
        <f ca="1">IFERROR(__xludf.DUMMYFUNCTION("XLOOKUP($B94,IMPORTRANGE(""https://docs.google.com/spreadsheets/d/1EjEqG6oc_vmuAWwHnH51YMvSMVUVePUqNn9zZBOmHT8/edit#gid=757525651"",""'Allocation Breakdown'!A4:A187""),IMPORTRANGE(""https://docs.google.com/spreadsheets/d/1EjEqG6oc_vmuAWwHnH51YMvSMVUVePUqN"&amp;"n9zZBOmHT8/edit#gid=757525651"",""'Allocation Breakdown'!o4:o187""))*P$119"),4400)</f>
        <v>4400</v>
      </c>
      <c r="Q94" s="30">
        <f ca="1">IFERROR(__xludf.DUMMYFUNCTION("XLOOKUP($B94,IMPORTRANGE(""https://docs.google.com/spreadsheets/d/1EjEqG6oc_vmuAWwHnH51YMvSMVUVePUqNn9zZBOmHT8/edit#gid=757525651"",""'Allocation Breakdown'!A4:A187""),IMPORTRANGE(""https://docs.google.com/spreadsheets/d/1EjEqG6oc_vmuAWwHnH51YMvSMVUVePUqN"&amp;"n9zZBOmHT8/edit#gid=757525651"",""'Allocation Breakdown'!p4:p187""))*Q$119"),2000)</f>
        <v>2000</v>
      </c>
      <c r="R94" s="30">
        <f ca="1">IFERROR(__xludf.DUMMYFUNCTION("XLOOKUP($B94,IMPORTRANGE(""https://docs.google.com/spreadsheets/d/1EjEqG6oc_vmuAWwHnH51YMvSMVUVePUqNn9zZBOmHT8/edit#gid=757525651"",""'Allocation Breakdown'!A4:A187""),IMPORTRANGE(""https://docs.google.com/spreadsheets/d/1EjEqG6oc_vmuAWwHnH51YMvSMVUVePUqN"&amp;"n9zZBOmHT8/edit#gid=757525651"",""'Allocation Breakdown'!q4:q187""))*R$119"),2000)</f>
        <v>2000</v>
      </c>
      <c r="S94" s="30">
        <f ca="1">IFERROR(__xludf.DUMMYFUNCTION("XLOOKUP($B94,IMPORTRANGE(""https://docs.google.com/spreadsheets/d/1EjEqG6oc_vmuAWwHnH51YMvSMVUVePUqNn9zZBOmHT8/edit#gid=757525651"",""'Allocation Breakdown'!A4:A187""),IMPORTRANGE(""https://docs.google.com/spreadsheets/d/1EjEqG6oc_vmuAWwHnH51YMvSMVUVePUqN"&amp;"n9zZBOmHT8/edit#gid=757525651"",""'Allocation Breakdown'!r4:r187""))*S$119"),2000)</f>
        <v>2000</v>
      </c>
      <c r="T94" s="30">
        <f ca="1">IFERROR(__xludf.DUMMYFUNCTION("XLOOKUP($B94,IMPORTRANGE(""https://docs.google.com/spreadsheets/d/1EjEqG6oc_vmuAWwHnH51YMvSMVUVePUqNn9zZBOmHT8/edit#gid=757525651"",""'Allocation Breakdown'!A4:A187""),IMPORTRANGE(""https://docs.google.com/spreadsheets/d/1EjEqG6oc_vmuAWwHnH51YMvSMVUVePUqN"&amp;"n9zZBOmHT8/edit#gid=757525651"",""'Allocation Breakdown'!t4:t187""))*T$119"),7000)</f>
        <v>7000</v>
      </c>
      <c r="U94" s="30">
        <f ca="1">IFERROR(__xludf.DUMMYFUNCTION("XLOOKUP($B94,IMPORTRANGE(""https://docs.google.com/spreadsheets/d/1EjEqG6oc_vmuAWwHnH51YMvSMVUVePUqNn9zZBOmHT8/edit#gid=757525651"",""'Allocation Breakdown'!A4:A187""),IMPORTRANGE(""https://docs.google.com/spreadsheets/d/1EjEqG6oc_vmuAWwHnH51YMvSMVUVePUqN"&amp;"n9zZBOmHT8/edit#gid=757525651"",""'Allocation Breakdown'!U4:U187""))*U$119"),11000)</f>
        <v>11000</v>
      </c>
      <c r="V94" s="31">
        <f t="shared" ca="1" si="1"/>
        <v>219441.96335440001</v>
      </c>
      <c r="W94" s="31">
        <f t="shared" ca="1" si="2"/>
        <v>227604.75919606551</v>
      </c>
      <c r="Z94" s="32"/>
      <c r="AA94" s="32"/>
      <c r="AB94" s="32"/>
    </row>
    <row r="95" spans="2:28" ht="15.75" customHeight="1">
      <c r="B95" s="28" t="s">
        <v>192</v>
      </c>
      <c r="C95" s="30">
        <f ca="1">IFERROR(__xludf.DUMMYFUNCTION("XLOOKUP($B95,IMPORTRANGE(""https://docs.google.com/spreadsheets/d/1EjEqG6oc_vmuAWwHnH51YMvSMVUVePUqNn9zZBOmHT8/edit#gid=757525651"",""'Allocation Breakdown'!A4:A187""),IMPORTRANGE(""https://docs.google.com/spreadsheets/d/1EjEqG6oc_vmuAWwHnH51YMvSMVUVePUqN"&amp;"n9zZBOmHT8/edit#gid=757525651"",""'Allocation Breakdown'!V4:V187""))*C$119"),0)</f>
        <v>0</v>
      </c>
      <c r="D95" s="30">
        <f ca="1">IFERROR(__xludf.DUMMYFUNCTION("XLOOKUP($B95,IMPORTRANGE(""https://docs.google.com/spreadsheets/d/1EjEqG6oc_vmuAWwHnH51YMvSMVUVePUqNn9zZBOmHT8/edit#gid=757525651"",""'Allocation Breakdown'!A4:A187""),IMPORTRANGE(""https://docs.google.com/spreadsheets/d/1EjEqG6oc_vmuAWwHnH51YMvSMVUVePUqN"&amp;"n9zZBOmHT8/edit#gid=757525651"",""'Allocation Breakdown'!I4:I187""))*$D$119"),7112.7958416655)</f>
        <v>7112.7958416655001</v>
      </c>
      <c r="E95" s="30">
        <f ca="1">IFERROR(__xludf.DUMMYFUNCTION("XLOOKUP($B95,IMPORTRANGE(""https://docs.google.com/spreadsheets/d/1EjEqG6oc_vmuAWwHnH51YMvSMVUVePUqNn9zZBOmHT8/edit#gid=757525651"",""'Allocation Breakdown'!A4:A187""),IMPORTRANGE(""https://docs.google.com/spreadsheets/d/1EjEqG6oc_vmuAWwHnH51YMvSMVUVePUqN"&amp;"n9zZBOmHT8/edit#gid=757525651"",""'Allocation Breakdown'!V4:V187""))*E$119"),0)</f>
        <v>0</v>
      </c>
      <c r="F95" s="30">
        <f t="shared" ca="1" si="0"/>
        <v>7112.7958416655001</v>
      </c>
      <c r="G95" s="30" t="str">
        <f ca="1">IFERROR(__xludf.DUMMYFUNCTION("XLOOKUP($B95,IMPORTRANGE(""https://docs.google.com/spreadsheets/d/1EjEqG6oc_vmuAWwHnH51YMvSMVUVePUqNn9zZBOmHT8/edit#gid=757525651"",""'Allocation Breakdown'!A4:A187""),IMPORTRANGE(""https://docs.google.com/spreadsheets/d/1EjEqG6oc_vmuAWwHnH51YMvSMVUVePUqN"&amp;"n9zZBOmHT8/edit#gid=757525651"",""'Allocation Breakdown'!D4:D187""))"),"")</f>
        <v/>
      </c>
      <c r="H95" s="30">
        <f ca="1">IFERROR(__xludf.DUMMYFUNCTION("XLOOKUP($B95,IMPORTRANGE(""https://docs.google.com/spreadsheets/d/1EjEqG6oc_vmuAWwHnH51YMvSMVUVePUqNn9zZBOmHT8/edit#gid=757525651"",""'Allocation Breakdown'!A4:A187""),IMPORTRANGE(""https://docs.google.com/spreadsheets/d/1EjEqG6oc_vmuAWwHnH51YMvSMVUVePUqN"&amp;"n9zZBOmHT8/edit#gid=757525651"",""'Allocation Breakdown'!E4:E187""))"),100000)</f>
        <v>100000</v>
      </c>
      <c r="I95" s="30">
        <f ca="1">IFERROR(__xludf.DUMMYFUNCTION("XLOOKUP($B95,IMPORTRANGE(""https://docs.google.com/spreadsheets/d/1EjEqG6oc_vmuAWwHnH51YMvSMVUVePUqNn9zZBOmHT8/edit#gid=757525651"",""'Allocation Breakdown'!A4:A187""),IMPORTRANGE(""https://docs.google.com/spreadsheets/d/1EjEqG6oc_vmuAWwHnH51YMvSMVUVePUqN"&amp;"n9zZBOmHT8/edit#gid=757525651"",""'Allocation Breakdown'!F4:F187""))"),18000)</f>
        <v>18000</v>
      </c>
      <c r="J95" s="30">
        <f ca="1">IFERROR(__xludf.DUMMYFUNCTION("XLOOKUP($B95,IMPORTRANGE(""https://docs.google.com/spreadsheets/d/1EjEqG6oc_vmuAWwHnH51YMvSMVUVePUqNn9zZBOmHT8/edit#gid=757525651"",""'Allocation Breakdown'!A4:A187""),IMPORTRANGE(""https://docs.google.com/spreadsheets/d/1EjEqG6oc_vmuAWwHnH51YMvSMVUVePUqN"&amp;"n9zZBOmHT8/edit#gid=757525651"",""'Allocation Breakdown'!G4:G187""))"),9175)</f>
        <v>9175</v>
      </c>
      <c r="K95" s="30">
        <f ca="1">IFERROR(__xludf.DUMMYFUNCTION("XLOOKUP($B95,IMPORTRANGE(""https://docs.google.com/spreadsheets/d/1EjEqG6oc_vmuAWwHnH51YMvSMVUVePUqNn9zZBOmHT8/edit#gid=757525651"",""'Allocation Breakdown'!A4:A187""),IMPORTRANGE(""https://docs.google.com/spreadsheets/d/1EjEqG6oc_vmuAWwHnH51YMvSMVUVePUqN"&amp;"n9zZBOmHT8/edit#gid=757525651"",""'Allocation Breakdown'!I4:I187""))*K$119"),624.9384636)</f>
        <v>624.93846359999998</v>
      </c>
      <c r="L95" s="30">
        <f ca="1">IFERROR(__xludf.DUMMYFUNCTION("XLOOKUP($B95,IMPORTRANGE(""https://docs.google.com/spreadsheets/d/1EjEqG6oc_vmuAWwHnH51YMvSMVUVePUqNn9zZBOmHT8/edit#gid=757525651"",""'Allocation Breakdown'!A4:A187""),IMPORTRANGE(""https://docs.google.com/spreadsheets/d/1EjEqG6oc_vmuAWwHnH51YMvSMVUVePUqN"&amp;"n9zZBOmHT8/edit#gid=757525651"",""'Allocation Breakdown'!j4:j187""))*L$119"),3701.5422305)</f>
        <v>3701.5422305000002</v>
      </c>
      <c r="M95" s="30">
        <f ca="1">IFERROR(__xludf.DUMMYFUNCTION("XLOOKUP($B95,IMPORTRANGE(""https://docs.google.com/spreadsheets/d/1EjEqG6oc_vmuAWwHnH51YMvSMVUVePUqNn9zZBOmHT8/edit#gid=757525651"",""'Allocation Breakdown'!A4:A187""),IMPORTRANGE(""https://docs.google.com/spreadsheets/d/1EjEqG6oc_vmuAWwHnH51YMvSMVUVePUqN"&amp;"n9zZBOmHT8/edit#gid=757525651"",""'Allocation Breakdown'!K4:K187""))*M$119"),3588.6226095)</f>
        <v>3588.6226095000002</v>
      </c>
      <c r="N95" s="30">
        <f ca="1">IFERROR(__xludf.DUMMYFUNCTION("XLOOKUP($B95,IMPORTRANGE(""https://docs.google.com/spreadsheets/d/1EjEqG6oc_vmuAWwHnH51YMvSMVUVePUqNn9zZBOmHT8/edit#gid=757525651"",""'Allocation Breakdown'!A4:A187""),IMPORTRANGE(""https://docs.google.com/spreadsheets/d/1EjEqG6oc_vmuAWwHnH51YMvSMVUVePUqN"&amp;"n9zZBOmHT8/edit#gid=757525651"",""'Allocation Breakdown'!l4:l187""))*N$119"),951.8600508)</f>
        <v>951.86005079999995</v>
      </c>
      <c r="O95" s="30">
        <f ca="1">IFERROR(__xludf.DUMMYFUNCTION("XLOOKUP($B95,IMPORTRANGE(""https://docs.google.com/spreadsheets/d/1EjEqG6oc_vmuAWwHnH51YMvSMVUVePUqNn9zZBOmHT8/edit#gid=757525651"",""'Allocation Breakdown'!A4:A187""),IMPORTRANGE(""https://docs.google.com/spreadsheets/d/1EjEqG6oc_vmuAWwHnH51YMvSMVUVePUqN"&amp;"n9zZBOmHT8/edit#gid=757525651"",""'Allocation Breakdown'!n4:n187""))*O$119"),20000)</f>
        <v>20000</v>
      </c>
      <c r="P95" s="30">
        <f ca="1">IFERROR(__xludf.DUMMYFUNCTION("XLOOKUP($B95,IMPORTRANGE(""https://docs.google.com/spreadsheets/d/1EjEqG6oc_vmuAWwHnH51YMvSMVUVePUqNn9zZBOmHT8/edit#gid=757525651"",""'Allocation Breakdown'!A4:A187""),IMPORTRANGE(""https://docs.google.com/spreadsheets/d/1EjEqG6oc_vmuAWwHnH51YMvSMVUVePUqN"&amp;"n9zZBOmHT8/edit#gid=757525651"",""'Allocation Breakdown'!o4:o187""))*P$119"),2200)</f>
        <v>2200</v>
      </c>
      <c r="Q95" s="30">
        <f ca="1">IFERROR(__xludf.DUMMYFUNCTION("XLOOKUP($B95,IMPORTRANGE(""https://docs.google.com/spreadsheets/d/1EjEqG6oc_vmuAWwHnH51YMvSMVUVePUqNn9zZBOmHT8/edit#gid=757525651"",""'Allocation Breakdown'!A4:A187""),IMPORTRANGE(""https://docs.google.com/spreadsheets/d/1EjEqG6oc_vmuAWwHnH51YMvSMVUVePUqN"&amp;"n9zZBOmHT8/edit#gid=757525651"",""'Allocation Breakdown'!p4:p187""))*Q$119"),2000)</f>
        <v>2000</v>
      </c>
      <c r="R95" s="30">
        <f ca="1">IFERROR(__xludf.DUMMYFUNCTION("XLOOKUP($B95,IMPORTRANGE(""https://docs.google.com/spreadsheets/d/1EjEqG6oc_vmuAWwHnH51YMvSMVUVePUqNn9zZBOmHT8/edit#gid=757525651"",""'Allocation Breakdown'!A4:A187""),IMPORTRANGE(""https://docs.google.com/spreadsheets/d/1EjEqG6oc_vmuAWwHnH51YMvSMVUVePUqN"&amp;"n9zZBOmHT8/edit#gid=757525651"",""'Allocation Breakdown'!q4:q187""))*R$119"),2000)</f>
        <v>2000</v>
      </c>
      <c r="S95" s="30">
        <f ca="1">IFERROR(__xludf.DUMMYFUNCTION("XLOOKUP($B95,IMPORTRANGE(""https://docs.google.com/spreadsheets/d/1EjEqG6oc_vmuAWwHnH51YMvSMVUVePUqNn9zZBOmHT8/edit#gid=757525651"",""'Allocation Breakdown'!A4:A187""),IMPORTRANGE(""https://docs.google.com/spreadsheets/d/1EjEqG6oc_vmuAWwHnH51YMvSMVUVePUqN"&amp;"n9zZBOmHT8/edit#gid=757525651"",""'Allocation Breakdown'!r4:r187""))*S$119"),0)</f>
        <v>0</v>
      </c>
      <c r="T95" s="30">
        <f ca="1">IFERROR(__xludf.DUMMYFUNCTION("XLOOKUP($B95,IMPORTRANGE(""https://docs.google.com/spreadsheets/d/1EjEqG6oc_vmuAWwHnH51YMvSMVUVePUqNn9zZBOmHT8/edit#gid=757525651"",""'Allocation Breakdown'!A4:A187""),IMPORTRANGE(""https://docs.google.com/spreadsheets/d/1EjEqG6oc_vmuAWwHnH51YMvSMVUVePUqN"&amp;"n9zZBOmHT8/edit#gid=757525651"",""'Allocation Breakdown'!t4:t187""))*T$119"),7000)</f>
        <v>7000</v>
      </c>
      <c r="U95" s="30">
        <f ca="1">IFERROR(__xludf.DUMMYFUNCTION("XLOOKUP($B95,IMPORTRANGE(""https://docs.google.com/spreadsheets/d/1EjEqG6oc_vmuAWwHnH51YMvSMVUVePUqNn9zZBOmHT8/edit#gid=757525651"",""'Allocation Breakdown'!A4:A187""),IMPORTRANGE(""https://docs.google.com/spreadsheets/d/1EjEqG6oc_vmuAWwHnH51YMvSMVUVePUqN"&amp;"n9zZBOmHT8/edit#gid=757525651"",""'Allocation Breakdown'!U4:U187""))*U$119"),11000)</f>
        <v>11000</v>
      </c>
      <c r="V95" s="31">
        <f t="shared" ca="1" si="1"/>
        <v>180241.96335439998</v>
      </c>
      <c r="W95" s="31">
        <f t="shared" ca="1" si="2"/>
        <v>187354.75919606548</v>
      </c>
      <c r="Z95" s="32"/>
      <c r="AA95" s="32"/>
      <c r="AB95" s="32"/>
    </row>
    <row r="96" spans="2:28" ht="15.75" customHeight="1">
      <c r="B96" s="28" t="s">
        <v>193</v>
      </c>
      <c r="C96" s="30">
        <f ca="1">IFERROR(__xludf.DUMMYFUNCTION("XLOOKUP($B96,IMPORTRANGE(""https://docs.google.com/spreadsheets/d/1EjEqG6oc_vmuAWwHnH51YMvSMVUVePUqNn9zZBOmHT8/edit#gid=757525651"",""'Allocation Breakdown'!A4:A187""),IMPORTRANGE(""https://docs.google.com/spreadsheets/d/1EjEqG6oc_vmuAWwHnH51YMvSMVUVePUqN"&amp;"n9zZBOmHT8/edit#gid=757525651"",""'Allocation Breakdown'!V4:V187""))*C$119"),0)</f>
        <v>0</v>
      </c>
      <c r="D96" s="30">
        <f ca="1">IFERROR(__xludf.DUMMYFUNCTION("XLOOKUP($B96,IMPORTRANGE(""https://docs.google.com/spreadsheets/d/1EjEqG6oc_vmuAWwHnH51YMvSMVUVePUqNn9zZBOmHT8/edit#gid=757525651"",""'Allocation Breakdown'!A4:A187""),IMPORTRANGE(""https://docs.google.com/spreadsheets/d/1EjEqG6oc_vmuAWwHnH51YMvSMVUVePUqN"&amp;"n9zZBOmHT8/edit#gid=757525651"",""'Allocation Breakdown'!I4:I187""))*$D$119"),0)</f>
        <v>0</v>
      </c>
      <c r="E96" s="30">
        <f ca="1">IFERROR(__xludf.DUMMYFUNCTION("XLOOKUP($B96,IMPORTRANGE(""https://docs.google.com/spreadsheets/d/1EjEqG6oc_vmuAWwHnH51YMvSMVUVePUqNn9zZBOmHT8/edit#gid=757525651"",""'Allocation Breakdown'!A4:A187""),IMPORTRANGE(""https://docs.google.com/spreadsheets/d/1EjEqG6oc_vmuAWwHnH51YMvSMVUVePUqN"&amp;"n9zZBOmHT8/edit#gid=757525651"",""'Allocation Breakdown'!V4:V187""))*E$119"),0)</f>
        <v>0</v>
      </c>
      <c r="F96" s="30">
        <f t="shared" ca="1" si="0"/>
        <v>0</v>
      </c>
      <c r="G96" s="30" t="str">
        <f ca="1">IFERROR(__xludf.DUMMYFUNCTION("XLOOKUP($B96,IMPORTRANGE(""https://docs.google.com/spreadsheets/d/1EjEqG6oc_vmuAWwHnH51YMvSMVUVePUqNn9zZBOmHT8/edit#gid=757525651"",""'Allocation Breakdown'!A4:A187""),IMPORTRANGE(""https://docs.google.com/spreadsheets/d/1EjEqG6oc_vmuAWwHnH51YMvSMVUVePUqN"&amp;"n9zZBOmHT8/edit#gid=757525651"",""'Allocation Breakdown'!D4:D187""))"),"")</f>
        <v/>
      </c>
      <c r="H96" s="30" t="str">
        <f ca="1">IFERROR(__xludf.DUMMYFUNCTION("XLOOKUP($B96,IMPORTRANGE(""https://docs.google.com/spreadsheets/d/1EjEqG6oc_vmuAWwHnH51YMvSMVUVePUqNn9zZBOmHT8/edit#gid=757525651"",""'Allocation Breakdown'!A4:A187""),IMPORTRANGE(""https://docs.google.com/spreadsheets/d/1EjEqG6oc_vmuAWwHnH51YMvSMVUVePUqN"&amp;"n9zZBOmHT8/edit#gid=757525651"",""'Allocation Breakdown'!E4:E187""))"),"")</f>
        <v/>
      </c>
      <c r="I96" s="30" t="str">
        <f ca="1">IFERROR(__xludf.DUMMYFUNCTION("XLOOKUP($B96,IMPORTRANGE(""https://docs.google.com/spreadsheets/d/1EjEqG6oc_vmuAWwHnH51YMvSMVUVePUqNn9zZBOmHT8/edit#gid=757525651"",""'Allocation Breakdown'!A4:A187""),IMPORTRANGE(""https://docs.google.com/spreadsheets/d/1EjEqG6oc_vmuAWwHnH51YMvSMVUVePUqN"&amp;"n9zZBOmHT8/edit#gid=757525651"",""'Allocation Breakdown'!F4:F187""))"),"")</f>
        <v/>
      </c>
      <c r="J96" s="30" t="str">
        <f ca="1">IFERROR(__xludf.DUMMYFUNCTION("XLOOKUP($B96,IMPORTRANGE(""https://docs.google.com/spreadsheets/d/1EjEqG6oc_vmuAWwHnH51YMvSMVUVePUqNn9zZBOmHT8/edit#gid=757525651"",""'Allocation Breakdown'!A4:A187""),IMPORTRANGE(""https://docs.google.com/spreadsheets/d/1EjEqG6oc_vmuAWwHnH51YMvSMVUVePUqN"&amp;"n9zZBOmHT8/edit#gid=757525651"",""'Allocation Breakdown'!G4:G187""))"),"")</f>
        <v/>
      </c>
      <c r="K96" s="30">
        <f ca="1">IFERROR(__xludf.DUMMYFUNCTION("XLOOKUP($B96,IMPORTRANGE(""https://docs.google.com/spreadsheets/d/1EjEqG6oc_vmuAWwHnH51YMvSMVUVePUqNn9zZBOmHT8/edit#gid=757525651"",""'Allocation Breakdown'!A4:A187""),IMPORTRANGE(""https://docs.google.com/spreadsheets/d/1EjEqG6oc_vmuAWwHnH51YMvSMVUVePUqN"&amp;"n9zZBOmHT8/edit#gid=757525651"",""'Allocation Breakdown'!I4:I187""))*K$119"),0)</f>
        <v>0</v>
      </c>
      <c r="L96" s="30">
        <f ca="1">IFERROR(__xludf.DUMMYFUNCTION("XLOOKUP($B96,IMPORTRANGE(""https://docs.google.com/spreadsheets/d/1EjEqG6oc_vmuAWwHnH51YMvSMVUVePUqNn9zZBOmHT8/edit#gid=757525651"",""'Allocation Breakdown'!A4:A187""),IMPORTRANGE(""https://docs.google.com/spreadsheets/d/1EjEqG6oc_vmuAWwHnH51YMvSMVUVePUqN"&amp;"n9zZBOmHT8/edit#gid=757525651"",""'Allocation Breakdown'!j4:j187""))*L$119"),0)</f>
        <v>0</v>
      </c>
      <c r="M96" s="30">
        <f ca="1">IFERROR(__xludf.DUMMYFUNCTION("XLOOKUP($B96,IMPORTRANGE(""https://docs.google.com/spreadsheets/d/1EjEqG6oc_vmuAWwHnH51YMvSMVUVePUqNn9zZBOmHT8/edit#gid=757525651"",""'Allocation Breakdown'!A4:A187""),IMPORTRANGE(""https://docs.google.com/spreadsheets/d/1EjEqG6oc_vmuAWwHnH51YMvSMVUVePUqN"&amp;"n9zZBOmHT8/edit#gid=757525651"",""'Allocation Breakdown'!K4:K187""))*M$119"),0)</f>
        <v>0</v>
      </c>
      <c r="N96" s="30">
        <f ca="1">IFERROR(__xludf.DUMMYFUNCTION("XLOOKUP($B96,IMPORTRANGE(""https://docs.google.com/spreadsheets/d/1EjEqG6oc_vmuAWwHnH51YMvSMVUVePUqNn9zZBOmHT8/edit#gid=757525651"",""'Allocation Breakdown'!A4:A187""),IMPORTRANGE(""https://docs.google.com/spreadsheets/d/1EjEqG6oc_vmuAWwHnH51YMvSMVUVePUqN"&amp;"n9zZBOmHT8/edit#gid=757525651"",""'Allocation Breakdown'!l4:l187""))*N$119"),0)</f>
        <v>0</v>
      </c>
      <c r="O96" s="30">
        <f ca="1">IFERROR(__xludf.DUMMYFUNCTION("XLOOKUP($B96,IMPORTRANGE(""https://docs.google.com/spreadsheets/d/1EjEqG6oc_vmuAWwHnH51YMvSMVUVePUqNn9zZBOmHT8/edit#gid=757525651"",""'Allocation Breakdown'!A4:A187""),IMPORTRANGE(""https://docs.google.com/spreadsheets/d/1EjEqG6oc_vmuAWwHnH51YMvSMVUVePUqN"&amp;"n9zZBOmHT8/edit#gid=757525651"",""'Allocation Breakdown'!n4:n187""))*O$119"),0)</f>
        <v>0</v>
      </c>
      <c r="P96" s="30">
        <f ca="1">IFERROR(__xludf.DUMMYFUNCTION("XLOOKUP($B96,IMPORTRANGE(""https://docs.google.com/spreadsheets/d/1EjEqG6oc_vmuAWwHnH51YMvSMVUVePUqNn9zZBOmHT8/edit#gid=757525651"",""'Allocation Breakdown'!A4:A187""),IMPORTRANGE(""https://docs.google.com/spreadsheets/d/1EjEqG6oc_vmuAWwHnH51YMvSMVUVePUqN"&amp;"n9zZBOmHT8/edit#gid=757525651"",""'Allocation Breakdown'!o4:o187""))*P$119"),0)</f>
        <v>0</v>
      </c>
      <c r="Q96" s="30">
        <f ca="1">IFERROR(__xludf.DUMMYFUNCTION("XLOOKUP($B96,IMPORTRANGE(""https://docs.google.com/spreadsheets/d/1EjEqG6oc_vmuAWwHnH51YMvSMVUVePUqNn9zZBOmHT8/edit#gid=757525651"",""'Allocation Breakdown'!A4:A187""),IMPORTRANGE(""https://docs.google.com/spreadsheets/d/1EjEqG6oc_vmuAWwHnH51YMvSMVUVePUqN"&amp;"n9zZBOmHT8/edit#gid=757525651"",""'Allocation Breakdown'!p4:p187""))*Q$119"),0)</f>
        <v>0</v>
      </c>
      <c r="R96" s="30">
        <f ca="1">IFERROR(__xludf.DUMMYFUNCTION("XLOOKUP($B96,IMPORTRANGE(""https://docs.google.com/spreadsheets/d/1EjEqG6oc_vmuAWwHnH51YMvSMVUVePUqNn9zZBOmHT8/edit#gid=757525651"",""'Allocation Breakdown'!A4:A187""),IMPORTRANGE(""https://docs.google.com/spreadsheets/d/1EjEqG6oc_vmuAWwHnH51YMvSMVUVePUqN"&amp;"n9zZBOmHT8/edit#gid=757525651"",""'Allocation Breakdown'!q4:q187""))*R$119"),0)</f>
        <v>0</v>
      </c>
      <c r="S96" s="30">
        <f ca="1">IFERROR(__xludf.DUMMYFUNCTION("XLOOKUP($B96,IMPORTRANGE(""https://docs.google.com/spreadsheets/d/1EjEqG6oc_vmuAWwHnH51YMvSMVUVePUqNn9zZBOmHT8/edit#gid=757525651"",""'Allocation Breakdown'!A4:A187""),IMPORTRANGE(""https://docs.google.com/spreadsheets/d/1EjEqG6oc_vmuAWwHnH51YMvSMVUVePUqN"&amp;"n9zZBOmHT8/edit#gid=757525651"",""'Allocation Breakdown'!r4:r187""))*S$119"),0)</f>
        <v>0</v>
      </c>
      <c r="T96" s="30">
        <f ca="1">IFERROR(__xludf.DUMMYFUNCTION("XLOOKUP($B96,IMPORTRANGE(""https://docs.google.com/spreadsheets/d/1EjEqG6oc_vmuAWwHnH51YMvSMVUVePUqNn9zZBOmHT8/edit#gid=757525651"",""'Allocation Breakdown'!A4:A187""),IMPORTRANGE(""https://docs.google.com/spreadsheets/d/1EjEqG6oc_vmuAWwHnH51YMvSMVUVePUqN"&amp;"n9zZBOmHT8/edit#gid=757525651"",""'Allocation Breakdown'!t4:t187""))*T$119"),7000)</f>
        <v>7000</v>
      </c>
      <c r="U96" s="30">
        <f ca="1">IFERROR(__xludf.DUMMYFUNCTION("XLOOKUP($B96,IMPORTRANGE(""https://docs.google.com/spreadsheets/d/1EjEqG6oc_vmuAWwHnH51YMvSMVUVePUqNn9zZBOmHT8/edit#gid=757525651"",""'Allocation Breakdown'!A4:A187""),IMPORTRANGE(""https://docs.google.com/spreadsheets/d/1EjEqG6oc_vmuAWwHnH51YMvSMVUVePUqN"&amp;"n9zZBOmHT8/edit#gid=757525651"",""'Allocation Breakdown'!U4:U187""))*U$119"),0)</f>
        <v>0</v>
      </c>
      <c r="V96" s="31">
        <f t="shared" ca="1" si="1"/>
        <v>7000</v>
      </c>
      <c r="W96" s="31">
        <f t="shared" ca="1" si="2"/>
        <v>7000</v>
      </c>
      <c r="Z96" s="32"/>
      <c r="AA96" s="32"/>
      <c r="AB96" s="32"/>
    </row>
    <row r="97" spans="2:28" ht="15.75" customHeight="1">
      <c r="B97" s="28" t="s">
        <v>194</v>
      </c>
      <c r="C97" s="30">
        <f ca="1">IFERROR(__xludf.DUMMYFUNCTION("XLOOKUP($B97,IMPORTRANGE(""https://docs.google.com/spreadsheets/d/1EjEqG6oc_vmuAWwHnH51YMvSMVUVePUqNn9zZBOmHT8/edit#gid=757525651"",""'Allocation Breakdown'!A4:A187""),IMPORTRANGE(""https://docs.google.com/spreadsheets/d/1EjEqG6oc_vmuAWwHnH51YMvSMVUVePUqN"&amp;"n9zZBOmHT8/edit#gid=757525651"",""'Allocation Breakdown'!V4:V187""))*C$119"),777.38105487)</f>
        <v>777.38105486999996</v>
      </c>
      <c r="D97" s="30">
        <f ca="1">IFERROR(__xludf.DUMMYFUNCTION("XLOOKUP($B97,IMPORTRANGE(""https://docs.google.com/spreadsheets/d/1EjEqG6oc_vmuAWwHnH51YMvSMVUVePUqNn9zZBOmHT8/edit#gid=757525651"",""'Allocation Breakdown'!A4:A187""),IMPORTRANGE(""https://docs.google.com/spreadsheets/d/1EjEqG6oc_vmuAWwHnH51YMvSMVUVePUqN"&amp;"n9zZBOmHT8/edit#gid=757525651"",""'Allocation Breakdown'!I4:I187""))*$D$119"),7112.7958416655)</f>
        <v>7112.7958416655001</v>
      </c>
      <c r="E97" s="30">
        <f ca="1">IFERROR(__xludf.DUMMYFUNCTION("XLOOKUP($B97,IMPORTRANGE(""https://docs.google.com/spreadsheets/d/1EjEqG6oc_vmuAWwHnH51YMvSMVUVePUqNn9zZBOmHT8/edit#gid=757525651"",""'Allocation Breakdown'!A4:A187""),IMPORTRANGE(""https://docs.google.com/spreadsheets/d/1EjEqG6oc_vmuAWwHnH51YMvSMVUVePUqN"&amp;"n9zZBOmHT8/edit#gid=757525651"",""'Allocation Breakdown'!V4:V187""))*E$119"),272.61894513)</f>
        <v>272.61894512999999</v>
      </c>
      <c r="F97" s="30">
        <f t="shared" ca="1" si="0"/>
        <v>7385.4147867954998</v>
      </c>
      <c r="G97" s="30">
        <f ca="1">IFERROR(__xludf.DUMMYFUNCTION("XLOOKUP($B97,IMPORTRANGE(""https://docs.google.com/spreadsheets/d/1EjEqG6oc_vmuAWwHnH51YMvSMVUVePUqNn9zZBOmHT8/edit#gid=757525651"",""'Allocation Breakdown'!A4:A187""),IMPORTRANGE(""https://docs.google.com/spreadsheets/d/1EjEqG6oc_vmuAWwHnH51YMvSMVUVePUqN"&amp;"n9zZBOmHT8/edit#gid=757525651"",""'Allocation Breakdown'!D4:D187""))"),5000)</f>
        <v>5000</v>
      </c>
      <c r="H97" s="30" t="str">
        <f ca="1">IFERROR(__xludf.DUMMYFUNCTION("XLOOKUP($B97,IMPORTRANGE(""https://docs.google.com/spreadsheets/d/1EjEqG6oc_vmuAWwHnH51YMvSMVUVePUqNn9zZBOmHT8/edit#gid=757525651"",""'Allocation Breakdown'!A4:A187""),IMPORTRANGE(""https://docs.google.com/spreadsheets/d/1EjEqG6oc_vmuAWwHnH51YMvSMVUVePUqN"&amp;"n9zZBOmHT8/edit#gid=757525651"",""'Allocation Breakdown'!E4:E187""))"),"")</f>
        <v/>
      </c>
      <c r="I97" s="30" t="str">
        <f ca="1">IFERROR(__xludf.DUMMYFUNCTION("XLOOKUP($B97,IMPORTRANGE(""https://docs.google.com/spreadsheets/d/1EjEqG6oc_vmuAWwHnH51YMvSMVUVePUqNn9zZBOmHT8/edit#gid=757525651"",""'Allocation Breakdown'!A4:A187""),IMPORTRANGE(""https://docs.google.com/spreadsheets/d/1EjEqG6oc_vmuAWwHnH51YMvSMVUVePUqN"&amp;"n9zZBOmHT8/edit#gid=757525651"",""'Allocation Breakdown'!F4:F187""))"),"")</f>
        <v/>
      </c>
      <c r="J97" s="30" t="str">
        <f ca="1">IFERROR(__xludf.DUMMYFUNCTION("XLOOKUP($B97,IMPORTRANGE(""https://docs.google.com/spreadsheets/d/1EjEqG6oc_vmuAWwHnH51YMvSMVUVePUqNn9zZBOmHT8/edit#gid=757525651"",""'Allocation Breakdown'!A4:A187""),IMPORTRANGE(""https://docs.google.com/spreadsheets/d/1EjEqG6oc_vmuAWwHnH51YMvSMVUVePUqN"&amp;"n9zZBOmHT8/edit#gid=757525651"",""'Allocation Breakdown'!G4:G187""))"),"")</f>
        <v/>
      </c>
      <c r="K97" s="30">
        <f ca="1">IFERROR(__xludf.DUMMYFUNCTION("XLOOKUP($B97,IMPORTRANGE(""https://docs.google.com/spreadsheets/d/1EjEqG6oc_vmuAWwHnH51YMvSMVUVePUqNn9zZBOmHT8/edit#gid=757525651"",""'Allocation Breakdown'!A4:A187""),IMPORTRANGE(""https://docs.google.com/spreadsheets/d/1EjEqG6oc_vmuAWwHnH51YMvSMVUVePUqN"&amp;"n9zZBOmHT8/edit#gid=757525651"",""'Allocation Breakdown'!I4:I187""))*K$119"),624.9384636)</f>
        <v>624.93846359999998</v>
      </c>
      <c r="L97" s="30">
        <f ca="1">IFERROR(__xludf.DUMMYFUNCTION("XLOOKUP($B97,IMPORTRANGE(""https://docs.google.com/spreadsheets/d/1EjEqG6oc_vmuAWwHnH51YMvSMVUVePUqNn9zZBOmHT8/edit#gid=757525651"",""'Allocation Breakdown'!A4:A187""),IMPORTRANGE(""https://docs.google.com/spreadsheets/d/1EjEqG6oc_vmuAWwHnH51YMvSMVUVePUqN"&amp;"n9zZBOmHT8/edit#gid=757525651"",""'Allocation Breakdown'!j4:j187""))*L$119"),0)</f>
        <v>0</v>
      </c>
      <c r="M97" s="30">
        <f ca="1">IFERROR(__xludf.DUMMYFUNCTION("XLOOKUP($B97,IMPORTRANGE(""https://docs.google.com/spreadsheets/d/1EjEqG6oc_vmuAWwHnH51YMvSMVUVePUqNn9zZBOmHT8/edit#gid=757525651"",""'Allocation Breakdown'!A4:A187""),IMPORTRANGE(""https://docs.google.com/spreadsheets/d/1EjEqG6oc_vmuAWwHnH51YMvSMVUVePUqN"&amp;"n9zZBOmHT8/edit#gid=757525651"",""'Allocation Breakdown'!K4:K187""))*M$119"),0)</f>
        <v>0</v>
      </c>
      <c r="N97" s="30">
        <f ca="1">IFERROR(__xludf.DUMMYFUNCTION("XLOOKUP($B97,IMPORTRANGE(""https://docs.google.com/spreadsheets/d/1EjEqG6oc_vmuAWwHnH51YMvSMVUVePUqNn9zZBOmHT8/edit#gid=757525651"",""'Allocation Breakdown'!A4:A187""),IMPORTRANGE(""https://docs.google.com/spreadsheets/d/1EjEqG6oc_vmuAWwHnH51YMvSMVUVePUqN"&amp;"n9zZBOmHT8/edit#gid=757525651"",""'Allocation Breakdown'!l4:l187""))*N$119"),951.8600508)</f>
        <v>951.86005079999995</v>
      </c>
      <c r="O97" s="30">
        <f ca="1">IFERROR(__xludf.DUMMYFUNCTION("XLOOKUP($B97,IMPORTRANGE(""https://docs.google.com/spreadsheets/d/1EjEqG6oc_vmuAWwHnH51YMvSMVUVePUqNn9zZBOmHT8/edit#gid=757525651"",""'Allocation Breakdown'!A4:A187""),IMPORTRANGE(""https://docs.google.com/spreadsheets/d/1EjEqG6oc_vmuAWwHnH51YMvSMVUVePUqN"&amp;"n9zZBOmHT8/edit#gid=757525651"",""'Allocation Breakdown'!n4:n187""))*O$119"),0)</f>
        <v>0</v>
      </c>
      <c r="P97" s="30">
        <f ca="1">IFERROR(__xludf.DUMMYFUNCTION("XLOOKUP($B97,IMPORTRANGE(""https://docs.google.com/spreadsheets/d/1EjEqG6oc_vmuAWwHnH51YMvSMVUVePUqNn9zZBOmHT8/edit#gid=757525651"",""'Allocation Breakdown'!A4:A187""),IMPORTRANGE(""https://docs.google.com/spreadsheets/d/1EjEqG6oc_vmuAWwHnH51YMvSMVUVePUqN"&amp;"n9zZBOmHT8/edit#gid=757525651"",""'Allocation Breakdown'!o4:o187""))*P$119"),2200)</f>
        <v>2200</v>
      </c>
      <c r="Q97" s="30">
        <f ca="1">IFERROR(__xludf.DUMMYFUNCTION("XLOOKUP($B97,IMPORTRANGE(""https://docs.google.com/spreadsheets/d/1EjEqG6oc_vmuAWwHnH51YMvSMVUVePUqNn9zZBOmHT8/edit#gid=757525651"",""'Allocation Breakdown'!A4:A187""),IMPORTRANGE(""https://docs.google.com/spreadsheets/d/1EjEqG6oc_vmuAWwHnH51YMvSMVUVePUqN"&amp;"n9zZBOmHT8/edit#gid=757525651"",""'Allocation Breakdown'!p4:p187""))*Q$119"),0)</f>
        <v>0</v>
      </c>
      <c r="R97" s="30">
        <f ca="1">IFERROR(__xludf.DUMMYFUNCTION("XLOOKUP($B97,IMPORTRANGE(""https://docs.google.com/spreadsheets/d/1EjEqG6oc_vmuAWwHnH51YMvSMVUVePUqNn9zZBOmHT8/edit#gid=757525651"",""'Allocation Breakdown'!A4:A187""),IMPORTRANGE(""https://docs.google.com/spreadsheets/d/1EjEqG6oc_vmuAWwHnH51YMvSMVUVePUqN"&amp;"n9zZBOmHT8/edit#gid=757525651"",""'Allocation Breakdown'!q4:q187""))*R$119"),2000)</f>
        <v>2000</v>
      </c>
      <c r="S97" s="30">
        <f ca="1">IFERROR(__xludf.DUMMYFUNCTION("XLOOKUP($B97,IMPORTRANGE(""https://docs.google.com/spreadsheets/d/1EjEqG6oc_vmuAWwHnH51YMvSMVUVePUqNn9zZBOmHT8/edit#gid=757525651"",""'Allocation Breakdown'!A4:A187""),IMPORTRANGE(""https://docs.google.com/spreadsheets/d/1EjEqG6oc_vmuAWwHnH51YMvSMVUVePUqN"&amp;"n9zZBOmHT8/edit#gid=757525651"",""'Allocation Breakdown'!r4:r187""))*S$119"),0)</f>
        <v>0</v>
      </c>
      <c r="T97" s="30">
        <f ca="1">IFERROR(__xludf.DUMMYFUNCTION("XLOOKUP($B97,IMPORTRANGE(""https://docs.google.com/spreadsheets/d/1EjEqG6oc_vmuAWwHnH51YMvSMVUVePUqNn9zZBOmHT8/edit#gid=757525651"",""'Allocation Breakdown'!A4:A187""),IMPORTRANGE(""https://docs.google.com/spreadsheets/d/1EjEqG6oc_vmuAWwHnH51YMvSMVUVePUqN"&amp;"n9zZBOmHT8/edit#gid=757525651"",""'Allocation Breakdown'!t4:t187""))*T$119"),7000)</f>
        <v>7000</v>
      </c>
      <c r="U97" s="30">
        <f ca="1">IFERROR(__xludf.DUMMYFUNCTION("XLOOKUP($B97,IMPORTRANGE(""https://docs.google.com/spreadsheets/d/1EjEqG6oc_vmuAWwHnH51YMvSMVUVePUqNn9zZBOmHT8/edit#gid=757525651"",""'Allocation Breakdown'!A4:A187""),IMPORTRANGE(""https://docs.google.com/spreadsheets/d/1EjEqG6oc_vmuAWwHnH51YMvSMVUVePUqN"&amp;"n9zZBOmHT8/edit#gid=757525651"",""'Allocation Breakdown'!U4:U187""))*U$119"),11000)</f>
        <v>11000</v>
      </c>
      <c r="V97" s="31">
        <f t="shared" ca="1" si="1"/>
        <v>28776.798514399998</v>
      </c>
      <c r="W97" s="31">
        <f t="shared" ca="1" si="2"/>
        <v>36939.5943560655</v>
      </c>
      <c r="Z97" s="32"/>
      <c r="AA97" s="32"/>
      <c r="AB97" s="32"/>
    </row>
    <row r="98" spans="2:28" ht="15.75" customHeight="1">
      <c r="B98" s="28" t="s">
        <v>195</v>
      </c>
      <c r="C98" s="30">
        <f ca="1">IFERROR(__xludf.DUMMYFUNCTION("XLOOKUP($B98,IMPORTRANGE(""https://docs.google.com/spreadsheets/d/1EjEqG6oc_vmuAWwHnH51YMvSMVUVePUqNn9zZBOmHT8/edit#gid=757525651"",""'Allocation Breakdown'!A4:A187""),IMPORTRANGE(""https://docs.google.com/spreadsheets/d/1EjEqG6oc_vmuAWwHnH51YMvSMVUVePUqN"&amp;"n9zZBOmHT8/edit#gid=757525651"",""'Allocation Breakdown'!V4:V187""))*C$119"),0)</f>
        <v>0</v>
      </c>
      <c r="D98" s="30">
        <f ca="1">IFERROR(__xludf.DUMMYFUNCTION("XLOOKUP($B98,IMPORTRANGE(""https://docs.google.com/spreadsheets/d/1EjEqG6oc_vmuAWwHnH51YMvSMVUVePUqNn9zZBOmHT8/edit#gid=757525651"",""'Allocation Breakdown'!A4:A187""),IMPORTRANGE(""https://docs.google.com/spreadsheets/d/1EjEqG6oc_vmuAWwHnH51YMvSMVUVePUqN"&amp;"n9zZBOmHT8/edit#gid=757525651"",""'Allocation Breakdown'!I4:I187""))*$D$119"),7112.7958416655)</f>
        <v>7112.7958416655001</v>
      </c>
      <c r="E98" s="30">
        <f ca="1">IFERROR(__xludf.DUMMYFUNCTION("XLOOKUP($B98,IMPORTRANGE(""https://docs.google.com/spreadsheets/d/1EjEqG6oc_vmuAWwHnH51YMvSMVUVePUqNn9zZBOmHT8/edit#gid=757525651"",""'Allocation Breakdown'!A4:A187""),IMPORTRANGE(""https://docs.google.com/spreadsheets/d/1EjEqG6oc_vmuAWwHnH51YMvSMVUVePUqN"&amp;"n9zZBOmHT8/edit#gid=757525651"",""'Allocation Breakdown'!V4:V187""))*E$119"),0)</f>
        <v>0</v>
      </c>
      <c r="F98" s="30">
        <f t="shared" ca="1" si="0"/>
        <v>7112.7958416655001</v>
      </c>
      <c r="G98" s="30" t="str">
        <f ca="1">IFERROR(__xludf.DUMMYFUNCTION("XLOOKUP($B98,IMPORTRANGE(""https://docs.google.com/spreadsheets/d/1EjEqG6oc_vmuAWwHnH51YMvSMVUVePUqNn9zZBOmHT8/edit#gid=757525651"",""'Allocation Breakdown'!A4:A187""),IMPORTRANGE(""https://docs.google.com/spreadsheets/d/1EjEqG6oc_vmuAWwHnH51YMvSMVUVePUqN"&amp;"n9zZBOmHT8/edit#gid=757525651"",""'Allocation Breakdown'!D4:D187""))"),"")</f>
        <v/>
      </c>
      <c r="H98" s="30" t="str">
        <f ca="1">IFERROR(__xludf.DUMMYFUNCTION("XLOOKUP($B98,IMPORTRANGE(""https://docs.google.com/spreadsheets/d/1EjEqG6oc_vmuAWwHnH51YMvSMVUVePUqNn9zZBOmHT8/edit#gid=757525651"",""'Allocation Breakdown'!A4:A187""),IMPORTRANGE(""https://docs.google.com/spreadsheets/d/1EjEqG6oc_vmuAWwHnH51YMvSMVUVePUqN"&amp;"n9zZBOmHT8/edit#gid=757525651"",""'Allocation Breakdown'!E4:E187""))"),"")</f>
        <v/>
      </c>
      <c r="I98" s="30">
        <f ca="1">IFERROR(__xludf.DUMMYFUNCTION("XLOOKUP($B98,IMPORTRANGE(""https://docs.google.com/spreadsheets/d/1EjEqG6oc_vmuAWwHnH51YMvSMVUVePUqNn9zZBOmHT8/edit#gid=757525651"",""'Allocation Breakdown'!A4:A187""),IMPORTRANGE(""https://docs.google.com/spreadsheets/d/1EjEqG6oc_vmuAWwHnH51YMvSMVUVePUqN"&amp;"n9zZBOmHT8/edit#gid=757525651"",""'Allocation Breakdown'!F4:F187""))"),11000)</f>
        <v>11000</v>
      </c>
      <c r="J98" s="30">
        <f ca="1">IFERROR(__xludf.DUMMYFUNCTION("XLOOKUP($B98,IMPORTRANGE(""https://docs.google.com/spreadsheets/d/1EjEqG6oc_vmuAWwHnH51YMvSMVUVePUqNn9zZBOmHT8/edit#gid=757525651"",""'Allocation Breakdown'!A4:A187""),IMPORTRANGE(""https://docs.google.com/spreadsheets/d/1EjEqG6oc_vmuAWwHnH51YMvSMVUVePUqN"&amp;"n9zZBOmHT8/edit#gid=757525651"",""'Allocation Breakdown'!G4:G187""))"),5000)</f>
        <v>5000</v>
      </c>
      <c r="K98" s="30">
        <f ca="1">IFERROR(__xludf.DUMMYFUNCTION("XLOOKUP($B98,IMPORTRANGE(""https://docs.google.com/spreadsheets/d/1EjEqG6oc_vmuAWwHnH51YMvSMVUVePUqNn9zZBOmHT8/edit#gid=757525651"",""'Allocation Breakdown'!A4:A187""),IMPORTRANGE(""https://docs.google.com/spreadsheets/d/1EjEqG6oc_vmuAWwHnH51YMvSMVUVePUqN"&amp;"n9zZBOmHT8/edit#gid=757525651"",""'Allocation Breakdown'!I4:I187""))*K$119"),624.9384636)</f>
        <v>624.93846359999998</v>
      </c>
      <c r="L98" s="30">
        <f ca="1">IFERROR(__xludf.DUMMYFUNCTION("XLOOKUP($B98,IMPORTRANGE(""https://docs.google.com/spreadsheets/d/1EjEqG6oc_vmuAWwHnH51YMvSMVUVePUqNn9zZBOmHT8/edit#gid=757525651"",""'Allocation Breakdown'!A4:A187""),IMPORTRANGE(""https://docs.google.com/spreadsheets/d/1EjEqG6oc_vmuAWwHnH51YMvSMVUVePUqN"&amp;"n9zZBOmHT8/edit#gid=757525651"",""'Allocation Breakdown'!j4:j187""))*L$119"),3701.5422305)</f>
        <v>3701.5422305000002</v>
      </c>
      <c r="M98" s="30">
        <f ca="1">IFERROR(__xludf.DUMMYFUNCTION("XLOOKUP($B98,IMPORTRANGE(""https://docs.google.com/spreadsheets/d/1EjEqG6oc_vmuAWwHnH51YMvSMVUVePUqNn9zZBOmHT8/edit#gid=757525651"",""'Allocation Breakdown'!A4:A187""),IMPORTRANGE(""https://docs.google.com/spreadsheets/d/1EjEqG6oc_vmuAWwHnH51YMvSMVUVePUqN"&amp;"n9zZBOmHT8/edit#gid=757525651"",""'Allocation Breakdown'!K4:K187""))*M$119"),3588.6226095)</f>
        <v>3588.6226095000002</v>
      </c>
      <c r="N98" s="30">
        <f ca="1">IFERROR(__xludf.DUMMYFUNCTION("XLOOKUP($B98,IMPORTRANGE(""https://docs.google.com/spreadsheets/d/1EjEqG6oc_vmuAWwHnH51YMvSMVUVePUqNn9zZBOmHT8/edit#gid=757525651"",""'Allocation Breakdown'!A4:A187""),IMPORTRANGE(""https://docs.google.com/spreadsheets/d/1EjEqG6oc_vmuAWwHnH51YMvSMVUVePUqN"&amp;"n9zZBOmHT8/edit#gid=757525651"",""'Allocation Breakdown'!l4:l187""))*N$119"),951.8600508)</f>
        <v>951.86005079999995</v>
      </c>
      <c r="O98" s="30">
        <f ca="1">IFERROR(__xludf.DUMMYFUNCTION("XLOOKUP($B98,IMPORTRANGE(""https://docs.google.com/spreadsheets/d/1EjEqG6oc_vmuAWwHnH51YMvSMVUVePUqNn9zZBOmHT8/edit#gid=757525651"",""'Allocation Breakdown'!A4:A187""),IMPORTRANGE(""https://docs.google.com/spreadsheets/d/1EjEqG6oc_vmuAWwHnH51YMvSMVUVePUqN"&amp;"n9zZBOmHT8/edit#gid=757525651"",""'Allocation Breakdown'!n4:n187""))*O$119"),0)</f>
        <v>0</v>
      </c>
      <c r="P98" s="30">
        <f ca="1">IFERROR(__xludf.DUMMYFUNCTION("XLOOKUP($B98,IMPORTRANGE(""https://docs.google.com/spreadsheets/d/1EjEqG6oc_vmuAWwHnH51YMvSMVUVePUqNn9zZBOmHT8/edit#gid=757525651"",""'Allocation Breakdown'!A4:A187""),IMPORTRANGE(""https://docs.google.com/spreadsheets/d/1EjEqG6oc_vmuAWwHnH51YMvSMVUVePUqN"&amp;"n9zZBOmHT8/edit#gid=757525651"",""'Allocation Breakdown'!o4:o187""))*P$119"),0)</f>
        <v>0</v>
      </c>
      <c r="Q98" s="30">
        <f ca="1">IFERROR(__xludf.DUMMYFUNCTION("XLOOKUP($B98,IMPORTRANGE(""https://docs.google.com/spreadsheets/d/1EjEqG6oc_vmuAWwHnH51YMvSMVUVePUqNn9zZBOmHT8/edit#gid=757525651"",""'Allocation Breakdown'!A4:A187""),IMPORTRANGE(""https://docs.google.com/spreadsheets/d/1EjEqG6oc_vmuAWwHnH51YMvSMVUVePUqN"&amp;"n9zZBOmHT8/edit#gid=757525651"",""'Allocation Breakdown'!p4:p187""))*Q$119"),0)</f>
        <v>0</v>
      </c>
      <c r="R98" s="30">
        <f ca="1">IFERROR(__xludf.DUMMYFUNCTION("XLOOKUP($B98,IMPORTRANGE(""https://docs.google.com/spreadsheets/d/1EjEqG6oc_vmuAWwHnH51YMvSMVUVePUqNn9zZBOmHT8/edit#gid=757525651"",""'Allocation Breakdown'!A4:A187""),IMPORTRANGE(""https://docs.google.com/spreadsheets/d/1EjEqG6oc_vmuAWwHnH51YMvSMVUVePUqN"&amp;"n9zZBOmHT8/edit#gid=757525651"",""'Allocation Breakdown'!q4:q187""))*R$119"),0)</f>
        <v>0</v>
      </c>
      <c r="S98" s="30">
        <f ca="1">IFERROR(__xludf.DUMMYFUNCTION("XLOOKUP($B98,IMPORTRANGE(""https://docs.google.com/spreadsheets/d/1EjEqG6oc_vmuAWwHnH51YMvSMVUVePUqNn9zZBOmHT8/edit#gid=757525651"",""'Allocation Breakdown'!A4:A187""),IMPORTRANGE(""https://docs.google.com/spreadsheets/d/1EjEqG6oc_vmuAWwHnH51YMvSMVUVePUqN"&amp;"n9zZBOmHT8/edit#gid=757525651"",""'Allocation Breakdown'!r4:r187""))*S$119"),0)</f>
        <v>0</v>
      </c>
      <c r="T98" s="30">
        <f ca="1">IFERROR(__xludf.DUMMYFUNCTION("XLOOKUP($B98,IMPORTRANGE(""https://docs.google.com/spreadsheets/d/1EjEqG6oc_vmuAWwHnH51YMvSMVUVePUqNn9zZBOmHT8/edit#gid=757525651"",""'Allocation Breakdown'!A4:A187""),IMPORTRANGE(""https://docs.google.com/spreadsheets/d/1EjEqG6oc_vmuAWwHnH51YMvSMVUVePUqN"&amp;"n9zZBOmHT8/edit#gid=757525651"",""'Allocation Breakdown'!t4:t187""))*T$119"),7000)</f>
        <v>7000</v>
      </c>
      <c r="U98" s="30">
        <f ca="1">IFERROR(__xludf.DUMMYFUNCTION("XLOOKUP($B98,IMPORTRANGE(""https://docs.google.com/spreadsheets/d/1EjEqG6oc_vmuAWwHnH51YMvSMVUVePUqNn9zZBOmHT8/edit#gid=757525651"",""'Allocation Breakdown'!A4:A187""),IMPORTRANGE(""https://docs.google.com/spreadsheets/d/1EjEqG6oc_vmuAWwHnH51YMvSMVUVePUqN"&amp;"n9zZBOmHT8/edit#gid=757525651"",""'Allocation Breakdown'!U4:U187""))*U$119"),3000)</f>
        <v>3000</v>
      </c>
      <c r="V98" s="31">
        <f t="shared" ca="1" si="1"/>
        <v>34866.963354400003</v>
      </c>
      <c r="W98" s="31">
        <f t="shared" ca="1" si="2"/>
        <v>41979.759196065505</v>
      </c>
      <c r="Z98" s="32"/>
      <c r="AA98" s="32"/>
      <c r="AB98" s="32"/>
    </row>
    <row r="99" spans="2:28" ht="15.75" customHeight="1">
      <c r="B99" s="28" t="s">
        <v>196</v>
      </c>
      <c r="C99" s="30">
        <f ca="1">IFERROR(__xludf.DUMMYFUNCTION("XLOOKUP($B99,IMPORTRANGE(""https://docs.google.com/spreadsheets/d/1EjEqG6oc_vmuAWwHnH51YMvSMVUVePUqNn9zZBOmHT8/edit#gid=757525651"",""'Allocation Breakdown'!A4:A187""),IMPORTRANGE(""https://docs.google.com/spreadsheets/d/1EjEqG6oc_vmuAWwHnH51YMvSMVUVePUqN"&amp;"n9zZBOmHT8/edit#gid=757525651"",""'Allocation Breakdown'!V4:V187""))*C$119"),0)</f>
        <v>0</v>
      </c>
      <c r="D99" s="30">
        <f ca="1">IFERROR(__xludf.DUMMYFUNCTION("XLOOKUP($B99,IMPORTRANGE(""https://docs.google.com/spreadsheets/d/1EjEqG6oc_vmuAWwHnH51YMvSMVUVePUqNn9zZBOmHT8/edit#gid=757525651"",""'Allocation Breakdown'!A4:A187""),IMPORTRANGE(""https://docs.google.com/spreadsheets/d/1EjEqG6oc_vmuAWwHnH51YMvSMVUVePUqN"&amp;"n9zZBOmHT8/edit#gid=757525651"",""'Allocation Breakdown'!I4:I187""))*$D$119"),0)</f>
        <v>0</v>
      </c>
      <c r="E99" s="30">
        <f ca="1">IFERROR(__xludf.DUMMYFUNCTION("XLOOKUP($B99,IMPORTRANGE(""https://docs.google.com/spreadsheets/d/1EjEqG6oc_vmuAWwHnH51YMvSMVUVePUqNn9zZBOmHT8/edit#gid=757525651"",""'Allocation Breakdown'!A4:A187""),IMPORTRANGE(""https://docs.google.com/spreadsheets/d/1EjEqG6oc_vmuAWwHnH51YMvSMVUVePUqN"&amp;"n9zZBOmHT8/edit#gid=757525651"",""'Allocation Breakdown'!V4:V187""))*E$119"),0)</f>
        <v>0</v>
      </c>
      <c r="F99" s="30">
        <f t="shared" ca="1" si="0"/>
        <v>0</v>
      </c>
      <c r="G99" s="30" t="str">
        <f ca="1">IFERROR(__xludf.DUMMYFUNCTION("XLOOKUP($B99,IMPORTRANGE(""https://docs.google.com/spreadsheets/d/1EjEqG6oc_vmuAWwHnH51YMvSMVUVePUqNn9zZBOmHT8/edit#gid=757525651"",""'Allocation Breakdown'!A4:A187""),IMPORTRANGE(""https://docs.google.com/spreadsheets/d/1EjEqG6oc_vmuAWwHnH51YMvSMVUVePUqN"&amp;"n9zZBOmHT8/edit#gid=757525651"",""'Allocation Breakdown'!D4:D187""))"),"")</f>
        <v/>
      </c>
      <c r="H99" s="30">
        <f ca="1">IFERROR(__xludf.DUMMYFUNCTION("XLOOKUP($B99,IMPORTRANGE(""https://docs.google.com/spreadsheets/d/1EjEqG6oc_vmuAWwHnH51YMvSMVUVePUqNn9zZBOmHT8/edit#gid=757525651"",""'Allocation Breakdown'!A4:A187""),IMPORTRANGE(""https://docs.google.com/spreadsheets/d/1EjEqG6oc_vmuAWwHnH51YMvSMVUVePUqN"&amp;"n9zZBOmHT8/edit#gid=757525651"",""'Allocation Breakdown'!E4:E187""))"),100000)</f>
        <v>100000</v>
      </c>
      <c r="I99" s="30" t="str">
        <f ca="1">IFERROR(__xludf.DUMMYFUNCTION("XLOOKUP($B99,IMPORTRANGE(""https://docs.google.com/spreadsheets/d/1EjEqG6oc_vmuAWwHnH51YMvSMVUVePUqNn9zZBOmHT8/edit#gid=757525651"",""'Allocation Breakdown'!A4:A187""),IMPORTRANGE(""https://docs.google.com/spreadsheets/d/1EjEqG6oc_vmuAWwHnH51YMvSMVUVePUqN"&amp;"n9zZBOmHT8/edit#gid=757525651"",""'Allocation Breakdown'!F4:F187""))"),"")</f>
        <v/>
      </c>
      <c r="J99" s="30" t="str">
        <f ca="1">IFERROR(__xludf.DUMMYFUNCTION("XLOOKUP($B99,IMPORTRANGE(""https://docs.google.com/spreadsheets/d/1EjEqG6oc_vmuAWwHnH51YMvSMVUVePUqNn9zZBOmHT8/edit#gid=757525651"",""'Allocation Breakdown'!A4:A187""),IMPORTRANGE(""https://docs.google.com/spreadsheets/d/1EjEqG6oc_vmuAWwHnH51YMvSMVUVePUqN"&amp;"n9zZBOmHT8/edit#gid=757525651"",""'Allocation Breakdown'!G4:G187""))"),"")</f>
        <v/>
      </c>
      <c r="K99" s="30">
        <f ca="1">IFERROR(__xludf.DUMMYFUNCTION("XLOOKUP($B99,IMPORTRANGE(""https://docs.google.com/spreadsheets/d/1EjEqG6oc_vmuAWwHnH51YMvSMVUVePUqNn9zZBOmHT8/edit#gid=757525651"",""'Allocation Breakdown'!A4:A187""),IMPORTRANGE(""https://docs.google.com/spreadsheets/d/1EjEqG6oc_vmuAWwHnH51YMvSMVUVePUqN"&amp;"n9zZBOmHT8/edit#gid=757525651"",""'Allocation Breakdown'!I4:I187""))*K$119"),0)</f>
        <v>0</v>
      </c>
      <c r="L99" s="30">
        <f ca="1">IFERROR(__xludf.DUMMYFUNCTION("XLOOKUP($B99,IMPORTRANGE(""https://docs.google.com/spreadsheets/d/1EjEqG6oc_vmuAWwHnH51YMvSMVUVePUqNn9zZBOmHT8/edit#gid=757525651"",""'Allocation Breakdown'!A4:A187""),IMPORTRANGE(""https://docs.google.com/spreadsheets/d/1EjEqG6oc_vmuAWwHnH51YMvSMVUVePUqN"&amp;"n9zZBOmHT8/edit#gid=757525651"",""'Allocation Breakdown'!j4:j187""))*L$119"),0)</f>
        <v>0</v>
      </c>
      <c r="M99" s="30">
        <f ca="1">IFERROR(__xludf.DUMMYFUNCTION("XLOOKUP($B99,IMPORTRANGE(""https://docs.google.com/spreadsheets/d/1EjEqG6oc_vmuAWwHnH51YMvSMVUVePUqNn9zZBOmHT8/edit#gid=757525651"",""'Allocation Breakdown'!A4:A187""),IMPORTRANGE(""https://docs.google.com/spreadsheets/d/1EjEqG6oc_vmuAWwHnH51YMvSMVUVePUqN"&amp;"n9zZBOmHT8/edit#gid=757525651"",""'Allocation Breakdown'!K4:K187""))*M$119"),0)</f>
        <v>0</v>
      </c>
      <c r="N99" s="30">
        <f ca="1">IFERROR(__xludf.DUMMYFUNCTION("XLOOKUP($B99,IMPORTRANGE(""https://docs.google.com/spreadsheets/d/1EjEqG6oc_vmuAWwHnH51YMvSMVUVePUqNn9zZBOmHT8/edit#gid=757525651"",""'Allocation Breakdown'!A4:A187""),IMPORTRANGE(""https://docs.google.com/spreadsheets/d/1EjEqG6oc_vmuAWwHnH51YMvSMVUVePUqN"&amp;"n9zZBOmHT8/edit#gid=757525651"",""'Allocation Breakdown'!l4:l187""))*N$119"),0)</f>
        <v>0</v>
      </c>
      <c r="O99" s="30">
        <f ca="1">IFERROR(__xludf.DUMMYFUNCTION("XLOOKUP($B99,IMPORTRANGE(""https://docs.google.com/spreadsheets/d/1EjEqG6oc_vmuAWwHnH51YMvSMVUVePUqNn9zZBOmHT8/edit#gid=757525651"",""'Allocation Breakdown'!A4:A187""),IMPORTRANGE(""https://docs.google.com/spreadsheets/d/1EjEqG6oc_vmuAWwHnH51YMvSMVUVePUqN"&amp;"n9zZBOmHT8/edit#gid=757525651"",""'Allocation Breakdown'!n4:n187""))*O$119"),0)</f>
        <v>0</v>
      </c>
      <c r="P99" s="30">
        <f ca="1">IFERROR(__xludf.DUMMYFUNCTION("XLOOKUP($B99,IMPORTRANGE(""https://docs.google.com/spreadsheets/d/1EjEqG6oc_vmuAWwHnH51YMvSMVUVePUqNn9zZBOmHT8/edit#gid=757525651"",""'Allocation Breakdown'!A4:A187""),IMPORTRANGE(""https://docs.google.com/spreadsheets/d/1EjEqG6oc_vmuAWwHnH51YMvSMVUVePUqN"&amp;"n9zZBOmHT8/edit#gid=757525651"",""'Allocation Breakdown'!o4:o187""))*P$119"),0)</f>
        <v>0</v>
      </c>
      <c r="Q99" s="30">
        <f ca="1">IFERROR(__xludf.DUMMYFUNCTION("XLOOKUP($B99,IMPORTRANGE(""https://docs.google.com/spreadsheets/d/1EjEqG6oc_vmuAWwHnH51YMvSMVUVePUqNn9zZBOmHT8/edit#gid=757525651"",""'Allocation Breakdown'!A4:A187""),IMPORTRANGE(""https://docs.google.com/spreadsheets/d/1EjEqG6oc_vmuAWwHnH51YMvSMVUVePUqN"&amp;"n9zZBOmHT8/edit#gid=757525651"",""'Allocation Breakdown'!p4:p187""))*Q$119"),0)</f>
        <v>0</v>
      </c>
      <c r="R99" s="30">
        <f ca="1">IFERROR(__xludf.DUMMYFUNCTION("XLOOKUP($B99,IMPORTRANGE(""https://docs.google.com/spreadsheets/d/1EjEqG6oc_vmuAWwHnH51YMvSMVUVePUqNn9zZBOmHT8/edit#gid=757525651"",""'Allocation Breakdown'!A4:A187""),IMPORTRANGE(""https://docs.google.com/spreadsheets/d/1EjEqG6oc_vmuAWwHnH51YMvSMVUVePUqN"&amp;"n9zZBOmHT8/edit#gid=757525651"",""'Allocation Breakdown'!q4:q187""))*R$119"),0)</f>
        <v>0</v>
      </c>
      <c r="S99" s="30">
        <f ca="1">IFERROR(__xludf.DUMMYFUNCTION("XLOOKUP($B99,IMPORTRANGE(""https://docs.google.com/spreadsheets/d/1EjEqG6oc_vmuAWwHnH51YMvSMVUVePUqNn9zZBOmHT8/edit#gid=757525651"",""'Allocation Breakdown'!A4:A187""),IMPORTRANGE(""https://docs.google.com/spreadsheets/d/1EjEqG6oc_vmuAWwHnH51YMvSMVUVePUqN"&amp;"n9zZBOmHT8/edit#gid=757525651"",""'Allocation Breakdown'!r4:r187""))*S$119"),0)</f>
        <v>0</v>
      </c>
      <c r="T99" s="30">
        <f ca="1">IFERROR(__xludf.DUMMYFUNCTION("XLOOKUP($B99,IMPORTRANGE(""https://docs.google.com/spreadsheets/d/1EjEqG6oc_vmuAWwHnH51YMvSMVUVePUqNn9zZBOmHT8/edit#gid=757525651"",""'Allocation Breakdown'!A4:A187""),IMPORTRANGE(""https://docs.google.com/spreadsheets/d/1EjEqG6oc_vmuAWwHnH51YMvSMVUVePUqN"&amp;"n9zZBOmHT8/edit#gid=757525651"",""'Allocation Breakdown'!t4:t187""))*T$119"),7000)</f>
        <v>7000</v>
      </c>
      <c r="U99" s="30">
        <f ca="1">IFERROR(__xludf.DUMMYFUNCTION("XLOOKUP($B99,IMPORTRANGE(""https://docs.google.com/spreadsheets/d/1EjEqG6oc_vmuAWwHnH51YMvSMVUVePUqNn9zZBOmHT8/edit#gid=757525651"",""'Allocation Breakdown'!A4:A187""),IMPORTRANGE(""https://docs.google.com/spreadsheets/d/1EjEqG6oc_vmuAWwHnH51YMvSMVUVePUqN"&amp;"n9zZBOmHT8/edit#gid=757525651"",""'Allocation Breakdown'!U4:U187""))*U$119"),0)</f>
        <v>0</v>
      </c>
      <c r="V99" s="31">
        <f t="shared" ca="1" si="1"/>
        <v>107000</v>
      </c>
      <c r="W99" s="31">
        <f t="shared" ca="1" si="2"/>
        <v>107000</v>
      </c>
      <c r="Z99" s="32"/>
      <c r="AA99" s="32"/>
      <c r="AB99" s="32"/>
    </row>
    <row r="100" spans="2:28" ht="15.75" customHeight="1">
      <c r="B100" s="28" t="s">
        <v>197</v>
      </c>
      <c r="C100" s="30">
        <f ca="1">IFERROR(__xludf.DUMMYFUNCTION("XLOOKUP($B100,IMPORTRANGE(""https://docs.google.com/spreadsheets/d/1EjEqG6oc_vmuAWwHnH51YMvSMVUVePUqNn9zZBOmHT8/edit#gid=757525651"",""'Allocation Breakdown'!A4:A187""),IMPORTRANGE(""https://docs.google.com/spreadsheets/d/1EjEqG6oc_vmuAWwHnH51YMvSMVUVePUq"&amp;"Nn9zZBOmHT8/edit#gid=757525651"",""'Allocation Breakdown'!V4:V187""))*C$119"),0)</f>
        <v>0</v>
      </c>
      <c r="D100" s="30">
        <f ca="1">IFERROR(__xludf.DUMMYFUNCTION("XLOOKUP($B100,IMPORTRANGE(""https://docs.google.com/spreadsheets/d/1EjEqG6oc_vmuAWwHnH51YMvSMVUVePUqNn9zZBOmHT8/edit#gid=757525651"",""'Allocation Breakdown'!A4:A187""),IMPORTRANGE(""https://docs.google.com/spreadsheets/d/1EjEqG6oc_vmuAWwHnH51YMvSMVUVePUq"&amp;"Nn9zZBOmHT8/edit#gid=757525651"",""'Allocation Breakdown'!I4:I187""))*$D$119"),4267.6775049993)</f>
        <v>4267.6775049993003</v>
      </c>
      <c r="E100" s="30">
        <f ca="1">IFERROR(__xludf.DUMMYFUNCTION("XLOOKUP($B100,IMPORTRANGE(""https://docs.google.com/spreadsheets/d/1EjEqG6oc_vmuAWwHnH51YMvSMVUVePUqNn9zZBOmHT8/edit#gid=757525651"",""'Allocation Breakdown'!A4:A187""),IMPORTRANGE(""https://docs.google.com/spreadsheets/d/1EjEqG6oc_vmuAWwHnH51YMvSMVUVePUq"&amp;"Nn9zZBOmHT8/edit#gid=757525651"",""'Allocation Breakdown'!V4:V187""))*E$119"),0)</f>
        <v>0</v>
      </c>
      <c r="F100" s="30">
        <f t="shared" ca="1" si="0"/>
        <v>4267.6775049993003</v>
      </c>
      <c r="G100" s="30" t="str">
        <f ca="1">IFERROR(__xludf.DUMMYFUNCTION("XLOOKUP($B100,IMPORTRANGE(""https://docs.google.com/spreadsheets/d/1EjEqG6oc_vmuAWwHnH51YMvSMVUVePUqNn9zZBOmHT8/edit#gid=757525651"",""'Allocation Breakdown'!A4:A187""),IMPORTRANGE(""https://docs.google.com/spreadsheets/d/1EjEqG6oc_vmuAWwHnH51YMvSMVUVePUq"&amp;"Nn9zZBOmHT8/edit#gid=757525651"",""'Allocation Breakdown'!D4:D187""))"),"")</f>
        <v/>
      </c>
      <c r="H100" s="30">
        <f ca="1">IFERROR(__xludf.DUMMYFUNCTION("XLOOKUP($B100,IMPORTRANGE(""https://docs.google.com/spreadsheets/d/1EjEqG6oc_vmuAWwHnH51YMvSMVUVePUqNn9zZBOmHT8/edit#gid=757525651"",""'Allocation Breakdown'!A4:A187""),IMPORTRANGE(""https://docs.google.com/spreadsheets/d/1EjEqG6oc_vmuAWwHnH51YMvSMVUVePUq"&amp;"Nn9zZBOmHT8/edit#gid=757525651"",""'Allocation Breakdown'!E4:E187""))"),100000)</f>
        <v>100000</v>
      </c>
      <c r="I100" s="30" t="str">
        <f ca="1">IFERROR(__xludf.DUMMYFUNCTION("XLOOKUP($B100,IMPORTRANGE(""https://docs.google.com/spreadsheets/d/1EjEqG6oc_vmuAWwHnH51YMvSMVUVePUqNn9zZBOmHT8/edit#gid=757525651"",""'Allocation Breakdown'!A4:A187""),IMPORTRANGE(""https://docs.google.com/spreadsheets/d/1EjEqG6oc_vmuAWwHnH51YMvSMVUVePUq"&amp;"Nn9zZBOmHT8/edit#gid=757525651"",""'Allocation Breakdown'!F4:F187""))"),"")</f>
        <v/>
      </c>
      <c r="J100" s="30">
        <f ca="1">IFERROR(__xludf.DUMMYFUNCTION("XLOOKUP($B100,IMPORTRANGE(""https://docs.google.com/spreadsheets/d/1EjEqG6oc_vmuAWwHnH51YMvSMVUVePUqNn9zZBOmHT8/edit#gid=757525651"",""'Allocation Breakdown'!A4:A187""),IMPORTRANGE(""https://docs.google.com/spreadsheets/d/1EjEqG6oc_vmuAWwHnH51YMvSMVUVePUq"&amp;"Nn9zZBOmHT8/edit#gid=757525651"",""'Allocation Breakdown'!G4:G187""))"),2500)</f>
        <v>2500</v>
      </c>
      <c r="K100" s="30">
        <f ca="1">IFERROR(__xludf.DUMMYFUNCTION("XLOOKUP($B100,IMPORTRANGE(""https://docs.google.com/spreadsheets/d/1EjEqG6oc_vmuAWwHnH51YMvSMVUVePUqNn9zZBOmHT8/edit#gid=757525651"",""'Allocation Breakdown'!A4:A187""),IMPORTRANGE(""https://docs.google.com/spreadsheets/d/1EjEqG6oc_vmuAWwHnH51YMvSMVUVePUq"&amp;"Nn9zZBOmHT8/edit#gid=757525651"",""'Allocation Breakdown'!I4:I187""))*K$119"),374.96307816)</f>
        <v>374.96307816000001</v>
      </c>
      <c r="L100" s="30">
        <f ca="1">IFERROR(__xludf.DUMMYFUNCTION("XLOOKUP($B100,IMPORTRANGE(""https://docs.google.com/spreadsheets/d/1EjEqG6oc_vmuAWwHnH51YMvSMVUVePUqNn9zZBOmHT8/edit#gid=757525651"",""'Allocation Breakdown'!A4:A187""),IMPORTRANGE(""https://docs.google.com/spreadsheets/d/1EjEqG6oc_vmuAWwHnH51YMvSMVUVePUq"&amp;"Nn9zZBOmHT8/edit#gid=757525651"",""'Allocation Breakdown'!j4:j187""))*L$119"),3701.5422305)</f>
        <v>3701.5422305000002</v>
      </c>
      <c r="M100" s="30">
        <f ca="1">IFERROR(__xludf.DUMMYFUNCTION("XLOOKUP($B100,IMPORTRANGE(""https://docs.google.com/spreadsheets/d/1EjEqG6oc_vmuAWwHnH51YMvSMVUVePUqNn9zZBOmHT8/edit#gid=757525651"",""'Allocation Breakdown'!A4:A187""),IMPORTRANGE(""https://docs.google.com/spreadsheets/d/1EjEqG6oc_vmuAWwHnH51YMvSMVUVePUq"&amp;"Nn9zZBOmHT8/edit#gid=757525651"",""'Allocation Breakdown'!K4:K187""))*M$119"),0)</f>
        <v>0</v>
      </c>
      <c r="N100" s="30">
        <f ca="1">IFERROR(__xludf.DUMMYFUNCTION("XLOOKUP($B100,IMPORTRANGE(""https://docs.google.com/spreadsheets/d/1EjEqG6oc_vmuAWwHnH51YMvSMVUVePUqNn9zZBOmHT8/edit#gid=757525651"",""'Allocation Breakdown'!A4:A187""),IMPORTRANGE(""https://docs.google.com/spreadsheets/d/1EjEqG6oc_vmuAWwHnH51YMvSMVUVePUq"&amp;"Nn9zZBOmHT8/edit#gid=757525651"",""'Allocation Breakdown'!l4:l187""))*N$119"),951.8600508)</f>
        <v>951.86005079999995</v>
      </c>
      <c r="O100" s="30">
        <f ca="1">IFERROR(__xludf.DUMMYFUNCTION("XLOOKUP($B100,IMPORTRANGE(""https://docs.google.com/spreadsheets/d/1EjEqG6oc_vmuAWwHnH51YMvSMVUVePUqNn9zZBOmHT8/edit#gid=757525651"",""'Allocation Breakdown'!A4:A187""),IMPORTRANGE(""https://docs.google.com/spreadsheets/d/1EjEqG6oc_vmuAWwHnH51YMvSMVUVePUq"&amp;"Nn9zZBOmHT8/edit#gid=757525651"",""'Allocation Breakdown'!n4:n187""))*O$119"),0)</f>
        <v>0</v>
      </c>
      <c r="P100" s="30">
        <f ca="1">IFERROR(__xludf.DUMMYFUNCTION("XLOOKUP($B100,IMPORTRANGE(""https://docs.google.com/spreadsheets/d/1EjEqG6oc_vmuAWwHnH51YMvSMVUVePUqNn9zZBOmHT8/edit#gid=757525651"",""'Allocation Breakdown'!A4:A187""),IMPORTRANGE(""https://docs.google.com/spreadsheets/d/1EjEqG6oc_vmuAWwHnH51YMvSMVUVePUq"&amp;"Nn9zZBOmHT8/edit#gid=757525651"",""'Allocation Breakdown'!o4:o187""))*P$119"),2200)</f>
        <v>2200</v>
      </c>
      <c r="Q100" s="30">
        <f ca="1">IFERROR(__xludf.DUMMYFUNCTION("XLOOKUP($B100,IMPORTRANGE(""https://docs.google.com/spreadsheets/d/1EjEqG6oc_vmuAWwHnH51YMvSMVUVePUqNn9zZBOmHT8/edit#gid=757525651"",""'Allocation Breakdown'!A4:A187""),IMPORTRANGE(""https://docs.google.com/spreadsheets/d/1EjEqG6oc_vmuAWwHnH51YMvSMVUVePUq"&amp;"Nn9zZBOmHT8/edit#gid=757525651"",""'Allocation Breakdown'!p4:p187""))*Q$119"),0)</f>
        <v>0</v>
      </c>
      <c r="R100" s="30">
        <f ca="1">IFERROR(__xludf.DUMMYFUNCTION("XLOOKUP($B100,IMPORTRANGE(""https://docs.google.com/spreadsheets/d/1EjEqG6oc_vmuAWwHnH51YMvSMVUVePUqNn9zZBOmHT8/edit#gid=757525651"",""'Allocation Breakdown'!A4:A187""),IMPORTRANGE(""https://docs.google.com/spreadsheets/d/1EjEqG6oc_vmuAWwHnH51YMvSMVUVePUq"&amp;"Nn9zZBOmHT8/edit#gid=757525651"",""'Allocation Breakdown'!q4:q187""))*R$119"),2000)</f>
        <v>2000</v>
      </c>
      <c r="S100" s="30">
        <f ca="1">IFERROR(__xludf.DUMMYFUNCTION("XLOOKUP($B100,IMPORTRANGE(""https://docs.google.com/spreadsheets/d/1EjEqG6oc_vmuAWwHnH51YMvSMVUVePUqNn9zZBOmHT8/edit#gid=757525651"",""'Allocation Breakdown'!A4:A187""),IMPORTRANGE(""https://docs.google.com/spreadsheets/d/1EjEqG6oc_vmuAWwHnH51YMvSMVUVePUq"&amp;"Nn9zZBOmHT8/edit#gid=757525651"",""'Allocation Breakdown'!r4:r187""))*S$119"),0)</f>
        <v>0</v>
      </c>
      <c r="T100" s="30">
        <f ca="1">IFERROR(__xludf.DUMMYFUNCTION("XLOOKUP($B100,IMPORTRANGE(""https://docs.google.com/spreadsheets/d/1EjEqG6oc_vmuAWwHnH51YMvSMVUVePUqNn9zZBOmHT8/edit#gid=757525651"",""'Allocation Breakdown'!A4:A187""),IMPORTRANGE(""https://docs.google.com/spreadsheets/d/1EjEqG6oc_vmuAWwHnH51YMvSMVUVePUq"&amp;"Nn9zZBOmHT8/edit#gid=757525651"",""'Allocation Breakdown'!t4:t187""))*T$119"),7000)</f>
        <v>7000</v>
      </c>
      <c r="U100" s="30">
        <f ca="1">IFERROR(__xludf.DUMMYFUNCTION("XLOOKUP($B100,IMPORTRANGE(""https://docs.google.com/spreadsheets/d/1EjEqG6oc_vmuAWwHnH51YMvSMVUVePUqNn9zZBOmHT8/edit#gid=757525651"",""'Allocation Breakdown'!A4:A187""),IMPORTRANGE(""https://docs.google.com/spreadsheets/d/1EjEqG6oc_vmuAWwHnH51YMvSMVUVePUq"&amp;"Nn9zZBOmHT8/edit#gid=757525651"",""'Allocation Breakdown'!U4:U187""))*U$119"),11000)</f>
        <v>11000</v>
      </c>
      <c r="V100" s="31">
        <f t="shared" ca="1" si="1"/>
        <v>129728.36535945999</v>
      </c>
      <c r="W100" s="31">
        <f t="shared" ca="1" si="2"/>
        <v>133996.04286445928</v>
      </c>
      <c r="Z100" s="32"/>
      <c r="AA100" s="32"/>
      <c r="AB100" s="32"/>
    </row>
    <row r="101" spans="2:28" ht="15.75" customHeight="1">
      <c r="B101" s="28" t="s">
        <v>198</v>
      </c>
      <c r="C101" s="30">
        <f ca="1">IFERROR(__xludf.DUMMYFUNCTION("XLOOKUP($B101,IMPORTRANGE(""https://docs.google.com/spreadsheets/d/1EjEqG6oc_vmuAWwHnH51YMvSMVUVePUqNn9zZBOmHT8/edit#gid=757525651"",""'Allocation Breakdown'!A4:A187""),IMPORTRANGE(""https://docs.google.com/spreadsheets/d/1EjEqG6oc_vmuAWwHnH51YMvSMVUVePUq"&amp;"Nn9zZBOmHT8/edit#gid=757525651"",""'Allocation Breakdown'!V4:V187""))*C$119"),0)</f>
        <v>0</v>
      </c>
      <c r="D101" s="30">
        <f ca="1">IFERROR(__xludf.DUMMYFUNCTION("XLOOKUP($B101,IMPORTRANGE(""https://docs.google.com/spreadsheets/d/1EjEqG6oc_vmuAWwHnH51YMvSMVUVePUqNn9zZBOmHT8/edit#gid=757525651"",""'Allocation Breakdown'!A4:A187""),IMPORTRANGE(""https://docs.google.com/spreadsheets/d/1EjEqG6oc_vmuAWwHnH51YMvSMVUVePUq"&amp;"Nn9zZBOmHT8/edit#gid=757525651"",""'Allocation Breakdown'!I4:I187""))*$D$119"),7112.7958416655)</f>
        <v>7112.7958416655001</v>
      </c>
      <c r="E101" s="30">
        <f ca="1">IFERROR(__xludf.DUMMYFUNCTION("XLOOKUP($B101,IMPORTRANGE(""https://docs.google.com/spreadsheets/d/1EjEqG6oc_vmuAWwHnH51YMvSMVUVePUqNn9zZBOmHT8/edit#gid=757525651"",""'Allocation Breakdown'!A4:A187""),IMPORTRANGE(""https://docs.google.com/spreadsheets/d/1EjEqG6oc_vmuAWwHnH51YMvSMVUVePUq"&amp;"Nn9zZBOmHT8/edit#gid=757525651"",""'Allocation Breakdown'!V4:V187""))*E$119"),0)</f>
        <v>0</v>
      </c>
      <c r="F101" s="30">
        <f t="shared" ca="1" si="0"/>
        <v>7112.7958416655001</v>
      </c>
      <c r="G101" s="30" t="str">
        <f ca="1">IFERROR(__xludf.DUMMYFUNCTION("XLOOKUP($B101,IMPORTRANGE(""https://docs.google.com/spreadsheets/d/1EjEqG6oc_vmuAWwHnH51YMvSMVUVePUqNn9zZBOmHT8/edit#gid=757525651"",""'Allocation Breakdown'!A4:A187""),IMPORTRANGE(""https://docs.google.com/spreadsheets/d/1EjEqG6oc_vmuAWwHnH51YMvSMVUVePUq"&amp;"Nn9zZBOmHT8/edit#gid=757525651"",""'Allocation Breakdown'!D4:D187""))"),"")</f>
        <v/>
      </c>
      <c r="H101" s="30">
        <f ca="1">IFERROR(__xludf.DUMMYFUNCTION("XLOOKUP($B101,IMPORTRANGE(""https://docs.google.com/spreadsheets/d/1EjEqG6oc_vmuAWwHnH51YMvSMVUVePUqNn9zZBOmHT8/edit#gid=757525651"",""'Allocation Breakdown'!A4:A187""),IMPORTRANGE(""https://docs.google.com/spreadsheets/d/1EjEqG6oc_vmuAWwHnH51YMvSMVUVePUq"&amp;"Nn9zZBOmHT8/edit#gid=757525651"",""'Allocation Breakdown'!E4:E187""))"),22500)</f>
        <v>22500</v>
      </c>
      <c r="I101" s="30" t="str">
        <f ca="1">IFERROR(__xludf.DUMMYFUNCTION("XLOOKUP($B101,IMPORTRANGE(""https://docs.google.com/spreadsheets/d/1EjEqG6oc_vmuAWwHnH51YMvSMVUVePUqNn9zZBOmHT8/edit#gid=757525651"",""'Allocation Breakdown'!A4:A187""),IMPORTRANGE(""https://docs.google.com/spreadsheets/d/1EjEqG6oc_vmuAWwHnH51YMvSMVUVePUq"&amp;"Nn9zZBOmHT8/edit#gid=757525651"",""'Allocation Breakdown'!F4:F187""))"),"")</f>
        <v/>
      </c>
      <c r="J101" s="30">
        <f ca="1">IFERROR(__xludf.DUMMYFUNCTION("XLOOKUP($B101,IMPORTRANGE(""https://docs.google.com/spreadsheets/d/1EjEqG6oc_vmuAWwHnH51YMvSMVUVePUqNn9zZBOmHT8/edit#gid=757525651"",""'Allocation Breakdown'!A4:A187""),IMPORTRANGE(""https://docs.google.com/spreadsheets/d/1EjEqG6oc_vmuAWwHnH51YMvSMVUVePUq"&amp;"Nn9zZBOmHT8/edit#gid=757525651"",""'Allocation Breakdown'!G4:G187""))"),9175)</f>
        <v>9175</v>
      </c>
      <c r="K101" s="30">
        <f ca="1">IFERROR(__xludf.DUMMYFUNCTION("XLOOKUP($B101,IMPORTRANGE(""https://docs.google.com/spreadsheets/d/1EjEqG6oc_vmuAWwHnH51YMvSMVUVePUqNn9zZBOmHT8/edit#gid=757525651"",""'Allocation Breakdown'!A4:A187""),IMPORTRANGE(""https://docs.google.com/spreadsheets/d/1EjEqG6oc_vmuAWwHnH51YMvSMVUVePUq"&amp;"Nn9zZBOmHT8/edit#gid=757525651"",""'Allocation Breakdown'!I4:I187""))*K$119"),624.9384636)</f>
        <v>624.93846359999998</v>
      </c>
      <c r="L101" s="30">
        <f ca="1">IFERROR(__xludf.DUMMYFUNCTION("XLOOKUP($B101,IMPORTRANGE(""https://docs.google.com/spreadsheets/d/1EjEqG6oc_vmuAWwHnH51YMvSMVUVePUqNn9zZBOmHT8/edit#gid=757525651"",""'Allocation Breakdown'!A4:A187""),IMPORTRANGE(""https://docs.google.com/spreadsheets/d/1EjEqG6oc_vmuAWwHnH51YMvSMVUVePUq"&amp;"Nn9zZBOmHT8/edit#gid=757525651"",""'Allocation Breakdown'!j4:j187""))*L$119"),3331.38800745)</f>
        <v>3331.3880074499998</v>
      </c>
      <c r="M101" s="30">
        <f ca="1">IFERROR(__xludf.DUMMYFUNCTION("XLOOKUP($B101,IMPORTRANGE(""https://docs.google.com/spreadsheets/d/1EjEqG6oc_vmuAWwHnH51YMvSMVUVePUqNn9zZBOmHT8/edit#gid=757525651"",""'Allocation Breakdown'!A4:A187""),IMPORTRANGE(""https://docs.google.com/spreadsheets/d/1EjEqG6oc_vmuAWwHnH51YMvSMVUVePUq"&amp;"Nn9zZBOmHT8/edit#gid=757525651"",""'Allocation Breakdown'!K4:K187""))*M$119"),0)</f>
        <v>0</v>
      </c>
      <c r="N101" s="30">
        <f ca="1">IFERROR(__xludf.DUMMYFUNCTION("XLOOKUP($B101,IMPORTRANGE(""https://docs.google.com/spreadsheets/d/1EjEqG6oc_vmuAWwHnH51YMvSMVUVePUqNn9zZBOmHT8/edit#gid=757525651"",""'Allocation Breakdown'!A4:A187""),IMPORTRANGE(""https://docs.google.com/spreadsheets/d/1EjEqG6oc_vmuAWwHnH51YMvSMVUVePUq"&amp;"Nn9zZBOmHT8/edit#gid=757525651"",""'Allocation Breakdown'!l4:l187""))*N$119"),951.8600508)</f>
        <v>951.86005079999995</v>
      </c>
      <c r="O101" s="30">
        <f ca="1">IFERROR(__xludf.DUMMYFUNCTION("XLOOKUP($B101,IMPORTRANGE(""https://docs.google.com/spreadsheets/d/1EjEqG6oc_vmuAWwHnH51YMvSMVUVePUqNn9zZBOmHT8/edit#gid=757525651"",""'Allocation Breakdown'!A4:A187""),IMPORTRANGE(""https://docs.google.com/spreadsheets/d/1EjEqG6oc_vmuAWwHnH51YMvSMVUVePUq"&amp;"Nn9zZBOmHT8/edit#gid=757525651"",""'Allocation Breakdown'!n4:n187""))*O$119"),0)</f>
        <v>0</v>
      </c>
      <c r="P101" s="30">
        <f ca="1">IFERROR(__xludf.DUMMYFUNCTION("XLOOKUP($B101,IMPORTRANGE(""https://docs.google.com/spreadsheets/d/1EjEqG6oc_vmuAWwHnH51YMvSMVUVePUqNn9zZBOmHT8/edit#gid=757525651"",""'Allocation Breakdown'!A4:A187""),IMPORTRANGE(""https://docs.google.com/spreadsheets/d/1EjEqG6oc_vmuAWwHnH51YMvSMVUVePUq"&amp;"Nn9zZBOmHT8/edit#gid=757525651"",""'Allocation Breakdown'!o4:o187""))*P$119"),2200)</f>
        <v>2200</v>
      </c>
      <c r="Q101" s="30">
        <f ca="1">IFERROR(__xludf.DUMMYFUNCTION("XLOOKUP($B101,IMPORTRANGE(""https://docs.google.com/spreadsheets/d/1EjEqG6oc_vmuAWwHnH51YMvSMVUVePUqNn9zZBOmHT8/edit#gid=757525651"",""'Allocation Breakdown'!A4:A187""),IMPORTRANGE(""https://docs.google.com/spreadsheets/d/1EjEqG6oc_vmuAWwHnH51YMvSMVUVePUq"&amp;"Nn9zZBOmHT8/edit#gid=757525651"",""'Allocation Breakdown'!p4:p187""))*Q$119"),2000)</f>
        <v>2000</v>
      </c>
      <c r="R101" s="30">
        <f ca="1">IFERROR(__xludf.DUMMYFUNCTION("XLOOKUP($B101,IMPORTRANGE(""https://docs.google.com/spreadsheets/d/1EjEqG6oc_vmuAWwHnH51YMvSMVUVePUqNn9zZBOmHT8/edit#gid=757525651"",""'Allocation Breakdown'!A4:A187""),IMPORTRANGE(""https://docs.google.com/spreadsheets/d/1EjEqG6oc_vmuAWwHnH51YMvSMVUVePUq"&amp;"Nn9zZBOmHT8/edit#gid=757525651"",""'Allocation Breakdown'!q4:q187""))*R$119"),2000)</f>
        <v>2000</v>
      </c>
      <c r="S101" s="30">
        <f ca="1">IFERROR(__xludf.DUMMYFUNCTION("XLOOKUP($B101,IMPORTRANGE(""https://docs.google.com/spreadsheets/d/1EjEqG6oc_vmuAWwHnH51YMvSMVUVePUqNn9zZBOmHT8/edit#gid=757525651"",""'Allocation Breakdown'!A4:A187""),IMPORTRANGE(""https://docs.google.com/spreadsheets/d/1EjEqG6oc_vmuAWwHnH51YMvSMVUVePUq"&amp;"Nn9zZBOmHT8/edit#gid=757525651"",""'Allocation Breakdown'!r4:r187""))*S$119"),2000)</f>
        <v>2000</v>
      </c>
      <c r="T101" s="30">
        <f ca="1">IFERROR(__xludf.DUMMYFUNCTION("XLOOKUP($B101,IMPORTRANGE(""https://docs.google.com/spreadsheets/d/1EjEqG6oc_vmuAWwHnH51YMvSMVUVePUqNn9zZBOmHT8/edit#gid=757525651"",""'Allocation Breakdown'!A4:A187""),IMPORTRANGE(""https://docs.google.com/spreadsheets/d/1EjEqG6oc_vmuAWwHnH51YMvSMVUVePUq"&amp;"Nn9zZBOmHT8/edit#gid=757525651"",""'Allocation Breakdown'!t4:t187""))*T$119"),7000)</f>
        <v>7000</v>
      </c>
      <c r="U101" s="30">
        <f ca="1">IFERROR(__xludf.DUMMYFUNCTION("XLOOKUP($B101,IMPORTRANGE(""https://docs.google.com/spreadsheets/d/1EjEqG6oc_vmuAWwHnH51YMvSMVUVePUqNn9zZBOmHT8/edit#gid=757525651"",""'Allocation Breakdown'!A4:A187""),IMPORTRANGE(""https://docs.google.com/spreadsheets/d/1EjEqG6oc_vmuAWwHnH51YMvSMVUVePUq"&amp;"Nn9zZBOmHT8/edit#gid=757525651"",""'Allocation Breakdown'!U4:U187""))*U$119"),11000)</f>
        <v>11000</v>
      </c>
      <c r="V101" s="31">
        <f t="shared" ca="1" si="1"/>
        <v>62783.186521850002</v>
      </c>
      <c r="W101" s="31">
        <f t="shared" ca="1" si="2"/>
        <v>69895.982363515504</v>
      </c>
      <c r="Z101" s="32"/>
      <c r="AA101" s="32"/>
      <c r="AB101" s="32"/>
    </row>
    <row r="102" spans="2:28" ht="15.75" customHeight="1">
      <c r="B102" s="28" t="s">
        <v>199</v>
      </c>
      <c r="C102" s="30">
        <f ca="1">IFERROR(__xludf.DUMMYFUNCTION("XLOOKUP($B102,IMPORTRANGE(""https://docs.google.com/spreadsheets/d/1EjEqG6oc_vmuAWwHnH51YMvSMVUVePUqNn9zZBOmHT8/edit#gid=757525651"",""'Allocation Breakdown'!A4:A187""),IMPORTRANGE(""https://docs.google.com/spreadsheets/d/1EjEqG6oc_vmuAWwHnH51YMvSMVUVePUq"&amp;"Nn9zZBOmHT8/edit#gid=757525651"",""'Allocation Breakdown'!V4:V187""))*C$119"),0)</f>
        <v>0</v>
      </c>
      <c r="D102" s="30">
        <f ca="1">IFERROR(__xludf.DUMMYFUNCTION("XLOOKUP($B102,IMPORTRANGE(""https://docs.google.com/spreadsheets/d/1EjEqG6oc_vmuAWwHnH51YMvSMVUVePUqNn9zZBOmHT8/edit#gid=757525651"",""'Allocation Breakdown'!A4:A187""),IMPORTRANGE(""https://docs.google.com/spreadsheets/d/1EjEqG6oc_vmuAWwHnH51YMvSMVUVePUq"&amp;"Nn9zZBOmHT8/edit#gid=757525651"",""'Allocation Breakdown'!I4:I187""))*$D$119"),7112.7958416655)</f>
        <v>7112.7958416655001</v>
      </c>
      <c r="E102" s="30">
        <f ca="1">IFERROR(__xludf.DUMMYFUNCTION("XLOOKUP($B102,IMPORTRANGE(""https://docs.google.com/spreadsheets/d/1EjEqG6oc_vmuAWwHnH51YMvSMVUVePUqNn9zZBOmHT8/edit#gid=757525651"",""'Allocation Breakdown'!A4:A187""),IMPORTRANGE(""https://docs.google.com/spreadsheets/d/1EjEqG6oc_vmuAWwHnH51YMvSMVUVePUq"&amp;"Nn9zZBOmHT8/edit#gid=757525651"",""'Allocation Breakdown'!V4:V187""))*E$119"),0)</f>
        <v>0</v>
      </c>
      <c r="F102" s="30">
        <f t="shared" ca="1" si="0"/>
        <v>7112.7958416655001</v>
      </c>
      <c r="G102" s="30" t="str">
        <f ca="1">IFERROR(__xludf.DUMMYFUNCTION("XLOOKUP($B102,IMPORTRANGE(""https://docs.google.com/spreadsheets/d/1EjEqG6oc_vmuAWwHnH51YMvSMVUVePUqNn9zZBOmHT8/edit#gid=757525651"",""'Allocation Breakdown'!A4:A187""),IMPORTRANGE(""https://docs.google.com/spreadsheets/d/1EjEqG6oc_vmuAWwHnH51YMvSMVUVePUq"&amp;"Nn9zZBOmHT8/edit#gid=757525651"",""'Allocation Breakdown'!D4:D187""))"),"")</f>
        <v/>
      </c>
      <c r="H102" s="30">
        <f ca="1">IFERROR(__xludf.DUMMYFUNCTION("XLOOKUP($B102,IMPORTRANGE(""https://docs.google.com/spreadsheets/d/1EjEqG6oc_vmuAWwHnH51YMvSMVUVePUqNn9zZBOmHT8/edit#gid=757525651"",""'Allocation Breakdown'!A4:A187""),IMPORTRANGE(""https://docs.google.com/spreadsheets/d/1EjEqG6oc_vmuAWwHnH51YMvSMVUVePUq"&amp;"Nn9zZBOmHT8/edit#gid=757525651"",""'Allocation Breakdown'!E4:E187""))"),100000)</f>
        <v>100000</v>
      </c>
      <c r="I102" s="30" t="str">
        <f ca="1">IFERROR(__xludf.DUMMYFUNCTION("XLOOKUP($B102,IMPORTRANGE(""https://docs.google.com/spreadsheets/d/1EjEqG6oc_vmuAWwHnH51YMvSMVUVePUqNn9zZBOmHT8/edit#gid=757525651"",""'Allocation Breakdown'!A4:A187""),IMPORTRANGE(""https://docs.google.com/spreadsheets/d/1EjEqG6oc_vmuAWwHnH51YMvSMVUVePUq"&amp;"Nn9zZBOmHT8/edit#gid=757525651"",""'Allocation Breakdown'!F4:F187""))"),"")</f>
        <v/>
      </c>
      <c r="J102" s="30">
        <f ca="1">IFERROR(__xludf.DUMMYFUNCTION("XLOOKUP($B102,IMPORTRANGE(""https://docs.google.com/spreadsheets/d/1EjEqG6oc_vmuAWwHnH51YMvSMVUVePUqNn9zZBOmHT8/edit#gid=757525651"",""'Allocation Breakdown'!A4:A187""),IMPORTRANGE(""https://docs.google.com/spreadsheets/d/1EjEqG6oc_vmuAWwHnH51YMvSMVUVePUq"&amp;"Nn9zZBOmHT8/edit#gid=757525651"",""'Allocation Breakdown'!G4:G187""))"),9175)</f>
        <v>9175</v>
      </c>
      <c r="K102" s="30">
        <f ca="1">IFERROR(__xludf.DUMMYFUNCTION("XLOOKUP($B102,IMPORTRANGE(""https://docs.google.com/spreadsheets/d/1EjEqG6oc_vmuAWwHnH51YMvSMVUVePUqNn9zZBOmHT8/edit#gid=757525651"",""'Allocation Breakdown'!A4:A187""),IMPORTRANGE(""https://docs.google.com/spreadsheets/d/1EjEqG6oc_vmuAWwHnH51YMvSMVUVePUq"&amp;"Nn9zZBOmHT8/edit#gid=757525651"",""'Allocation Breakdown'!I4:I187""))*K$119"),624.9384636)</f>
        <v>624.93846359999998</v>
      </c>
      <c r="L102" s="30">
        <f ca="1">IFERROR(__xludf.DUMMYFUNCTION("XLOOKUP($B102,IMPORTRANGE(""https://docs.google.com/spreadsheets/d/1EjEqG6oc_vmuAWwHnH51YMvSMVUVePUqNn9zZBOmHT8/edit#gid=757525651"",""'Allocation Breakdown'!A4:A187""),IMPORTRANGE(""https://docs.google.com/spreadsheets/d/1EjEqG6oc_vmuAWwHnH51YMvSMVUVePUq"&amp;"Nn9zZBOmHT8/edit#gid=757525651"",""'Allocation Breakdown'!j4:j187""))*L$119"),3331.38800745)</f>
        <v>3331.3880074499998</v>
      </c>
      <c r="M102" s="30">
        <f ca="1">IFERROR(__xludf.DUMMYFUNCTION("XLOOKUP($B102,IMPORTRANGE(""https://docs.google.com/spreadsheets/d/1EjEqG6oc_vmuAWwHnH51YMvSMVUVePUqNn9zZBOmHT8/edit#gid=757525651"",""'Allocation Breakdown'!A4:A187""),IMPORTRANGE(""https://docs.google.com/spreadsheets/d/1EjEqG6oc_vmuAWwHnH51YMvSMVUVePUq"&amp;"Nn9zZBOmHT8/edit#gid=757525651"",""'Allocation Breakdown'!K4:K187""))*M$119"),0)</f>
        <v>0</v>
      </c>
      <c r="N102" s="30">
        <f ca="1">IFERROR(__xludf.DUMMYFUNCTION("XLOOKUP($B102,IMPORTRANGE(""https://docs.google.com/spreadsheets/d/1EjEqG6oc_vmuAWwHnH51YMvSMVUVePUqNn9zZBOmHT8/edit#gid=757525651"",""'Allocation Breakdown'!A4:A187""),IMPORTRANGE(""https://docs.google.com/spreadsheets/d/1EjEqG6oc_vmuAWwHnH51YMvSMVUVePUq"&amp;"Nn9zZBOmHT8/edit#gid=757525651"",""'Allocation Breakdown'!l4:l187""))*N$119"),951.8600508)</f>
        <v>951.86005079999995</v>
      </c>
      <c r="O102" s="30">
        <f ca="1">IFERROR(__xludf.DUMMYFUNCTION("XLOOKUP($B102,IMPORTRANGE(""https://docs.google.com/spreadsheets/d/1EjEqG6oc_vmuAWwHnH51YMvSMVUVePUqNn9zZBOmHT8/edit#gid=757525651"",""'Allocation Breakdown'!A4:A187""),IMPORTRANGE(""https://docs.google.com/spreadsheets/d/1EjEqG6oc_vmuAWwHnH51YMvSMVUVePUq"&amp;"Nn9zZBOmHT8/edit#gid=757525651"",""'Allocation Breakdown'!n4:n187""))*O$119"),0)</f>
        <v>0</v>
      </c>
      <c r="P102" s="30">
        <f ca="1">IFERROR(__xludf.DUMMYFUNCTION("XLOOKUP($B102,IMPORTRANGE(""https://docs.google.com/spreadsheets/d/1EjEqG6oc_vmuAWwHnH51YMvSMVUVePUqNn9zZBOmHT8/edit#gid=757525651"",""'Allocation Breakdown'!A4:A187""),IMPORTRANGE(""https://docs.google.com/spreadsheets/d/1EjEqG6oc_vmuAWwHnH51YMvSMVUVePUq"&amp;"Nn9zZBOmHT8/edit#gid=757525651"",""'Allocation Breakdown'!o4:o187""))*P$119"),2200)</f>
        <v>2200</v>
      </c>
      <c r="Q102" s="30">
        <f ca="1">IFERROR(__xludf.DUMMYFUNCTION("XLOOKUP($B102,IMPORTRANGE(""https://docs.google.com/spreadsheets/d/1EjEqG6oc_vmuAWwHnH51YMvSMVUVePUqNn9zZBOmHT8/edit#gid=757525651"",""'Allocation Breakdown'!A4:A187""),IMPORTRANGE(""https://docs.google.com/spreadsheets/d/1EjEqG6oc_vmuAWwHnH51YMvSMVUVePUq"&amp;"Nn9zZBOmHT8/edit#gid=757525651"",""'Allocation Breakdown'!p4:p187""))*Q$119"),2000)</f>
        <v>2000</v>
      </c>
      <c r="R102" s="30">
        <f ca="1">IFERROR(__xludf.DUMMYFUNCTION("XLOOKUP($B102,IMPORTRANGE(""https://docs.google.com/spreadsheets/d/1EjEqG6oc_vmuAWwHnH51YMvSMVUVePUqNn9zZBOmHT8/edit#gid=757525651"",""'Allocation Breakdown'!A4:A187""),IMPORTRANGE(""https://docs.google.com/spreadsheets/d/1EjEqG6oc_vmuAWwHnH51YMvSMVUVePUq"&amp;"Nn9zZBOmHT8/edit#gid=757525651"",""'Allocation Breakdown'!q4:q187""))*R$119"),2000)</f>
        <v>2000</v>
      </c>
      <c r="S102" s="30">
        <f ca="1">IFERROR(__xludf.DUMMYFUNCTION("XLOOKUP($B102,IMPORTRANGE(""https://docs.google.com/spreadsheets/d/1EjEqG6oc_vmuAWwHnH51YMvSMVUVePUqNn9zZBOmHT8/edit#gid=757525651"",""'Allocation Breakdown'!A4:A187""),IMPORTRANGE(""https://docs.google.com/spreadsheets/d/1EjEqG6oc_vmuAWwHnH51YMvSMVUVePUq"&amp;"Nn9zZBOmHT8/edit#gid=757525651"",""'Allocation Breakdown'!r4:r187""))*S$119"),2000)</f>
        <v>2000</v>
      </c>
      <c r="T102" s="30">
        <f ca="1">IFERROR(__xludf.DUMMYFUNCTION("XLOOKUP($B102,IMPORTRANGE(""https://docs.google.com/spreadsheets/d/1EjEqG6oc_vmuAWwHnH51YMvSMVUVePUqNn9zZBOmHT8/edit#gid=757525651"",""'Allocation Breakdown'!A4:A187""),IMPORTRANGE(""https://docs.google.com/spreadsheets/d/1EjEqG6oc_vmuAWwHnH51YMvSMVUVePUq"&amp;"Nn9zZBOmHT8/edit#gid=757525651"",""'Allocation Breakdown'!t4:t187""))*T$119"),7000)</f>
        <v>7000</v>
      </c>
      <c r="U102" s="30">
        <f ca="1">IFERROR(__xludf.DUMMYFUNCTION("XLOOKUP($B102,IMPORTRANGE(""https://docs.google.com/spreadsheets/d/1EjEqG6oc_vmuAWwHnH51YMvSMVUVePUqNn9zZBOmHT8/edit#gid=757525651"",""'Allocation Breakdown'!A4:A187""),IMPORTRANGE(""https://docs.google.com/spreadsheets/d/1EjEqG6oc_vmuAWwHnH51YMvSMVUVePUq"&amp;"Nn9zZBOmHT8/edit#gid=757525651"",""'Allocation Breakdown'!U4:U187""))*U$119"),11000)</f>
        <v>11000</v>
      </c>
      <c r="V102" s="31">
        <f t="shared" ca="1" si="1"/>
        <v>140283.18652185</v>
      </c>
      <c r="W102" s="31">
        <f t="shared" ca="1" si="2"/>
        <v>147395.9823635155</v>
      </c>
      <c r="Z102" s="32"/>
      <c r="AA102" s="32"/>
      <c r="AB102" s="32"/>
    </row>
    <row r="103" spans="2:28" ht="15.75" customHeight="1">
      <c r="B103" s="28" t="s">
        <v>200</v>
      </c>
      <c r="C103" s="30">
        <f ca="1">IFERROR(__xludf.DUMMYFUNCTION("XLOOKUP($B103,IMPORTRANGE(""https://docs.google.com/spreadsheets/d/1EjEqG6oc_vmuAWwHnH51YMvSMVUVePUqNn9zZBOmHT8/edit#gid=757525651"",""'Allocation Breakdown'!A4:A187""),IMPORTRANGE(""https://docs.google.com/spreadsheets/d/1EjEqG6oc_vmuAWwHnH51YMvSMVUVePUq"&amp;"Nn9zZBOmHT8/edit#gid=757525651"",""'Allocation Breakdown'!V4:V187""))*C$119"),0)</f>
        <v>0</v>
      </c>
      <c r="D103" s="30">
        <f ca="1">IFERROR(__xludf.DUMMYFUNCTION("XLOOKUP($B103,IMPORTRANGE(""https://docs.google.com/spreadsheets/d/1EjEqG6oc_vmuAWwHnH51YMvSMVUVePUqNn9zZBOmHT8/edit#gid=757525651"",""'Allocation Breakdown'!A4:A187""),IMPORTRANGE(""https://docs.google.com/spreadsheets/d/1EjEqG6oc_vmuAWwHnH51YMvSMVUVePUq"&amp;"Nn9zZBOmHT8/edit#gid=757525651"",""'Allocation Breakdown'!I4:I187""))*$D$119"),5831.78131058154)</f>
        <v>5831.7813105815403</v>
      </c>
      <c r="E103" s="30">
        <f ca="1">IFERROR(__xludf.DUMMYFUNCTION("XLOOKUP($B103,IMPORTRANGE(""https://docs.google.com/spreadsheets/d/1EjEqG6oc_vmuAWwHnH51YMvSMVUVePUqNn9zZBOmHT8/edit#gid=757525651"",""'Allocation Breakdown'!A4:A187""),IMPORTRANGE(""https://docs.google.com/spreadsheets/d/1EjEqG6oc_vmuAWwHnH51YMvSMVUVePUq"&amp;"Nn9zZBOmHT8/edit#gid=757525651"",""'Allocation Breakdown'!V4:V187""))*E$119"),0)</f>
        <v>0</v>
      </c>
      <c r="F103" s="30">
        <f t="shared" ca="1" si="0"/>
        <v>5831.7813105815403</v>
      </c>
      <c r="G103" s="30" t="str">
        <f ca="1">IFERROR(__xludf.DUMMYFUNCTION("XLOOKUP($B103,IMPORTRANGE(""https://docs.google.com/spreadsheets/d/1EjEqG6oc_vmuAWwHnH51YMvSMVUVePUqNn9zZBOmHT8/edit#gid=757525651"",""'Allocation Breakdown'!A4:A187""),IMPORTRANGE(""https://docs.google.com/spreadsheets/d/1EjEqG6oc_vmuAWwHnH51YMvSMVUVePUq"&amp;"Nn9zZBOmHT8/edit#gid=757525651"",""'Allocation Breakdown'!D4:D187""))"),"")</f>
        <v/>
      </c>
      <c r="H103" s="30">
        <f ca="1">IFERROR(__xludf.DUMMYFUNCTION("XLOOKUP($B103,IMPORTRANGE(""https://docs.google.com/spreadsheets/d/1EjEqG6oc_vmuAWwHnH51YMvSMVUVePUqNn9zZBOmHT8/edit#gid=757525651"",""'Allocation Breakdown'!A4:A187""),IMPORTRANGE(""https://docs.google.com/spreadsheets/d/1EjEqG6oc_vmuAWwHnH51YMvSMVUVePUq"&amp;"Nn9zZBOmHT8/edit#gid=757525651"",""'Allocation Breakdown'!E4:E187""))"),28209)</f>
        <v>28209</v>
      </c>
      <c r="I103" s="30" t="str">
        <f ca="1">IFERROR(__xludf.DUMMYFUNCTION("XLOOKUP($B103,IMPORTRANGE(""https://docs.google.com/spreadsheets/d/1EjEqG6oc_vmuAWwHnH51YMvSMVUVePUqNn9zZBOmHT8/edit#gid=757525651"",""'Allocation Breakdown'!A4:A187""),IMPORTRANGE(""https://docs.google.com/spreadsheets/d/1EjEqG6oc_vmuAWwHnH51YMvSMVUVePUq"&amp;"Nn9zZBOmHT8/edit#gid=757525651"",""'Allocation Breakdown'!F4:F187""))"),"")</f>
        <v/>
      </c>
      <c r="J103" s="30">
        <f ca="1">IFERROR(__xludf.DUMMYFUNCTION("XLOOKUP($B103,IMPORTRANGE(""https://docs.google.com/spreadsheets/d/1EjEqG6oc_vmuAWwHnH51YMvSMVUVePUqNn9zZBOmHT8/edit#gid=757525651"",""'Allocation Breakdown'!A4:A187""),IMPORTRANGE(""https://docs.google.com/spreadsheets/d/1EjEqG6oc_vmuAWwHnH51YMvSMVUVePUq"&amp;"Nn9zZBOmHT8/edit#gid=757525651"",""'Allocation Breakdown'!G4:G187""))"),9175)</f>
        <v>9175</v>
      </c>
      <c r="K103" s="30">
        <f ca="1">IFERROR(__xludf.DUMMYFUNCTION("XLOOKUP($B103,IMPORTRANGE(""https://docs.google.com/spreadsheets/d/1EjEqG6oc_vmuAWwHnH51YMvSMVUVePUqNn9zZBOmHT8/edit#gid=757525651"",""'Allocation Breakdown'!A4:A187""),IMPORTRANGE(""https://docs.google.com/spreadsheets/d/1EjEqG6oc_vmuAWwHnH51YMvSMVUVePUq"&amp;"Nn9zZBOmHT8/edit#gid=757525651"",""'Allocation Breakdown'!I4:I187""))*K$119"),512.38704630564)</f>
        <v>512.38704630563996</v>
      </c>
      <c r="L103" s="30">
        <f ca="1">IFERROR(__xludf.DUMMYFUNCTION("XLOOKUP($B103,IMPORTRANGE(""https://docs.google.com/spreadsheets/d/1EjEqG6oc_vmuAWwHnH51YMvSMVUVePUqNn9zZBOmHT8/edit#gid=757525651"",""'Allocation Breakdown'!A4:A187""),IMPORTRANGE(""https://docs.google.com/spreadsheets/d/1EjEqG6oc_vmuAWwHnH51YMvSMVUVePUq"&amp;"Nn9zZBOmHT8/edit#gid=757525651"",""'Allocation Breakdown'!j4:j187""))*L$119"),2220.9253383)</f>
        <v>2220.9253383</v>
      </c>
      <c r="M103" s="30">
        <f ca="1">IFERROR(__xludf.DUMMYFUNCTION("XLOOKUP($B103,IMPORTRANGE(""https://docs.google.com/spreadsheets/d/1EjEqG6oc_vmuAWwHnH51YMvSMVUVePUqNn9zZBOmHT8/edit#gid=757525651"",""'Allocation Breakdown'!A4:A187""),IMPORTRANGE(""https://docs.google.com/spreadsheets/d/1EjEqG6oc_vmuAWwHnH51YMvSMVUVePUq"&amp;"Nn9zZBOmHT8/edit#gid=757525651"",""'Allocation Breakdown'!K4:K187""))*M$119"),0)</f>
        <v>0</v>
      </c>
      <c r="N103" s="30">
        <f ca="1">IFERROR(__xludf.DUMMYFUNCTION("XLOOKUP($B103,IMPORTRANGE(""https://docs.google.com/spreadsheets/d/1EjEqG6oc_vmuAWwHnH51YMvSMVUVePUqNn9zZBOmHT8/edit#gid=757525651"",""'Allocation Breakdown'!A4:A187""),IMPORTRANGE(""https://docs.google.com/spreadsheets/d/1EjEqG6oc_vmuAWwHnH51YMvSMVUVePUq"&amp;"Nn9zZBOmHT8/edit#gid=757525651"",""'Allocation Breakdown'!l4:l187""))*N$119"),951.8600508)</f>
        <v>951.86005079999995</v>
      </c>
      <c r="O103" s="30">
        <f ca="1">IFERROR(__xludf.DUMMYFUNCTION("XLOOKUP($B103,IMPORTRANGE(""https://docs.google.com/spreadsheets/d/1EjEqG6oc_vmuAWwHnH51YMvSMVUVePUqNn9zZBOmHT8/edit#gid=757525651"",""'Allocation Breakdown'!A4:A187""),IMPORTRANGE(""https://docs.google.com/spreadsheets/d/1EjEqG6oc_vmuAWwHnH51YMvSMVUVePUq"&amp;"Nn9zZBOmHT8/edit#gid=757525651"",""'Allocation Breakdown'!n4:n187""))*O$119"),0)</f>
        <v>0</v>
      </c>
      <c r="P103" s="30">
        <f ca="1">IFERROR(__xludf.DUMMYFUNCTION("XLOOKUP($B103,IMPORTRANGE(""https://docs.google.com/spreadsheets/d/1EjEqG6oc_vmuAWwHnH51YMvSMVUVePUqNn9zZBOmHT8/edit#gid=757525651"",""'Allocation Breakdown'!A4:A187""),IMPORTRANGE(""https://docs.google.com/spreadsheets/d/1EjEqG6oc_vmuAWwHnH51YMvSMVUVePUq"&amp;"Nn9zZBOmHT8/edit#gid=757525651"",""'Allocation Breakdown'!o4:o187""))*P$119"),2200)</f>
        <v>2200</v>
      </c>
      <c r="Q103" s="30">
        <f ca="1">IFERROR(__xludf.DUMMYFUNCTION("XLOOKUP($B103,IMPORTRANGE(""https://docs.google.com/spreadsheets/d/1EjEqG6oc_vmuAWwHnH51YMvSMVUVePUqNn9zZBOmHT8/edit#gid=757525651"",""'Allocation Breakdown'!A4:A187""),IMPORTRANGE(""https://docs.google.com/spreadsheets/d/1EjEqG6oc_vmuAWwHnH51YMvSMVUVePUq"&amp;"Nn9zZBOmHT8/edit#gid=757525651"",""'Allocation Breakdown'!p4:p187""))*Q$119"),2000)</f>
        <v>2000</v>
      </c>
      <c r="R103" s="30">
        <f ca="1">IFERROR(__xludf.DUMMYFUNCTION("XLOOKUP($B103,IMPORTRANGE(""https://docs.google.com/spreadsheets/d/1EjEqG6oc_vmuAWwHnH51YMvSMVUVePUqNn9zZBOmHT8/edit#gid=757525651"",""'Allocation Breakdown'!A4:A187""),IMPORTRANGE(""https://docs.google.com/spreadsheets/d/1EjEqG6oc_vmuAWwHnH51YMvSMVUVePUq"&amp;"Nn9zZBOmHT8/edit#gid=757525651"",""'Allocation Breakdown'!q4:q187""))*R$119"),2000)</f>
        <v>2000</v>
      </c>
      <c r="S103" s="30">
        <f ca="1">IFERROR(__xludf.DUMMYFUNCTION("XLOOKUP($B103,IMPORTRANGE(""https://docs.google.com/spreadsheets/d/1EjEqG6oc_vmuAWwHnH51YMvSMVUVePUqNn9zZBOmHT8/edit#gid=757525651"",""'Allocation Breakdown'!A4:A187""),IMPORTRANGE(""https://docs.google.com/spreadsheets/d/1EjEqG6oc_vmuAWwHnH51YMvSMVUVePUq"&amp;"Nn9zZBOmHT8/edit#gid=757525651"",""'Allocation Breakdown'!r4:r187""))*S$119"),2000)</f>
        <v>2000</v>
      </c>
      <c r="T103" s="30">
        <f ca="1">IFERROR(__xludf.DUMMYFUNCTION("XLOOKUP($B103,IMPORTRANGE(""https://docs.google.com/spreadsheets/d/1EjEqG6oc_vmuAWwHnH51YMvSMVUVePUqNn9zZBOmHT8/edit#gid=757525651"",""'Allocation Breakdown'!A4:A187""),IMPORTRANGE(""https://docs.google.com/spreadsheets/d/1EjEqG6oc_vmuAWwHnH51YMvSMVUVePUq"&amp;"Nn9zZBOmHT8/edit#gid=757525651"",""'Allocation Breakdown'!t4:t187""))*T$119"),7000)</f>
        <v>7000</v>
      </c>
      <c r="U103" s="30">
        <f ca="1">IFERROR(__xludf.DUMMYFUNCTION("XLOOKUP($B103,IMPORTRANGE(""https://docs.google.com/spreadsheets/d/1EjEqG6oc_vmuAWwHnH51YMvSMVUVePUqNn9zZBOmHT8/edit#gid=757525651"",""'Allocation Breakdown'!A4:A187""),IMPORTRANGE(""https://docs.google.com/spreadsheets/d/1EjEqG6oc_vmuAWwHnH51YMvSMVUVePUq"&amp;"Nn9zZBOmHT8/edit#gid=757525651"",""'Allocation Breakdown'!U4:U187""))*U$119"),11000)</f>
        <v>11000</v>
      </c>
      <c r="V103" s="31">
        <f t="shared" ca="1" si="1"/>
        <v>67269.172435405635</v>
      </c>
      <c r="W103" s="31">
        <f t="shared" ca="1" si="2"/>
        <v>73100.953745987179</v>
      </c>
      <c r="Z103" s="32"/>
      <c r="AA103" s="32"/>
      <c r="AB103" s="32"/>
    </row>
    <row r="104" spans="2:28" ht="15.75" customHeight="1">
      <c r="B104" s="28" t="s">
        <v>201</v>
      </c>
      <c r="C104" s="30">
        <f ca="1">IFERROR(__xludf.DUMMYFUNCTION("XLOOKUP($B104,IMPORTRANGE(""https://docs.google.com/spreadsheets/d/1EjEqG6oc_vmuAWwHnH51YMvSMVUVePUqNn9zZBOmHT8/edit#gid=757525651"",""'Allocation Breakdown'!A4:A187""),IMPORTRANGE(""https://docs.google.com/spreadsheets/d/1EjEqG6oc_vmuAWwHnH51YMvSMVUVePUq"&amp;"Nn9zZBOmHT8/edit#gid=757525651"",""'Allocation Breakdown'!V4:V187""))*C$119"),0)</f>
        <v>0</v>
      </c>
      <c r="D104" s="30">
        <f ca="1">IFERROR(__xludf.DUMMYFUNCTION("XLOOKUP($B104,IMPORTRANGE(""https://docs.google.com/spreadsheets/d/1EjEqG6oc_vmuAWwHnH51YMvSMVUVePUqNn9zZBOmHT8/edit#gid=757525651"",""'Allocation Breakdown'!A4:A187""),IMPORTRANGE(""https://docs.google.com/spreadsheets/d/1EjEqG6oc_vmuAWwHnH51YMvSMVUVePUq"&amp;"Nn9zZBOmHT8/edit#gid=757525651"",""'Allocation Breakdown'!I4:I187""))*$D$119"),7112.7958416655)</f>
        <v>7112.7958416655001</v>
      </c>
      <c r="E104" s="30">
        <f ca="1">IFERROR(__xludf.DUMMYFUNCTION("XLOOKUP($B104,IMPORTRANGE(""https://docs.google.com/spreadsheets/d/1EjEqG6oc_vmuAWwHnH51YMvSMVUVePUqNn9zZBOmHT8/edit#gid=757525651"",""'Allocation Breakdown'!A4:A187""),IMPORTRANGE(""https://docs.google.com/spreadsheets/d/1EjEqG6oc_vmuAWwHnH51YMvSMVUVePUq"&amp;"Nn9zZBOmHT8/edit#gid=757525651"",""'Allocation Breakdown'!V4:V187""))*E$119"),0)</f>
        <v>0</v>
      </c>
      <c r="F104" s="30">
        <f t="shared" ca="1" si="0"/>
        <v>7112.7958416655001</v>
      </c>
      <c r="G104" s="30">
        <f ca="1">IFERROR(__xludf.DUMMYFUNCTION("XLOOKUP($B104,IMPORTRANGE(""https://docs.google.com/spreadsheets/d/1EjEqG6oc_vmuAWwHnH51YMvSMVUVePUqNn9zZBOmHT8/edit#gid=757525651"",""'Allocation Breakdown'!A4:A187""),IMPORTRANGE(""https://docs.google.com/spreadsheets/d/1EjEqG6oc_vmuAWwHnH51YMvSMVUVePUq"&amp;"Nn9zZBOmHT8/edit#gid=757525651"",""'Allocation Breakdown'!D4:D187""))"),365)</f>
        <v>365</v>
      </c>
      <c r="H104" s="30" t="str">
        <f ca="1">IFERROR(__xludf.DUMMYFUNCTION("XLOOKUP($B104,IMPORTRANGE(""https://docs.google.com/spreadsheets/d/1EjEqG6oc_vmuAWwHnH51YMvSMVUVePUqNn9zZBOmHT8/edit#gid=757525651"",""'Allocation Breakdown'!A4:A187""),IMPORTRANGE(""https://docs.google.com/spreadsheets/d/1EjEqG6oc_vmuAWwHnH51YMvSMVUVePUq"&amp;"Nn9zZBOmHT8/edit#gid=757525651"",""'Allocation Breakdown'!E4:E187""))"),"")</f>
        <v/>
      </c>
      <c r="I104" s="30">
        <f ca="1">IFERROR(__xludf.DUMMYFUNCTION("XLOOKUP($B104,IMPORTRANGE(""https://docs.google.com/spreadsheets/d/1EjEqG6oc_vmuAWwHnH51YMvSMVUVePUqNn9zZBOmHT8/edit#gid=757525651"",""'Allocation Breakdown'!A4:A187""),IMPORTRANGE(""https://docs.google.com/spreadsheets/d/1EjEqG6oc_vmuAWwHnH51YMvSMVUVePUq"&amp;"Nn9zZBOmHT8/edit#gid=757525651"",""'Allocation Breakdown'!F4:F187""))"),1445)</f>
        <v>1445</v>
      </c>
      <c r="J104" s="30">
        <f ca="1">IFERROR(__xludf.DUMMYFUNCTION("XLOOKUP($B104,IMPORTRANGE(""https://docs.google.com/spreadsheets/d/1EjEqG6oc_vmuAWwHnH51YMvSMVUVePUqNn9zZBOmHT8/edit#gid=757525651"",""'Allocation Breakdown'!A4:A187""),IMPORTRANGE(""https://docs.google.com/spreadsheets/d/1EjEqG6oc_vmuAWwHnH51YMvSMVUVePUq"&amp;"Nn9zZBOmHT8/edit#gid=757525651"",""'Allocation Breakdown'!G4:G187""))"),9000)</f>
        <v>9000</v>
      </c>
      <c r="K104" s="30">
        <f ca="1">IFERROR(__xludf.DUMMYFUNCTION("XLOOKUP($B104,IMPORTRANGE(""https://docs.google.com/spreadsheets/d/1EjEqG6oc_vmuAWwHnH51YMvSMVUVePUqNn9zZBOmHT8/edit#gid=757525651"",""'Allocation Breakdown'!A4:A187""),IMPORTRANGE(""https://docs.google.com/spreadsheets/d/1EjEqG6oc_vmuAWwHnH51YMvSMVUVePUq"&amp;"Nn9zZBOmHT8/edit#gid=757525651"",""'Allocation Breakdown'!I4:I187""))*K$119"),624.9384636)</f>
        <v>624.93846359999998</v>
      </c>
      <c r="L104" s="30">
        <f ca="1">IFERROR(__xludf.DUMMYFUNCTION("XLOOKUP($B104,IMPORTRANGE(""https://docs.google.com/spreadsheets/d/1EjEqG6oc_vmuAWwHnH51YMvSMVUVePUqNn9zZBOmHT8/edit#gid=757525651"",""'Allocation Breakdown'!A4:A187""),IMPORTRANGE(""https://docs.google.com/spreadsheets/d/1EjEqG6oc_vmuAWwHnH51YMvSMVUVePUq"&amp;"Nn9zZBOmHT8/edit#gid=757525651"",""'Allocation Breakdown'!j4:j187""))*L$119"),3701.5422305)</f>
        <v>3701.5422305000002</v>
      </c>
      <c r="M104" s="30">
        <f ca="1">IFERROR(__xludf.DUMMYFUNCTION("XLOOKUP($B104,IMPORTRANGE(""https://docs.google.com/spreadsheets/d/1EjEqG6oc_vmuAWwHnH51YMvSMVUVePUqNn9zZBOmHT8/edit#gid=757525651"",""'Allocation Breakdown'!A4:A187""),IMPORTRANGE(""https://docs.google.com/spreadsheets/d/1EjEqG6oc_vmuAWwHnH51YMvSMVUVePUq"&amp;"Nn9zZBOmHT8/edit#gid=757525651"",""'Allocation Breakdown'!K4:K187""))*M$119"),3588.6226095)</f>
        <v>3588.6226095000002</v>
      </c>
      <c r="N104" s="30">
        <f ca="1">IFERROR(__xludf.DUMMYFUNCTION("XLOOKUP($B104,IMPORTRANGE(""https://docs.google.com/spreadsheets/d/1EjEqG6oc_vmuAWwHnH51YMvSMVUVePUqNn9zZBOmHT8/edit#gid=757525651"",""'Allocation Breakdown'!A4:A187""),IMPORTRANGE(""https://docs.google.com/spreadsheets/d/1EjEqG6oc_vmuAWwHnH51YMvSMVUVePUq"&amp;"Nn9zZBOmHT8/edit#gid=757525651"",""'Allocation Breakdown'!l4:l187""))*N$119"),951.8600508)</f>
        <v>951.86005079999995</v>
      </c>
      <c r="O104" s="30">
        <f ca="1">IFERROR(__xludf.DUMMYFUNCTION("XLOOKUP($B104,IMPORTRANGE(""https://docs.google.com/spreadsheets/d/1EjEqG6oc_vmuAWwHnH51YMvSMVUVePUqNn9zZBOmHT8/edit#gid=757525651"",""'Allocation Breakdown'!A4:A187""),IMPORTRANGE(""https://docs.google.com/spreadsheets/d/1EjEqG6oc_vmuAWwHnH51YMvSMVUVePUq"&amp;"Nn9zZBOmHT8/edit#gid=757525651"",""'Allocation Breakdown'!n4:n187""))*O$119"),5000)</f>
        <v>5000</v>
      </c>
      <c r="P104" s="30">
        <f ca="1">IFERROR(__xludf.DUMMYFUNCTION("XLOOKUP($B104,IMPORTRANGE(""https://docs.google.com/spreadsheets/d/1EjEqG6oc_vmuAWwHnH51YMvSMVUVePUqNn9zZBOmHT8/edit#gid=757525651"",""'Allocation Breakdown'!A4:A187""),IMPORTRANGE(""https://docs.google.com/spreadsheets/d/1EjEqG6oc_vmuAWwHnH51YMvSMVUVePUq"&amp;"Nn9zZBOmHT8/edit#gid=757525651"",""'Allocation Breakdown'!o4:o187""))*P$119"),4400)</f>
        <v>4400</v>
      </c>
      <c r="Q104" s="30">
        <f ca="1">IFERROR(__xludf.DUMMYFUNCTION("XLOOKUP($B104,IMPORTRANGE(""https://docs.google.com/spreadsheets/d/1EjEqG6oc_vmuAWwHnH51YMvSMVUVePUqNn9zZBOmHT8/edit#gid=757525651"",""'Allocation Breakdown'!A4:A187""),IMPORTRANGE(""https://docs.google.com/spreadsheets/d/1EjEqG6oc_vmuAWwHnH51YMvSMVUVePUq"&amp;"Nn9zZBOmHT8/edit#gid=757525651"",""'Allocation Breakdown'!p4:p187""))*Q$119"),2000)</f>
        <v>2000</v>
      </c>
      <c r="R104" s="30">
        <f ca="1">IFERROR(__xludf.DUMMYFUNCTION("XLOOKUP($B104,IMPORTRANGE(""https://docs.google.com/spreadsheets/d/1EjEqG6oc_vmuAWwHnH51YMvSMVUVePUqNn9zZBOmHT8/edit#gid=757525651"",""'Allocation Breakdown'!A4:A187""),IMPORTRANGE(""https://docs.google.com/spreadsheets/d/1EjEqG6oc_vmuAWwHnH51YMvSMVUVePUq"&amp;"Nn9zZBOmHT8/edit#gid=757525651"",""'Allocation Breakdown'!q4:q187""))*R$119"),2000)</f>
        <v>2000</v>
      </c>
      <c r="S104" s="30">
        <f ca="1">IFERROR(__xludf.DUMMYFUNCTION("XLOOKUP($B104,IMPORTRANGE(""https://docs.google.com/spreadsheets/d/1EjEqG6oc_vmuAWwHnH51YMvSMVUVePUqNn9zZBOmHT8/edit#gid=757525651"",""'Allocation Breakdown'!A4:A187""),IMPORTRANGE(""https://docs.google.com/spreadsheets/d/1EjEqG6oc_vmuAWwHnH51YMvSMVUVePUq"&amp;"Nn9zZBOmHT8/edit#gid=757525651"",""'Allocation Breakdown'!r4:r187""))*S$119"),2000)</f>
        <v>2000</v>
      </c>
      <c r="T104" s="30">
        <f ca="1">IFERROR(__xludf.DUMMYFUNCTION("XLOOKUP($B104,IMPORTRANGE(""https://docs.google.com/spreadsheets/d/1EjEqG6oc_vmuAWwHnH51YMvSMVUVePUqNn9zZBOmHT8/edit#gid=757525651"",""'Allocation Breakdown'!A4:A187""),IMPORTRANGE(""https://docs.google.com/spreadsheets/d/1EjEqG6oc_vmuAWwHnH51YMvSMVUVePUq"&amp;"Nn9zZBOmHT8/edit#gid=757525651"",""'Allocation Breakdown'!t4:t187""))*T$119"),7000)</f>
        <v>7000</v>
      </c>
      <c r="U104" s="30">
        <f ca="1">IFERROR(__xludf.DUMMYFUNCTION("XLOOKUP($B104,IMPORTRANGE(""https://docs.google.com/spreadsheets/d/1EjEqG6oc_vmuAWwHnH51YMvSMVUVePUqNn9zZBOmHT8/edit#gid=757525651"",""'Allocation Breakdown'!A4:A187""),IMPORTRANGE(""https://docs.google.com/spreadsheets/d/1EjEqG6oc_vmuAWwHnH51YMvSMVUVePUq"&amp;"Nn9zZBOmHT8/edit#gid=757525651"",""'Allocation Breakdown'!U4:U187""))*U$119"),11000)</f>
        <v>11000</v>
      </c>
      <c r="V104" s="31">
        <f t="shared" ca="1" si="1"/>
        <v>53076.963354400003</v>
      </c>
      <c r="W104" s="31">
        <f t="shared" ca="1" si="2"/>
        <v>60189.759196065505</v>
      </c>
      <c r="Z104" s="32"/>
      <c r="AA104" s="32"/>
      <c r="AB104" s="32"/>
    </row>
    <row r="105" spans="2:28" ht="15.75" customHeight="1">
      <c r="B105" s="28" t="s">
        <v>202</v>
      </c>
      <c r="C105" s="30">
        <f ca="1">IFERROR(__xludf.DUMMYFUNCTION("XLOOKUP($B105,IMPORTRANGE(""https://docs.google.com/spreadsheets/d/1EjEqG6oc_vmuAWwHnH51YMvSMVUVePUqNn9zZBOmHT8/edit#gid=757525651"",""'Allocation Breakdown'!A4:A187""),IMPORTRANGE(""https://docs.google.com/spreadsheets/d/1EjEqG6oc_vmuAWwHnH51YMvSMVUVePUq"&amp;"Nn9zZBOmHT8/edit#gid=757525651"",""'Allocation Breakdown'!V4:V187""))*C$119"),777.38105487)</f>
        <v>777.38105486999996</v>
      </c>
      <c r="D105" s="30">
        <f ca="1">IFERROR(__xludf.DUMMYFUNCTION("XLOOKUP($B105,IMPORTRANGE(""https://docs.google.com/spreadsheets/d/1EjEqG6oc_vmuAWwHnH51YMvSMVUVePUqNn9zZBOmHT8/edit#gid=757525651"",""'Allocation Breakdown'!A4:A187""),IMPORTRANGE(""https://docs.google.com/spreadsheets/d/1EjEqG6oc_vmuAWwHnH51YMvSMVUVePUq"&amp;"Nn9zZBOmHT8/edit#gid=757525651"",""'Allocation Breakdown'!I4:I187""))*$D$119"),7112.7958416655)</f>
        <v>7112.7958416655001</v>
      </c>
      <c r="E105" s="30">
        <f ca="1">IFERROR(__xludf.DUMMYFUNCTION("XLOOKUP($B105,IMPORTRANGE(""https://docs.google.com/spreadsheets/d/1EjEqG6oc_vmuAWwHnH51YMvSMVUVePUqNn9zZBOmHT8/edit#gid=757525651"",""'Allocation Breakdown'!A4:A187""),IMPORTRANGE(""https://docs.google.com/spreadsheets/d/1EjEqG6oc_vmuAWwHnH51YMvSMVUVePUq"&amp;"Nn9zZBOmHT8/edit#gid=757525651"",""'Allocation Breakdown'!V4:V187""))*E$119"),272.61894513)</f>
        <v>272.61894512999999</v>
      </c>
      <c r="F105" s="30">
        <f t="shared" ca="1" si="0"/>
        <v>7385.4147867954998</v>
      </c>
      <c r="G105" s="30">
        <f ca="1">IFERROR(__xludf.DUMMYFUNCTION("XLOOKUP($B105,IMPORTRANGE(""https://docs.google.com/spreadsheets/d/1EjEqG6oc_vmuAWwHnH51YMvSMVUVePUqNn9zZBOmHT8/edit#gid=757525651"",""'Allocation Breakdown'!A4:A187""),IMPORTRANGE(""https://docs.google.com/spreadsheets/d/1EjEqG6oc_vmuAWwHnH51YMvSMVUVePUq"&amp;"Nn9zZBOmHT8/edit#gid=757525651"",""'Allocation Breakdown'!D4:D187""))"),5000)</f>
        <v>5000</v>
      </c>
      <c r="H105" s="30" t="str">
        <f ca="1">IFERROR(__xludf.DUMMYFUNCTION("XLOOKUP($B105,IMPORTRANGE(""https://docs.google.com/spreadsheets/d/1EjEqG6oc_vmuAWwHnH51YMvSMVUVePUqNn9zZBOmHT8/edit#gid=757525651"",""'Allocation Breakdown'!A4:A187""),IMPORTRANGE(""https://docs.google.com/spreadsheets/d/1EjEqG6oc_vmuAWwHnH51YMvSMVUVePUq"&amp;"Nn9zZBOmHT8/edit#gid=757525651"",""'Allocation Breakdown'!E4:E187""))"),"")</f>
        <v/>
      </c>
      <c r="I105" s="30" t="str">
        <f ca="1">IFERROR(__xludf.DUMMYFUNCTION("XLOOKUP($B105,IMPORTRANGE(""https://docs.google.com/spreadsheets/d/1EjEqG6oc_vmuAWwHnH51YMvSMVUVePUqNn9zZBOmHT8/edit#gid=757525651"",""'Allocation Breakdown'!A4:A187""),IMPORTRANGE(""https://docs.google.com/spreadsheets/d/1EjEqG6oc_vmuAWwHnH51YMvSMVUVePUq"&amp;"Nn9zZBOmHT8/edit#gid=757525651"",""'Allocation Breakdown'!F4:F187""))"),"")</f>
        <v/>
      </c>
      <c r="J105" s="30" t="str">
        <f ca="1">IFERROR(__xludf.DUMMYFUNCTION("XLOOKUP($B105,IMPORTRANGE(""https://docs.google.com/spreadsheets/d/1EjEqG6oc_vmuAWwHnH51YMvSMVUVePUqNn9zZBOmHT8/edit#gid=757525651"",""'Allocation Breakdown'!A4:A187""),IMPORTRANGE(""https://docs.google.com/spreadsheets/d/1EjEqG6oc_vmuAWwHnH51YMvSMVUVePUq"&amp;"Nn9zZBOmHT8/edit#gid=757525651"",""'Allocation Breakdown'!G4:G187""))"),"")</f>
        <v/>
      </c>
      <c r="K105" s="30">
        <f ca="1">IFERROR(__xludf.DUMMYFUNCTION("XLOOKUP($B105,IMPORTRANGE(""https://docs.google.com/spreadsheets/d/1EjEqG6oc_vmuAWwHnH51YMvSMVUVePUqNn9zZBOmHT8/edit#gid=757525651"",""'Allocation Breakdown'!A4:A187""),IMPORTRANGE(""https://docs.google.com/spreadsheets/d/1EjEqG6oc_vmuAWwHnH51YMvSMVUVePUq"&amp;"Nn9zZBOmHT8/edit#gid=757525651"",""'Allocation Breakdown'!I4:I187""))*K$119"),624.9384636)</f>
        <v>624.93846359999998</v>
      </c>
      <c r="L105" s="30">
        <f ca="1">IFERROR(__xludf.DUMMYFUNCTION("XLOOKUP($B105,IMPORTRANGE(""https://docs.google.com/spreadsheets/d/1EjEqG6oc_vmuAWwHnH51YMvSMVUVePUqNn9zZBOmHT8/edit#gid=757525651"",""'Allocation Breakdown'!A4:A187""),IMPORTRANGE(""https://docs.google.com/spreadsheets/d/1EjEqG6oc_vmuAWwHnH51YMvSMVUVePUq"&amp;"Nn9zZBOmHT8/edit#gid=757525651"",""'Allocation Breakdown'!j4:j187""))*L$119"),0)</f>
        <v>0</v>
      </c>
      <c r="M105" s="30">
        <f ca="1">IFERROR(__xludf.DUMMYFUNCTION("XLOOKUP($B105,IMPORTRANGE(""https://docs.google.com/spreadsheets/d/1EjEqG6oc_vmuAWwHnH51YMvSMVUVePUqNn9zZBOmHT8/edit#gid=757525651"",""'Allocation Breakdown'!A4:A187""),IMPORTRANGE(""https://docs.google.com/spreadsheets/d/1EjEqG6oc_vmuAWwHnH51YMvSMVUVePUq"&amp;"Nn9zZBOmHT8/edit#gid=757525651"",""'Allocation Breakdown'!K4:K187""))*M$119"),0)</f>
        <v>0</v>
      </c>
      <c r="N105" s="30">
        <f ca="1">IFERROR(__xludf.DUMMYFUNCTION("XLOOKUP($B105,IMPORTRANGE(""https://docs.google.com/spreadsheets/d/1EjEqG6oc_vmuAWwHnH51YMvSMVUVePUqNn9zZBOmHT8/edit#gid=757525651"",""'Allocation Breakdown'!A4:A187""),IMPORTRANGE(""https://docs.google.com/spreadsheets/d/1EjEqG6oc_vmuAWwHnH51YMvSMVUVePUq"&amp;"Nn9zZBOmHT8/edit#gid=757525651"",""'Allocation Breakdown'!l4:l187""))*N$119"),951.8600508)</f>
        <v>951.86005079999995</v>
      </c>
      <c r="O105" s="30">
        <f ca="1">IFERROR(__xludf.DUMMYFUNCTION("XLOOKUP($B105,IMPORTRANGE(""https://docs.google.com/spreadsheets/d/1EjEqG6oc_vmuAWwHnH51YMvSMVUVePUqNn9zZBOmHT8/edit#gid=757525651"",""'Allocation Breakdown'!A4:A187""),IMPORTRANGE(""https://docs.google.com/spreadsheets/d/1EjEqG6oc_vmuAWwHnH51YMvSMVUVePUq"&amp;"Nn9zZBOmHT8/edit#gid=757525651"",""'Allocation Breakdown'!n4:n187""))*O$119"),22000)</f>
        <v>22000</v>
      </c>
      <c r="P105" s="30">
        <f ca="1">IFERROR(__xludf.DUMMYFUNCTION("XLOOKUP($B105,IMPORTRANGE(""https://docs.google.com/spreadsheets/d/1EjEqG6oc_vmuAWwHnH51YMvSMVUVePUqNn9zZBOmHT8/edit#gid=757525651"",""'Allocation Breakdown'!A4:A187""),IMPORTRANGE(""https://docs.google.com/spreadsheets/d/1EjEqG6oc_vmuAWwHnH51YMvSMVUVePUq"&amp;"Nn9zZBOmHT8/edit#gid=757525651"",""'Allocation Breakdown'!o4:o187""))*P$119"),0)</f>
        <v>0</v>
      </c>
      <c r="Q105" s="30">
        <f ca="1">IFERROR(__xludf.DUMMYFUNCTION("XLOOKUP($B105,IMPORTRANGE(""https://docs.google.com/spreadsheets/d/1EjEqG6oc_vmuAWwHnH51YMvSMVUVePUqNn9zZBOmHT8/edit#gid=757525651"",""'Allocation Breakdown'!A4:A187""),IMPORTRANGE(""https://docs.google.com/spreadsheets/d/1EjEqG6oc_vmuAWwHnH51YMvSMVUVePUq"&amp;"Nn9zZBOmHT8/edit#gid=757525651"",""'Allocation Breakdown'!p4:p187""))*Q$119"),0)</f>
        <v>0</v>
      </c>
      <c r="R105" s="30">
        <f ca="1">IFERROR(__xludf.DUMMYFUNCTION("XLOOKUP($B105,IMPORTRANGE(""https://docs.google.com/spreadsheets/d/1EjEqG6oc_vmuAWwHnH51YMvSMVUVePUqNn9zZBOmHT8/edit#gid=757525651"",""'Allocation Breakdown'!A4:A187""),IMPORTRANGE(""https://docs.google.com/spreadsheets/d/1EjEqG6oc_vmuAWwHnH51YMvSMVUVePUq"&amp;"Nn9zZBOmHT8/edit#gid=757525651"",""'Allocation Breakdown'!q4:q187""))*R$119"),0)</f>
        <v>0</v>
      </c>
      <c r="S105" s="30">
        <f ca="1">IFERROR(__xludf.DUMMYFUNCTION("XLOOKUP($B105,IMPORTRANGE(""https://docs.google.com/spreadsheets/d/1EjEqG6oc_vmuAWwHnH51YMvSMVUVePUqNn9zZBOmHT8/edit#gid=757525651"",""'Allocation Breakdown'!A4:A187""),IMPORTRANGE(""https://docs.google.com/spreadsheets/d/1EjEqG6oc_vmuAWwHnH51YMvSMVUVePUq"&amp;"Nn9zZBOmHT8/edit#gid=757525651"",""'Allocation Breakdown'!r4:r187""))*S$119"),0)</f>
        <v>0</v>
      </c>
      <c r="T105" s="30">
        <f ca="1">IFERROR(__xludf.DUMMYFUNCTION("XLOOKUP($B105,IMPORTRANGE(""https://docs.google.com/spreadsheets/d/1EjEqG6oc_vmuAWwHnH51YMvSMVUVePUqNn9zZBOmHT8/edit#gid=757525651"",""'Allocation Breakdown'!A4:A187""),IMPORTRANGE(""https://docs.google.com/spreadsheets/d/1EjEqG6oc_vmuAWwHnH51YMvSMVUVePUq"&amp;"Nn9zZBOmHT8/edit#gid=757525651"",""'Allocation Breakdown'!t4:t187""))*T$119"),7000)</f>
        <v>7000</v>
      </c>
      <c r="U105" s="30">
        <f ca="1">IFERROR(__xludf.DUMMYFUNCTION("XLOOKUP($B105,IMPORTRANGE(""https://docs.google.com/spreadsheets/d/1EjEqG6oc_vmuAWwHnH51YMvSMVUVePUqNn9zZBOmHT8/edit#gid=757525651"",""'Allocation Breakdown'!A4:A187""),IMPORTRANGE(""https://docs.google.com/spreadsheets/d/1EjEqG6oc_vmuAWwHnH51YMvSMVUVePUq"&amp;"Nn9zZBOmHT8/edit#gid=757525651"",""'Allocation Breakdown'!U4:U187""))*U$119"),0)</f>
        <v>0</v>
      </c>
      <c r="V105" s="31">
        <f t="shared" ca="1" si="1"/>
        <v>35576.798514399998</v>
      </c>
      <c r="W105" s="31">
        <f t="shared" ca="1" si="2"/>
        <v>43739.5943560655</v>
      </c>
      <c r="Z105" s="32"/>
      <c r="AA105" s="32"/>
      <c r="AB105" s="32"/>
    </row>
    <row r="106" spans="2:28" ht="15.75" customHeight="1">
      <c r="B106" s="28" t="s">
        <v>203</v>
      </c>
      <c r="C106" s="30">
        <f ca="1">IFERROR(__xludf.DUMMYFUNCTION("XLOOKUP($B106,IMPORTRANGE(""https://docs.google.com/spreadsheets/d/1EjEqG6oc_vmuAWwHnH51YMvSMVUVePUqNn9zZBOmHT8/edit#gid=757525651"",""'Allocation Breakdown'!A4:A187""),IMPORTRANGE(""https://docs.google.com/spreadsheets/d/1EjEqG6oc_vmuAWwHnH51YMvSMVUVePUq"&amp;"Nn9zZBOmHT8/edit#gid=757525651"",""'Allocation Breakdown'!V4:V187""))*C$119"),777.38105487)</f>
        <v>777.38105486999996</v>
      </c>
      <c r="D106" s="30">
        <f ca="1">IFERROR(__xludf.DUMMYFUNCTION("XLOOKUP($B106,IMPORTRANGE(""https://docs.google.com/spreadsheets/d/1EjEqG6oc_vmuAWwHnH51YMvSMVUVePUqNn9zZBOmHT8/edit#gid=757525651"",""'Allocation Breakdown'!A4:A187""),IMPORTRANGE(""https://docs.google.com/spreadsheets/d/1EjEqG6oc_vmuAWwHnH51YMvSMVUVePUq"&amp;"Nn9zZBOmHT8/edit#gid=757525651"",""'Allocation Breakdown'!I4:I187""))*$D$119"),7112.7958416655)</f>
        <v>7112.7958416655001</v>
      </c>
      <c r="E106" s="30">
        <f ca="1">IFERROR(__xludf.DUMMYFUNCTION("XLOOKUP($B106,IMPORTRANGE(""https://docs.google.com/spreadsheets/d/1EjEqG6oc_vmuAWwHnH51YMvSMVUVePUqNn9zZBOmHT8/edit#gid=757525651"",""'Allocation Breakdown'!A4:A187""),IMPORTRANGE(""https://docs.google.com/spreadsheets/d/1EjEqG6oc_vmuAWwHnH51YMvSMVUVePUq"&amp;"Nn9zZBOmHT8/edit#gid=757525651"",""'Allocation Breakdown'!V4:V187""))*E$119"),272.61894513)</f>
        <v>272.61894512999999</v>
      </c>
      <c r="F106" s="30">
        <f t="shared" ca="1" si="0"/>
        <v>7385.4147867954998</v>
      </c>
      <c r="G106" s="30" t="str">
        <f ca="1">IFERROR(__xludf.DUMMYFUNCTION("XLOOKUP($B106,IMPORTRANGE(""https://docs.google.com/spreadsheets/d/1EjEqG6oc_vmuAWwHnH51YMvSMVUVePUqNn9zZBOmHT8/edit#gid=757525651"",""'Allocation Breakdown'!A4:A187""),IMPORTRANGE(""https://docs.google.com/spreadsheets/d/1EjEqG6oc_vmuAWwHnH51YMvSMVUVePUq"&amp;"Nn9zZBOmHT8/edit#gid=757525651"",""'Allocation Breakdown'!D4:D187""))"),"")</f>
        <v/>
      </c>
      <c r="H106" s="30">
        <f ca="1">IFERROR(__xludf.DUMMYFUNCTION("XLOOKUP($B106,IMPORTRANGE(""https://docs.google.com/spreadsheets/d/1EjEqG6oc_vmuAWwHnH51YMvSMVUVePUqNn9zZBOmHT8/edit#gid=757525651"",""'Allocation Breakdown'!A4:A187""),IMPORTRANGE(""https://docs.google.com/spreadsheets/d/1EjEqG6oc_vmuAWwHnH51YMvSMVUVePUq"&amp;"Nn9zZBOmHT8/edit#gid=757525651"",""'Allocation Breakdown'!E4:E187""))"),100000)</f>
        <v>100000</v>
      </c>
      <c r="I106" s="30">
        <f ca="1">IFERROR(__xludf.DUMMYFUNCTION("XLOOKUP($B106,IMPORTRANGE(""https://docs.google.com/spreadsheets/d/1EjEqG6oc_vmuAWwHnH51YMvSMVUVePUqNn9zZBOmHT8/edit#gid=757525651"",""'Allocation Breakdown'!A4:A187""),IMPORTRANGE(""https://docs.google.com/spreadsheets/d/1EjEqG6oc_vmuAWwHnH51YMvSMVUVePUq"&amp;"Nn9zZBOmHT8/edit#gid=757525651"",""'Allocation Breakdown'!F4:F187""))"),18000)</f>
        <v>18000</v>
      </c>
      <c r="J106" s="30">
        <f ca="1">IFERROR(__xludf.DUMMYFUNCTION("XLOOKUP($B106,IMPORTRANGE(""https://docs.google.com/spreadsheets/d/1EjEqG6oc_vmuAWwHnH51YMvSMVUVePUqNn9zZBOmHT8/edit#gid=757525651"",""'Allocation Breakdown'!A4:A187""),IMPORTRANGE(""https://docs.google.com/spreadsheets/d/1EjEqG6oc_vmuAWwHnH51YMvSMVUVePUq"&amp;"Nn9zZBOmHT8/edit#gid=757525651"",""'Allocation Breakdown'!G4:G187""))"),9175)</f>
        <v>9175</v>
      </c>
      <c r="K106" s="30">
        <f ca="1">IFERROR(__xludf.DUMMYFUNCTION("XLOOKUP($B106,IMPORTRANGE(""https://docs.google.com/spreadsheets/d/1EjEqG6oc_vmuAWwHnH51YMvSMVUVePUqNn9zZBOmHT8/edit#gid=757525651"",""'Allocation Breakdown'!A4:A187""),IMPORTRANGE(""https://docs.google.com/spreadsheets/d/1EjEqG6oc_vmuAWwHnH51YMvSMVUVePUq"&amp;"Nn9zZBOmHT8/edit#gid=757525651"",""'Allocation Breakdown'!I4:I187""))*K$119"),624.9384636)</f>
        <v>624.93846359999998</v>
      </c>
      <c r="L106" s="30">
        <f ca="1">IFERROR(__xludf.DUMMYFUNCTION("XLOOKUP($B106,IMPORTRANGE(""https://docs.google.com/spreadsheets/d/1EjEqG6oc_vmuAWwHnH51YMvSMVUVePUqNn9zZBOmHT8/edit#gid=757525651"",""'Allocation Breakdown'!A4:A187""),IMPORTRANGE(""https://docs.google.com/spreadsheets/d/1EjEqG6oc_vmuAWwHnH51YMvSMVUVePUq"&amp;"Nn9zZBOmHT8/edit#gid=757525651"",""'Allocation Breakdown'!j4:j187""))*L$119"),3701.5422305)</f>
        <v>3701.5422305000002</v>
      </c>
      <c r="M106" s="30">
        <f ca="1">IFERROR(__xludf.DUMMYFUNCTION("XLOOKUP($B106,IMPORTRANGE(""https://docs.google.com/spreadsheets/d/1EjEqG6oc_vmuAWwHnH51YMvSMVUVePUqNn9zZBOmHT8/edit#gid=757525651"",""'Allocation Breakdown'!A4:A187""),IMPORTRANGE(""https://docs.google.com/spreadsheets/d/1EjEqG6oc_vmuAWwHnH51YMvSMVUVePUq"&amp;"Nn9zZBOmHT8/edit#gid=757525651"",""'Allocation Breakdown'!K4:K187""))*M$119"),3588.6226095)</f>
        <v>3588.6226095000002</v>
      </c>
      <c r="N106" s="30">
        <f ca="1">IFERROR(__xludf.DUMMYFUNCTION("XLOOKUP($B106,IMPORTRANGE(""https://docs.google.com/spreadsheets/d/1EjEqG6oc_vmuAWwHnH51YMvSMVUVePUqNn9zZBOmHT8/edit#gid=757525651"",""'Allocation Breakdown'!A4:A187""),IMPORTRANGE(""https://docs.google.com/spreadsheets/d/1EjEqG6oc_vmuAWwHnH51YMvSMVUVePUq"&amp;"Nn9zZBOmHT8/edit#gid=757525651"",""'Allocation Breakdown'!l4:l187""))*N$119"),951.8600508)</f>
        <v>951.86005079999995</v>
      </c>
      <c r="O106" s="30">
        <f ca="1">IFERROR(__xludf.DUMMYFUNCTION("XLOOKUP($B106,IMPORTRANGE(""https://docs.google.com/spreadsheets/d/1EjEqG6oc_vmuAWwHnH51YMvSMVUVePUqNn9zZBOmHT8/edit#gid=757525651"",""'Allocation Breakdown'!A4:A187""),IMPORTRANGE(""https://docs.google.com/spreadsheets/d/1EjEqG6oc_vmuAWwHnH51YMvSMVUVePUq"&amp;"Nn9zZBOmHT8/edit#gid=757525651"",""'Allocation Breakdown'!n4:n187""))*O$119"),0)</f>
        <v>0</v>
      </c>
      <c r="P106" s="30">
        <f ca="1">IFERROR(__xludf.DUMMYFUNCTION("XLOOKUP($B106,IMPORTRANGE(""https://docs.google.com/spreadsheets/d/1EjEqG6oc_vmuAWwHnH51YMvSMVUVePUqNn9zZBOmHT8/edit#gid=757525651"",""'Allocation Breakdown'!A4:A187""),IMPORTRANGE(""https://docs.google.com/spreadsheets/d/1EjEqG6oc_vmuAWwHnH51YMvSMVUVePUq"&amp;"Nn9zZBOmHT8/edit#gid=757525651"",""'Allocation Breakdown'!o4:o187""))*P$119"),4400)</f>
        <v>4400</v>
      </c>
      <c r="Q106" s="30">
        <f ca="1">IFERROR(__xludf.DUMMYFUNCTION("XLOOKUP($B106,IMPORTRANGE(""https://docs.google.com/spreadsheets/d/1EjEqG6oc_vmuAWwHnH51YMvSMVUVePUqNn9zZBOmHT8/edit#gid=757525651"",""'Allocation Breakdown'!A4:A187""),IMPORTRANGE(""https://docs.google.com/spreadsheets/d/1EjEqG6oc_vmuAWwHnH51YMvSMVUVePUq"&amp;"Nn9zZBOmHT8/edit#gid=757525651"",""'Allocation Breakdown'!p4:p187""))*Q$119"),2000)</f>
        <v>2000</v>
      </c>
      <c r="R106" s="30">
        <f ca="1">IFERROR(__xludf.DUMMYFUNCTION("XLOOKUP($B106,IMPORTRANGE(""https://docs.google.com/spreadsheets/d/1EjEqG6oc_vmuAWwHnH51YMvSMVUVePUqNn9zZBOmHT8/edit#gid=757525651"",""'Allocation Breakdown'!A4:A187""),IMPORTRANGE(""https://docs.google.com/spreadsheets/d/1EjEqG6oc_vmuAWwHnH51YMvSMVUVePUq"&amp;"Nn9zZBOmHT8/edit#gid=757525651"",""'Allocation Breakdown'!q4:q187""))*R$119"),2000)</f>
        <v>2000</v>
      </c>
      <c r="S106" s="30">
        <f ca="1">IFERROR(__xludf.DUMMYFUNCTION("XLOOKUP($B106,IMPORTRANGE(""https://docs.google.com/spreadsheets/d/1EjEqG6oc_vmuAWwHnH51YMvSMVUVePUqNn9zZBOmHT8/edit#gid=757525651"",""'Allocation Breakdown'!A4:A187""),IMPORTRANGE(""https://docs.google.com/spreadsheets/d/1EjEqG6oc_vmuAWwHnH51YMvSMVUVePUq"&amp;"Nn9zZBOmHT8/edit#gid=757525651"",""'Allocation Breakdown'!r4:r187""))*S$119"),2000)</f>
        <v>2000</v>
      </c>
      <c r="T106" s="30">
        <f ca="1">IFERROR(__xludf.DUMMYFUNCTION("XLOOKUP($B106,IMPORTRANGE(""https://docs.google.com/spreadsheets/d/1EjEqG6oc_vmuAWwHnH51YMvSMVUVePUqNn9zZBOmHT8/edit#gid=757525651"",""'Allocation Breakdown'!A4:A187""),IMPORTRANGE(""https://docs.google.com/spreadsheets/d/1EjEqG6oc_vmuAWwHnH51YMvSMVUVePUq"&amp;"Nn9zZBOmHT8/edit#gid=757525651"",""'Allocation Breakdown'!t4:t187""))*T$119"),7000)</f>
        <v>7000</v>
      </c>
      <c r="U106" s="30">
        <f ca="1">IFERROR(__xludf.DUMMYFUNCTION("XLOOKUP($B106,IMPORTRANGE(""https://docs.google.com/spreadsheets/d/1EjEqG6oc_vmuAWwHnH51YMvSMVUVePUqNn9zZBOmHT8/edit#gid=757525651"",""'Allocation Breakdown'!A4:A187""),IMPORTRANGE(""https://docs.google.com/spreadsheets/d/1EjEqG6oc_vmuAWwHnH51YMvSMVUVePUq"&amp;"Nn9zZBOmHT8/edit#gid=757525651"",""'Allocation Breakdown'!U4:U187""))*U$119"),11000)</f>
        <v>11000</v>
      </c>
      <c r="V106" s="31">
        <f t="shared" ca="1" si="1"/>
        <v>164441.96335439998</v>
      </c>
      <c r="W106" s="31">
        <f t="shared" ca="1" si="2"/>
        <v>172604.75919606548</v>
      </c>
      <c r="Z106" s="32"/>
      <c r="AA106" s="32"/>
      <c r="AB106" s="32"/>
    </row>
    <row r="107" spans="2:28" ht="15.75" customHeight="1">
      <c r="B107" s="28" t="s">
        <v>204</v>
      </c>
      <c r="C107" s="30">
        <f ca="1">IFERROR(__xludf.DUMMYFUNCTION("XLOOKUP($B107,IMPORTRANGE(""https://docs.google.com/spreadsheets/d/1EjEqG6oc_vmuAWwHnH51YMvSMVUVePUqNn9zZBOmHT8/edit#gid=757525651"",""'Allocation Breakdown'!A4:A187""),IMPORTRANGE(""https://docs.google.com/spreadsheets/d/1EjEqG6oc_vmuAWwHnH51YMvSMVUVePUq"&amp;"Nn9zZBOmHT8/edit#gid=757525651"",""'Allocation Breakdown'!V4:V187""))*C$119"),777.38105487)</f>
        <v>777.38105486999996</v>
      </c>
      <c r="D107" s="30">
        <f ca="1">IFERROR(__xludf.DUMMYFUNCTION("XLOOKUP($B107,IMPORTRANGE(""https://docs.google.com/spreadsheets/d/1EjEqG6oc_vmuAWwHnH51YMvSMVUVePUqNn9zZBOmHT8/edit#gid=757525651"",""'Allocation Breakdown'!A4:A187""),IMPORTRANGE(""https://docs.google.com/spreadsheets/d/1EjEqG6oc_vmuAWwHnH51YMvSMVUVePUq"&amp;"Nn9zZBOmHT8/edit#gid=757525651"",""'Allocation Breakdown'!I4:I187""))*$D$119"),0)</f>
        <v>0</v>
      </c>
      <c r="E107" s="30">
        <f ca="1">IFERROR(__xludf.DUMMYFUNCTION("XLOOKUP($B107,IMPORTRANGE(""https://docs.google.com/spreadsheets/d/1EjEqG6oc_vmuAWwHnH51YMvSMVUVePUqNn9zZBOmHT8/edit#gid=757525651"",""'Allocation Breakdown'!A4:A187""),IMPORTRANGE(""https://docs.google.com/spreadsheets/d/1EjEqG6oc_vmuAWwHnH51YMvSMVUVePUq"&amp;"Nn9zZBOmHT8/edit#gid=757525651"",""'Allocation Breakdown'!V4:V187""))*E$119"),272.61894513)</f>
        <v>272.61894512999999</v>
      </c>
      <c r="F107" s="30">
        <f t="shared" ca="1" si="0"/>
        <v>272.61894512999999</v>
      </c>
      <c r="G107" s="30" t="str">
        <f ca="1">IFERROR(__xludf.DUMMYFUNCTION("XLOOKUP($B107,IMPORTRANGE(""https://docs.google.com/spreadsheets/d/1EjEqG6oc_vmuAWwHnH51YMvSMVUVePUqNn9zZBOmHT8/edit#gid=757525651"",""'Allocation Breakdown'!A4:A187""),IMPORTRANGE(""https://docs.google.com/spreadsheets/d/1EjEqG6oc_vmuAWwHnH51YMvSMVUVePUq"&amp;"Nn9zZBOmHT8/edit#gid=757525651"",""'Allocation Breakdown'!D4:D187""))"),"")</f>
        <v/>
      </c>
      <c r="H107" s="30">
        <f ca="1">IFERROR(__xludf.DUMMYFUNCTION("XLOOKUP($B107,IMPORTRANGE(""https://docs.google.com/spreadsheets/d/1EjEqG6oc_vmuAWwHnH51YMvSMVUVePUqNn9zZBOmHT8/edit#gid=757525651"",""'Allocation Breakdown'!A4:A187""),IMPORTRANGE(""https://docs.google.com/spreadsheets/d/1EjEqG6oc_vmuAWwHnH51YMvSMVUVePUq"&amp;"Nn9zZBOmHT8/edit#gid=757525651"",""'Allocation Breakdown'!E4:E187""))"),84000)</f>
        <v>84000</v>
      </c>
      <c r="I107" s="30">
        <f ca="1">IFERROR(__xludf.DUMMYFUNCTION("XLOOKUP($B107,IMPORTRANGE(""https://docs.google.com/spreadsheets/d/1EjEqG6oc_vmuAWwHnH51YMvSMVUVePUqNn9zZBOmHT8/edit#gid=757525651"",""'Allocation Breakdown'!A4:A187""),IMPORTRANGE(""https://docs.google.com/spreadsheets/d/1EjEqG6oc_vmuAWwHnH51YMvSMVUVePUq"&amp;"Nn9zZBOmHT8/edit#gid=757525651"",""'Allocation Breakdown'!F4:F187""))"),18000)</f>
        <v>18000</v>
      </c>
      <c r="J107" s="30" t="str">
        <f ca="1">IFERROR(__xludf.DUMMYFUNCTION("XLOOKUP($B107,IMPORTRANGE(""https://docs.google.com/spreadsheets/d/1EjEqG6oc_vmuAWwHnH51YMvSMVUVePUqNn9zZBOmHT8/edit#gid=757525651"",""'Allocation Breakdown'!A4:A187""),IMPORTRANGE(""https://docs.google.com/spreadsheets/d/1EjEqG6oc_vmuAWwHnH51YMvSMVUVePUq"&amp;"Nn9zZBOmHT8/edit#gid=757525651"",""'Allocation Breakdown'!G4:G187""))"),"")</f>
        <v/>
      </c>
      <c r="K107" s="30">
        <f ca="1">IFERROR(__xludf.DUMMYFUNCTION("XLOOKUP($B107,IMPORTRANGE(""https://docs.google.com/spreadsheets/d/1EjEqG6oc_vmuAWwHnH51YMvSMVUVePUqNn9zZBOmHT8/edit#gid=757525651"",""'Allocation Breakdown'!A4:A187""),IMPORTRANGE(""https://docs.google.com/spreadsheets/d/1EjEqG6oc_vmuAWwHnH51YMvSMVUVePUq"&amp;"Nn9zZBOmHT8/edit#gid=757525651"",""'Allocation Breakdown'!I4:I187""))*K$119"),0)</f>
        <v>0</v>
      </c>
      <c r="L107" s="30">
        <f ca="1">IFERROR(__xludf.DUMMYFUNCTION("XLOOKUP($B107,IMPORTRANGE(""https://docs.google.com/spreadsheets/d/1EjEqG6oc_vmuAWwHnH51YMvSMVUVePUqNn9zZBOmHT8/edit#gid=757525651"",""'Allocation Breakdown'!A4:A187""),IMPORTRANGE(""https://docs.google.com/spreadsheets/d/1EjEqG6oc_vmuAWwHnH51YMvSMVUVePUq"&amp;"Nn9zZBOmHT8/edit#gid=757525651"",""'Allocation Breakdown'!j4:j187""))*L$119"),3701.5422305)</f>
        <v>3701.5422305000002</v>
      </c>
      <c r="M107" s="30">
        <f ca="1">IFERROR(__xludf.DUMMYFUNCTION("XLOOKUP($B107,IMPORTRANGE(""https://docs.google.com/spreadsheets/d/1EjEqG6oc_vmuAWwHnH51YMvSMVUVePUqNn9zZBOmHT8/edit#gid=757525651"",""'Allocation Breakdown'!A4:A187""),IMPORTRANGE(""https://docs.google.com/spreadsheets/d/1EjEqG6oc_vmuAWwHnH51YMvSMVUVePUq"&amp;"Nn9zZBOmHT8/edit#gid=757525651"",""'Allocation Breakdown'!K4:K187""))*M$119"),3588.6226095)</f>
        <v>3588.6226095000002</v>
      </c>
      <c r="N107" s="30">
        <f ca="1">IFERROR(__xludf.DUMMYFUNCTION("XLOOKUP($B107,IMPORTRANGE(""https://docs.google.com/spreadsheets/d/1EjEqG6oc_vmuAWwHnH51YMvSMVUVePUqNn9zZBOmHT8/edit#gid=757525651"",""'Allocation Breakdown'!A4:A187""),IMPORTRANGE(""https://docs.google.com/spreadsheets/d/1EjEqG6oc_vmuAWwHnH51YMvSMVUVePUq"&amp;"Nn9zZBOmHT8/edit#gid=757525651"",""'Allocation Breakdown'!l4:l187""))*N$119"),951.8600508)</f>
        <v>951.86005079999995</v>
      </c>
      <c r="O107" s="30">
        <f ca="1">IFERROR(__xludf.DUMMYFUNCTION("XLOOKUP($B107,IMPORTRANGE(""https://docs.google.com/spreadsheets/d/1EjEqG6oc_vmuAWwHnH51YMvSMVUVePUqNn9zZBOmHT8/edit#gid=757525651"",""'Allocation Breakdown'!A4:A187""),IMPORTRANGE(""https://docs.google.com/spreadsheets/d/1EjEqG6oc_vmuAWwHnH51YMvSMVUVePUq"&amp;"Nn9zZBOmHT8/edit#gid=757525651"",""'Allocation Breakdown'!n4:n187""))*O$119"),0)</f>
        <v>0</v>
      </c>
      <c r="P107" s="30">
        <f ca="1">IFERROR(__xludf.DUMMYFUNCTION("XLOOKUP($B107,IMPORTRANGE(""https://docs.google.com/spreadsheets/d/1EjEqG6oc_vmuAWwHnH51YMvSMVUVePUqNn9zZBOmHT8/edit#gid=757525651"",""'Allocation Breakdown'!A4:A187""),IMPORTRANGE(""https://docs.google.com/spreadsheets/d/1EjEqG6oc_vmuAWwHnH51YMvSMVUVePUq"&amp;"Nn9zZBOmHT8/edit#gid=757525651"",""'Allocation Breakdown'!o4:o187""))*P$119"),0)</f>
        <v>0</v>
      </c>
      <c r="Q107" s="30">
        <f ca="1">IFERROR(__xludf.DUMMYFUNCTION("XLOOKUP($B107,IMPORTRANGE(""https://docs.google.com/spreadsheets/d/1EjEqG6oc_vmuAWwHnH51YMvSMVUVePUqNn9zZBOmHT8/edit#gid=757525651"",""'Allocation Breakdown'!A4:A187""),IMPORTRANGE(""https://docs.google.com/spreadsheets/d/1EjEqG6oc_vmuAWwHnH51YMvSMVUVePUq"&amp;"Nn9zZBOmHT8/edit#gid=757525651"",""'Allocation Breakdown'!p4:p187""))*Q$119"),2000)</f>
        <v>2000</v>
      </c>
      <c r="R107" s="30">
        <f ca="1">IFERROR(__xludf.DUMMYFUNCTION("XLOOKUP($B107,IMPORTRANGE(""https://docs.google.com/spreadsheets/d/1EjEqG6oc_vmuAWwHnH51YMvSMVUVePUqNn9zZBOmHT8/edit#gid=757525651"",""'Allocation Breakdown'!A4:A187""),IMPORTRANGE(""https://docs.google.com/spreadsheets/d/1EjEqG6oc_vmuAWwHnH51YMvSMVUVePUq"&amp;"Nn9zZBOmHT8/edit#gid=757525651"",""'Allocation Breakdown'!q4:q187""))*R$119"),2000)</f>
        <v>2000</v>
      </c>
      <c r="S107" s="30">
        <f ca="1">IFERROR(__xludf.DUMMYFUNCTION("XLOOKUP($B107,IMPORTRANGE(""https://docs.google.com/spreadsheets/d/1EjEqG6oc_vmuAWwHnH51YMvSMVUVePUqNn9zZBOmHT8/edit#gid=757525651"",""'Allocation Breakdown'!A4:A187""),IMPORTRANGE(""https://docs.google.com/spreadsheets/d/1EjEqG6oc_vmuAWwHnH51YMvSMVUVePUq"&amp;"Nn9zZBOmHT8/edit#gid=757525651"",""'Allocation Breakdown'!r4:r187""))*S$119"),0)</f>
        <v>0</v>
      </c>
      <c r="T107" s="30">
        <f ca="1">IFERROR(__xludf.DUMMYFUNCTION("XLOOKUP($B107,IMPORTRANGE(""https://docs.google.com/spreadsheets/d/1EjEqG6oc_vmuAWwHnH51YMvSMVUVePUqNn9zZBOmHT8/edit#gid=757525651"",""'Allocation Breakdown'!A4:A187""),IMPORTRANGE(""https://docs.google.com/spreadsheets/d/1EjEqG6oc_vmuAWwHnH51YMvSMVUVePUq"&amp;"Nn9zZBOmHT8/edit#gid=757525651"",""'Allocation Breakdown'!t4:t187""))*T$119"),7000)</f>
        <v>7000</v>
      </c>
      <c r="U107" s="30">
        <f ca="1">IFERROR(__xludf.DUMMYFUNCTION("XLOOKUP($B107,IMPORTRANGE(""https://docs.google.com/spreadsheets/d/1EjEqG6oc_vmuAWwHnH51YMvSMVUVePUqNn9zZBOmHT8/edit#gid=757525651"",""'Allocation Breakdown'!A4:A187""),IMPORTRANGE(""https://docs.google.com/spreadsheets/d/1EjEqG6oc_vmuAWwHnH51YMvSMVUVePUq"&amp;"Nn9zZBOmHT8/edit#gid=757525651"",""'Allocation Breakdown'!U4:U187""))*U$119"),0)</f>
        <v>0</v>
      </c>
      <c r="V107" s="31">
        <f t="shared" ca="1" si="1"/>
        <v>121242.02489079999</v>
      </c>
      <c r="W107" s="31">
        <f t="shared" ca="1" si="2"/>
        <v>122292.02489079999</v>
      </c>
      <c r="Z107" s="32"/>
      <c r="AA107" s="32"/>
      <c r="AB107" s="32"/>
    </row>
    <row r="108" spans="2:28" ht="15.75" customHeight="1">
      <c r="B108" s="28" t="s">
        <v>205</v>
      </c>
      <c r="C108" s="30">
        <f ca="1">IFERROR(__xludf.DUMMYFUNCTION("XLOOKUP($B108,IMPORTRANGE(""https://docs.google.com/spreadsheets/d/1EjEqG6oc_vmuAWwHnH51YMvSMVUVePUqNn9zZBOmHT8/edit#gid=757525651"",""'Allocation Breakdown'!A4:A187""),IMPORTRANGE(""https://docs.google.com/spreadsheets/d/1EjEqG6oc_vmuAWwHnH51YMvSMVUVePUq"&amp;"Nn9zZBOmHT8/edit#gid=757525651"",""'Allocation Breakdown'!V4:V187""))*C$119"),0)</f>
        <v>0</v>
      </c>
      <c r="D108" s="30">
        <f ca="1">IFERROR(__xludf.DUMMYFUNCTION("XLOOKUP($B108,IMPORTRANGE(""https://docs.google.com/spreadsheets/d/1EjEqG6oc_vmuAWwHnH51YMvSMVUVePUqNn9zZBOmHT8/edit#gid=757525651"",""'Allocation Breakdown'!A4:A187""),IMPORTRANGE(""https://docs.google.com/spreadsheets/d/1EjEqG6oc_vmuAWwHnH51YMvSMVUVePUq"&amp;"Nn9zZBOmHT8/edit#gid=757525651"",""'Allocation Breakdown'!I4:I187""))*$D$119"),7112.7958416655)</f>
        <v>7112.7958416655001</v>
      </c>
      <c r="E108" s="30">
        <f ca="1">IFERROR(__xludf.DUMMYFUNCTION("XLOOKUP($B108,IMPORTRANGE(""https://docs.google.com/spreadsheets/d/1EjEqG6oc_vmuAWwHnH51YMvSMVUVePUqNn9zZBOmHT8/edit#gid=757525651"",""'Allocation Breakdown'!A4:A187""),IMPORTRANGE(""https://docs.google.com/spreadsheets/d/1EjEqG6oc_vmuAWwHnH51YMvSMVUVePUq"&amp;"Nn9zZBOmHT8/edit#gid=757525651"",""'Allocation Breakdown'!V4:V187""))*E$119"),0)</f>
        <v>0</v>
      </c>
      <c r="F108" s="30">
        <f t="shared" ca="1" si="0"/>
        <v>7112.7958416655001</v>
      </c>
      <c r="G108" s="30" t="str">
        <f ca="1">IFERROR(__xludf.DUMMYFUNCTION("XLOOKUP($B108,IMPORTRANGE(""https://docs.google.com/spreadsheets/d/1EjEqG6oc_vmuAWwHnH51YMvSMVUVePUqNn9zZBOmHT8/edit#gid=757525651"",""'Allocation Breakdown'!A4:A187""),IMPORTRANGE(""https://docs.google.com/spreadsheets/d/1EjEqG6oc_vmuAWwHnH51YMvSMVUVePUq"&amp;"Nn9zZBOmHT8/edit#gid=757525651"",""'Allocation Breakdown'!D4:D187""))"),"")</f>
        <v/>
      </c>
      <c r="H108" s="30">
        <f ca="1">IFERROR(__xludf.DUMMYFUNCTION("XLOOKUP($B108,IMPORTRANGE(""https://docs.google.com/spreadsheets/d/1EjEqG6oc_vmuAWwHnH51YMvSMVUVePUqNn9zZBOmHT8/edit#gid=757525651"",""'Allocation Breakdown'!A4:A187""),IMPORTRANGE(""https://docs.google.com/spreadsheets/d/1EjEqG6oc_vmuAWwHnH51YMvSMVUVePUq"&amp;"Nn9zZBOmHT8/edit#gid=757525651"",""'Allocation Breakdown'!E4:E187""))"),10000)</f>
        <v>10000</v>
      </c>
      <c r="I108" s="30" t="str">
        <f ca="1">IFERROR(__xludf.DUMMYFUNCTION("XLOOKUP($B108,IMPORTRANGE(""https://docs.google.com/spreadsheets/d/1EjEqG6oc_vmuAWwHnH51YMvSMVUVePUqNn9zZBOmHT8/edit#gid=757525651"",""'Allocation Breakdown'!A4:A187""),IMPORTRANGE(""https://docs.google.com/spreadsheets/d/1EjEqG6oc_vmuAWwHnH51YMvSMVUVePUq"&amp;"Nn9zZBOmHT8/edit#gid=757525651"",""'Allocation Breakdown'!F4:F187""))"),"")</f>
        <v/>
      </c>
      <c r="J108" s="30" t="str">
        <f ca="1">IFERROR(__xludf.DUMMYFUNCTION("XLOOKUP($B108,IMPORTRANGE(""https://docs.google.com/spreadsheets/d/1EjEqG6oc_vmuAWwHnH51YMvSMVUVePUqNn9zZBOmHT8/edit#gid=757525651"",""'Allocation Breakdown'!A4:A187""),IMPORTRANGE(""https://docs.google.com/spreadsheets/d/1EjEqG6oc_vmuAWwHnH51YMvSMVUVePUq"&amp;"Nn9zZBOmHT8/edit#gid=757525651"",""'Allocation Breakdown'!G4:G187""))"),"")</f>
        <v/>
      </c>
      <c r="K108" s="30">
        <f ca="1">IFERROR(__xludf.DUMMYFUNCTION("XLOOKUP($B108,IMPORTRANGE(""https://docs.google.com/spreadsheets/d/1EjEqG6oc_vmuAWwHnH51YMvSMVUVePUqNn9zZBOmHT8/edit#gid=757525651"",""'Allocation Breakdown'!A4:A187""),IMPORTRANGE(""https://docs.google.com/spreadsheets/d/1EjEqG6oc_vmuAWwHnH51YMvSMVUVePUq"&amp;"Nn9zZBOmHT8/edit#gid=757525651"",""'Allocation Breakdown'!I4:I187""))*K$119"),624.9384636)</f>
        <v>624.93846359999998</v>
      </c>
      <c r="L108" s="30">
        <f ca="1">IFERROR(__xludf.DUMMYFUNCTION("XLOOKUP($B108,IMPORTRANGE(""https://docs.google.com/spreadsheets/d/1EjEqG6oc_vmuAWwHnH51YMvSMVUVePUqNn9zZBOmHT8/edit#gid=757525651"",""'Allocation Breakdown'!A4:A187""),IMPORTRANGE(""https://docs.google.com/spreadsheets/d/1EjEqG6oc_vmuAWwHnH51YMvSMVUVePUq"&amp;"Nn9zZBOmHT8/edit#gid=757525651"",""'Allocation Breakdown'!j4:j187""))*L$119"),3701.5422305)</f>
        <v>3701.5422305000002</v>
      </c>
      <c r="M108" s="30">
        <f ca="1">IFERROR(__xludf.DUMMYFUNCTION("XLOOKUP($B108,IMPORTRANGE(""https://docs.google.com/spreadsheets/d/1EjEqG6oc_vmuAWwHnH51YMvSMVUVePUqNn9zZBOmHT8/edit#gid=757525651"",""'Allocation Breakdown'!A4:A187""),IMPORTRANGE(""https://docs.google.com/spreadsheets/d/1EjEqG6oc_vmuAWwHnH51YMvSMVUVePUq"&amp;"Nn9zZBOmHT8/edit#gid=757525651"",""'Allocation Breakdown'!K4:K187""))*M$119"),0)</f>
        <v>0</v>
      </c>
      <c r="N108" s="30">
        <f ca="1">IFERROR(__xludf.DUMMYFUNCTION("XLOOKUP($B108,IMPORTRANGE(""https://docs.google.com/spreadsheets/d/1EjEqG6oc_vmuAWwHnH51YMvSMVUVePUqNn9zZBOmHT8/edit#gid=757525651"",""'Allocation Breakdown'!A4:A187""),IMPORTRANGE(""https://docs.google.com/spreadsheets/d/1EjEqG6oc_vmuAWwHnH51YMvSMVUVePUq"&amp;"Nn9zZBOmHT8/edit#gid=757525651"",""'Allocation Breakdown'!l4:l187""))*N$119"),951.8600508)</f>
        <v>951.86005079999995</v>
      </c>
      <c r="O108" s="30">
        <f ca="1">IFERROR(__xludf.DUMMYFUNCTION("XLOOKUP($B108,IMPORTRANGE(""https://docs.google.com/spreadsheets/d/1EjEqG6oc_vmuAWwHnH51YMvSMVUVePUqNn9zZBOmHT8/edit#gid=757525651"",""'Allocation Breakdown'!A4:A187""),IMPORTRANGE(""https://docs.google.com/spreadsheets/d/1EjEqG6oc_vmuAWwHnH51YMvSMVUVePUq"&amp;"Nn9zZBOmHT8/edit#gid=757525651"",""'Allocation Breakdown'!n4:n187""))*O$119"),10000)</f>
        <v>10000</v>
      </c>
      <c r="P108" s="30">
        <f ca="1">IFERROR(__xludf.DUMMYFUNCTION("XLOOKUP($B108,IMPORTRANGE(""https://docs.google.com/spreadsheets/d/1EjEqG6oc_vmuAWwHnH51YMvSMVUVePUqNn9zZBOmHT8/edit#gid=757525651"",""'Allocation Breakdown'!A4:A187""),IMPORTRANGE(""https://docs.google.com/spreadsheets/d/1EjEqG6oc_vmuAWwHnH51YMvSMVUVePUq"&amp;"Nn9zZBOmHT8/edit#gid=757525651"",""'Allocation Breakdown'!o4:o187""))*P$119"),0)</f>
        <v>0</v>
      </c>
      <c r="Q108" s="30">
        <f ca="1">IFERROR(__xludf.DUMMYFUNCTION("XLOOKUP($B108,IMPORTRANGE(""https://docs.google.com/spreadsheets/d/1EjEqG6oc_vmuAWwHnH51YMvSMVUVePUqNn9zZBOmHT8/edit#gid=757525651"",""'Allocation Breakdown'!A4:A187""),IMPORTRANGE(""https://docs.google.com/spreadsheets/d/1EjEqG6oc_vmuAWwHnH51YMvSMVUVePUq"&amp;"Nn9zZBOmHT8/edit#gid=757525651"",""'Allocation Breakdown'!p4:p187""))*Q$119"),0)</f>
        <v>0</v>
      </c>
      <c r="R108" s="30">
        <f ca="1">IFERROR(__xludf.DUMMYFUNCTION("XLOOKUP($B108,IMPORTRANGE(""https://docs.google.com/spreadsheets/d/1EjEqG6oc_vmuAWwHnH51YMvSMVUVePUqNn9zZBOmHT8/edit#gid=757525651"",""'Allocation Breakdown'!A4:A187""),IMPORTRANGE(""https://docs.google.com/spreadsheets/d/1EjEqG6oc_vmuAWwHnH51YMvSMVUVePUq"&amp;"Nn9zZBOmHT8/edit#gid=757525651"",""'Allocation Breakdown'!q4:q187""))*R$119"),0)</f>
        <v>0</v>
      </c>
      <c r="S108" s="30">
        <f ca="1">IFERROR(__xludf.DUMMYFUNCTION("XLOOKUP($B108,IMPORTRANGE(""https://docs.google.com/spreadsheets/d/1EjEqG6oc_vmuAWwHnH51YMvSMVUVePUqNn9zZBOmHT8/edit#gid=757525651"",""'Allocation Breakdown'!A4:A187""),IMPORTRANGE(""https://docs.google.com/spreadsheets/d/1EjEqG6oc_vmuAWwHnH51YMvSMVUVePUq"&amp;"Nn9zZBOmHT8/edit#gid=757525651"",""'Allocation Breakdown'!r4:r187""))*S$119"),0)</f>
        <v>0</v>
      </c>
      <c r="T108" s="30">
        <f ca="1">IFERROR(__xludf.DUMMYFUNCTION("XLOOKUP($B108,IMPORTRANGE(""https://docs.google.com/spreadsheets/d/1EjEqG6oc_vmuAWwHnH51YMvSMVUVePUqNn9zZBOmHT8/edit#gid=757525651"",""'Allocation Breakdown'!A4:A187""),IMPORTRANGE(""https://docs.google.com/spreadsheets/d/1EjEqG6oc_vmuAWwHnH51YMvSMVUVePUq"&amp;"Nn9zZBOmHT8/edit#gid=757525651"",""'Allocation Breakdown'!t4:t187""))*T$119"),7000)</f>
        <v>7000</v>
      </c>
      <c r="U108" s="30">
        <f ca="1">IFERROR(__xludf.DUMMYFUNCTION("XLOOKUP($B108,IMPORTRANGE(""https://docs.google.com/spreadsheets/d/1EjEqG6oc_vmuAWwHnH51YMvSMVUVePUqNn9zZBOmHT8/edit#gid=757525651"",""'Allocation Breakdown'!A4:A187""),IMPORTRANGE(""https://docs.google.com/spreadsheets/d/1EjEqG6oc_vmuAWwHnH51YMvSMVUVePUq"&amp;"Nn9zZBOmHT8/edit#gid=757525651"",""'Allocation Breakdown'!U4:U187""))*U$119"),0)</f>
        <v>0</v>
      </c>
      <c r="V108" s="31">
        <f t="shared" ca="1" si="1"/>
        <v>32278.340744900001</v>
      </c>
      <c r="W108" s="31">
        <f t="shared" ca="1" si="2"/>
        <v>39391.136586565503</v>
      </c>
      <c r="Z108" s="32"/>
      <c r="AA108" s="32"/>
      <c r="AB108" s="32"/>
    </row>
    <row r="109" spans="2:28" ht="15.75" customHeight="1">
      <c r="B109" s="28" t="s">
        <v>206</v>
      </c>
      <c r="C109" s="30">
        <f ca="1">IFERROR(__xludf.DUMMYFUNCTION("XLOOKUP($B109,IMPORTRANGE(""https://docs.google.com/spreadsheets/d/1EjEqG6oc_vmuAWwHnH51YMvSMVUVePUqNn9zZBOmHT8/edit#gid=757525651"",""'Allocation Breakdown'!A4:A187""),IMPORTRANGE(""https://docs.google.com/spreadsheets/d/1EjEqG6oc_vmuAWwHnH51YMvSMVUVePUq"&amp;"Nn9zZBOmHT8/edit#gid=757525651"",""'Allocation Breakdown'!V4:V187""))*C$119"),777.38105487)</f>
        <v>777.38105486999996</v>
      </c>
      <c r="D109" s="30">
        <f ca="1">IFERROR(__xludf.DUMMYFUNCTION("XLOOKUP($B109,IMPORTRANGE(""https://docs.google.com/spreadsheets/d/1EjEqG6oc_vmuAWwHnH51YMvSMVUVePUqNn9zZBOmHT8/edit#gid=757525651"",""'Allocation Breakdown'!A4:A187""),IMPORTRANGE(""https://docs.google.com/spreadsheets/d/1EjEqG6oc_vmuAWwHnH51YMvSMVUVePUq"&amp;"Nn9zZBOmHT8/edit#gid=757525651"",""'Allocation Breakdown'!I4:I187""))*$D$119"),7112.7958416655)</f>
        <v>7112.7958416655001</v>
      </c>
      <c r="E109" s="30">
        <f ca="1">IFERROR(__xludf.DUMMYFUNCTION("XLOOKUP($B109,IMPORTRANGE(""https://docs.google.com/spreadsheets/d/1EjEqG6oc_vmuAWwHnH51YMvSMVUVePUqNn9zZBOmHT8/edit#gid=757525651"",""'Allocation Breakdown'!A4:A187""),IMPORTRANGE(""https://docs.google.com/spreadsheets/d/1EjEqG6oc_vmuAWwHnH51YMvSMVUVePUq"&amp;"Nn9zZBOmHT8/edit#gid=757525651"",""'Allocation Breakdown'!V4:V187""))*E$119"),272.61894513)</f>
        <v>272.61894512999999</v>
      </c>
      <c r="F109" s="30">
        <f t="shared" ca="1" si="0"/>
        <v>7385.4147867954998</v>
      </c>
      <c r="G109" s="30" t="str">
        <f ca="1">IFERROR(__xludf.DUMMYFUNCTION("XLOOKUP($B109,IMPORTRANGE(""https://docs.google.com/spreadsheets/d/1EjEqG6oc_vmuAWwHnH51YMvSMVUVePUqNn9zZBOmHT8/edit#gid=757525651"",""'Allocation Breakdown'!A4:A187""),IMPORTRANGE(""https://docs.google.com/spreadsheets/d/1EjEqG6oc_vmuAWwHnH51YMvSMVUVePUq"&amp;"Nn9zZBOmHT8/edit#gid=757525651"",""'Allocation Breakdown'!D4:D187""))"),"")</f>
        <v/>
      </c>
      <c r="H109" s="30" t="str">
        <f ca="1">IFERROR(__xludf.DUMMYFUNCTION("XLOOKUP($B109,IMPORTRANGE(""https://docs.google.com/spreadsheets/d/1EjEqG6oc_vmuAWwHnH51YMvSMVUVePUqNn9zZBOmHT8/edit#gid=757525651"",""'Allocation Breakdown'!A4:A187""),IMPORTRANGE(""https://docs.google.com/spreadsheets/d/1EjEqG6oc_vmuAWwHnH51YMvSMVUVePUq"&amp;"Nn9zZBOmHT8/edit#gid=757525651"",""'Allocation Breakdown'!E4:E187""))"),"")</f>
        <v/>
      </c>
      <c r="I109" s="30">
        <f ca="1">IFERROR(__xludf.DUMMYFUNCTION("XLOOKUP($B109,IMPORTRANGE(""https://docs.google.com/spreadsheets/d/1EjEqG6oc_vmuAWwHnH51YMvSMVUVePUqNn9zZBOmHT8/edit#gid=757525651"",""'Allocation Breakdown'!A4:A187""),IMPORTRANGE(""https://docs.google.com/spreadsheets/d/1EjEqG6oc_vmuAWwHnH51YMvSMVUVePUq"&amp;"Nn9zZBOmHT8/edit#gid=757525651"",""'Allocation Breakdown'!F4:F187""))"),2300)</f>
        <v>2300</v>
      </c>
      <c r="J109" s="30" t="str">
        <f ca="1">IFERROR(__xludf.DUMMYFUNCTION("XLOOKUP($B109,IMPORTRANGE(""https://docs.google.com/spreadsheets/d/1EjEqG6oc_vmuAWwHnH51YMvSMVUVePUqNn9zZBOmHT8/edit#gid=757525651"",""'Allocation Breakdown'!A4:A187""),IMPORTRANGE(""https://docs.google.com/spreadsheets/d/1EjEqG6oc_vmuAWwHnH51YMvSMVUVePUq"&amp;"Nn9zZBOmHT8/edit#gid=757525651"",""'Allocation Breakdown'!G4:G187""))"),"")</f>
        <v/>
      </c>
      <c r="K109" s="30">
        <f ca="1">IFERROR(__xludf.DUMMYFUNCTION("XLOOKUP($B109,IMPORTRANGE(""https://docs.google.com/spreadsheets/d/1EjEqG6oc_vmuAWwHnH51YMvSMVUVePUqNn9zZBOmHT8/edit#gid=757525651"",""'Allocation Breakdown'!A4:A187""),IMPORTRANGE(""https://docs.google.com/spreadsheets/d/1EjEqG6oc_vmuAWwHnH51YMvSMVUVePUq"&amp;"Nn9zZBOmHT8/edit#gid=757525651"",""'Allocation Breakdown'!I4:I187""))*K$119"),624.9384636)</f>
        <v>624.93846359999998</v>
      </c>
      <c r="L109" s="30">
        <f ca="1">IFERROR(__xludf.DUMMYFUNCTION("XLOOKUP($B109,IMPORTRANGE(""https://docs.google.com/spreadsheets/d/1EjEqG6oc_vmuAWwHnH51YMvSMVUVePUqNn9zZBOmHT8/edit#gid=757525651"",""'Allocation Breakdown'!A4:A187""),IMPORTRANGE(""https://docs.google.com/spreadsheets/d/1EjEqG6oc_vmuAWwHnH51YMvSMVUVePUq"&amp;"Nn9zZBOmHT8/edit#gid=757525651"",""'Allocation Breakdown'!j4:j187""))*L$119"),3553.48054128)</f>
        <v>3553.4805412800001</v>
      </c>
      <c r="M109" s="30">
        <f ca="1">IFERROR(__xludf.DUMMYFUNCTION("XLOOKUP($B109,IMPORTRANGE(""https://docs.google.com/spreadsheets/d/1EjEqG6oc_vmuAWwHnH51YMvSMVUVePUqNn9zZBOmHT8/edit#gid=757525651"",""'Allocation Breakdown'!A4:A187""),IMPORTRANGE(""https://docs.google.com/spreadsheets/d/1EjEqG6oc_vmuAWwHnH51YMvSMVUVePUq"&amp;"Nn9zZBOmHT8/edit#gid=757525651"",""'Allocation Breakdown'!K4:K187""))*M$119"),2153.1735657)</f>
        <v>2153.1735656999999</v>
      </c>
      <c r="N109" s="30">
        <f ca="1">IFERROR(__xludf.DUMMYFUNCTION("XLOOKUP($B109,IMPORTRANGE(""https://docs.google.com/spreadsheets/d/1EjEqG6oc_vmuAWwHnH51YMvSMVUVePUqNn9zZBOmHT8/edit#gid=757525651"",""'Allocation Breakdown'!A4:A187""),IMPORTRANGE(""https://docs.google.com/spreadsheets/d/1EjEqG6oc_vmuAWwHnH51YMvSMVUVePUq"&amp;"Nn9zZBOmHT8/edit#gid=757525651"",""'Allocation Breakdown'!l4:l187""))*N$119"),0)</f>
        <v>0</v>
      </c>
      <c r="O109" s="30">
        <f ca="1">IFERROR(__xludf.DUMMYFUNCTION("XLOOKUP($B109,IMPORTRANGE(""https://docs.google.com/spreadsheets/d/1EjEqG6oc_vmuAWwHnH51YMvSMVUVePUqNn9zZBOmHT8/edit#gid=757525651"",""'Allocation Breakdown'!A4:A187""),IMPORTRANGE(""https://docs.google.com/spreadsheets/d/1EjEqG6oc_vmuAWwHnH51YMvSMVUVePUq"&amp;"Nn9zZBOmHT8/edit#gid=757525651"",""'Allocation Breakdown'!n4:n187""))*O$119"),0)</f>
        <v>0</v>
      </c>
      <c r="P109" s="30">
        <f ca="1">IFERROR(__xludf.DUMMYFUNCTION("XLOOKUP($B109,IMPORTRANGE(""https://docs.google.com/spreadsheets/d/1EjEqG6oc_vmuAWwHnH51YMvSMVUVePUqNn9zZBOmHT8/edit#gid=757525651"",""'Allocation Breakdown'!A4:A187""),IMPORTRANGE(""https://docs.google.com/spreadsheets/d/1EjEqG6oc_vmuAWwHnH51YMvSMVUVePUq"&amp;"Nn9zZBOmHT8/edit#gid=757525651"",""'Allocation Breakdown'!o4:o187""))*P$119"),0)</f>
        <v>0</v>
      </c>
      <c r="Q109" s="30">
        <f ca="1">IFERROR(__xludf.DUMMYFUNCTION("XLOOKUP($B109,IMPORTRANGE(""https://docs.google.com/spreadsheets/d/1EjEqG6oc_vmuAWwHnH51YMvSMVUVePUqNn9zZBOmHT8/edit#gid=757525651"",""'Allocation Breakdown'!A4:A187""),IMPORTRANGE(""https://docs.google.com/spreadsheets/d/1EjEqG6oc_vmuAWwHnH51YMvSMVUVePUq"&amp;"Nn9zZBOmHT8/edit#gid=757525651"",""'Allocation Breakdown'!p4:p187""))*Q$119"),2000)</f>
        <v>2000</v>
      </c>
      <c r="R109" s="30">
        <f ca="1">IFERROR(__xludf.DUMMYFUNCTION("XLOOKUP($B109,IMPORTRANGE(""https://docs.google.com/spreadsheets/d/1EjEqG6oc_vmuAWwHnH51YMvSMVUVePUqNn9zZBOmHT8/edit#gid=757525651"",""'Allocation Breakdown'!A4:A187""),IMPORTRANGE(""https://docs.google.com/spreadsheets/d/1EjEqG6oc_vmuAWwHnH51YMvSMVUVePUq"&amp;"Nn9zZBOmHT8/edit#gid=757525651"",""'Allocation Breakdown'!q4:q187""))*R$119"),0)</f>
        <v>0</v>
      </c>
      <c r="S109" s="30">
        <f ca="1">IFERROR(__xludf.DUMMYFUNCTION("XLOOKUP($B109,IMPORTRANGE(""https://docs.google.com/spreadsheets/d/1EjEqG6oc_vmuAWwHnH51YMvSMVUVePUqNn9zZBOmHT8/edit#gid=757525651"",""'Allocation Breakdown'!A4:A187""),IMPORTRANGE(""https://docs.google.com/spreadsheets/d/1EjEqG6oc_vmuAWwHnH51YMvSMVUVePUq"&amp;"Nn9zZBOmHT8/edit#gid=757525651"",""'Allocation Breakdown'!r4:r187""))*S$119"),2000)</f>
        <v>2000</v>
      </c>
      <c r="T109" s="30">
        <f ca="1">IFERROR(__xludf.DUMMYFUNCTION("XLOOKUP($B109,IMPORTRANGE(""https://docs.google.com/spreadsheets/d/1EjEqG6oc_vmuAWwHnH51YMvSMVUVePUqNn9zZBOmHT8/edit#gid=757525651"",""'Allocation Breakdown'!A4:A187""),IMPORTRANGE(""https://docs.google.com/spreadsheets/d/1EjEqG6oc_vmuAWwHnH51YMvSMVUVePUq"&amp;"Nn9zZBOmHT8/edit#gid=757525651"",""'Allocation Breakdown'!t4:t187""))*T$119"),7000)</f>
        <v>7000</v>
      </c>
      <c r="U109" s="30">
        <f ca="1">IFERROR(__xludf.DUMMYFUNCTION("XLOOKUP($B109,IMPORTRANGE(""https://docs.google.com/spreadsheets/d/1EjEqG6oc_vmuAWwHnH51YMvSMVUVePUqNn9zZBOmHT8/edit#gid=757525651"",""'Allocation Breakdown'!A4:A187""),IMPORTRANGE(""https://docs.google.com/spreadsheets/d/1EjEqG6oc_vmuAWwHnH51YMvSMVUVePUq"&amp;"Nn9zZBOmHT8/edit#gid=757525651"",""'Allocation Breakdown'!U4:U187""))*U$119"),11000)</f>
        <v>11000</v>
      </c>
      <c r="V109" s="31">
        <f t="shared" ca="1" si="1"/>
        <v>30631.59257058</v>
      </c>
      <c r="W109" s="31">
        <f t="shared" ca="1" si="2"/>
        <v>38794.388412245498</v>
      </c>
      <c r="Z109" s="32"/>
      <c r="AA109" s="32"/>
      <c r="AB109" s="32"/>
    </row>
    <row r="110" spans="2:28" ht="15.75" customHeight="1">
      <c r="B110" s="28" t="s">
        <v>207</v>
      </c>
      <c r="C110" s="30">
        <f ca="1">IFERROR(__xludf.DUMMYFUNCTION("XLOOKUP($B110,IMPORTRANGE(""https://docs.google.com/spreadsheets/d/1EjEqG6oc_vmuAWwHnH51YMvSMVUVePUqNn9zZBOmHT8/edit#gid=757525651"",""'Allocation Breakdown'!A4:A187""),IMPORTRANGE(""https://docs.google.com/spreadsheets/d/1EjEqG6oc_vmuAWwHnH51YMvSMVUVePUq"&amp;"Nn9zZBOmHT8/edit#gid=757525651"",""'Allocation Breakdown'!V4:V187""))*C$119"),777.38105487)</f>
        <v>777.38105486999996</v>
      </c>
      <c r="D110" s="30">
        <f ca="1">IFERROR(__xludf.DUMMYFUNCTION("XLOOKUP($B110,IMPORTRANGE(""https://docs.google.com/spreadsheets/d/1EjEqG6oc_vmuAWwHnH51YMvSMVUVePUqNn9zZBOmHT8/edit#gid=757525651"",""'Allocation Breakdown'!A4:A187""),IMPORTRANGE(""https://docs.google.com/spreadsheets/d/1EjEqG6oc_vmuAWwHnH51YMvSMVUVePUq"&amp;"Nn9zZBOmHT8/edit#gid=757525651"",""'Allocation Breakdown'!I4:I187""))*$D$119"),7112.7958416655)</f>
        <v>7112.7958416655001</v>
      </c>
      <c r="E110" s="30">
        <f ca="1">IFERROR(__xludf.DUMMYFUNCTION("XLOOKUP($B110,IMPORTRANGE(""https://docs.google.com/spreadsheets/d/1EjEqG6oc_vmuAWwHnH51YMvSMVUVePUqNn9zZBOmHT8/edit#gid=757525651"",""'Allocation Breakdown'!A4:A187""),IMPORTRANGE(""https://docs.google.com/spreadsheets/d/1EjEqG6oc_vmuAWwHnH51YMvSMVUVePUq"&amp;"Nn9zZBOmHT8/edit#gid=757525651"",""'Allocation Breakdown'!V4:V187""))*E$119"),272.61894513)</f>
        <v>272.61894512999999</v>
      </c>
      <c r="F110" s="30">
        <f t="shared" ca="1" si="0"/>
        <v>7385.4147867954998</v>
      </c>
      <c r="G110" s="30">
        <f ca="1">IFERROR(__xludf.DUMMYFUNCTION("XLOOKUP($B110,IMPORTRANGE(""https://docs.google.com/spreadsheets/d/1EjEqG6oc_vmuAWwHnH51YMvSMVUVePUqNn9zZBOmHT8/edit#gid=757525651"",""'Allocation Breakdown'!A4:A187""),IMPORTRANGE(""https://docs.google.com/spreadsheets/d/1EjEqG6oc_vmuAWwHnH51YMvSMVUVePUq"&amp;"Nn9zZBOmHT8/edit#gid=757525651"",""'Allocation Breakdown'!D4:D187""))"),5000)</f>
        <v>5000</v>
      </c>
      <c r="H110" s="30" t="str">
        <f ca="1">IFERROR(__xludf.DUMMYFUNCTION("XLOOKUP($B110,IMPORTRANGE(""https://docs.google.com/spreadsheets/d/1EjEqG6oc_vmuAWwHnH51YMvSMVUVePUqNn9zZBOmHT8/edit#gid=757525651"",""'Allocation Breakdown'!A4:A187""),IMPORTRANGE(""https://docs.google.com/spreadsheets/d/1EjEqG6oc_vmuAWwHnH51YMvSMVUVePUq"&amp;"Nn9zZBOmHT8/edit#gid=757525651"",""'Allocation Breakdown'!E4:E187""))"),"")</f>
        <v/>
      </c>
      <c r="I110" s="30" t="str">
        <f ca="1">IFERROR(__xludf.DUMMYFUNCTION("XLOOKUP($B110,IMPORTRANGE(""https://docs.google.com/spreadsheets/d/1EjEqG6oc_vmuAWwHnH51YMvSMVUVePUqNn9zZBOmHT8/edit#gid=757525651"",""'Allocation Breakdown'!A4:A187""),IMPORTRANGE(""https://docs.google.com/spreadsheets/d/1EjEqG6oc_vmuAWwHnH51YMvSMVUVePUq"&amp;"Nn9zZBOmHT8/edit#gid=757525651"",""'Allocation Breakdown'!F4:F187""))"),"")</f>
        <v/>
      </c>
      <c r="J110" s="30" t="str">
        <f ca="1">IFERROR(__xludf.DUMMYFUNCTION("XLOOKUP($B110,IMPORTRANGE(""https://docs.google.com/spreadsheets/d/1EjEqG6oc_vmuAWwHnH51YMvSMVUVePUqNn9zZBOmHT8/edit#gid=757525651"",""'Allocation Breakdown'!A4:A187""),IMPORTRANGE(""https://docs.google.com/spreadsheets/d/1EjEqG6oc_vmuAWwHnH51YMvSMVUVePUq"&amp;"Nn9zZBOmHT8/edit#gid=757525651"",""'Allocation Breakdown'!G4:G187""))"),"")</f>
        <v/>
      </c>
      <c r="K110" s="30">
        <f ca="1">IFERROR(__xludf.DUMMYFUNCTION("XLOOKUP($B110,IMPORTRANGE(""https://docs.google.com/spreadsheets/d/1EjEqG6oc_vmuAWwHnH51YMvSMVUVePUqNn9zZBOmHT8/edit#gid=757525651"",""'Allocation Breakdown'!A4:A187""),IMPORTRANGE(""https://docs.google.com/spreadsheets/d/1EjEqG6oc_vmuAWwHnH51YMvSMVUVePUq"&amp;"Nn9zZBOmHT8/edit#gid=757525651"",""'Allocation Breakdown'!I4:I187""))*K$119"),624.9384636)</f>
        <v>624.93846359999998</v>
      </c>
      <c r="L110" s="30">
        <f ca="1">IFERROR(__xludf.DUMMYFUNCTION("XLOOKUP($B110,IMPORTRANGE(""https://docs.google.com/spreadsheets/d/1EjEqG6oc_vmuAWwHnH51YMvSMVUVePUqNn9zZBOmHT8/edit#gid=757525651"",""'Allocation Breakdown'!A4:A187""),IMPORTRANGE(""https://docs.google.com/spreadsheets/d/1EjEqG6oc_vmuAWwHnH51YMvSMVUVePUq"&amp;"Nn9zZBOmHT8/edit#gid=757525651"",""'Allocation Breakdown'!j4:j187""))*L$119"),0)</f>
        <v>0</v>
      </c>
      <c r="M110" s="30">
        <f ca="1">IFERROR(__xludf.DUMMYFUNCTION("XLOOKUP($B110,IMPORTRANGE(""https://docs.google.com/spreadsheets/d/1EjEqG6oc_vmuAWwHnH51YMvSMVUVePUqNn9zZBOmHT8/edit#gid=757525651"",""'Allocation Breakdown'!A4:A187""),IMPORTRANGE(""https://docs.google.com/spreadsheets/d/1EjEqG6oc_vmuAWwHnH51YMvSMVUVePUq"&amp;"Nn9zZBOmHT8/edit#gid=757525651"",""'Allocation Breakdown'!K4:K187""))*M$119"),0)</f>
        <v>0</v>
      </c>
      <c r="N110" s="30">
        <f ca="1">IFERROR(__xludf.DUMMYFUNCTION("XLOOKUP($B110,IMPORTRANGE(""https://docs.google.com/spreadsheets/d/1EjEqG6oc_vmuAWwHnH51YMvSMVUVePUqNn9zZBOmHT8/edit#gid=757525651"",""'Allocation Breakdown'!A4:A187""),IMPORTRANGE(""https://docs.google.com/spreadsheets/d/1EjEqG6oc_vmuAWwHnH51YMvSMVUVePUq"&amp;"Nn9zZBOmHT8/edit#gid=757525651"",""'Allocation Breakdown'!l4:l187""))*N$119"),951.8600508)</f>
        <v>951.86005079999995</v>
      </c>
      <c r="O110" s="30">
        <f ca="1">IFERROR(__xludf.DUMMYFUNCTION("XLOOKUP($B110,IMPORTRANGE(""https://docs.google.com/spreadsheets/d/1EjEqG6oc_vmuAWwHnH51YMvSMVUVePUqNn9zZBOmHT8/edit#gid=757525651"",""'Allocation Breakdown'!A4:A187""),IMPORTRANGE(""https://docs.google.com/spreadsheets/d/1EjEqG6oc_vmuAWwHnH51YMvSMVUVePUq"&amp;"Nn9zZBOmHT8/edit#gid=757525651"",""'Allocation Breakdown'!n4:n187""))*O$119"),0)</f>
        <v>0</v>
      </c>
      <c r="P110" s="30">
        <f ca="1">IFERROR(__xludf.DUMMYFUNCTION("XLOOKUP($B110,IMPORTRANGE(""https://docs.google.com/spreadsheets/d/1EjEqG6oc_vmuAWwHnH51YMvSMVUVePUqNn9zZBOmHT8/edit#gid=757525651"",""'Allocation Breakdown'!A4:A187""),IMPORTRANGE(""https://docs.google.com/spreadsheets/d/1EjEqG6oc_vmuAWwHnH51YMvSMVUVePUq"&amp;"Nn9zZBOmHT8/edit#gid=757525651"",""'Allocation Breakdown'!o4:o187""))*P$119"),2200)</f>
        <v>2200</v>
      </c>
      <c r="Q110" s="30">
        <f ca="1">IFERROR(__xludf.DUMMYFUNCTION("XLOOKUP($B110,IMPORTRANGE(""https://docs.google.com/spreadsheets/d/1EjEqG6oc_vmuAWwHnH51YMvSMVUVePUqNn9zZBOmHT8/edit#gid=757525651"",""'Allocation Breakdown'!A4:A187""),IMPORTRANGE(""https://docs.google.com/spreadsheets/d/1EjEqG6oc_vmuAWwHnH51YMvSMVUVePUq"&amp;"Nn9zZBOmHT8/edit#gid=757525651"",""'Allocation Breakdown'!p4:p187""))*Q$119"),0)</f>
        <v>0</v>
      </c>
      <c r="R110" s="30">
        <f ca="1">IFERROR(__xludf.DUMMYFUNCTION("XLOOKUP($B110,IMPORTRANGE(""https://docs.google.com/spreadsheets/d/1EjEqG6oc_vmuAWwHnH51YMvSMVUVePUqNn9zZBOmHT8/edit#gid=757525651"",""'Allocation Breakdown'!A4:A187""),IMPORTRANGE(""https://docs.google.com/spreadsheets/d/1EjEqG6oc_vmuAWwHnH51YMvSMVUVePUq"&amp;"Nn9zZBOmHT8/edit#gid=757525651"",""'Allocation Breakdown'!q4:q187""))*R$119"),2000)</f>
        <v>2000</v>
      </c>
      <c r="S110" s="30">
        <f ca="1">IFERROR(__xludf.DUMMYFUNCTION("XLOOKUP($B110,IMPORTRANGE(""https://docs.google.com/spreadsheets/d/1EjEqG6oc_vmuAWwHnH51YMvSMVUVePUqNn9zZBOmHT8/edit#gid=757525651"",""'Allocation Breakdown'!A4:A187""),IMPORTRANGE(""https://docs.google.com/spreadsheets/d/1EjEqG6oc_vmuAWwHnH51YMvSMVUVePUq"&amp;"Nn9zZBOmHT8/edit#gid=757525651"",""'Allocation Breakdown'!r4:r187""))*S$119"),0)</f>
        <v>0</v>
      </c>
      <c r="T110" s="30">
        <f ca="1">IFERROR(__xludf.DUMMYFUNCTION("XLOOKUP($B110,IMPORTRANGE(""https://docs.google.com/spreadsheets/d/1EjEqG6oc_vmuAWwHnH51YMvSMVUVePUqNn9zZBOmHT8/edit#gid=757525651"",""'Allocation Breakdown'!A4:A187""),IMPORTRANGE(""https://docs.google.com/spreadsheets/d/1EjEqG6oc_vmuAWwHnH51YMvSMVUVePUq"&amp;"Nn9zZBOmHT8/edit#gid=757525651"",""'Allocation Breakdown'!t4:t187""))*T$119"),7000)</f>
        <v>7000</v>
      </c>
      <c r="U110" s="30">
        <f ca="1">IFERROR(__xludf.DUMMYFUNCTION("XLOOKUP($B110,IMPORTRANGE(""https://docs.google.com/spreadsheets/d/1EjEqG6oc_vmuAWwHnH51YMvSMVUVePUqNn9zZBOmHT8/edit#gid=757525651"",""'Allocation Breakdown'!A4:A187""),IMPORTRANGE(""https://docs.google.com/spreadsheets/d/1EjEqG6oc_vmuAWwHnH51YMvSMVUVePUq"&amp;"Nn9zZBOmHT8/edit#gid=757525651"",""'Allocation Breakdown'!U4:U187""))*U$119"),11000)</f>
        <v>11000</v>
      </c>
      <c r="V110" s="31">
        <f t="shared" ca="1" si="1"/>
        <v>28776.798514399998</v>
      </c>
      <c r="W110" s="31">
        <f t="shared" ca="1" si="2"/>
        <v>36939.5943560655</v>
      </c>
      <c r="Z110" s="32"/>
      <c r="AA110" s="32"/>
      <c r="AB110" s="32"/>
    </row>
    <row r="111" spans="2:28" ht="15.75" customHeight="1">
      <c r="B111" s="28" t="s">
        <v>208</v>
      </c>
      <c r="C111" s="30">
        <f ca="1">IFERROR(__xludf.DUMMYFUNCTION("XLOOKUP($B111,IMPORTRANGE(""https://docs.google.com/spreadsheets/d/1EjEqG6oc_vmuAWwHnH51YMvSMVUVePUqNn9zZBOmHT8/edit#gid=757525651"",""'Allocation Breakdown'!A4:A187""),IMPORTRANGE(""https://docs.google.com/spreadsheets/d/1EjEqG6oc_vmuAWwHnH51YMvSMVUVePUq"&amp;"Nn9zZBOmHT8/edit#gid=757525651"",""'Allocation Breakdown'!V4:V187""))*C$119"),777.38105487)</f>
        <v>777.38105486999996</v>
      </c>
      <c r="D111" s="30">
        <f ca="1">IFERROR(__xludf.DUMMYFUNCTION("XLOOKUP($B111,IMPORTRANGE(""https://docs.google.com/spreadsheets/d/1EjEqG6oc_vmuAWwHnH51YMvSMVUVePUqNn9zZBOmHT8/edit#gid=757525651"",""'Allocation Breakdown'!A4:A187""),IMPORTRANGE(""https://docs.google.com/spreadsheets/d/1EjEqG6oc_vmuAWwHnH51YMvSMVUVePUq"&amp;"Nn9zZBOmHT8/edit#gid=757525651"",""'Allocation Breakdown'!I4:I187""))*$D$119"),7112.7958416655)</f>
        <v>7112.7958416655001</v>
      </c>
      <c r="E111" s="30">
        <f ca="1">IFERROR(__xludf.DUMMYFUNCTION("XLOOKUP($B111,IMPORTRANGE(""https://docs.google.com/spreadsheets/d/1EjEqG6oc_vmuAWwHnH51YMvSMVUVePUqNn9zZBOmHT8/edit#gid=757525651"",""'Allocation Breakdown'!A4:A187""),IMPORTRANGE(""https://docs.google.com/spreadsheets/d/1EjEqG6oc_vmuAWwHnH51YMvSMVUVePUq"&amp;"Nn9zZBOmHT8/edit#gid=757525651"",""'Allocation Breakdown'!V4:V187""))*E$119"),272.61894513)</f>
        <v>272.61894512999999</v>
      </c>
      <c r="F111" s="30">
        <f t="shared" ca="1" si="0"/>
        <v>7385.4147867954998</v>
      </c>
      <c r="G111" s="30">
        <f ca="1">IFERROR(__xludf.DUMMYFUNCTION("XLOOKUP($B111,IMPORTRANGE(""https://docs.google.com/spreadsheets/d/1EjEqG6oc_vmuAWwHnH51YMvSMVUVePUqNn9zZBOmHT8/edit#gid=757525651"",""'Allocation Breakdown'!A4:A187""),IMPORTRANGE(""https://docs.google.com/spreadsheets/d/1EjEqG6oc_vmuAWwHnH51YMvSMVUVePUq"&amp;"Nn9zZBOmHT8/edit#gid=757525651"",""'Allocation Breakdown'!D4:D187""))"),5000)</f>
        <v>5000</v>
      </c>
      <c r="H111" s="30">
        <f ca="1">IFERROR(__xludf.DUMMYFUNCTION("XLOOKUP($B111,IMPORTRANGE(""https://docs.google.com/spreadsheets/d/1EjEqG6oc_vmuAWwHnH51YMvSMVUVePUqNn9zZBOmHT8/edit#gid=757525651"",""'Allocation Breakdown'!A4:A187""),IMPORTRANGE(""https://docs.google.com/spreadsheets/d/1EjEqG6oc_vmuAWwHnH51YMvSMVUVePUq"&amp;"Nn9zZBOmHT8/edit#gid=757525651"",""'Allocation Breakdown'!E4:E187""))"),3500)</f>
        <v>3500</v>
      </c>
      <c r="I111" s="30" t="str">
        <f ca="1">IFERROR(__xludf.DUMMYFUNCTION("XLOOKUP($B111,IMPORTRANGE(""https://docs.google.com/spreadsheets/d/1EjEqG6oc_vmuAWwHnH51YMvSMVUVePUqNn9zZBOmHT8/edit#gid=757525651"",""'Allocation Breakdown'!A4:A187""),IMPORTRANGE(""https://docs.google.com/spreadsheets/d/1EjEqG6oc_vmuAWwHnH51YMvSMVUVePUq"&amp;"Nn9zZBOmHT8/edit#gid=757525651"",""'Allocation Breakdown'!F4:F187""))"),"")</f>
        <v/>
      </c>
      <c r="J111" s="30" t="str">
        <f ca="1">IFERROR(__xludf.DUMMYFUNCTION("XLOOKUP($B111,IMPORTRANGE(""https://docs.google.com/spreadsheets/d/1EjEqG6oc_vmuAWwHnH51YMvSMVUVePUqNn9zZBOmHT8/edit#gid=757525651"",""'Allocation Breakdown'!A4:A187""),IMPORTRANGE(""https://docs.google.com/spreadsheets/d/1EjEqG6oc_vmuAWwHnH51YMvSMVUVePUq"&amp;"Nn9zZBOmHT8/edit#gid=757525651"",""'Allocation Breakdown'!G4:G187""))"),"")</f>
        <v/>
      </c>
      <c r="K111" s="30">
        <f ca="1">IFERROR(__xludf.DUMMYFUNCTION("XLOOKUP($B111,IMPORTRANGE(""https://docs.google.com/spreadsheets/d/1EjEqG6oc_vmuAWwHnH51YMvSMVUVePUqNn9zZBOmHT8/edit#gid=757525651"",""'Allocation Breakdown'!A4:A187""),IMPORTRANGE(""https://docs.google.com/spreadsheets/d/1EjEqG6oc_vmuAWwHnH51YMvSMVUVePUq"&amp;"Nn9zZBOmHT8/edit#gid=757525651"",""'Allocation Breakdown'!I4:I187""))*K$119"),624.9384636)</f>
        <v>624.93846359999998</v>
      </c>
      <c r="L111" s="30">
        <f ca="1">IFERROR(__xludf.DUMMYFUNCTION("XLOOKUP($B111,IMPORTRANGE(""https://docs.google.com/spreadsheets/d/1EjEqG6oc_vmuAWwHnH51YMvSMVUVePUqNn9zZBOmHT8/edit#gid=757525651"",""'Allocation Breakdown'!A4:A187""),IMPORTRANGE(""https://docs.google.com/spreadsheets/d/1EjEqG6oc_vmuAWwHnH51YMvSMVUVePUq"&amp;"Nn9zZBOmHT8/edit#gid=757525651"",""'Allocation Breakdown'!j4:j187""))*L$119"),0)</f>
        <v>0</v>
      </c>
      <c r="M111" s="30">
        <f ca="1">IFERROR(__xludf.DUMMYFUNCTION("XLOOKUP($B111,IMPORTRANGE(""https://docs.google.com/spreadsheets/d/1EjEqG6oc_vmuAWwHnH51YMvSMVUVePUqNn9zZBOmHT8/edit#gid=757525651"",""'Allocation Breakdown'!A4:A187""),IMPORTRANGE(""https://docs.google.com/spreadsheets/d/1EjEqG6oc_vmuAWwHnH51YMvSMVUVePUq"&amp;"Nn9zZBOmHT8/edit#gid=757525651"",""'Allocation Breakdown'!K4:K187""))*M$119"),0)</f>
        <v>0</v>
      </c>
      <c r="N111" s="30">
        <f ca="1">IFERROR(__xludf.DUMMYFUNCTION("XLOOKUP($B111,IMPORTRANGE(""https://docs.google.com/spreadsheets/d/1EjEqG6oc_vmuAWwHnH51YMvSMVUVePUqNn9zZBOmHT8/edit#gid=757525651"",""'Allocation Breakdown'!A4:A187""),IMPORTRANGE(""https://docs.google.com/spreadsheets/d/1EjEqG6oc_vmuAWwHnH51YMvSMVUVePUq"&amp;"Nn9zZBOmHT8/edit#gid=757525651"",""'Allocation Breakdown'!l4:l187""))*N$119"),951.8600508)</f>
        <v>951.86005079999995</v>
      </c>
      <c r="O111" s="30">
        <f ca="1">IFERROR(__xludf.DUMMYFUNCTION("XLOOKUP($B111,IMPORTRANGE(""https://docs.google.com/spreadsheets/d/1EjEqG6oc_vmuAWwHnH51YMvSMVUVePUqNn9zZBOmHT8/edit#gid=757525651"",""'Allocation Breakdown'!A4:A187""),IMPORTRANGE(""https://docs.google.com/spreadsheets/d/1EjEqG6oc_vmuAWwHnH51YMvSMVUVePUq"&amp;"Nn9zZBOmHT8/edit#gid=757525651"",""'Allocation Breakdown'!n4:n187""))*O$119"),0)</f>
        <v>0</v>
      </c>
      <c r="P111" s="30">
        <f ca="1">IFERROR(__xludf.DUMMYFUNCTION("XLOOKUP($B111,IMPORTRANGE(""https://docs.google.com/spreadsheets/d/1EjEqG6oc_vmuAWwHnH51YMvSMVUVePUqNn9zZBOmHT8/edit#gid=757525651"",""'Allocation Breakdown'!A4:A187""),IMPORTRANGE(""https://docs.google.com/spreadsheets/d/1EjEqG6oc_vmuAWwHnH51YMvSMVUVePUq"&amp;"Nn9zZBOmHT8/edit#gid=757525651"",""'Allocation Breakdown'!o4:o187""))*P$119"),2200)</f>
        <v>2200</v>
      </c>
      <c r="Q111" s="30">
        <f ca="1">IFERROR(__xludf.DUMMYFUNCTION("XLOOKUP($B111,IMPORTRANGE(""https://docs.google.com/spreadsheets/d/1EjEqG6oc_vmuAWwHnH51YMvSMVUVePUqNn9zZBOmHT8/edit#gid=757525651"",""'Allocation Breakdown'!A4:A187""),IMPORTRANGE(""https://docs.google.com/spreadsheets/d/1EjEqG6oc_vmuAWwHnH51YMvSMVUVePUq"&amp;"Nn9zZBOmHT8/edit#gid=757525651"",""'Allocation Breakdown'!p4:p187""))*Q$119"),0)</f>
        <v>0</v>
      </c>
      <c r="R111" s="30">
        <f ca="1">IFERROR(__xludf.DUMMYFUNCTION("XLOOKUP($B111,IMPORTRANGE(""https://docs.google.com/spreadsheets/d/1EjEqG6oc_vmuAWwHnH51YMvSMVUVePUqNn9zZBOmHT8/edit#gid=757525651"",""'Allocation Breakdown'!A4:A187""),IMPORTRANGE(""https://docs.google.com/spreadsheets/d/1EjEqG6oc_vmuAWwHnH51YMvSMVUVePUq"&amp;"Nn9zZBOmHT8/edit#gid=757525651"",""'Allocation Breakdown'!q4:q187""))*R$119"),2000)</f>
        <v>2000</v>
      </c>
      <c r="S111" s="30">
        <f ca="1">IFERROR(__xludf.DUMMYFUNCTION("XLOOKUP($B111,IMPORTRANGE(""https://docs.google.com/spreadsheets/d/1EjEqG6oc_vmuAWwHnH51YMvSMVUVePUqNn9zZBOmHT8/edit#gid=757525651"",""'Allocation Breakdown'!A4:A187""),IMPORTRANGE(""https://docs.google.com/spreadsheets/d/1EjEqG6oc_vmuAWwHnH51YMvSMVUVePUq"&amp;"Nn9zZBOmHT8/edit#gid=757525651"",""'Allocation Breakdown'!r4:r187""))*S$119"),0)</f>
        <v>0</v>
      </c>
      <c r="T111" s="30">
        <f ca="1">IFERROR(__xludf.DUMMYFUNCTION("XLOOKUP($B111,IMPORTRANGE(""https://docs.google.com/spreadsheets/d/1EjEqG6oc_vmuAWwHnH51YMvSMVUVePUqNn9zZBOmHT8/edit#gid=757525651"",""'Allocation Breakdown'!A4:A187""),IMPORTRANGE(""https://docs.google.com/spreadsheets/d/1EjEqG6oc_vmuAWwHnH51YMvSMVUVePUq"&amp;"Nn9zZBOmHT8/edit#gid=757525651"",""'Allocation Breakdown'!t4:t187""))*T$119"),7000)</f>
        <v>7000</v>
      </c>
      <c r="U111" s="30">
        <f ca="1">IFERROR(__xludf.DUMMYFUNCTION("XLOOKUP($B111,IMPORTRANGE(""https://docs.google.com/spreadsheets/d/1EjEqG6oc_vmuAWwHnH51YMvSMVUVePUqNn9zZBOmHT8/edit#gid=757525651"",""'Allocation Breakdown'!A4:A187""),IMPORTRANGE(""https://docs.google.com/spreadsheets/d/1EjEqG6oc_vmuAWwHnH51YMvSMVUVePUq"&amp;"Nn9zZBOmHT8/edit#gid=757525651"",""'Allocation Breakdown'!U4:U187""))*U$119"),11000)</f>
        <v>11000</v>
      </c>
      <c r="V111" s="31">
        <f t="shared" ca="1" si="1"/>
        <v>32276.798514399998</v>
      </c>
      <c r="W111" s="31">
        <f t="shared" ca="1" si="2"/>
        <v>40439.5943560655</v>
      </c>
      <c r="Z111" s="32"/>
      <c r="AA111" s="32"/>
      <c r="AB111" s="32"/>
    </row>
    <row r="112" spans="2:28" ht="15.75" customHeight="1">
      <c r="B112" s="28" t="s">
        <v>209</v>
      </c>
      <c r="C112" s="30">
        <f ca="1">IFERROR(__xludf.DUMMYFUNCTION("XLOOKUP($B112,IMPORTRANGE(""https://docs.google.com/spreadsheets/d/1EjEqG6oc_vmuAWwHnH51YMvSMVUVePUqNn9zZBOmHT8/edit#gid=757525651"",""'Allocation Breakdown'!A4:A187""),IMPORTRANGE(""https://docs.google.com/spreadsheets/d/1EjEqG6oc_vmuAWwHnH51YMvSMVUVePUq"&amp;"Nn9zZBOmHT8/edit#gid=757525651"",""'Allocation Breakdown'!V4:V187""))*C$119"),777.38105487)</f>
        <v>777.38105486999996</v>
      </c>
      <c r="D112" s="30">
        <f ca="1">IFERROR(__xludf.DUMMYFUNCTION("XLOOKUP($B112,IMPORTRANGE(""https://docs.google.com/spreadsheets/d/1EjEqG6oc_vmuAWwHnH51YMvSMVUVePUqNn9zZBOmHT8/edit#gid=757525651"",""'Allocation Breakdown'!A4:A187""),IMPORTRANGE(""https://docs.google.com/spreadsheets/d/1EjEqG6oc_vmuAWwHnH51YMvSMVUVePUq"&amp;"Nn9zZBOmHT8/edit#gid=757525651"",""'Allocation Breakdown'!I4:I187""))*$D$119"),7112.7958416655)</f>
        <v>7112.7958416655001</v>
      </c>
      <c r="E112" s="30">
        <f ca="1">IFERROR(__xludf.DUMMYFUNCTION("XLOOKUP($B112,IMPORTRANGE(""https://docs.google.com/spreadsheets/d/1EjEqG6oc_vmuAWwHnH51YMvSMVUVePUqNn9zZBOmHT8/edit#gid=757525651"",""'Allocation Breakdown'!A4:A187""),IMPORTRANGE(""https://docs.google.com/spreadsheets/d/1EjEqG6oc_vmuAWwHnH51YMvSMVUVePUq"&amp;"Nn9zZBOmHT8/edit#gid=757525651"",""'Allocation Breakdown'!V4:V187""))*E$119"),272.61894513)</f>
        <v>272.61894512999999</v>
      </c>
      <c r="F112" s="30">
        <f t="shared" ca="1" si="0"/>
        <v>7385.4147867954998</v>
      </c>
      <c r="G112" s="30">
        <f ca="1">IFERROR(__xludf.DUMMYFUNCTION("XLOOKUP($B112,IMPORTRANGE(""https://docs.google.com/spreadsheets/d/1EjEqG6oc_vmuAWwHnH51YMvSMVUVePUqNn9zZBOmHT8/edit#gid=757525651"",""'Allocation Breakdown'!A4:A187""),IMPORTRANGE(""https://docs.google.com/spreadsheets/d/1EjEqG6oc_vmuAWwHnH51YMvSMVUVePUq"&amp;"Nn9zZBOmHT8/edit#gid=757525651"",""'Allocation Breakdown'!D4:D187""))"),5000)</f>
        <v>5000</v>
      </c>
      <c r="H112" s="30">
        <f ca="1">IFERROR(__xludf.DUMMYFUNCTION("XLOOKUP($B112,IMPORTRANGE(""https://docs.google.com/spreadsheets/d/1EjEqG6oc_vmuAWwHnH51YMvSMVUVePUqNn9zZBOmHT8/edit#gid=757525651"",""'Allocation Breakdown'!A4:A187""),IMPORTRANGE(""https://docs.google.com/spreadsheets/d/1EjEqG6oc_vmuAWwHnH51YMvSMVUVePUq"&amp;"Nn9zZBOmHT8/edit#gid=757525651"",""'Allocation Breakdown'!E4:E187""))"),90000)</f>
        <v>90000</v>
      </c>
      <c r="I112" s="30" t="str">
        <f ca="1">IFERROR(__xludf.DUMMYFUNCTION("XLOOKUP($B112,IMPORTRANGE(""https://docs.google.com/spreadsheets/d/1EjEqG6oc_vmuAWwHnH51YMvSMVUVePUqNn9zZBOmHT8/edit#gid=757525651"",""'Allocation Breakdown'!A4:A187""),IMPORTRANGE(""https://docs.google.com/spreadsheets/d/1EjEqG6oc_vmuAWwHnH51YMvSMVUVePUq"&amp;"Nn9zZBOmHT8/edit#gid=757525651"",""'Allocation Breakdown'!F4:F187""))"),"")</f>
        <v/>
      </c>
      <c r="J112" s="30" t="str">
        <f ca="1">IFERROR(__xludf.DUMMYFUNCTION("XLOOKUP($B112,IMPORTRANGE(""https://docs.google.com/spreadsheets/d/1EjEqG6oc_vmuAWwHnH51YMvSMVUVePUqNn9zZBOmHT8/edit#gid=757525651"",""'Allocation Breakdown'!A4:A187""),IMPORTRANGE(""https://docs.google.com/spreadsheets/d/1EjEqG6oc_vmuAWwHnH51YMvSMVUVePUq"&amp;"Nn9zZBOmHT8/edit#gid=757525651"",""'Allocation Breakdown'!G4:G187""))"),"")</f>
        <v/>
      </c>
      <c r="K112" s="30">
        <f ca="1">IFERROR(__xludf.DUMMYFUNCTION("XLOOKUP($B112,IMPORTRANGE(""https://docs.google.com/spreadsheets/d/1EjEqG6oc_vmuAWwHnH51YMvSMVUVePUqNn9zZBOmHT8/edit#gid=757525651"",""'Allocation Breakdown'!A4:A187""),IMPORTRANGE(""https://docs.google.com/spreadsheets/d/1EjEqG6oc_vmuAWwHnH51YMvSMVUVePUq"&amp;"Nn9zZBOmHT8/edit#gid=757525651"",""'Allocation Breakdown'!I4:I187""))*K$119"),624.9384636)</f>
        <v>624.93846359999998</v>
      </c>
      <c r="L112" s="30">
        <f ca="1">IFERROR(__xludf.DUMMYFUNCTION("XLOOKUP($B112,IMPORTRANGE(""https://docs.google.com/spreadsheets/d/1EjEqG6oc_vmuAWwHnH51YMvSMVUVePUqNn9zZBOmHT8/edit#gid=757525651"",""'Allocation Breakdown'!A4:A187""),IMPORTRANGE(""https://docs.google.com/spreadsheets/d/1EjEqG6oc_vmuAWwHnH51YMvSMVUVePUq"&amp;"Nn9zZBOmHT8/edit#gid=757525651"",""'Allocation Breakdown'!j4:j187""))*L$119"),3701.5422305)</f>
        <v>3701.5422305000002</v>
      </c>
      <c r="M112" s="30">
        <f ca="1">IFERROR(__xludf.DUMMYFUNCTION("XLOOKUP($B112,IMPORTRANGE(""https://docs.google.com/spreadsheets/d/1EjEqG6oc_vmuAWwHnH51YMvSMVUVePUqNn9zZBOmHT8/edit#gid=757525651"",""'Allocation Breakdown'!A4:A187""),IMPORTRANGE(""https://docs.google.com/spreadsheets/d/1EjEqG6oc_vmuAWwHnH51YMvSMVUVePUq"&amp;"Nn9zZBOmHT8/edit#gid=757525651"",""'Allocation Breakdown'!K4:K187""))*M$119"),3588.6226095)</f>
        <v>3588.6226095000002</v>
      </c>
      <c r="N112" s="30">
        <f ca="1">IFERROR(__xludf.DUMMYFUNCTION("XLOOKUP($B112,IMPORTRANGE(""https://docs.google.com/spreadsheets/d/1EjEqG6oc_vmuAWwHnH51YMvSMVUVePUqNn9zZBOmHT8/edit#gid=757525651"",""'Allocation Breakdown'!A4:A187""),IMPORTRANGE(""https://docs.google.com/spreadsheets/d/1EjEqG6oc_vmuAWwHnH51YMvSMVUVePUq"&amp;"Nn9zZBOmHT8/edit#gid=757525651"",""'Allocation Breakdown'!l4:l187""))*N$119"),0)</f>
        <v>0</v>
      </c>
      <c r="O112" s="30">
        <f ca="1">IFERROR(__xludf.DUMMYFUNCTION("XLOOKUP($B112,IMPORTRANGE(""https://docs.google.com/spreadsheets/d/1EjEqG6oc_vmuAWwHnH51YMvSMVUVePUqNn9zZBOmHT8/edit#gid=757525651"",""'Allocation Breakdown'!A4:A187""),IMPORTRANGE(""https://docs.google.com/spreadsheets/d/1EjEqG6oc_vmuAWwHnH51YMvSMVUVePUq"&amp;"Nn9zZBOmHT8/edit#gid=757525651"",""'Allocation Breakdown'!n4:n187""))*O$119"),0)</f>
        <v>0</v>
      </c>
      <c r="P112" s="30">
        <f ca="1">IFERROR(__xludf.DUMMYFUNCTION("XLOOKUP($B112,IMPORTRANGE(""https://docs.google.com/spreadsheets/d/1EjEqG6oc_vmuAWwHnH51YMvSMVUVePUqNn9zZBOmHT8/edit#gid=757525651"",""'Allocation Breakdown'!A4:A187""),IMPORTRANGE(""https://docs.google.com/spreadsheets/d/1EjEqG6oc_vmuAWwHnH51YMvSMVUVePUq"&amp;"Nn9zZBOmHT8/edit#gid=757525651"",""'Allocation Breakdown'!o4:o187""))*P$119"),4400)</f>
        <v>4400</v>
      </c>
      <c r="Q112" s="30">
        <f ca="1">IFERROR(__xludf.DUMMYFUNCTION("XLOOKUP($B112,IMPORTRANGE(""https://docs.google.com/spreadsheets/d/1EjEqG6oc_vmuAWwHnH51YMvSMVUVePUqNn9zZBOmHT8/edit#gid=757525651"",""'Allocation Breakdown'!A4:A187""),IMPORTRANGE(""https://docs.google.com/spreadsheets/d/1EjEqG6oc_vmuAWwHnH51YMvSMVUVePUq"&amp;"Nn9zZBOmHT8/edit#gid=757525651"",""'Allocation Breakdown'!p4:p187""))*Q$119"),0)</f>
        <v>0</v>
      </c>
      <c r="R112" s="30">
        <f ca="1">IFERROR(__xludf.DUMMYFUNCTION("XLOOKUP($B112,IMPORTRANGE(""https://docs.google.com/spreadsheets/d/1EjEqG6oc_vmuAWwHnH51YMvSMVUVePUqNn9zZBOmHT8/edit#gid=757525651"",""'Allocation Breakdown'!A4:A187""),IMPORTRANGE(""https://docs.google.com/spreadsheets/d/1EjEqG6oc_vmuAWwHnH51YMvSMVUVePUq"&amp;"Nn9zZBOmHT8/edit#gid=757525651"",""'Allocation Breakdown'!q4:q187""))*R$119"),2000)</f>
        <v>2000</v>
      </c>
      <c r="S112" s="30">
        <f ca="1">IFERROR(__xludf.DUMMYFUNCTION("XLOOKUP($B112,IMPORTRANGE(""https://docs.google.com/spreadsheets/d/1EjEqG6oc_vmuAWwHnH51YMvSMVUVePUqNn9zZBOmHT8/edit#gid=757525651"",""'Allocation Breakdown'!A4:A187""),IMPORTRANGE(""https://docs.google.com/spreadsheets/d/1EjEqG6oc_vmuAWwHnH51YMvSMVUVePUq"&amp;"Nn9zZBOmHT8/edit#gid=757525651"",""'Allocation Breakdown'!r4:r187""))*S$119"),2000)</f>
        <v>2000</v>
      </c>
      <c r="T112" s="30">
        <f ca="1">IFERROR(__xludf.DUMMYFUNCTION("XLOOKUP($B112,IMPORTRANGE(""https://docs.google.com/spreadsheets/d/1EjEqG6oc_vmuAWwHnH51YMvSMVUVePUqNn9zZBOmHT8/edit#gid=757525651"",""'Allocation Breakdown'!A4:A187""),IMPORTRANGE(""https://docs.google.com/spreadsheets/d/1EjEqG6oc_vmuAWwHnH51YMvSMVUVePUq"&amp;"Nn9zZBOmHT8/edit#gid=757525651"",""'Allocation Breakdown'!t4:t187""))*T$119"),7000)</f>
        <v>7000</v>
      </c>
      <c r="U112" s="30">
        <f ca="1">IFERROR(__xludf.DUMMYFUNCTION("XLOOKUP($B112,IMPORTRANGE(""https://docs.google.com/spreadsheets/d/1EjEqG6oc_vmuAWwHnH51YMvSMVUVePUqNn9zZBOmHT8/edit#gid=757525651"",""'Allocation Breakdown'!A4:A187""),IMPORTRANGE(""https://docs.google.com/spreadsheets/d/1EjEqG6oc_vmuAWwHnH51YMvSMVUVePUq"&amp;"Nn9zZBOmHT8/edit#gid=757525651"",""'Allocation Breakdown'!U4:U187""))*U$119"),11000)</f>
        <v>11000</v>
      </c>
      <c r="V112" s="31">
        <f t="shared" ca="1" si="1"/>
        <v>129315.1033036</v>
      </c>
      <c r="W112" s="31">
        <f t="shared" ca="1" si="2"/>
        <v>137477.89914526549</v>
      </c>
      <c r="Z112" s="32"/>
      <c r="AA112" s="32"/>
      <c r="AB112" s="32"/>
    </row>
    <row r="113" spans="2:28" ht="15.75" customHeight="1">
      <c r="B113" s="28" t="s">
        <v>210</v>
      </c>
      <c r="C113" s="30">
        <f ca="1">IFERROR(__xludf.DUMMYFUNCTION("XLOOKUP($B113,IMPORTRANGE(""https://docs.google.com/spreadsheets/d/1EjEqG6oc_vmuAWwHnH51YMvSMVUVePUqNn9zZBOmHT8/edit#gid=757525651"",""'Allocation Breakdown'!A4:A187""),IMPORTRANGE(""https://docs.google.com/spreadsheets/d/1EjEqG6oc_vmuAWwHnH51YMvSMVUVePUq"&amp;"Nn9zZBOmHT8/edit#gid=757525651"",""'Allocation Breakdown'!V4:V187""))*C$119"),777.38105487)</f>
        <v>777.38105486999996</v>
      </c>
      <c r="D113" s="30">
        <f ca="1">IFERROR(__xludf.DUMMYFUNCTION("XLOOKUP($B113,IMPORTRANGE(""https://docs.google.com/spreadsheets/d/1EjEqG6oc_vmuAWwHnH51YMvSMVUVePUqNn9zZBOmHT8/edit#gid=757525651"",""'Allocation Breakdown'!A4:A187""),IMPORTRANGE(""https://docs.google.com/spreadsheets/d/1EjEqG6oc_vmuAWwHnH51YMvSMVUVePUq"&amp;"Nn9zZBOmHT8/edit#gid=757525651"",""'Allocation Breakdown'!I4:I187""))*$D$119"),7112.7958416655)</f>
        <v>7112.7958416655001</v>
      </c>
      <c r="E113" s="30">
        <f ca="1">IFERROR(__xludf.DUMMYFUNCTION("XLOOKUP($B113,IMPORTRANGE(""https://docs.google.com/spreadsheets/d/1EjEqG6oc_vmuAWwHnH51YMvSMVUVePUqNn9zZBOmHT8/edit#gid=757525651"",""'Allocation Breakdown'!A4:A187""),IMPORTRANGE(""https://docs.google.com/spreadsheets/d/1EjEqG6oc_vmuAWwHnH51YMvSMVUVePUq"&amp;"Nn9zZBOmHT8/edit#gid=757525651"",""'Allocation Breakdown'!V4:V187""))*E$119"),272.61894513)</f>
        <v>272.61894512999999</v>
      </c>
      <c r="F113" s="30">
        <f t="shared" ca="1" si="0"/>
        <v>7385.4147867954998</v>
      </c>
      <c r="G113" s="30" t="str">
        <f ca="1">IFERROR(__xludf.DUMMYFUNCTION("XLOOKUP($B113,IMPORTRANGE(""https://docs.google.com/spreadsheets/d/1EjEqG6oc_vmuAWwHnH51YMvSMVUVePUqNn9zZBOmHT8/edit#gid=757525651"",""'Allocation Breakdown'!A4:A187""),IMPORTRANGE(""https://docs.google.com/spreadsheets/d/1EjEqG6oc_vmuAWwHnH51YMvSMVUVePUq"&amp;"Nn9zZBOmHT8/edit#gid=757525651"",""'Allocation Breakdown'!D4:D187""))"),"")</f>
        <v/>
      </c>
      <c r="H113" s="30" t="str">
        <f ca="1">IFERROR(__xludf.DUMMYFUNCTION("XLOOKUP($B113,IMPORTRANGE(""https://docs.google.com/spreadsheets/d/1EjEqG6oc_vmuAWwHnH51YMvSMVUVePUqNn9zZBOmHT8/edit#gid=757525651"",""'Allocation Breakdown'!A4:A187""),IMPORTRANGE(""https://docs.google.com/spreadsheets/d/1EjEqG6oc_vmuAWwHnH51YMvSMVUVePUq"&amp;"Nn9zZBOmHT8/edit#gid=757525651"",""'Allocation Breakdown'!E4:E187""))"),"")</f>
        <v/>
      </c>
      <c r="I113" s="30">
        <f ca="1">IFERROR(__xludf.DUMMYFUNCTION("XLOOKUP($B113,IMPORTRANGE(""https://docs.google.com/spreadsheets/d/1EjEqG6oc_vmuAWwHnH51YMvSMVUVePUqNn9zZBOmHT8/edit#gid=757525651"",""'Allocation Breakdown'!A4:A187""),IMPORTRANGE(""https://docs.google.com/spreadsheets/d/1EjEqG6oc_vmuAWwHnH51YMvSMVUVePUq"&amp;"Nn9zZBOmHT8/edit#gid=757525651"",""'Allocation Breakdown'!F4:F187""))"),18000)</f>
        <v>18000</v>
      </c>
      <c r="J113" s="30" t="str">
        <f ca="1">IFERROR(__xludf.DUMMYFUNCTION("XLOOKUP($B113,IMPORTRANGE(""https://docs.google.com/spreadsheets/d/1EjEqG6oc_vmuAWwHnH51YMvSMVUVePUqNn9zZBOmHT8/edit#gid=757525651"",""'Allocation Breakdown'!A4:A187""),IMPORTRANGE(""https://docs.google.com/spreadsheets/d/1EjEqG6oc_vmuAWwHnH51YMvSMVUVePUq"&amp;"Nn9zZBOmHT8/edit#gid=757525651"",""'Allocation Breakdown'!G4:G187""))"),"")</f>
        <v/>
      </c>
      <c r="K113" s="30">
        <f ca="1">IFERROR(__xludf.DUMMYFUNCTION("XLOOKUP($B113,IMPORTRANGE(""https://docs.google.com/spreadsheets/d/1EjEqG6oc_vmuAWwHnH51YMvSMVUVePUqNn9zZBOmHT8/edit#gid=757525651"",""'Allocation Breakdown'!A4:A187""),IMPORTRANGE(""https://docs.google.com/spreadsheets/d/1EjEqG6oc_vmuAWwHnH51YMvSMVUVePUq"&amp;"Nn9zZBOmHT8/edit#gid=757525651"",""'Allocation Breakdown'!I4:I187""))*K$119"),624.9384636)</f>
        <v>624.93846359999998</v>
      </c>
      <c r="L113" s="30">
        <f ca="1">IFERROR(__xludf.DUMMYFUNCTION("XLOOKUP($B113,IMPORTRANGE(""https://docs.google.com/spreadsheets/d/1EjEqG6oc_vmuAWwHnH51YMvSMVUVePUqNn9zZBOmHT8/edit#gid=757525651"",""'Allocation Breakdown'!A4:A187""),IMPORTRANGE(""https://docs.google.com/spreadsheets/d/1EjEqG6oc_vmuAWwHnH51YMvSMVUVePUq"&amp;"Nn9zZBOmHT8/edit#gid=757525651"",""'Allocation Breakdown'!j4:j187""))*L$119"),3701.5422305)</f>
        <v>3701.5422305000002</v>
      </c>
      <c r="M113" s="30">
        <f ca="1">IFERROR(__xludf.DUMMYFUNCTION("XLOOKUP($B113,IMPORTRANGE(""https://docs.google.com/spreadsheets/d/1EjEqG6oc_vmuAWwHnH51YMvSMVUVePUqNn9zZBOmHT8/edit#gid=757525651"",""'Allocation Breakdown'!A4:A187""),IMPORTRANGE(""https://docs.google.com/spreadsheets/d/1EjEqG6oc_vmuAWwHnH51YMvSMVUVePUq"&amp;"Nn9zZBOmHT8/edit#gid=757525651"",""'Allocation Breakdown'!K4:K187""))*M$119"),3588.6226095)</f>
        <v>3588.6226095000002</v>
      </c>
      <c r="N113" s="30">
        <f ca="1">IFERROR(__xludf.DUMMYFUNCTION("XLOOKUP($B113,IMPORTRANGE(""https://docs.google.com/spreadsheets/d/1EjEqG6oc_vmuAWwHnH51YMvSMVUVePUqNn9zZBOmHT8/edit#gid=757525651"",""'Allocation Breakdown'!A4:A187""),IMPORTRANGE(""https://docs.google.com/spreadsheets/d/1EjEqG6oc_vmuAWwHnH51YMvSMVUVePUq"&amp;"Nn9zZBOmHT8/edit#gid=757525651"",""'Allocation Breakdown'!l4:l187""))*N$119"),951.8600508)</f>
        <v>951.86005079999995</v>
      </c>
      <c r="O113" s="30">
        <f ca="1">IFERROR(__xludf.DUMMYFUNCTION("XLOOKUP($B113,IMPORTRANGE(""https://docs.google.com/spreadsheets/d/1EjEqG6oc_vmuAWwHnH51YMvSMVUVePUqNn9zZBOmHT8/edit#gid=757525651"",""'Allocation Breakdown'!A4:A187""),IMPORTRANGE(""https://docs.google.com/spreadsheets/d/1EjEqG6oc_vmuAWwHnH51YMvSMVUVePUq"&amp;"Nn9zZBOmHT8/edit#gid=757525651"",""'Allocation Breakdown'!n4:n187""))*O$119"),0)</f>
        <v>0</v>
      </c>
      <c r="P113" s="30">
        <f ca="1">IFERROR(__xludf.DUMMYFUNCTION("XLOOKUP($B113,IMPORTRANGE(""https://docs.google.com/spreadsheets/d/1EjEqG6oc_vmuAWwHnH51YMvSMVUVePUqNn9zZBOmHT8/edit#gid=757525651"",""'Allocation Breakdown'!A4:A187""),IMPORTRANGE(""https://docs.google.com/spreadsheets/d/1EjEqG6oc_vmuAWwHnH51YMvSMVUVePUq"&amp;"Nn9zZBOmHT8/edit#gid=757525651"",""'Allocation Breakdown'!o4:o187""))*P$119"),0)</f>
        <v>0</v>
      </c>
      <c r="Q113" s="30">
        <f ca="1">IFERROR(__xludf.DUMMYFUNCTION("XLOOKUP($B113,IMPORTRANGE(""https://docs.google.com/spreadsheets/d/1EjEqG6oc_vmuAWwHnH51YMvSMVUVePUqNn9zZBOmHT8/edit#gid=757525651"",""'Allocation Breakdown'!A4:A187""),IMPORTRANGE(""https://docs.google.com/spreadsheets/d/1EjEqG6oc_vmuAWwHnH51YMvSMVUVePUq"&amp;"Nn9zZBOmHT8/edit#gid=757525651"",""'Allocation Breakdown'!p4:p187""))*Q$119"),2000)</f>
        <v>2000</v>
      </c>
      <c r="R113" s="30">
        <f ca="1">IFERROR(__xludf.DUMMYFUNCTION("XLOOKUP($B113,IMPORTRANGE(""https://docs.google.com/spreadsheets/d/1EjEqG6oc_vmuAWwHnH51YMvSMVUVePUqNn9zZBOmHT8/edit#gid=757525651"",""'Allocation Breakdown'!A4:A187""),IMPORTRANGE(""https://docs.google.com/spreadsheets/d/1EjEqG6oc_vmuAWwHnH51YMvSMVUVePUq"&amp;"Nn9zZBOmHT8/edit#gid=757525651"",""'Allocation Breakdown'!q4:q187""))*R$119"),2000)</f>
        <v>2000</v>
      </c>
      <c r="S113" s="30">
        <f ca="1">IFERROR(__xludf.DUMMYFUNCTION("XLOOKUP($B113,IMPORTRANGE(""https://docs.google.com/spreadsheets/d/1EjEqG6oc_vmuAWwHnH51YMvSMVUVePUqNn9zZBOmHT8/edit#gid=757525651"",""'Allocation Breakdown'!A4:A187""),IMPORTRANGE(""https://docs.google.com/spreadsheets/d/1EjEqG6oc_vmuAWwHnH51YMvSMVUVePUq"&amp;"Nn9zZBOmHT8/edit#gid=757525651"",""'Allocation Breakdown'!r4:r187""))*S$119"),2000)</f>
        <v>2000</v>
      </c>
      <c r="T113" s="30">
        <f ca="1">IFERROR(__xludf.DUMMYFUNCTION("XLOOKUP($B113,IMPORTRANGE(""https://docs.google.com/spreadsheets/d/1EjEqG6oc_vmuAWwHnH51YMvSMVUVePUqNn9zZBOmHT8/edit#gid=757525651"",""'Allocation Breakdown'!A4:A187""),IMPORTRANGE(""https://docs.google.com/spreadsheets/d/1EjEqG6oc_vmuAWwHnH51YMvSMVUVePUq"&amp;"Nn9zZBOmHT8/edit#gid=757525651"",""'Allocation Breakdown'!t4:t187""))*T$119"),7000)</f>
        <v>7000</v>
      </c>
      <c r="U113" s="30">
        <f ca="1">IFERROR(__xludf.DUMMYFUNCTION("XLOOKUP($B113,IMPORTRANGE(""https://docs.google.com/spreadsheets/d/1EjEqG6oc_vmuAWwHnH51YMvSMVUVePUqNn9zZBOmHT8/edit#gid=757525651"",""'Allocation Breakdown'!A4:A187""),IMPORTRANGE(""https://docs.google.com/spreadsheets/d/1EjEqG6oc_vmuAWwHnH51YMvSMVUVePUq"&amp;"Nn9zZBOmHT8/edit#gid=757525651"",""'Allocation Breakdown'!U4:U187""))*U$119"),11000)</f>
        <v>11000</v>
      </c>
      <c r="V113" s="31">
        <f t="shared" ca="1" si="1"/>
        <v>50866.963354400003</v>
      </c>
      <c r="W113" s="31">
        <f t="shared" ca="1" si="2"/>
        <v>59029.759196065497</v>
      </c>
      <c r="Z113" s="32"/>
      <c r="AA113" s="32"/>
      <c r="AB113" s="32"/>
    </row>
    <row r="114" spans="2:28" ht="15.75" customHeight="1">
      <c r="B114" s="28" t="s">
        <v>211</v>
      </c>
      <c r="C114" s="30">
        <f ca="1">IFERROR(__xludf.DUMMYFUNCTION("XLOOKUP($B114,IMPORTRANGE(""https://docs.google.com/spreadsheets/d/1EjEqG6oc_vmuAWwHnH51YMvSMVUVePUqNn9zZBOmHT8/edit#gid=757525651"",""'Allocation Breakdown'!A4:A187""),IMPORTRANGE(""https://docs.google.com/spreadsheets/d/1EjEqG6oc_vmuAWwHnH51YMvSMVUVePUq"&amp;"Nn9zZBOmHT8/edit#gid=757525651"",""'Allocation Breakdown'!V4:V187""))*C$119"),777.38105487)</f>
        <v>777.38105486999996</v>
      </c>
      <c r="D114" s="30">
        <f ca="1">IFERROR(__xludf.DUMMYFUNCTION("XLOOKUP($B114,IMPORTRANGE(""https://docs.google.com/spreadsheets/d/1EjEqG6oc_vmuAWwHnH51YMvSMVUVePUqNn9zZBOmHT8/edit#gid=757525651"",""'Allocation Breakdown'!A4:A187""),IMPORTRANGE(""https://docs.google.com/spreadsheets/d/1EjEqG6oc_vmuAWwHnH51YMvSMVUVePUq"&amp;"Nn9zZBOmHT8/edit#gid=757525651"",""'Allocation Breakdown'!I4:I187""))*$D$119"),7112.7958416655)</f>
        <v>7112.7958416655001</v>
      </c>
      <c r="E114" s="30">
        <f ca="1">IFERROR(__xludf.DUMMYFUNCTION("XLOOKUP($B114,IMPORTRANGE(""https://docs.google.com/spreadsheets/d/1EjEqG6oc_vmuAWwHnH51YMvSMVUVePUqNn9zZBOmHT8/edit#gid=757525651"",""'Allocation Breakdown'!A4:A187""),IMPORTRANGE(""https://docs.google.com/spreadsheets/d/1EjEqG6oc_vmuAWwHnH51YMvSMVUVePUq"&amp;"Nn9zZBOmHT8/edit#gid=757525651"",""'Allocation Breakdown'!V4:V187""))*E$119"),272.61894513)</f>
        <v>272.61894512999999</v>
      </c>
      <c r="F114" s="30">
        <f t="shared" ca="1" si="0"/>
        <v>7385.4147867954998</v>
      </c>
      <c r="G114" s="30">
        <f ca="1">IFERROR(__xludf.DUMMYFUNCTION("XLOOKUP($B114,IMPORTRANGE(""https://docs.google.com/spreadsheets/d/1EjEqG6oc_vmuAWwHnH51YMvSMVUVePUqNn9zZBOmHT8/edit#gid=757525651"",""'Allocation Breakdown'!A4:A187""),IMPORTRANGE(""https://docs.google.com/spreadsheets/d/1EjEqG6oc_vmuAWwHnH51YMvSMVUVePUq"&amp;"Nn9zZBOmHT8/edit#gid=757525651"",""'Allocation Breakdown'!D4:D187""))"),5000)</f>
        <v>5000</v>
      </c>
      <c r="H114" s="30">
        <f ca="1">IFERROR(__xludf.DUMMYFUNCTION("XLOOKUP($B114,IMPORTRANGE(""https://docs.google.com/spreadsheets/d/1EjEqG6oc_vmuAWwHnH51YMvSMVUVePUqNn9zZBOmHT8/edit#gid=757525651"",""'Allocation Breakdown'!A4:A187""),IMPORTRANGE(""https://docs.google.com/spreadsheets/d/1EjEqG6oc_vmuAWwHnH51YMvSMVUVePUq"&amp;"Nn9zZBOmHT8/edit#gid=757525651"",""'Allocation Breakdown'!E4:E187""))"),100000)</f>
        <v>100000</v>
      </c>
      <c r="I114" s="30" t="str">
        <f ca="1">IFERROR(__xludf.DUMMYFUNCTION("XLOOKUP($B114,IMPORTRANGE(""https://docs.google.com/spreadsheets/d/1EjEqG6oc_vmuAWwHnH51YMvSMVUVePUqNn9zZBOmHT8/edit#gid=757525651"",""'Allocation Breakdown'!A4:A187""),IMPORTRANGE(""https://docs.google.com/spreadsheets/d/1EjEqG6oc_vmuAWwHnH51YMvSMVUVePUq"&amp;"Nn9zZBOmHT8/edit#gid=757525651"",""'Allocation Breakdown'!F4:F187""))"),"")</f>
        <v/>
      </c>
      <c r="J114" s="30" t="str">
        <f ca="1">IFERROR(__xludf.DUMMYFUNCTION("XLOOKUP($B114,IMPORTRANGE(""https://docs.google.com/spreadsheets/d/1EjEqG6oc_vmuAWwHnH51YMvSMVUVePUqNn9zZBOmHT8/edit#gid=757525651"",""'Allocation Breakdown'!A4:A187""),IMPORTRANGE(""https://docs.google.com/spreadsheets/d/1EjEqG6oc_vmuAWwHnH51YMvSMVUVePUq"&amp;"Nn9zZBOmHT8/edit#gid=757525651"",""'Allocation Breakdown'!G4:G187""))"),"")</f>
        <v/>
      </c>
      <c r="K114" s="30">
        <f ca="1">IFERROR(__xludf.DUMMYFUNCTION("XLOOKUP($B114,IMPORTRANGE(""https://docs.google.com/spreadsheets/d/1EjEqG6oc_vmuAWwHnH51YMvSMVUVePUqNn9zZBOmHT8/edit#gid=757525651"",""'Allocation Breakdown'!A4:A187""),IMPORTRANGE(""https://docs.google.com/spreadsheets/d/1EjEqG6oc_vmuAWwHnH51YMvSMVUVePUq"&amp;"Nn9zZBOmHT8/edit#gid=757525651"",""'Allocation Breakdown'!I4:I187""))*K$119"),624.9384636)</f>
        <v>624.93846359999998</v>
      </c>
      <c r="L114" s="30">
        <f ca="1">IFERROR(__xludf.DUMMYFUNCTION("XLOOKUP($B114,IMPORTRANGE(""https://docs.google.com/spreadsheets/d/1EjEqG6oc_vmuAWwHnH51YMvSMVUVePUqNn9zZBOmHT8/edit#gid=757525651"",""'Allocation Breakdown'!A4:A187""),IMPORTRANGE(""https://docs.google.com/spreadsheets/d/1EjEqG6oc_vmuAWwHnH51YMvSMVUVePUq"&amp;"Nn9zZBOmHT8/edit#gid=757525651"",""'Allocation Breakdown'!j4:j187""))*L$119"),0)</f>
        <v>0</v>
      </c>
      <c r="M114" s="30">
        <f ca="1">IFERROR(__xludf.DUMMYFUNCTION("XLOOKUP($B114,IMPORTRANGE(""https://docs.google.com/spreadsheets/d/1EjEqG6oc_vmuAWwHnH51YMvSMVUVePUqNn9zZBOmHT8/edit#gid=757525651"",""'Allocation Breakdown'!A4:A187""),IMPORTRANGE(""https://docs.google.com/spreadsheets/d/1EjEqG6oc_vmuAWwHnH51YMvSMVUVePUq"&amp;"Nn9zZBOmHT8/edit#gid=757525651"",""'Allocation Breakdown'!K4:K187""))*M$119"),3588.6226095)</f>
        <v>3588.6226095000002</v>
      </c>
      <c r="N114" s="30">
        <f ca="1">IFERROR(__xludf.DUMMYFUNCTION("XLOOKUP($B114,IMPORTRANGE(""https://docs.google.com/spreadsheets/d/1EjEqG6oc_vmuAWwHnH51YMvSMVUVePUqNn9zZBOmHT8/edit#gid=757525651"",""'Allocation Breakdown'!A4:A187""),IMPORTRANGE(""https://docs.google.com/spreadsheets/d/1EjEqG6oc_vmuAWwHnH51YMvSMVUVePUq"&amp;"Nn9zZBOmHT8/edit#gid=757525651"",""'Allocation Breakdown'!l4:l187""))*N$119"),951.8600508)</f>
        <v>951.86005079999995</v>
      </c>
      <c r="O114" s="30">
        <f ca="1">IFERROR(__xludf.DUMMYFUNCTION("XLOOKUP($B114,IMPORTRANGE(""https://docs.google.com/spreadsheets/d/1EjEqG6oc_vmuAWwHnH51YMvSMVUVePUqNn9zZBOmHT8/edit#gid=757525651"",""'Allocation Breakdown'!A4:A187""),IMPORTRANGE(""https://docs.google.com/spreadsheets/d/1EjEqG6oc_vmuAWwHnH51YMvSMVUVePUq"&amp;"Nn9zZBOmHT8/edit#gid=757525651"",""'Allocation Breakdown'!n4:n187""))*O$119"),14000)</f>
        <v>14000</v>
      </c>
      <c r="P114" s="30">
        <f ca="1">IFERROR(__xludf.DUMMYFUNCTION("XLOOKUP($B114,IMPORTRANGE(""https://docs.google.com/spreadsheets/d/1EjEqG6oc_vmuAWwHnH51YMvSMVUVePUqNn9zZBOmHT8/edit#gid=757525651"",""'Allocation Breakdown'!A4:A187""),IMPORTRANGE(""https://docs.google.com/spreadsheets/d/1EjEqG6oc_vmuAWwHnH51YMvSMVUVePUq"&amp;"Nn9zZBOmHT8/edit#gid=757525651"",""'Allocation Breakdown'!o4:o187""))*P$119"),3500)</f>
        <v>3500</v>
      </c>
      <c r="Q114" s="30">
        <f ca="1">IFERROR(__xludf.DUMMYFUNCTION("XLOOKUP($B114,IMPORTRANGE(""https://docs.google.com/spreadsheets/d/1EjEqG6oc_vmuAWwHnH51YMvSMVUVePUqNn9zZBOmHT8/edit#gid=757525651"",""'Allocation Breakdown'!A4:A187""),IMPORTRANGE(""https://docs.google.com/spreadsheets/d/1EjEqG6oc_vmuAWwHnH51YMvSMVUVePUq"&amp;"Nn9zZBOmHT8/edit#gid=757525651"",""'Allocation Breakdown'!p4:p187""))*Q$119"),0)</f>
        <v>0</v>
      </c>
      <c r="R114" s="30">
        <f ca="1">IFERROR(__xludf.DUMMYFUNCTION("XLOOKUP($B114,IMPORTRANGE(""https://docs.google.com/spreadsheets/d/1EjEqG6oc_vmuAWwHnH51YMvSMVUVePUqNn9zZBOmHT8/edit#gid=757525651"",""'Allocation Breakdown'!A4:A187""),IMPORTRANGE(""https://docs.google.com/spreadsheets/d/1EjEqG6oc_vmuAWwHnH51YMvSMVUVePUq"&amp;"Nn9zZBOmHT8/edit#gid=757525651"",""'Allocation Breakdown'!q4:q187""))*R$119"),2000)</f>
        <v>2000</v>
      </c>
      <c r="S114" s="30">
        <f ca="1">IFERROR(__xludf.DUMMYFUNCTION("XLOOKUP($B114,IMPORTRANGE(""https://docs.google.com/spreadsheets/d/1EjEqG6oc_vmuAWwHnH51YMvSMVUVePUqNn9zZBOmHT8/edit#gid=757525651"",""'Allocation Breakdown'!A4:A187""),IMPORTRANGE(""https://docs.google.com/spreadsheets/d/1EjEqG6oc_vmuAWwHnH51YMvSMVUVePUq"&amp;"Nn9zZBOmHT8/edit#gid=757525651"",""'Allocation Breakdown'!r4:r187""))*S$119"),2000)</f>
        <v>2000</v>
      </c>
      <c r="T114" s="30">
        <f ca="1">IFERROR(__xludf.DUMMYFUNCTION("XLOOKUP($B114,IMPORTRANGE(""https://docs.google.com/spreadsheets/d/1EjEqG6oc_vmuAWwHnH51YMvSMVUVePUqNn9zZBOmHT8/edit#gid=757525651"",""'Allocation Breakdown'!A4:A187""),IMPORTRANGE(""https://docs.google.com/spreadsheets/d/1EjEqG6oc_vmuAWwHnH51YMvSMVUVePUq"&amp;"Nn9zZBOmHT8/edit#gid=757525651"",""'Allocation Breakdown'!t4:t187""))*T$119"),7000)</f>
        <v>7000</v>
      </c>
      <c r="U114" s="30">
        <f ca="1">IFERROR(__xludf.DUMMYFUNCTION("XLOOKUP($B114,IMPORTRANGE(""https://docs.google.com/spreadsheets/d/1EjEqG6oc_vmuAWwHnH51YMvSMVUVePUqNn9zZBOmHT8/edit#gid=757525651"",""'Allocation Breakdown'!A4:A187""),IMPORTRANGE(""https://docs.google.com/spreadsheets/d/1EjEqG6oc_vmuAWwHnH51YMvSMVUVePUq"&amp;"Nn9zZBOmHT8/edit#gid=757525651"",""'Allocation Breakdown'!U4:U187""))*U$119"),11000)</f>
        <v>11000</v>
      </c>
      <c r="V114" s="31">
        <f t="shared" ca="1" si="1"/>
        <v>149665.42112389999</v>
      </c>
      <c r="W114" s="31">
        <f t="shared" ca="1" si="2"/>
        <v>157828.21696556549</v>
      </c>
      <c r="Z114" s="32"/>
      <c r="AA114" s="32"/>
      <c r="AB114" s="32"/>
    </row>
    <row r="115" spans="2:28" ht="15.75" customHeight="1">
      <c r="B115" s="28" t="s">
        <v>212</v>
      </c>
      <c r="C115" s="30">
        <f ca="1">IFERROR(__xludf.DUMMYFUNCTION("XLOOKUP($B115,IMPORTRANGE(""https://docs.google.com/spreadsheets/d/1EjEqG6oc_vmuAWwHnH51YMvSMVUVePUqNn9zZBOmHT8/edit#gid=757525651"",""'Allocation Breakdown'!A4:A187""),IMPORTRANGE(""https://docs.google.com/spreadsheets/d/1EjEqG6oc_vmuAWwHnH51YMvSMVUVePUq"&amp;"Nn9zZBOmHT8/edit#gid=757525651"",""'Allocation Breakdown'!V4:V187""))*C$119"),0)</f>
        <v>0</v>
      </c>
      <c r="D115" s="30">
        <f ca="1">IFERROR(__xludf.DUMMYFUNCTION("XLOOKUP($B115,IMPORTRANGE(""https://docs.google.com/spreadsheets/d/1EjEqG6oc_vmuAWwHnH51YMvSMVUVePUqNn9zZBOmHT8/edit#gid=757525651"",""'Allocation Breakdown'!A4:A187""),IMPORTRANGE(""https://docs.google.com/spreadsheets/d/1EjEqG6oc_vmuAWwHnH51YMvSMVUVePUq"&amp;"Nn9zZBOmHT8/edit#gid=757525651"",""'Allocation Breakdown'!I4:I187""))*$D$119"),7112.7958416655)</f>
        <v>7112.7958416655001</v>
      </c>
      <c r="E115" s="30">
        <f ca="1">IFERROR(__xludf.DUMMYFUNCTION("XLOOKUP($B115,IMPORTRANGE(""https://docs.google.com/spreadsheets/d/1EjEqG6oc_vmuAWwHnH51YMvSMVUVePUqNn9zZBOmHT8/edit#gid=757525651"",""'Allocation Breakdown'!A4:A187""),IMPORTRANGE(""https://docs.google.com/spreadsheets/d/1EjEqG6oc_vmuAWwHnH51YMvSMVUVePUq"&amp;"Nn9zZBOmHT8/edit#gid=757525651"",""'Allocation Breakdown'!V4:V187""))*E$119"),0)</f>
        <v>0</v>
      </c>
      <c r="F115" s="30">
        <f t="shared" ca="1" si="0"/>
        <v>7112.7958416655001</v>
      </c>
      <c r="G115" s="30" t="str">
        <f ca="1">IFERROR(__xludf.DUMMYFUNCTION("XLOOKUP($B115,IMPORTRANGE(""https://docs.google.com/spreadsheets/d/1EjEqG6oc_vmuAWwHnH51YMvSMVUVePUqNn9zZBOmHT8/edit#gid=757525651"",""'Allocation Breakdown'!A4:A187""),IMPORTRANGE(""https://docs.google.com/spreadsheets/d/1EjEqG6oc_vmuAWwHnH51YMvSMVUVePUq"&amp;"Nn9zZBOmHT8/edit#gid=757525651"",""'Allocation Breakdown'!D4:D187""))"),"")</f>
        <v/>
      </c>
      <c r="H115" s="30">
        <f ca="1">IFERROR(__xludf.DUMMYFUNCTION("XLOOKUP($B115,IMPORTRANGE(""https://docs.google.com/spreadsheets/d/1EjEqG6oc_vmuAWwHnH51YMvSMVUVePUqNn9zZBOmHT8/edit#gid=757525651"",""'Allocation Breakdown'!A4:A187""),IMPORTRANGE(""https://docs.google.com/spreadsheets/d/1EjEqG6oc_vmuAWwHnH51YMvSMVUVePUq"&amp;"Nn9zZBOmHT8/edit#gid=757525651"",""'Allocation Breakdown'!E4:E187""))"),23001)</f>
        <v>23001</v>
      </c>
      <c r="I115" s="30">
        <f ca="1">IFERROR(__xludf.DUMMYFUNCTION("XLOOKUP($B115,IMPORTRANGE(""https://docs.google.com/spreadsheets/d/1EjEqG6oc_vmuAWwHnH51YMvSMVUVePUqNn9zZBOmHT8/edit#gid=757525651"",""'Allocation Breakdown'!A4:A187""),IMPORTRANGE(""https://docs.google.com/spreadsheets/d/1EjEqG6oc_vmuAWwHnH51YMvSMVUVePUq"&amp;"Nn9zZBOmHT8/edit#gid=757525651"",""'Allocation Breakdown'!F4:F187""))"),18000)</f>
        <v>18000</v>
      </c>
      <c r="J115" s="30">
        <f ca="1">IFERROR(__xludf.DUMMYFUNCTION("XLOOKUP($B115,IMPORTRANGE(""https://docs.google.com/spreadsheets/d/1EjEqG6oc_vmuAWwHnH51YMvSMVUVePUqNn9zZBOmHT8/edit#gid=757525651"",""'Allocation Breakdown'!A4:A187""),IMPORTRANGE(""https://docs.google.com/spreadsheets/d/1EjEqG6oc_vmuAWwHnH51YMvSMVUVePUq"&amp;"Nn9zZBOmHT8/edit#gid=757525651"",""'Allocation Breakdown'!G4:G187""))"),9175)</f>
        <v>9175</v>
      </c>
      <c r="K115" s="30">
        <f ca="1">IFERROR(__xludf.DUMMYFUNCTION("XLOOKUP($B115,IMPORTRANGE(""https://docs.google.com/spreadsheets/d/1EjEqG6oc_vmuAWwHnH51YMvSMVUVePUqNn9zZBOmHT8/edit#gid=757525651"",""'Allocation Breakdown'!A4:A187""),IMPORTRANGE(""https://docs.google.com/spreadsheets/d/1EjEqG6oc_vmuAWwHnH51YMvSMVUVePUq"&amp;"Nn9zZBOmHT8/edit#gid=757525651"",""'Allocation Breakdown'!I4:I187""))*K$119"),624.9384636)</f>
        <v>624.93846359999998</v>
      </c>
      <c r="L115" s="30">
        <f ca="1">IFERROR(__xludf.DUMMYFUNCTION("XLOOKUP($B115,IMPORTRANGE(""https://docs.google.com/spreadsheets/d/1EjEqG6oc_vmuAWwHnH51YMvSMVUVePUqNn9zZBOmHT8/edit#gid=757525651"",""'Allocation Breakdown'!A4:A187""),IMPORTRANGE(""https://docs.google.com/spreadsheets/d/1EjEqG6oc_vmuAWwHnH51YMvSMVUVePUq"&amp;"Nn9zZBOmHT8/edit#gid=757525651"",""'Allocation Breakdown'!j4:j187""))*L$119"),3701.5422305)</f>
        <v>3701.5422305000002</v>
      </c>
      <c r="M115" s="30">
        <f ca="1">IFERROR(__xludf.DUMMYFUNCTION("XLOOKUP($B115,IMPORTRANGE(""https://docs.google.com/spreadsheets/d/1EjEqG6oc_vmuAWwHnH51YMvSMVUVePUqNn9zZBOmHT8/edit#gid=757525651"",""'Allocation Breakdown'!A4:A187""),IMPORTRANGE(""https://docs.google.com/spreadsheets/d/1EjEqG6oc_vmuAWwHnH51YMvSMVUVePUq"&amp;"Nn9zZBOmHT8/edit#gid=757525651"",""'Allocation Breakdown'!K4:K187""))*M$119"),3588.6226095)</f>
        <v>3588.6226095000002</v>
      </c>
      <c r="N115" s="30">
        <f ca="1">IFERROR(__xludf.DUMMYFUNCTION("XLOOKUP($B115,IMPORTRANGE(""https://docs.google.com/spreadsheets/d/1EjEqG6oc_vmuAWwHnH51YMvSMVUVePUqNn9zZBOmHT8/edit#gid=757525651"",""'Allocation Breakdown'!A4:A187""),IMPORTRANGE(""https://docs.google.com/spreadsheets/d/1EjEqG6oc_vmuAWwHnH51YMvSMVUVePUq"&amp;"Nn9zZBOmHT8/edit#gid=757525651"",""'Allocation Breakdown'!l4:l187""))*N$119"),951.8600508)</f>
        <v>951.86005079999995</v>
      </c>
      <c r="O115" s="30">
        <f ca="1">IFERROR(__xludf.DUMMYFUNCTION("XLOOKUP($B115,IMPORTRANGE(""https://docs.google.com/spreadsheets/d/1EjEqG6oc_vmuAWwHnH51YMvSMVUVePUqNn9zZBOmHT8/edit#gid=757525651"",""'Allocation Breakdown'!A4:A187""),IMPORTRANGE(""https://docs.google.com/spreadsheets/d/1EjEqG6oc_vmuAWwHnH51YMvSMVUVePUq"&amp;"Nn9zZBOmHT8/edit#gid=757525651"",""'Allocation Breakdown'!n4:n187""))*O$119"),20000)</f>
        <v>20000</v>
      </c>
      <c r="P115" s="30">
        <f ca="1">IFERROR(__xludf.DUMMYFUNCTION("XLOOKUP($B115,IMPORTRANGE(""https://docs.google.com/spreadsheets/d/1EjEqG6oc_vmuAWwHnH51YMvSMVUVePUqNn9zZBOmHT8/edit#gid=757525651"",""'Allocation Breakdown'!A4:A187""),IMPORTRANGE(""https://docs.google.com/spreadsheets/d/1EjEqG6oc_vmuAWwHnH51YMvSMVUVePUq"&amp;"Nn9zZBOmHT8/edit#gid=757525651"",""'Allocation Breakdown'!o4:o187""))*P$119"),2200)</f>
        <v>2200</v>
      </c>
      <c r="Q115" s="30">
        <f ca="1">IFERROR(__xludf.DUMMYFUNCTION("XLOOKUP($B115,IMPORTRANGE(""https://docs.google.com/spreadsheets/d/1EjEqG6oc_vmuAWwHnH51YMvSMVUVePUqNn9zZBOmHT8/edit#gid=757525651"",""'Allocation Breakdown'!A4:A187""),IMPORTRANGE(""https://docs.google.com/spreadsheets/d/1EjEqG6oc_vmuAWwHnH51YMvSMVUVePUq"&amp;"Nn9zZBOmHT8/edit#gid=757525651"",""'Allocation Breakdown'!p4:p187""))*Q$119"),2000)</f>
        <v>2000</v>
      </c>
      <c r="R115" s="30">
        <f ca="1">IFERROR(__xludf.DUMMYFUNCTION("XLOOKUP($B115,IMPORTRANGE(""https://docs.google.com/spreadsheets/d/1EjEqG6oc_vmuAWwHnH51YMvSMVUVePUqNn9zZBOmHT8/edit#gid=757525651"",""'Allocation Breakdown'!A4:A187""),IMPORTRANGE(""https://docs.google.com/spreadsheets/d/1EjEqG6oc_vmuAWwHnH51YMvSMVUVePUq"&amp;"Nn9zZBOmHT8/edit#gid=757525651"",""'Allocation Breakdown'!q4:q187""))*R$119"),2000)</f>
        <v>2000</v>
      </c>
      <c r="S115" s="30">
        <f ca="1">IFERROR(__xludf.DUMMYFUNCTION("XLOOKUP($B115,IMPORTRANGE(""https://docs.google.com/spreadsheets/d/1EjEqG6oc_vmuAWwHnH51YMvSMVUVePUqNn9zZBOmHT8/edit#gid=757525651"",""'Allocation Breakdown'!A4:A187""),IMPORTRANGE(""https://docs.google.com/spreadsheets/d/1EjEqG6oc_vmuAWwHnH51YMvSMVUVePUq"&amp;"Nn9zZBOmHT8/edit#gid=757525651"",""'Allocation Breakdown'!r4:r187""))*S$119"),0)</f>
        <v>0</v>
      </c>
      <c r="T115" s="30">
        <f ca="1">IFERROR(__xludf.DUMMYFUNCTION("XLOOKUP($B115,IMPORTRANGE(""https://docs.google.com/spreadsheets/d/1EjEqG6oc_vmuAWwHnH51YMvSMVUVePUqNn9zZBOmHT8/edit#gid=757525651"",""'Allocation Breakdown'!A4:A187""),IMPORTRANGE(""https://docs.google.com/spreadsheets/d/1EjEqG6oc_vmuAWwHnH51YMvSMVUVePUq"&amp;"Nn9zZBOmHT8/edit#gid=757525651"",""'Allocation Breakdown'!t4:t187""))*T$119"),7000)</f>
        <v>7000</v>
      </c>
      <c r="U115" s="30">
        <f ca="1">IFERROR(__xludf.DUMMYFUNCTION("XLOOKUP($B115,IMPORTRANGE(""https://docs.google.com/spreadsheets/d/1EjEqG6oc_vmuAWwHnH51YMvSMVUVePUqNn9zZBOmHT8/edit#gid=757525651"",""'Allocation Breakdown'!A4:A187""),IMPORTRANGE(""https://docs.google.com/spreadsheets/d/1EjEqG6oc_vmuAWwHnH51YMvSMVUVePUq"&amp;"Nn9zZBOmHT8/edit#gid=757525651"",""'Allocation Breakdown'!U4:U187""))*U$119"),11000)</f>
        <v>11000</v>
      </c>
      <c r="V115" s="31">
        <f t="shared" ca="1" si="1"/>
        <v>103242.96335440001</v>
      </c>
      <c r="W115" s="31">
        <f t="shared" ca="1" si="2"/>
        <v>110355.75919606551</v>
      </c>
      <c r="Z115" s="32"/>
      <c r="AA115" s="32"/>
      <c r="AB115" s="32"/>
    </row>
    <row r="116" spans="2:28" ht="15.75" customHeight="1">
      <c r="B116" s="28" t="s">
        <v>213</v>
      </c>
      <c r="C116" s="30">
        <f ca="1">IFERROR(__xludf.DUMMYFUNCTION("XLOOKUP($B116,IMPORTRANGE(""https://docs.google.com/spreadsheets/d/1EjEqG6oc_vmuAWwHnH51YMvSMVUVePUqNn9zZBOmHT8/edit#gid=757525651"",""'Allocation Breakdown'!A4:A187""),IMPORTRANGE(""https://docs.google.com/spreadsheets/d/1EjEqG6oc_vmuAWwHnH51YMvSMVUVePUq"&amp;"Nn9zZBOmHT8/edit#gid=757525651"",""'Allocation Breakdown'!V4:V187""))*C$119"),777.38105487)</f>
        <v>777.38105486999996</v>
      </c>
      <c r="D116" s="30">
        <f ca="1">IFERROR(__xludf.DUMMYFUNCTION("XLOOKUP($B116,IMPORTRANGE(""https://docs.google.com/spreadsheets/d/1EjEqG6oc_vmuAWwHnH51YMvSMVUVePUqNn9zZBOmHT8/edit#gid=757525651"",""'Allocation Breakdown'!A4:A187""),IMPORTRANGE(""https://docs.google.com/spreadsheets/d/1EjEqG6oc_vmuAWwHnH51YMvSMVUVePUq"&amp;"Nn9zZBOmHT8/edit#gid=757525651"",""'Allocation Breakdown'!I4:I187""))*$D$119"),7112.7958416655)</f>
        <v>7112.7958416655001</v>
      </c>
      <c r="E116" s="30">
        <f ca="1">IFERROR(__xludf.DUMMYFUNCTION("XLOOKUP($B116,IMPORTRANGE(""https://docs.google.com/spreadsheets/d/1EjEqG6oc_vmuAWwHnH51YMvSMVUVePUqNn9zZBOmHT8/edit#gid=757525651"",""'Allocation Breakdown'!A4:A187""),IMPORTRANGE(""https://docs.google.com/spreadsheets/d/1EjEqG6oc_vmuAWwHnH51YMvSMVUVePUq"&amp;"Nn9zZBOmHT8/edit#gid=757525651"",""'Allocation Breakdown'!V4:V187""))*E$119"),272.61894513)</f>
        <v>272.61894512999999</v>
      </c>
      <c r="F116" s="30">
        <f t="shared" ca="1" si="0"/>
        <v>7385.4147867954998</v>
      </c>
      <c r="G116" s="30" t="str">
        <f ca="1">IFERROR(__xludf.DUMMYFUNCTION("XLOOKUP($B116,IMPORTRANGE(""https://docs.google.com/spreadsheets/d/1EjEqG6oc_vmuAWwHnH51YMvSMVUVePUqNn9zZBOmHT8/edit#gid=757525651"",""'Allocation Breakdown'!A4:A187""),IMPORTRANGE(""https://docs.google.com/spreadsheets/d/1EjEqG6oc_vmuAWwHnH51YMvSMVUVePUq"&amp;"Nn9zZBOmHT8/edit#gid=757525651"",""'Allocation Breakdown'!D4:D187""))"),"")</f>
        <v/>
      </c>
      <c r="H116" s="30" t="str">
        <f ca="1">IFERROR(__xludf.DUMMYFUNCTION("XLOOKUP($B116,IMPORTRANGE(""https://docs.google.com/spreadsheets/d/1EjEqG6oc_vmuAWwHnH51YMvSMVUVePUqNn9zZBOmHT8/edit#gid=757525651"",""'Allocation Breakdown'!A4:A187""),IMPORTRANGE(""https://docs.google.com/spreadsheets/d/1EjEqG6oc_vmuAWwHnH51YMvSMVUVePUq"&amp;"Nn9zZBOmHT8/edit#gid=757525651"",""'Allocation Breakdown'!E4:E187""))"),"")</f>
        <v/>
      </c>
      <c r="I116" s="30" t="str">
        <f ca="1">IFERROR(__xludf.DUMMYFUNCTION("XLOOKUP($B116,IMPORTRANGE(""https://docs.google.com/spreadsheets/d/1EjEqG6oc_vmuAWwHnH51YMvSMVUVePUqNn9zZBOmHT8/edit#gid=757525651"",""'Allocation Breakdown'!A4:A187""),IMPORTRANGE(""https://docs.google.com/spreadsheets/d/1EjEqG6oc_vmuAWwHnH51YMvSMVUVePUq"&amp;"Nn9zZBOmHT8/edit#gid=757525651"",""'Allocation Breakdown'!F4:F187""))"),"")</f>
        <v/>
      </c>
      <c r="J116" s="30">
        <f ca="1">IFERROR(__xludf.DUMMYFUNCTION("XLOOKUP($B116,IMPORTRANGE(""https://docs.google.com/spreadsheets/d/1EjEqG6oc_vmuAWwHnH51YMvSMVUVePUqNn9zZBOmHT8/edit#gid=757525651"",""'Allocation Breakdown'!A4:A187""),IMPORTRANGE(""https://docs.google.com/spreadsheets/d/1EjEqG6oc_vmuAWwHnH51YMvSMVUVePUq"&amp;"Nn9zZBOmHT8/edit#gid=757525651"",""'Allocation Breakdown'!G4:G187""))"),8000)</f>
        <v>8000</v>
      </c>
      <c r="K116" s="30">
        <f ca="1">IFERROR(__xludf.DUMMYFUNCTION("XLOOKUP($B116,IMPORTRANGE(""https://docs.google.com/spreadsheets/d/1EjEqG6oc_vmuAWwHnH51YMvSMVUVePUqNn9zZBOmHT8/edit#gid=757525651"",""'Allocation Breakdown'!A4:A187""),IMPORTRANGE(""https://docs.google.com/spreadsheets/d/1EjEqG6oc_vmuAWwHnH51YMvSMVUVePUq"&amp;"Nn9zZBOmHT8/edit#gid=757525651"",""'Allocation Breakdown'!I4:I187""))*K$119"),624.9384636)</f>
        <v>624.93846359999998</v>
      </c>
      <c r="L116" s="30">
        <f ca="1">IFERROR(__xludf.DUMMYFUNCTION("XLOOKUP($B116,IMPORTRANGE(""https://docs.google.com/spreadsheets/d/1EjEqG6oc_vmuAWwHnH51YMvSMVUVePUqNn9zZBOmHT8/edit#gid=757525651"",""'Allocation Breakdown'!A4:A187""),IMPORTRANGE(""https://docs.google.com/spreadsheets/d/1EjEqG6oc_vmuAWwHnH51YMvSMVUVePUq"&amp;"Nn9zZBOmHT8/edit#gid=757525651"",""'Allocation Breakdown'!j4:j187""))*L$119"),3701.5422305)</f>
        <v>3701.5422305000002</v>
      </c>
      <c r="M116" s="30">
        <f ca="1">IFERROR(__xludf.DUMMYFUNCTION("XLOOKUP($B116,IMPORTRANGE(""https://docs.google.com/spreadsheets/d/1EjEqG6oc_vmuAWwHnH51YMvSMVUVePUqNn9zZBOmHT8/edit#gid=757525651"",""'Allocation Breakdown'!A4:A187""),IMPORTRANGE(""https://docs.google.com/spreadsheets/d/1EjEqG6oc_vmuAWwHnH51YMvSMVUVePUq"&amp;"Nn9zZBOmHT8/edit#gid=757525651"",""'Allocation Breakdown'!K4:K187""))*M$119"),3588.6226095)</f>
        <v>3588.6226095000002</v>
      </c>
      <c r="N116" s="30">
        <f ca="1">IFERROR(__xludf.DUMMYFUNCTION("XLOOKUP($B116,IMPORTRANGE(""https://docs.google.com/spreadsheets/d/1EjEqG6oc_vmuAWwHnH51YMvSMVUVePUqNn9zZBOmHT8/edit#gid=757525651"",""'Allocation Breakdown'!A4:A187""),IMPORTRANGE(""https://docs.google.com/spreadsheets/d/1EjEqG6oc_vmuAWwHnH51YMvSMVUVePUq"&amp;"Nn9zZBOmHT8/edit#gid=757525651"",""'Allocation Breakdown'!l4:l187""))*N$119"),951.8600508)</f>
        <v>951.86005079999995</v>
      </c>
      <c r="O116" s="30">
        <f ca="1">IFERROR(__xludf.DUMMYFUNCTION("XLOOKUP($B116,IMPORTRANGE(""https://docs.google.com/spreadsheets/d/1EjEqG6oc_vmuAWwHnH51YMvSMVUVePUqNn9zZBOmHT8/edit#gid=757525651"",""'Allocation Breakdown'!A4:A187""),IMPORTRANGE(""https://docs.google.com/spreadsheets/d/1EjEqG6oc_vmuAWwHnH51YMvSMVUVePUq"&amp;"Nn9zZBOmHT8/edit#gid=757525651"",""'Allocation Breakdown'!n4:n187""))*O$119"),0)</f>
        <v>0</v>
      </c>
      <c r="P116" s="30">
        <f ca="1">IFERROR(__xludf.DUMMYFUNCTION("XLOOKUP($B116,IMPORTRANGE(""https://docs.google.com/spreadsheets/d/1EjEqG6oc_vmuAWwHnH51YMvSMVUVePUqNn9zZBOmHT8/edit#gid=757525651"",""'Allocation Breakdown'!A4:A187""),IMPORTRANGE(""https://docs.google.com/spreadsheets/d/1EjEqG6oc_vmuAWwHnH51YMvSMVUVePUq"&amp;"Nn9zZBOmHT8/edit#gid=757525651"",""'Allocation Breakdown'!o4:o187""))*P$119"),2200)</f>
        <v>2200</v>
      </c>
      <c r="Q116" s="30">
        <f ca="1">IFERROR(__xludf.DUMMYFUNCTION("XLOOKUP($B116,IMPORTRANGE(""https://docs.google.com/spreadsheets/d/1EjEqG6oc_vmuAWwHnH51YMvSMVUVePUqNn9zZBOmHT8/edit#gid=757525651"",""'Allocation Breakdown'!A4:A187""),IMPORTRANGE(""https://docs.google.com/spreadsheets/d/1EjEqG6oc_vmuAWwHnH51YMvSMVUVePUq"&amp;"Nn9zZBOmHT8/edit#gid=757525651"",""'Allocation Breakdown'!p4:p187""))*Q$119"),2000)</f>
        <v>2000</v>
      </c>
      <c r="R116" s="30">
        <f ca="1">IFERROR(__xludf.DUMMYFUNCTION("XLOOKUP($B116,IMPORTRANGE(""https://docs.google.com/spreadsheets/d/1EjEqG6oc_vmuAWwHnH51YMvSMVUVePUqNn9zZBOmHT8/edit#gid=757525651"",""'Allocation Breakdown'!A4:A187""),IMPORTRANGE(""https://docs.google.com/spreadsheets/d/1EjEqG6oc_vmuAWwHnH51YMvSMVUVePUq"&amp;"Nn9zZBOmHT8/edit#gid=757525651"",""'Allocation Breakdown'!q4:q187""))*R$119"),2000)</f>
        <v>2000</v>
      </c>
      <c r="S116" s="30">
        <f ca="1">IFERROR(__xludf.DUMMYFUNCTION("XLOOKUP($B116,IMPORTRANGE(""https://docs.google.com/spreadsheets/d/1EjEqG6oc_vmuAWwHnH51YMvSMVUVePUqNn9zZBOmHT8/edit#gid=757525651"",""'Allocation Breakdown'!A4:A187""),IMPORTRANGE(""https://docs.google.com/spreadsheets/d/1EjEqG6oc_vmuAWwHnH51YMvSMVUVePUq"&amp;"Nn9zZBOmHT8/edit#gid=757525651"",""'Allocation Breakdown'!r4:r187""))*S$119"),2000)</f>
        <v>2000</v>
      </c>
      <c r="T116" s="30">
        <f ca="1">IFERROR(__xludf.DUMMYFUNCTION("XLOOKUP($B116,IMPORTRANGE(""https://docs.google.com/spreadsheets/d/1EjEqG6oc_vmuAWwHnH51YMvSMVUVePUqNn9zZBOmHT8/edit#gid=757525651"",""'Allocation Breakdown'!A4:A187""),IMPORTRANGE(""https://docs.google.com/spreadsheets/d/1EjEqG6oc_vmuAWwHnH51YMvSMVUVePUq"&amp;"Nn9zZBOmHT8/edit#gid=757525651"",""'Allocation Breakdown'!t4:t187""))*T$119"),7000)</f>
        <v>7000</v>
      </c>
      <c r="U116" s="30">
        <f ca="1">IFERROR(__xludf.DUMMYFUNCTION("XLOOKUP($B116,IMPORTRANGE(""https://docs.google.com/spreadsheets/d/1EjEqG6oc_vmuAWwHnH51YMvSMVUVePUqNn9zZBOmHT8/edit#gid=757525651"",""'Allocation Breakdown'!A4:A187""),IMPORTRANGE(""https://docs.google.com/spreadsheets/d/1EjEqG6oc_vmuAWwHnH51YMvSMVUVePUq"&amp;"Nn9zZBOmHT8/edit#gid=757525651"",""'Allocation Breakdown'!U4:U187""))*U$119"),11000)</f>
        <v>11000</v>
      </c>
      <c r="V116" s="31">
        <f t="shared" ca="1" si="1"/>
        <v>43066.963354399995</v>
      </c>
      <c r="W116" s="31">
        <f t="shared" ca="1" si="2"/>
        <v>51229.759196065497</v>
      </c>
      <c r="Z116" s="32"/>
      <c r="AA116" s="32"/>
      <c r="AB116" s="32"/>
    </row>
    <row r="117" spans="2:28" ht="15.75" customHeight="1">
      <c r="B117" s="37" t="s">
        <v>77</v>
      </c>
      <c r="C117" s="38">
        <f t="shared" ref="C117:W117" ca="1" si="3">SUM(C4:C116)</f>
        <v>240728.99999140936</v>
      </c>
      <c r="D117" s="38">
        <f t="shared" ca="1" si="3"/>
        <v>2933013.9999999912</v>
      </c>
      <c r="E117" s="38">
        <f t="shared" ca="1" si="3"/>
        <v>84421.000008590054</v>
      </c>
      <c r="F117" s="38">
        <f t="shared" ca="1" si="3"/>
        <v>3017435.0000085868</v>
      </c>
      <c r="G117" s="38">
        <f t="shared" ca="1" si="3"/>
        <v>887865</v>
      </c>
      <c r="H117" s="38">
        <f t="shared" ca="1" si="3"/>
        <v>5105741</v>
      </c>
      <c r="I117" s="38">
        <f t="shared" ca="1" si="3"/>
        <v>4725395</v>
      </c>
      <c r="J117" s="38">
        <f t="shared" ca="1" si="3"/>
        <v>987920</v>
      </c>
      <c r="K117" s="38">
        <f t="shared" ca="1" si="3"/>
        <v>257698.00001009088</v>
      </c>
      <c r="L117" s="38">
        <f t="shared" ca="1" si="3"/>
        <v>1329668.000040208</v>
      </c>
      <c r="M117" s="38">
        <f t="shared" ca="1" si="3"/>
        <v>1185967.9999875613</v>
      </c>
      <c r="N117" s="38">
        <f t="shared" ca="1" si="3"/>
        <v>374080.99996440107</v>
      </c>
      <c r="O117" s="38">
        <f t="shared" ca="1" si="3"/>
        <v>1198000</v>
      </c>
      <c r="P117" s="38">
        <f t="shared" ca="1" si="3"/>
        <v>1042924</v>
      </c>
      <c r="Q117" s="38">
        <f t="shared" ca="1" si="3"/>
        <v>617200</v>
      </c>
      <c r="R117" s="38">
        <f t="shared" ca="1" si="3"/>
        <v>667000</v>
      </c>
      <c r="S117" s="38">
        <f t="shared" ca="1" si="3"/>
        <v>661500</v>
      </c>
      <c r="T117" s="38">
        <f t="shared" ca="1" si="3"/>
        <v>3276000</v>
      </c>
      <c r="U117" s="38">
        <f t="shared" ca="1" si="3"/>
        <v>4397950</v>
      </c>
      <c r="V117" s="38">
        <f t="shared" ca="1" si="3"/>
        <v>26714910.000002287</v>
      </c>
      <c r="W117" s="38">
        <f t="shared" ca="1" si="3"/>
        <v>29973074.000002235</v>
      </c>
    </row>
    <row r="118" spans="2:28" ht="15.75" customHeight="1">
      <c r="B118" s="39"/>
      <c r="C118" s="39"/>
      <c r="D118" s="39"/>
      <c r="E118" s="39"/>
      <c r="F118" s="39"/>
      <c r="G118" s="39"/>
      <c r="H118" s="39"/>
      <c r="I118" s="39"/>
      <c r="J118" s="39"/>
      <c r="K118" s="39"/>
      <c r="L118" s="39"/>
      <c r="M118" s="39"/>
      <c r="N118" s="39"/>
      <c r="O118" s="39"/>
      <c r="P118" s="39"/>
      <c r="Q118" s="39"/>
      <c r="R118" s="39"/>
      <c r="S118" s="39"/>
      <c r="T118" s="39"/>
      <c r="U118" s="39"/>
      <c r="V118" s="39"/>
      <c r="W118" s="39"/>
    </row>
    <row r="119" spans="2:28" ht="15.75" hidden="1" customHeight="1">
      <c r="B119" s="40" t="s">
        <v>214</v>
      </c>
      <c r="C119" s="41">
        <f>1-E119</f>
        <v>0.74036290939999994</v>
      </c>
      <c r="D119" s="39">
        <v>0.71127958416655068</v>
      </c>
      <c r="E119" s="40">
        <v>0.25963709060000001</v>
      </c>
      <c r="F119" s="39"/>
      <c r="G119" s="39"/>
      <c r="H119" s="39"/>
      <c r="I119" s="39"/>
      <c r="J119" s="39"/>
      <c r="K119" s="40">
        <v>6.2493846360000001E-2</v>
      </c>
      <c r="L119" s="40">
        <v>0.74030844610000002</v>
      </c>
      <c r="M119" s="40">
        <v>0.71772452190000002</v>
      </c>
      <c r="N119" s="40">
        <v>0.31728668360000001</v>
      </c>
      <c r="O119" s="40">
        <v>1</v>
      </c>
      <c r="P119" s="40">
        <v>1</v>
      </c>
      <c r="Q119" s="40">
        <v>1</v>
      </c>
      <c r="R119" s="40">
        <v>1</v>
      </c>
      <c r="S119" s="40">
        <v>1</v>
      </c>
      <c r="T119" s="40">
        <v>1</v>
      </c>
      <c r="U119" s="40">
        <v>1</v>
      </c>
      <c r="V119" s="39"/>
      <c r="W119" s="42"/>
    </row>
    <row r="120" spans="2:28" ht="15.75" hidden="1" customHeight="1">
      <c r="B120" s="39"/>
      <c r="C120" s="39"/>
      <c r="D120" s="39"/>
      <c r="E120" s="39"/>
      <c r="F120" s="39"/>
      <c r="G120" s="39"/>
      <c r="H120" s="39"/>
      <c r="I120" s="39"/>
      <c r="J120" s="39"/>
      <c r="K120" s="39"/>
      <c r="L120" s="39"/>
      <c r="M120" s="39"/>
      <c r="N120" s="39"/>
      <c r="O120" s="39"/>
      <c r="P120" s="39"/>
      <c r="Q120" s="39"/>
      <c r="R120" s="39"/>
      <c r="S120" s="39"/>
      <c r="T120" s="39"/>
      <c r="U120" s="39"/>
      <c r="V120" s="39"/>
      <c r="W120" s="39"/>
    </row>
    <row r="121" spans="2:28" ht="15.75" hidden="1" customHeight="1">
      <c r="B121" s="39"/>
      <c r="C121" s="39"/>
      <c r="D121" s="39"/>
      <c r="E121" s="39"/>
      <c r="F121" s="39"/>
      <c r="G121" s="39"/>
      <c r="H121" s="39"/>
      <c r="I121" s="39"/>
      <c r="J121" s="39"/>
      <c r="K121" s="39"/>
      <c r="L121" s="39"/>
      <c r="M121" s="39"/>
      <c r="N121" s="39"/>
      <c r="O121" s="39"/>
      <c r="P121" s="39"/>
      <c r="Q121" s="39"/>
      <c r="R121" s="39"/>
      <c r="S121" s="39"/>
      <c r="T121" s="39"/>
      <c r="U121" s="39"/>
      <c r="V121" s="39"/>
      <c r="W121" s="39"/>
    </row>
    <row r="122" spans="2:28" ht="15.75" hidden="1" customHeight="1">
      <c r="B122" s="43" t="s">
        <v>215</v>
      </c>
      <c r="C122" s="44">
        <v>240729</v>
      </c>
      <c r="D122" s="44">
        <v>2933014</v>
      </c>
      <c r="E122" s="44">
        <v>84421</v>
      </c>
      <c r="F122" s="44">
        <v>3017435</v>
      </c>
      <c r="G122" s="44">
        <v>887865</v>
      </c>
      <c r="H122" s="44">
        <v>5105741</v>
      </c>
      <c r="I122" s="44">
        <v>4725395</v>
      </c>
      <c r="J122" s="44">
        <v>987920</v>
      </c>
      <c r="K122" s="44">
        <v>257698</v>
      </c>
      <c r="L122" s="44">
        <v>1329668</v>
      </c>
      <c r="M122" s="44">
        <v>1185968</v>
      </c>
      <c r="N122" s="44">
        <v>374081</v>
      </c>
      <c r="O122" s="44">
        <v>1198000</v>
      </c>
      <c r="P122" s="44">
        <v>1042924</v>
      </c>
      <c r="Q122" s="44">
        <v>617200</v>
      </c>
      <c r="R122" s="44">
        <v>667000</v>
      </c>
      <c r="S122" s="44">
        <v>661500</v>
      </c>
      <c r="T122" s="44">
        <v>3276000</v>
      </c>
      <c r="U122" s="44">
        <v>4397950</v>
      </c>
      <c r="V122" s="44">
        <v>26714910</v>
      </c>
      <c r="W122" s="44">
        <v>29973074</v>
      </c>
    </row>
    <row r="123" spans="2:28" ht="15.75" hidden="1" customHeight="1">
      <c r="B123" s="39"/>
      <c r="C123" s="39"/>
      <c r="D123" s="39"/>
      <c r="E123" s="39"/>
      <c r="F123" s="39"/>
      <c r="G123" s="39"/>
      <c r="H123" s="39"/>
      <c r="I123" s="39"/>
      <c r="J123" s="39"/>
      <c r="K123" s="39"/>
      <c r="L123" s="39"/>
      <c r="M123" s="39"/>
      <c r="N123" s="39"/>
      <c r="O123" s="39"/>
      <c r="P123" s="39"/>
      <c r="Q123" s="39"/>
      <c r="R123" s="39"/>
      <c r="S123" s="39"/>
      <c r="T123" s="39"/>
      <c r="U123" s="39"/>
      <c r="V123" s="39"/>
      <c r="W123" s="39"/>
    </row>
    <row r="124" spans="2:28" ht="15.75" hidden="1" customHeight="1">
      <c r="B124" s="40" t="s">
        <v>216</v>
      </c>
      <c r="C124" s="45">
        <f t="shared" ref="C124:W124" ca="1" si="4">C122-C117</f>
        <v>8.5906358435750008E-6</v>
      </c>
      <c r="D124" s="45">
        <f t="shared" ca="1" si="4"/>
        <v>8.8475644588470459E-9</v>
      </c>
      <c r="E124" s="45">
        <f t="shared" ca="1" si="4"/>
        <v>-8.5900537669658661E-6</v>
      </c>
      <c r="F124" s="45">
        <f t="shared" ca="1" si="4"/>
        <v>-8.5867941379547119E-6</v>
      </c>
      <c r="G124" s="45">
        <f t="shared" ca="1" si="4"/>
        <v>0</v>
      </c>
      <c r="H124" s="45">
        <f t="shared" ca="1" si="4"/>
        <v>0</v>
      </c>
      <c r="I124" s="45">
        <f t="shared" ca="1" si="4"/>
        <v>0</v>
      </c>
      <c r="J124" s="45">
        <f t="shared" ca="1" si="4"/>
        <v>0</v>
      </c>
      <c r="K124" s="45">
        <f t="shared" ca="1" si="4"/>
        <v>-1.009088009595871E-5</v>
      </c>
      <c r="L124" s="45">
        <f t="shared" ca="1" si="4"/>
        <v>-4.0207989513874054E-5</v>
      </c>
      <c r="M124" s="45">
        <f t="shared" ca="1" si="4"/>
        <v>1.2438744306564331E-5</v>
      </c>
      <c r="N124" s="45">
        <f t="shared" ca="1" si="4"/>
        <v>3.5598932299762964E-5</v>
      </c>
      <c r="O124" s="45">
        <f t="shared" ca="1" si="4"/>
        <v>0</v>
      </c>
      <c r="P124" s="45">
        <f t="shared" ca="1" si="4"/>
        <v>0</v>
      </c>
      <c r="Q124" s="45">
        <f t="shared" ca="1" si="4"/>
        <v>0</v>
      </c>
      <c r="R124" s="45">
        <f t="shared" ca="1" si="4"/>
        <v>0</v>
      </c>
      <c r="S124" s="45">
        <f t="shared" ca="1" si="4"/>
        <v>0</v>
      </c>
      <c r="T124" s="45">
        <f t="shared" ca="1" si="4"/>
        <v>0</v>
      </c>
      <c r="U124" s="45">
        <f t="shared" ca="1" si="4"/>
        <v>0</v>
      </c>
      <c r="V124" s="45">
        <f t="shared" ca="1" si="4"/>
        <v>-2.2873282432556152E-6</v>
      </c>
      <c r="W124" s="45">
        <f t="shared" ca="1" si="4"/>
        <v>-2.2351741790771484E-6</v>
      </c>
    </row>
    <row r="125" spans="2:28" ht="15.75" hidden="1" customHeight="1">
      <c r="B125" s="39"/>
      <c r="C125" s="39"/>
      <c r="D125" s="39"/>
      <c r="E125" s="39"/>
      <c r="F125" s="39"/>
      <c r="G125" s="39"/>
      <c r="H125" s="39"/>
      <c r="I125" s="39"/>
      <c r="J125" s="39"/>
      <c r="K125" s="39"/>
      <c r="L125" s="39"/>
      <c r="M125" s="39"/>
      <c r="N125" s="39"/>
      <c r="O125" s="39"/>
      <c r="P125" s="39"/>
      <c r="Q125" s="39"/>
      <c r="R125" s="39"/>
      <c r="S125" s="39"/>
      <c r="T125" s="39"/>
      <c r="U125" s="39"/>
      <c r="V125" s="39"/>
      <c r="W125" s="39"/>
    </row>
    <row r="126" spans="2:28" ht="15.75" customHeight="1">
      <c r="B126" s="39"/>
      <c r="C126" s="39"/>
      <c r="D126" s="39"/>
      <c r="E126" s="39"/>
      <c r="F126" s="39"/>
      <c r="G126" s="39"/>
      <c r="H126" s="39"/>
      <c r="I126" s="39"/>
      <c r="J126" s="39"/>
      <c r="K126" s="39"/>
      <c r="L126" s="39"/>
      <c r="M126" s="39"/>
      <c r="N126" s="39"/>
      <c r="O126" s="39"/>
      <c r="P126" s="39"/>
      <c r="Q126" s="39"/>
      <c r="R126" s="39"/>
      <c r="S126" s="39"/>
      <c r="T126" s="39"/>
      <c r="U126" s="39"/>
      <c r="V126" s="39"/>
      <c r="W126" s="39"/>
    </row>
    <row r="127" spans="2:28" ht="15.75" customHeight="1">
      <c r="B127" s="39"/>
      <c r="C127" s="39"/>
      <c r="D127" s="39"/>
      <c r="E127" s="39"/>
      <c r="F127" s="39"/>
      <c r="G127" s="39"/>
      <c r="H127" s="39"/>
      <c r="I127" s="39"/>
      <c r="J127" s="39"/>
      <c r="K127" s="39"/>
      <c r="L127" s="39"/>
      <c r="M127" s="39"/>
      <c r="N127" s="39"/>
      <c r="O127" s="39"/>
      <c r="P127" s="39"/>
      <c r="Q127" s="39"/>
      <c r="R127" s="39"/>
      <c r="S127" s="39"/>
      <c r="T127" s="39"/>
      <c r="U127" s="39"/>
      <c r="V127" s="39"/>
      <c r="W127" s="39"/>
    </row>
    <row r="128" spans="2:28" ht="15.75" customHeight="1">
      <c r="B128" s="39"/>
      <c r="C128" s="39"/>
      <c r="D128" s="39"/>
      <c r="E128" s="39"/>
      <c r="F128" s="39"/>
      <c r="G128" s="39"/>
      <c r="H128" s="39"/>
      <c r="I128" s="39"/>
      <c r="J128" s="39"/>
      <c r="K128" s="39"/>
      <c r="L128" s="39"/>
      <c r="M128" s="39"/>
      <c r="N128" s="39"/>
      <c r="O128" s="39"/>
      <c r="P128" s="39"/>
      <c r="Q128" s="39"/>
      <c r="R128" s="39"/>
      <c r="S128" s="39"/>
      <c r="T128" s="39"/>
      <c r="U128" s="39"/>
      <c r="V128" s="39"/>
      <c r="W128" s="39"/>
    </row>
    <row r="129" spans="2:23" ht="15.75" customHeight="1">
      <c r="B129" s="39"/>
      <c r="C129" s="39"/>
      <c r="D129" s="39"/>
      <c r="E129" s="39"/>
      <c r="F129" s="39"/>
      <c r="G129" s="39"/>
      <c r="H129" s="39"/>
      <c r="I129" s="39"/>
      <c r="J129" s="39"/>
      <c r="K129" s="39"/>
      <c r="L129" s="39"/>
      <c r="M129" s="39"/>
      <c r="N129" s="39"/>
      <c r="O129" s="39"/>
      <c r="P129" s="39"/>
      <c r="Q129" s="39"/>
      <c r="R129" s="39"/>
      <c r="S129" s="39"/>
      <c r="T129" s="39"/>
      <c r="U129" s="39"/>
      <c r="V129" s="39"/>
      <c r="W129" s="39"/>
    </row>
    <row r="130" spans="2:23" ht="15.75" customHeight="1">
      <c r="B130" s="39"/>
      <c r="C130" s="39"/>
      <c r="D130" s="39"/>
      <c r="E130" s="39"/>
      <c r="F130" s="39"/>
      <c r="G130" s="39"/>
      <c r="H130" s="39"/>
      <c r="I130" s="39"/>
      <c r="J130" s="39"/>
      <c r="K130" s="39"/>
      <c r="L130" s="39"/>
      <c r="M130" s="39"/>
      <c r="N130" s="39"/>
      <c r="O130" s="39"/>
      <c r="P130" s="39"/>
      <c r="Q130" s="39"/>
      <c r="R130" s="39"/>
      <c r="S130" s="39"/>
      <c r="T130" s="39"/>
      <c r="U130" s="39"/>
      <c r="V130" s="39"/>
      <c r="W130" s="39"/>
    </row>
    <row r="131" spans="2:23" ht="15.75" customHeight="1">
      <c r="B131" s="39"/>
      <c r="C131" s="39"/>
      <c r="D131" s="39"/>
      <c r="E131" s="39"/>
      <c r="F131" s="39"/>
      <c r="G131" s="39"/>
      <c r="H131" s="39"/>
      <c r="I131" s="39"/>
      <c r="J131" s="39"/>
      <c r="K131" s="39"/>
      <c r="L131" s="39"/>
      <c r="M131" s="39"/>
      <c r="N131" s="39"/>
      <c r="O131" s="39"/>
      <c r="P131" s="39"/>
      <c r="Q131" s="39"/>
      <c r="R131" s="39"/>
      <c r="S131" s="39"/>
      <c r="T131" s="39"/>
      <c r="U131" s="39"/>
      <c r="V131" s="39"/>
      <c r="W131" s="39"/>
    </row>
    <row r="132" spans="2:23" ht="15.75" customHeight="1">
      <c r="B132" s="39"/>
      <c r="C132" s="39"/>
      <c r="D132" s="39"/>
      <c r="E132" s="39"/>
      <c r="F132" s="39"/>
      <c r="G132" s="39"/>
      <c r="H132" s="39"/>
      <c r="I132" s="39"/>
      <c r="J132" s="39"/>
      <c r="K132" s="39"/>
      <c r="L132" s="39"/>
      <c r="M132" s="39"/>
      <c r="N132" s="39"/>
      <c r="O132" s="39"/>
      <c r="P132" s="39"/>
      <c r="Q132" s="39"/>
      <c r="R132" s="39"/>
      <c r="S132" s="39"/>
      <c r="T132" s="39"/>
      <c r="U132" s="39"/>
      <c r="V132" s="39"/>
      <c r="W132" s="39"/>
    </row>
    <row r="133" spans="2:23" ht="15.75" customHeight="1"/>
    <row r="134" spans="2:23" ht="15.75" customHeight="1"/>
    <row r="135" spans="2:23" ht="15.75" customHeight="1"/>
    <row r="136" spans="2:23" ht="15.75" customHeight="1"/>
    <row r="137" spans="2:23" ht="15.75" customHeight="1"/>
    <row r="138" spans="2:23" ht="15.75" customHeight="1"/>
    <row r="139" spans="2:23" ht="15.75" customHeight="1"/>
    <row r="140" spans="2:23" ht="15.75" customHeight="1"/>
    <row r="141" spans="2:23" ht="15.75" customHeight="1"/>
    <row r="142" spans="2:23" ht="15.75" customHeight="1"/>
    <row r="143" spans="2:23" ht="15.75" customHeight="1"/>
    <row r="144" spans="2:23"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sheetData>
  <customSheetViews>
    <customSheetView guid="{23C4955F-A9D8-47F1-8E59-B4C2FC5014E6}" filter="1" showAutoFilter="1">
      <pageMargins left="0.7" right="0.7" top="0.75" bottom="0.75" header="0.3" footer="0.3"/>
      <autoFilter ref="B3:W118"/>
    </customSheetView>
  </customSheetViews>
  <mergeCells count="2">
    <mergeCell ref="A1:W1"/>
    <mergeCell ref="A2:V2"/>
  </mergeCells>
  <printOptions horizontalCentered="1"/>
  <pageMargins left="0.7" right="0.7" top="0.75" bottom="0.75" header="0" footer="0"/>
  <pageSetup fitToHeight="0"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3. Allocation Summary</vt:lpstr>
      <vt:lpstr>Allocation Summary</vt:lpstr>
      <vt:lpstr>Allocation Schedule</vt:lpstr>
      <vt:lpstr>6. Initial Allocation Multiple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Alexis Pritchard</cp:lastModifiedBy>
  <dcterms:modified xsi:type="dcterms:W3CDTF">2024-09-16T14:37:19Z</dcterms:modified>
</cp:coreProperties>
</file>