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le 1 State Summary" sheetId="1" r:id="rId1"/>
    <sheet name="Table 2 Distribution &amp; Adjusts" sheetId="2" r:id="rId2"/>
    <sheet name="Table 3 Levels 1&amp;2" sheetId="3" r:id="rId3"/>
    <sheet name="Table 3A Cert Pay Req" sheetId="4" r:id="rId4"/>
    <sheet name="Table 4 Level 3" sheetId="5" r:id="rId5"/>
    <sheet name="Table 5A Lab Schools" sheetId="6" r:id="rId6"/>
    <sheet name="Table 5B RSD" sheetId="7" r:id="rId7"/>
    <sheet name="Table 6 Local Wealth Factor" sheetId="8" r:id="rId8"/>
    <sheet name="Table 7 Local Revenue" sheetId="9" r:id="rId9"/>
    <sheet name="Table 8 Membership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2004_2005_AFR_4_Ad_Valorem_Taxes">#REF!</definedName>
    <definedName name="Import_Elem_Secondary_ByLEA">#REF!</definedName>
    <definedName name="Import_K_12_ByLEA">#REF!</definedName>
    <definedName name="Import_Total_Reported_ByLEA">#REF!</definedName>
    <definedName name="_xlnm.Print_Area" localSheetId="0">'Table 1 State Summary'!$A$1:$H$71</definedName>
    <definedName name="_xlnm.Print_Area" localSheetId="1">'Table 2 Distribution &amp; Adjusts'!$C$5:$M$73</definedName>
    <definedName name="_xlnm.Print_Area" localSheetId="2">'Table 3 Levels 1&amp;2'!$C$8:$AZ$76</definedName>
    <definedName name="_xlnm.Print_Area" localSheetId="3">'Table 3A Cert Pay Req'!$B$6:$X$74</definedName>
    <definedName name="_xlnm.Print_Area" localSheetId="4">'Table 4 Level 3'!$C$1:$Y$76</definedName>
    <definedName name="_xlnm.Print_Area" localSheetId="5">'Table 5A Lab Schools'!$A$1:$H$27</definedName>
    <definedName name="_xlnm.Print_Area" localSheetId="6">'Table 5B RSD'!$B$4:$E$34</definedName>
    <definedName name="_xlnm.Print_Area" localSheetId="7">'Table 6 Local Wealth Factor'!$A$3:$Q$77</definedName>
    <definedName name="_xlnm.Print_Area" localSheetId="8">'Table 7 Local Revenue'!$A$2:$AT$76</definedName>
    <definedName name="_xlnm.Print_Area" localSheetId="9">'Table 8 Membership'!$A$3:$AB$77</definedName>
    <definedName name="_xlnm.Print_Titles" localSheetId="0">'Table 1 State Summary'!$2:$7</definedName>
    <definedName name="_xlnm.Print_Titles" localSheetId="1">'Table 2 Distribution &amp; Adjusts'!$B:$B,'Table 2 Distribution &amp; Adjusts'!$1:$4</definedName>
    <definedName name="_xlnm.Print_Titles" localSheetId="2">'Table 3 Levels 1&amp;2'!$B:$B,'Table 3 Levels 1&amp;2'!$2:$7</definedName>
    <definedName name="_xlnm.Print_Titles" localSheetId="3">'Table 3A Cert Pay Req'!$B:$B,'Table 3A Cert Pay Req'!$2:$5</definedName>
    <definedName name="_xlnm.Print_Titles" localSheetId="4">'Table 4 Level 3'!$B:$B</definedName>
    <definedName name="_xlnm.Print_Titles" localSheetId="7">'Table 6 Local Wealth Factor'!$B:$B,'Table 6 Local Wealth Factor'!$3:$7</definedName>
    <definedName name="_xlnm.Print_Titles" localSheetId="8">'Table 7 Local Revenue'!$B:$C,'Table 7 Local Revenue'!$1:$5</definedName>
    <definedName name="_xlnm.Print_Titles" localSheetId="9">'Table 8 Membership'!$B:$B,'Table 8 Membership'!$2:$7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<sst xmlns="http://schemas.openxmlformats.org/spreadsheetml/2006/main" count="1089" uniqueCount="709">
  <si>
    <t>FY 2006-2007 MFP Budget Letter</t>
  </si>
  <si>
    <t>TABLE 1: STATE LEVEL COMPARISON</t>
  </si>
  <si>
    <t>FY 2005-06  
Revised Budget Letter
Circular No. 1094</t>
  </si>
  <si>
    <t>FY 2006-2007
Budget Letter
Circular No. 1096</t>
  </si>
  <si>
    <t xml:space="preserve">Comparison of  FY2005-26 Revised Budget Letter to
FY 2006-2007 Budget Letter </t>
  </si>
  <si>
    <t>%</t>
  </si>
  <si>
    <t>Change</t>
  </si>
  <si>
    <t>MFP Formula Items</t>
  </si>
  <si>
    <t>A.</t>
  </si>
  <si>
    <t>Level 1 Base Per Pupil Amount</t>
  </si>
  <si>
    <t>B.</t>
  </si>
  <si>
    <t>Total Weighted Membership</t>
  </si>
  <si>
    <t>1.</t>
  </si>
  <si>
    <t>October 1 / May 1 Membership</t>
  </si>
  <si>
    <t>2.</t>
  </si>
  <si>
    <t>At-Risk Weight Factor (17%)</t>
  </si>
  <si>
    <t>3.</t>
  </si>
  <si>
    <t>Vocational Weight Factor (5%)</t>
  </si>
  <si>
    <t>4.</t>
  </si>
  <si>
    <t>Exceptionalities Weight Factor (150%)</t>
  </si>
  <si>
    <t>5.</t>
  </si>
  <si>
    <t>Gifted/Talented Weight Factor (60%)</t>
  </si>
  <si>
    <t>6.</t>
  </si>
  <si>
    <t xml:space="preserve">Economy-of-Scale Weight Factor </t>
  </si>
  <si>
    <t xml:space="preserve">     (Max 20% at zero Membership &lt;7,500)</t>
  </si>
  <si>
    <t>C.</t>
  </si>
  <si>
    <t>Total Level 1 State and Local Costs (A X B)</t>
  </si>
  <si>
    <t>State Share of Cost (C X 65%)</t>
  </si>
  <si>
    <t>Local Share of Cost (C X 35%)</t>
  </si>
  <si>
    <t>D.</t>
  </si>
  <si>
    <t>Total Local Revenues in MFP</t>
  </si>
  <si>
    <t>Total Net Assessed Property</t>
  </si>
  <si>
    <t>Total Est. Sales Tax Base</t>
  </si>
  <si>
    <t>Average Equivalent Millage Rate</t>
  </si>
  <si>
    <t>Average Equivalent Sales Tax Rate</t>
  </si>
  <si>
    <t>Property Tax Revenue</t>
  </si>
  <si>
    <t>Sales Tax Revenue</t>
  </si>
  <si>
    <t>7.</t>
  </si>
  <si>
    <t>Other Revenues Considered</t>
  </si>
  <si>
    <t>E.</t>
  </si>
  <si>
    <t>Level 2 Eligible Local Revenue</t>
  </si>
  <si>
    <t>Level 2 State Support (E X 40%)</t>
  </si>
  <si>
    <t>Level 2 State Liability</t>
  </si>
  <si>
    <t>F.</t>
  </si>
  <si>
    <t>Level 1 and 2 State Share (C1+E1)</t>
  </si>
  <si>
    <t>G.</t>
  </si>
  <si>
    <t>Level 3 Legislative Enhancements</t>
  </si>
  <si>
    <t>Certificated Staff Pay Raise (FY 02)</t>
  </si>
  <si>
    <t>Support Worker Pay Raise (FY 03)</t>
  </si>
  <si>
    <t>Certificated Staff Pay Raise (FY 07)</t>
  </si>
  <si>
    <t>Support Worker Pay Raise (FY 07)</t>
  </si>
  <si>
    <t>Foreign Language Associates</t>
  </si>
  <si>
    <t>Accountability Student Transfers</t>
  </si>
  <si>
    <t>Mandated Cost Adjustment</t>
  </si>
  <si>
    <t>8.</t>
  </si>
  <si>
    <t>Hold Harmless</t>
  </si>
  <si>
    <t>H.</t>
  </si>
  <si>
    <t>Total State Share Implementation of</t>
  </si>
  <si>
    <t xml:space="preserve">Total State Formula  Allocation </t>
  </si>
  <si>
    <t>Per Pupil based on October/February 1 Membership</t>
  </si>
  <si>
    <t>Monthly Per Pupil based on October 1 Membership</t>
  </si>
  <si>
    <t>I.</t>
  </si>
  <si>
    <t xml:space="preserve">Other School Funding </t>
  </si>
  <si>
    <t>R.S. 17:350.21 Lab School Funding</t>
  </si>
  <si>
    <t>LSU Lab. School</t>
  </si>
  <si>
    <t>Southern Univ. Lab. School</t>
  </si>
  <si>
    <t>J.</t>
  </si>
  <si>
    <t>Recovery School District Funding</t>
  </si>
  <si>
    <t>Orleans</t>
  </si>
  <si>
    <t>K.</t>
  </si>
  <si>
    <t>Total MFP Allocation (H+I+J)</t>
  </si>
  <si>
    <t>L.</t>
  </si>
  <si>
    <t>Adjustments</t>
  </si>
  <si>
    <t>Plus/(Minus) Prior Year Adjustments</t>
  </si>
  <si>
    <t>Plus/(Minus) Prior Year Adjustments - LSU/SU Lab Schools</t>
  </si>
  <si>
    <t xml:space="preserve"> Mid-Year - Normal Student Growth</t>
  </si>
  <si>
    <t>RSD Transfers</t>
  </si>
  <si>
    <t>M.</t>
  </si>
  <si>
    <t>Total MFP Distribution (K+L) 
Pre-Katrina/Rita</t>
  </si>
  <si>
    <t>N.</t>
  </si>
  <si>
    <t>Post Katrina/Rita Adjustments</t>
  </si>
  <si>
    <t>Category 1  - One-time Adjustment</t>
  </si>
  <si>
    <t>Category 2 &amp; 3 One-time Payment Receiving Districts including LSU/SU</t>
  </si>
  <si>
    <t>Category 1 Monthly Adjustments</t>
  </si>
  <si>
    <t>Category 2 Monthly Adjustments</t>
  </si>
  <si>
    <t>Mid-Year - Normal Student Growth 
including LSU/SU</t>
  </si>
  <si>
    <t>RSD One-time Adjustment</t>
  </si>
  <si>
    <t>RSD Monthly Adjustments</t>
  </si>
  <si>
    <t>O.</t>
  </si>
  <si>
    <t>Total MFP Distribution (M+N) Post Katrina/Rita</t>
  </si>
  <si>
    <t>P.</t>
  </si>
  <si>
    <t>Total State MFP Appropriation</t>
  </si>
  <si>
    <t>Q.</t>
  </si>
  <si>
    <t>Budget Amendment to Increase/(Decrease)</t>
  </si>
  <si>
    <t xml:space="preserve">MFP Appropriation </t>
  </si>
  <si>
    <t>Table 3, col. 31</t>
  </si>
  <si>
    <t>Prior Year Adjusted Budget Letter</t>
  </si>
  <si>
    <t xml:space="preserve">cols. 1+2+3 </t>
  </si>
  <si>
    <t>col. 1/2</t>
  </si>
  <si>
    <t>Prior Year Adjusted Bud Ltr, Tbl 2, Col.4</t>
  </si>
  <si>
    <t>col.1 - col.3</t>
  </si>
  <si>
    <t>Positve col. 4</t>
  </si>
  <si>
    <t>Negative col. 4</t>
  </si>
  <si>
    <t>School System</t>
  </si>
  <si>
    <t>2006-2007 MFP
 State Share of
 Levels 1, 2, and 3</t>
  </si>
  <si>
    <t>Adjustments Due to Student, CAFR/AFR and PEP Audits</t>
  </si>
  <si>
    <t>Less State Share Adjustments for Recovery School District</t>
  </si>
  <si>
    <t>2006-2007
Total MFP Distribution
 with Adjustments</t>
  </si>
  <si>
    <t>Monthly Payments 
July 2006 through
 June 2007</t>
  </si>
  <si>
    <t>Revised
 2005-2006 Budget Letter 
Amount Less 
Prior Year Adjustments</t>
  </si>
  <si>
    <t>Change in MFP Distribution between
2005-06 and 2006-07</t>
  </si>
  <si>
    <t>Increases in MFP Funding for 2006-2007</t>
  </si>
  <si>
    <t>Decreases in MFP Funding for 2006-2007</t>
  </si>
  <si>
    <t>Percent Decrease</t>
  </si>
  <si>
    <t>Due District (+)</t>
  </si>
  <si>
    <t>Due State
(-)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</si>
  <si>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</si>
  <si>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</si>
  <si>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</si>
  <si>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</si>
  <si>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</si>
  <si>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</si>
  <si>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</si>
  <si>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</si>
  <si>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</si>
  <si>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</si>
  <si>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</si>
  <si>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</si>
  <si>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</si>
  <si>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</si>
  <si>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</si>
  <si>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</si>
  <si>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</si>
  <si>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</si>
  <si>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</si>
  <si>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</si>
  <si>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</si>
  <si>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</si>
  <si>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</si>
  <si>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</si>
  <si>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</si>
  <si>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</si>
  <si>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</si>
  <si>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</si>
  <si>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</si>
  <si>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</si>
  <si>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</si>
  <si>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</si>
  <si>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</si>
  <si>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</si>
  <si>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</si>
  <si>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</si>
  <si>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</si>
  <si>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</si>
  <si>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</si>
  <si>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</si>
  <si>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</si>
  <si>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</si>
  <si>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</si>
  <si>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</si>
  <si>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</si>
  <si>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</si>
  <si>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</si>
  <si>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</si>
  <si>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</si>
  <si>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</si>
  <si>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</si>
  <si>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</si>
  <si>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</si>
  <si>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</si>
  <si>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</si>
  <si>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</si>
  <si>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</si>
  <si>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</si>
  <si>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</si>
  <si>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</si>
  <si>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</si>
  <si>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</si>
  <si>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</si>
  <si>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</si>
  <si>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</si>
  <si>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</si>
  <si>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</si>
  <si>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STATE TOTALS</t>
  </si>
  <si>
    <t>LEVEL 1 - BASE FOUNDATION OF STATE AND LOCAL COSTS (65/35%)</t>
  </si>
  <si>
    <t>Level 2 Funding Calculation</t>
  </si>
  <si>
    <t>Input from SIS</t>
  </si>
  <si>
    <t>Col.2a X 17%</t>
  </si>
  <si>
    <t>Input from ASR</t>
  </si>
  <si>
    <t>Col.31 X 5%</t>
  </si>
  <si>
    <t>Input from LANSER</t>
  </si>
  <si>
    <t>Col.4a X 150%</t>
  </si>
  <si>
    <t>Col.5a X  60%</t>
  </si>
  <si>
    <t>if col 1 is less than 7500, then 7500 less col 1, otherwise 0</t>
  </si>
  <si>
    <t>col 6a / 37,500 max of 20% (7,500/37,500)</t>
  </si>
  <si>
    <t>col. 6b x  col. 1</t>
  </si>
  <si>
    <t xml:space="preserve">cols. + 2+  3 + 4 + 5 + 6 </t>
  </si>
  <si>
    <t>col. 1 + col. 7</t>
  </si>
  <si>
    <t>set by resolution</t>
  </si>
  <si>
    <t>col. 8 x col. 9</t>
  </si>
  <si>
    <t>col.8 / Grand Total of col. 8</t>
  </si>
  <si>
    <t>col. 12 x col. 11</t>
  </si>
  <si>
    <t>col. 13 x grand total of col. 10 x 35% &lt; col. 10, use, otherwise col. 10</t>
  </si>
  <si>
    <t>col. 14 / col. 10</t>
  </si>
  <si>
    <t>col. 10 - col. 14 &gt; 0, use, otherwise 0</t>
  </si>
  <si>
    <t>col. 16 / col. 10</t>
  </si>
  <si>
    <t xml:space="preserve">Table 7, col. 35  </t>
  </si>
  <si>
    <t>If col. 18-col. 14&gt;0, use, otherwise  0</t>
  </si>
  <si>
    <t>If col. 18-col. 14&lt;0, use, otherwise 0</t>
  </si>
  <si>
    <t>col. 10 x 33%</t>
  </si>
  <si>
    <t>Lesser of Col. 19 or 21</t>
  </si>
  <si>
    <t>If (1-{ (1-.4) x col. 11}) x col. 22 &gt; 0, use, otherwise 0</t>
  </si>
  <si>
    <t>col. 23 / col. 22</t>
  </si>
  <si>
    <t>If ((1-{ (1-.4) x col. 11}) x col. 21) - col. 23 &gt; 0, use, otherwise 0</t>
  </si>
  <si>
    <t>col. 22 + col. 23</t>
  </si>
  <si>
    <t>cols. 23+16</t>
  </si>
  <si>
    <t>col. 27/ col. 1</t>
  </si>
  <si>
    <t>Table 4, col. 17</t>
  </si>
  <si>
    <t>col. 29 /col. 1</t>
  </si>
  <si>
    <t>Col. 27 + col. 29</t>
  </si>
  <si>
    <t>col. 31/ col. 1</t>
  </si>
  <si>
    <t>col. 31/ col. 41</t>
  </si>
  <si>
    <t>cols. 14+22</t>
  </si>
  <si>
    <t>col. 37/ col. 1</t>
  </si>
  <si>
    <t>col. 37/col.41</t>
  </si>
  <si>
    <t>cols. 31 + 37</t>
  </si>
  <si>
    <t>col.41 / col.1</t>
  </si>
  <si>
    <t xml:space="preserve"> </t>
  </si>
  <si>
    <t>LEA</t>
  </si>
  <si>
    <t>May 1, 2006 Student Membership (per SIS)</t>
  </si>
  <si>
    <t>May 1, 2006 Student Membership (per SIS) w/Minimum</t>
  </si>
  <si>
    <t>AT-RISK STUDENTS (PER SIS)</t>
  </si>
  <si>
    <t>Weighted
 Add-on 
Students
 At Risk with LEP</t>
  </si>
  <si>
    <t>VOC UNITS (PER LEADS)</t>
  </si>
  <si>
    <t xml:space="preserve">Weighted
 Add-On 
Units
 Voc. Ed. </t>
  </si>
  <si>
    <t xml:space="preserve"> SPECIAL ED OTHER EXCEPTIONALITIES STUDENTS (PER LANSER)</t>
  </si>
  <si>
    <t xml:space="preserve"> Weighted
 Add-On
 Students 
Other Exceptionalities </t>
  </si>
  <si>
    <t>SPECIAL ED GIFTED AND TALENTED STUDENTS (PER LANSER)</t>
  </si>
  <si>
    <t xml:space="preserve"> Weighted
 Add-On Students
 Gifted/ Talented </t>
  </si>
  <si>
    <t>Economy of Scale; If &lt; 7500 then 7500 less Oct (May) Membership</t>
  </si>
  <si>
    <t>ECONOMY OF SCALE PERCENT SUPPORT</t>
  </si>
  <si>
    <t xml:space="preserve">Economy-of-Scale 
Weighted 
Add-On Units </t>
  </si>
  <si>
    <t xml:space="preserve">Total Weighted 
Add-On 
Students
 and/or Units </t>
  </si>
  <si>
    <t xml:space="preserve">Total 
Weighted
 Membership
 and/or Units </t>
  </si>
  <si>
    <t>Per Pupil Amount</t>
  </si>
  <si>
    <t xml:space="preserve">TOTAL LEVEL 1 COSTS </t>
  </si>
  <si>
    <t>Local Wealth Factor (LWF)</t>
  </si>
  <si>
    <t xml:space="preserve">Weighted Proportion State Membership </t>
  </si>
  <si>
    <t xml:space="preserve">Local Proration Factor </t>
  </si>
  <si>
    <t xml:space="preserve">2006-2007
Local Share 
of Level 1 </t>
  </si>
  <si>
    <t xml:space="preserve">Local Share Percent </t>
  </si>
  <si>
    <t xml:space="preserve">2006-2007
STATE SHARE OF LEVEL 1 </t>
  </si>
  <si>
    <t xml:space="preserve">State Share Percent </t>
  </si>
  <si>
    <t xml:space="preserve">Sales and Property
 Tax Revenues
 (Including Debt) 
Plus Other Revenue </t>
  </si>
  <si>
    <t xml:space="preserve">Local Revenue Over Level 1 </t>
  </si>
  <si>
    <t xml:space="preserve">Local Revenue Under Level 1 </t>
  </si>
  <si>
    <t xml:space="preserve">Local Revenue Limit on Level 2 State Support </t>
  </si>
  <si>
    <t>ELIGIBLE
 LOCAL REVENUE
 LEVEL 2</t>
  </si>
  <si>
    <t xml:space="preserve">2006-2007
STATE SHARE OF
 LEVEL 2 </t>
  </si>
  <si>
    <t xml:space="preserve">Percent State </t>
  </si>
  <si>
    <t xml:space="preserve">Level 2 State Liability </t>
  </si>
  <si>
    <t xml:space="preserve">State and Local Participation in Level 2 </t>
  </si>
  <si>
    <t>2006-2007
Levels 1 and 2 
STATE SHARE
 OF COST</t>
  </si>
  <si>
    <t>Per Pupil</t>
  </si>
  <si>
    <t xml:space="preserve">2006-2007
LEVEL 3
STATE SHARE OF COST  </t>
  </si>
  <si>
    <t>2006-2007
STATE SHARE
 OF COST 
LEVELS 1, 2, &amp; 3</t>
  </si>
  <si>
    <t xml:space="preserve">2006-2007
Per Pupil
 State Share
Levels 1, 2, &amp; 3 </t>
  </si>
  <si>
    <t>Rank</t>
  </si>
  <si>
    <t>TOTAL STATE SUBSEQUENT YEAR CHANGE</t>
  </si>
  <si>
    <t xml:space="preserve">State Funds as Percent of Total State &amp; Local </t>
  </si>
  <si>
    <t>LEVELS 1 and 2  LOCAL
 SHARE OF COST</t>
  </si>
  <si>
    <t xml:space="preserve">Local Per Pupil                ( Levels 1 and 2) </t>
  </si>
  <si>
    <t xml:space="preserve">Local Revenue as Percent of Total State &amp; Local </t>
  </si>
  <si>
    <t>2006-2007
TOTAL
 STATE AND LOCAL
 COST of 
Levels 1, 2 and 3</t>
  </si>
  <si>
    <t>2006-2007
STATE &amp; LOCAL COST 
PER MAY 1 MEMBERSHIP</t>
  </si>
  <si>
    <t>1A</t>
  </si>
  <si>
    <t>(2a)</t>
  </si>
  <si>
    <t>(3a)</t>
  </si>
  <si>
    <t>(4a)</t>
  </si>
  <si>
    <t>(5a)</t>
  </si>
  <si>
    <t>(6a)</t>
  </si>
  <si>
    <t>(6b)</t>
  </si>
  <si>
    <t>Hide</t>
  </si>
  <si>
    <t>Spring 2006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</si>
  <si>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</si>
  <si>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</si>
  <si>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</si>
  <si>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</si>
  <si>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</si>
  <si>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</si>
  <si>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</si>
  <si>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</si>
  <si>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</si>
  <si>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</si>
  <si>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</si>
  <si>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</si>
  <si>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</si>
  <si>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</si>
  <si>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</si>
  <si>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</si>
  <si>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</si>
  <si>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</si>
  <si>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</si>
  <si>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</si>
  <si>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</si>
  <si>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</si>
  <si>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</si>
  <si>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</si>
  <si>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</si>
  <si>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</si>
  <si>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</si>
  <si>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</si>
  <si>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</si>
  <si>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</si>
  <si>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</si>
  <si>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</si>
  <si>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</si>
  <si>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</si>
  <si>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</si>
  <si>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ORLEANS*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</si>
  <si>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</si>
  <si>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</si>
  <si>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</si>
  <si>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</si>
  <si>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</si>
  <si>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</si>
  <si>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</si>
  <si>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</si>
  <si>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</si>
  <si>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</si>
  <si>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</si>
  <si>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</si>
  <si>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</si>
  <si>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</si>
  <si>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</si>
  <si>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</si>
  <si>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</si>
  <si>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</si>
  <si>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</si>
  <si>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</si>
  <si>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</si>
  <si>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</si>
  <si>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</si>
  <si>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</si>
  <si>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</si>
  <si>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</si>
  <si>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</si>
  <si>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</si>
  <si>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</si>
  <si>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</si>
  <si>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</si>
  <si>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</si>
  <si>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STATE TOTAL</t>
  </si>
  <si>
    <r>
      <t>Table 6, col.10  Capacity Index</t>
    </r>
    <r>
      <rPr>
        <sz val="9"/>
        <color indexed="10"/>
        <rFont val="Arial Narrow"/>
        <family val="2"/>
      </rPr>
      <t xml:space="preserve"> </t>
    </r>
  </si>
  <si>
    <t>Table 3, col. 27</t>
  </si>
  <si>
    <t>col. 1 / table 3, col.1</t>
  </si>
  <si>
    <t>Prior Year Budget Letter, Table 3, Col. (27)</t>
  </si>
  <si>
    <t>Prior Year Budget Letter, Table 3, Col. (28)</t>
  </si>
  <si>
    <t>col. 1 - col. 4</t>
  </si>
  <si>
    <t>If col. 6 &gt;0, then col. 6 otherwise 0</t>
  </si>
  <si>
    <t>col. 7 / table 3, col. 1</t>
  </si>
  <si>
    <t>If col. 6 &lt; 0, then col. 6 othewise 0</t>
  </si>
  <si>
    <t>No. of districts in col.(9)</t>
  </si>
  <si>
    <t>(col. 2 * Table 8, col. 22)*-1</t>
  </si>
  <si>
    <t>col.7 +  col.11</t>
  </si>
  <si>
    <t>col.12 / 2 / 1.155</t>
  </si>
  <si>
    <t>SCHOOL DISTRICTS</t>
  </si>
  <si>
    <t>LEVEL 1 &amp; 2 STATE INCREASES AND ADJUSTMENTS</t>
  </si>
  <si>
    <t>LEVEL 1 &amp; 2 STATE INCREASES AND ADJUSTMENTS (continued)</t>
  </si>
  <si>
    <t>2006-07 Pay Raise Requirement</t>
  </si>
  <si>
    <t>Estimated Average Pay Raise from 50% Requirement for Districts Below SREB Average</t>
  </si>
  <si>
    <t>2006-2007
 Levels 1 &amp; 2 
STATE SHARE
 OF COST</t>
  </si>
  <si>
    <t xml:space="preserve"> 2006-2007
Levels 1 and 2 
STATE SHARE
 per 
May 1, 2006
 Membership   </t>
  </si>
  <si>
    <t xml:space="preserve"> 2005-06 
Final Budget Letter                                        Level 1 &amp; 2 State Share of Costs </t>
  </si>
  <si>
    <t>Change in MFP Distribution between 2005-06 and 2006-07</t>
  </si>
  <si>
    <t>No. of Districts</t>
  </si>
  <si>
    <t>Adjustment for Increased Students - Amount Subtracted From MFP Increase</t>
  </si>
  <si>
    <t>Increased MFP Funding (L1&amp;2) After Adjustment for Student Increases</t>
  </si>
  <si>
    <t>2005-2006 Budgeted Average Teacher Salary</t>
  </si>
  <si>
    <t>Districts Below SREB Average Teacher Salary</t>
  </si>
  <si>
    <t>EOY FY 04-05 Certificated Staff Plus Personnel Directors and School Nurses</t>
  </si>
  <si>
    <t>Change in Certificated Staff from
 2004-05 to
 2005-06</t>
  </si>
  <si>
    <t xml:space="preserve">Estimated
 Pay Raise
 Per FTE
</t>
  </si>
  <si>
    <r>
      <t xml:space="preserve">50% Distribution Amount for Certificated Pay Increase </t>
    </r>
    <r>
      <rPr>
        <b/>
        <u val="single"/>
        <sz val="10"/>
        <color indexed="20"/>
        <rFont val="Arial"/>
        <family val="2"/>
      </rPr>
      <t>Including</t>
    </r>
    <r>
      <rPr>
        <b/>
        <u val="single"/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 xml:space="preserve">Retirement </t>
    </r>
  </si>
  <si>
    <r>
      <t xml:space="preserve">50% Distribution Amount for Certificated Pay Increase </t>
    </r>
    <r>
      <rPr>
        <b/>
        <u val="single"/>
        <sz val="10"/>
        <color indexed="20"/>
        <rFont val="Arial"/>
        <family val="2"/>
      </rPr>
      <t>Excluding</t>
    </r>
    <r>
      <rPr>
        <b/>
        <u val="single"/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Retirement Contribution of 15.8%</t>
    </r>
  </si>
  <si>
    <r>
      <t xml:space="preserve">Fall FY 05-06 Certificated Staff Plus Personnel Directors and School Nurses </t>
    </r>
    <r>
      <rPr>
        <b/>
        <i/>
        <sz val="10"/>
        <color indexed="18"/>
        <rFont val="Arial"/>
        <family val="2"/>
      </rPr>
      <t>corrected as of May 22, 2006</t>
    </r>
  </si>
  <si>
    <t>2001-02 Adj. BL, Table 4, col 17</t>
  </si>
  <si>
    <t>2001-02 Adj. BL, Table 3, col 1.</t>
  </si>
  <si>
    <t>col.1 / col. 2</t>
  </si>
  <si>
    <t>Col 3 * Table 3, col 1</t>
  </si>
  <si>
    <t>Circ 1068: 2002-03 Support Worker Pay Supplement</t>
  </si>
  <si>
    <t>2002-03 BL Table 3, Col.(1)</t>
  </si>
  <si>
    <t>Col. 5 / Col. 6</t>
  </si>
  <si>
    <t>Col.(7) x Tble 3, Col.(1)</t>
  </si>
  <si>
    <t>Division of Student Standards &amp; Assessments</t>
  </si>
  <si>
    <t>$below * col. 9</t>
  </si>
  <si>
    <t>Planning, Analysis &amp; Information Resources (PAIR)</t>
  </si>
  <si>
    <t>Col.11 x $below (state average of local per pupil revenue levels 1&amp;2)</t>
  </si>
  <si>
    <t>Per HCR 235</t>
  </si>
  <si>
    <t>col.13 x Tbl 3, col.1 (Oct 1 membership)</t>
  </si>
  <si>
    <t>If col 14 &gt;col. 15 then col. 15, otherwise col. 14</t>
  </si>
  <si>
    <t>col.4 + col.8 + col.10 + col.12 + col.16</t>
  </si>
  <si>
    <t>2001- 02 Certificated Pay Raise Continuation</t>
  </si>
  <si>
    <t>2002 - 03 Support Worker Pay Raise Continuation</t>
  </si>
  <si>
    <t>2006-07 Pay Raises</t>
  </si>
  <si>
    <t>Accountability Student Transfer</t>
  </si>
  <si>
    <t>TOTAL LEVEL 3</t>
  </si>
  <si>
    <t>SCHOOL SYSTEM</t>
  </si>
  <si>
    <t>2001-02 Minimum
 Pay 
Supplement
Continuation</t>
  </si>
  <si>
    <t>Pay Supplement Per Pupil Amount</t>
  </si>
  <si>
    <t>2002-03
 Pay
 Supplement
Continuation</t>
  </si>
  <si>
    <t>Estimated Support Pay Raise plus 17.7% Retirement</t>
  </si>
  <si>
    <t>Number of Foreign Associate Teachers
May 2006</t>
  </si>
  <si>
    <t>Level 3 State Funding for Foreign Associate Teachers</t>
  </si>
  <si>
    <t xml:space="preserve">Number of Students Received from SI2 - SI6 Schools </t>
  </si>
  <si>
    <t>2005-06 Accountability Reward Amount</t>
  </si>
  <si>
    <t>Hold Harmless Per Pupil Amount</t>
  </si>
  <si>
    <t xml:space="preserve">Current Year Hold Harmless Amount </t>
  </si>
  <si>
    <t>Amount Received in Prior Year and Not to Exceed</t>
  </si>
  <si>
    <t>2005-2006   Lesser Amount of Current Year or Amount Not to Exceed</t>
  </si>
  <si>
    <t>May 1, 2006 Student Membership w/ Mimimums</t>
  </si>
  <si>
    <t xml:space="preserve">Increase Cost Adjustment </t>
  </si>
  <si>
    <t xml:space="preserve">
2006-2007
TOTAL 
LEVEL 3
 UNEQUALIZED 
FUNDING</t>
  </si>
  <si>
    <t>Based on
2004-05 Data</t>
  </si>
  <si>
    <t>Maximum</t>
  </si>
  <si>
    <r>
      <t xml:space="preserve">2001-02 </t>
    </r>
    <r>
      <rPr>
        <b/>
        <sz val="10"/>
        <color indexed="10"/>
        <rFont val="Arial"/>
        <family val="2"/>
      </rPr>
      <t>Adjusted</t>
    </r>
    <r>
      <rPr>
        <b/>
        <sz val="10"/>
        <color indexed="18"/>
        <rFont val="Arial"/>
        <family val="2"/>
      </rPr>
      <t xml:space="preserve"> Minimum
 Pay 
Enhancement
 Supplement</t>
    </r>
  </si>
  <si>
    <r>
      <t xml:space="preserve">Adjusted
</t>
    </r>
    <r>
      <rPr>
        <b/>
        <sz val="10"/>
        <color indexed="18"/>
        <rFont val="Arial"/>
        <family val="2"/>
      </rPr>
      <t>Oct 1, 2001
Student
Membership</t>
    </r>
  </si>
  <si>
    <r>
      <t>Adjusted</t>
    </r>
    <r>
      <rPr>
        <b/>
        <sz val="10"/>
        <color indexed="18"/>
        <rFont val="Arial"/>
        <family val="2"/>
      </rPr>
      <t xml:space="preserve"> Minimum Pay Supplement Per Pupil Amount</t>
    </r>
  </si>
  <si>
    <r>
      <t>2002-03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Adjusted </t>
    </r>
    <r>
      <rPr>
        <b/>
        <sz val="10"/>
        <color indexed="18"/>
        <rFont val="Arial"/>
        <family val="2"/>
      </rPr>
      <t>Support Worker 
Pay 
Supplement</t>
    </r>
  </si>
  <si>
    <r>
      <t xml:space="preserve">Adjusted 
</t>
    </r>
    <r>
      <rPr>
        <b/>
        <sz val="10"/>
        <color indexed="18"/>
        <rFont val="Arial"/>
        <family val="2"/>
      </rPr>
      <t>Oct 1, 2002 Student Membership</t>
    </r>
  </si>
  <si>
    <r>
      <t xml:space="preserve">Fall FY 05-06 Certificated Staff Plus Personnel Directors and School Nurses
</t>
    </r>
    <r>
      <rPr>
        <b/>
        <i/>
        <sz val="10"/>
        <color indexed="18"/>
        <rFont val="Arial"/>
        <family val="2"/>
      </rPr>
      <t>corrected as of May 20, 2006</t>
    </r>
  </si>
  <si>
    <r>
      <t xml:space="preserve">Estimated Certificated Staff Pay Raise Based on Fall FTE Staffing plus 15.8% Retirement
</t>
    </r>
    <r>
      <rPr>
        <b/>
        <i/>
        <sz val="9"/>
        <color indexed="18"/>
        <rFont val="Arial"/>
        <family val="2"/>
      </rPr>
      <t>corrected as of May 20, 2006</t>
    </r>
  </si>
  <si>
    <r>
      <t xml:space="preserve">Fall 2005-06 Support Workers FTE
 as of </t>
    </r>
    <r>
      <rPr>
        <b/>
        <i/>
        <sz val="10"/>
        <color indexed="18"/>
        <rFont val="Arial"/>
        <family val="2"/>
      </rPr>
      <t>Corrected Data May 20, 2006</t>
    </r>
  </si>
  <si>
    <t>FY 2006-2007 MFP Allocation for Lab Schools</t>
  </si>
  <si>
    <t>SIS</t>
  </si>
  <si>
    <t>Table 3, total of col.33</t>
  </si>
  <si>
    <t>col. 1 * col. 2</t>
  </si>
  <si>
    <t>School</t>
  </si>
  <si>
    <t>May 1, 2006
Student
Membership</t>
  </si>
  <si>
    <t>MFP 
State Average
 Per Pupil 
FY 2006-07</t>
  </si>
  <si>
    <t>Total Allocation</t>
  </si>
  <si>
    <t>FY2005-2006 
Budget Letter
Adjustments</t>
  </si>
  <si>
    <t>Adjustment for Southern Pre-audit Displaced Students</t>
  </si>
  <si>
    <t>Total Allocation
 with
 Adjustments</t>
  </si>
  <si>
    <t>Monthly
Payment
Amount</t>
  </si>
  <si>
    <t>(Table 3, col. 32)</t>
  </si>
  <si>
    <r>
      <t>LSU</t>
    </r>
    <r>
      <rPr>
        <sz val="10"/>
        <rFont val="Arial"/>
        <family val="0"/>
      </rPr>
      <t xml:space="preserve">
Lab. School</t>
    </r>
  </si>
  <si>
    <r>
      <t>Southern Univ.</t>
    </r>
    <r>
      <rPr>
        <sz val="10"/>
        <rFont val="Arial"/>
        <family val="0"/>
      </rPr>
      <t xml:space="preserve">
Lab. School</t>
    </r>
  </si>
  <si>
    <t xml:space="preserve">TOTAL </t>
  </si>
  <si>
    <t>50% Certificated Pay Raise Requirement Calculation</t>
  </si>
  <si>
    <t>FY2005-2006 Adjusted
 Level 1 &amp; 2
 Per Pupil Amount</t>
  </si>
  <si>
    <t xml:space="preserve">Adjusted
October 1, 2004
Student
Membership
</t>
  </si>
  <si>
    <t xml:space="preserve">Adjusted 
FY2005-2006 
Level 1 &amp; 2 
MFP Allocation </t>
  </si>
  <si>
    <t>FY2006-2007 
Level 1 &amp; 2
 Per Pupil Amount</t>
  </si>
  <si>
    <t xml:space="preserve">May 1, 2006
Student
Membership
</t>
  </si>
  <si>
    <t xml:space="preserve">
FY2006-2007
Level 1 &amp; 2 
MFP Allocation </t>
  </si>
  <si>
    <t>Increase in
 Level 1 &amp; 2
 Funding</t>
  </si>
  <si>
    <t>Student Increase</t>
  </si>
  <si>
    <t>Adjustment for Student Growth</t>
  </si>
  <si>
    <t>Increase After Adjustment for Student Increases</t>
  </si>
  <si>
    <t>2004-2005 Average Teacher Salary</t>
  </si>
  <si>
    <t>SREB Average</t>
  </si>
  <si>
    <r>
      <t xml:space="preserve">50% Required
 for Pay Raise
 Distribution 
</t>
    </r>
    <r>
      <rPr>
        <b/>
        <u val="single"/>
        <sz val="10"/>
        <color indexed="10"/>
        <rFont val="Arial"/>
        <family val="2"/>
      </rPr>
      <t xml:space="preserve">Including
</t>
    </r>
    <r>
      <rPr>
        <b/>
        <sz val="10"/>
        <color indexed="18"/>
        <rFont val="Arial"/>
        <family val="2"/>
      </rPr>
      <t xml:space="preserve"> Retirement</t>
    </r>
  </si>
  <si>
    <r>
      <t xml:space="preserve">Net Distribution </t>
    </r>
    <r>
      <rPr>
        <b/>
        <u val="single"/>
        <sz val="10"/>
        <color indexed="10"/>
        <rFont val="Arial"/>
        <family val="2"/>
      </rPr>
      <t>Excluding</t>
    </r>
    <r>
      <rPr>
        <b/>
        <sz val="10"/>
        <color indexed="18"/>
        <rFont val="Arial"/>
        <family val="2"/>
      </rPr>
      <t xml:space="preserve"> 15.8% Amount for Employer Retirement Contribution</t>
    </r>
  </si>
  <si>
    <t>District</t>
  </si>
  <si>
    <t>July -October Payments Based on Minimum Membership Proportions as of May 1, 2006 Membership and 35% Local Revenues</t>
  </si>
  <si>
    <t>November - February Payments Based on Minimum Membership Proportions as of October 2, 2006 Membership and 35% Local Revenues</t>
  </si>
  <si>
    <t>March through June Payments Based on Minimum Membership Proportions as of October 2, 2006 Membership and 35% Local Revenues</t>
  </si>
  <si>
    <t>May 1, 2006 Membership</t>
  </si>
  <si>
    <t>October 2, 2006 Membership</t>
  </si>
  <si>
    <t>February 1, 2006 Membership</t>
  </si>
  <si>
    <t xml:space="preserve">Orleans Parish School Board </t>
  </si>
  <si>
    <t xml:space="preserve">RSD </t>
  </si>
  <si>
    <t>Total Membership</t>
  </si>
  <si>
    <t>State Funding</t>
  </si>
  <si>
    <t>July Through October Payments</t>
  </si>
  <si>
    <t>November through February Payments</t>
  </si>
  <si>
    <t>March Through June Payments</t>
  </si>
  <si>
    <t>Combined Orleans/RSD Membership or Minimum Membership</t>
  </si>
  <si>
    <t>RSD Portion of Minimum Membership as Provided by HCR 290</t>
  </si>
  <si>
    <t>Orleans/RSD State Share Per Pupil</t>
  </si>
  <si>
    <t>RSD State Funding</t>
  </si>
  <si>
    <t>Amount Previously Paid</t>
  </si>
  <si>
    <t>Amount Due for Remainder of Year</t>
  </si>
  <si>
    <t>State MFP Monthly Payments</t>
  </si>
  <si>
    <t>Local Funding</t>
  </si>
  <si>
    <t>2004-05 Sales and Property Taxes Less Capital Outlay; Debt Service; and Collection Fees</t>
  </si>
  <si>
    <t>35% of 2004-05 or Other Adjustment as Provided in HCR 290</t>
  </si>
  <si>
    <t>Local Per Pupil Funding For RSD</t>
  </si>
  <si>
    <t>RSD Local Funding</t>
  </si>
  <si>
    <t>Local Monthly Payments</t>
  </si>
  <si>
    <t>Combined State and Local Per Pupil Amounts</t>
  </si>
  <si>
    <t>Combined State and Local</t>
  </si>
  <si>
    <t>TABLE 6 - CALCULATION OF LOCAL WEALTH FACTOR (LWF) AND THE EFFORT INDEX - FY 2006-2007</t>
  </si>
  <si>
    <t>Table 3 col. 8.</t>
  </si>
  <si>
    <t>("Table 7 state total col. 25" x "Tbl 7 col. 3") / 1000</t>
  </si>
  <si>
    <t>col. 2 / col. 1</t>
  </si>
  <si>
    <t>"Table 7 total col. 27" * "Tbl 7 col. 31"</t>
  </si>
  <si>
    <t>col. 4 / col. 1</t>
  </si>
  <si>
    <t xml:space="preserve">Table 7, col. 34.  </t>
  </si>
  <si>
    <t xml:space="preserve">col. 6/col.1 </t>
  </si>
  <si>
    <t>col. 2 + col.4 + col.6</t>
  </si>
  <si>
    <t>col. 8/ col. 1</t>
  </si>
  <si>
    <t>col. 9 / total col. 9</t>
  </si>
  <si>
    <t>Table 7 Col.35</t>
  </si>
  <si>
    <t>col. 12/ col. 1</t>
  </si>
  <si>
    <t>col. 13 / col. 9</t>
  </si>
  <si>
    <t>Rank Effort</t>
  </si>
  <si>
    <t>May 1, 2006 WEIGHTED STUDENT MEMBERSHIP</t>
  </si>
  <si>
    <t xml:space="preserve">   PROPERTY AND SALES CAPACITY                                       </t>
  </si>
  <si>
    <t>OTHER REVENUES:  Includes State and Federal taxes in lieu of &amp; 50% of earnings from 16th section and from other real estate</t>
  </si>
  <si>
    <t>LOCAL WEALTH FACTOR</t>
  </si>
  <si>
    <t xml:space="preserve">2004-2005 ACTUAL REVENUES  (INCLUDING DEBT) </t>
  </si>
  <si>
    <t>LOCAL EFFORT INDEX</t>
  </si>
  <si>
    <t>PROPERTY CAPACITY INCLUDING DEBT</t>
  </si>
  <si>
    <t>PER PUPIL</t>
  </si>
  <si>
    <t>SALES CAPACITY INCLUDING DEBT</t>
  </si>
  <si>
    <t>COMBINED CAPACITY INCLUDING DEBT</t>
  </si>
  <si>
    <t>FISCAL CAPACITY INDEX LWF</t>
  </si>
  <si>
    <t>RANK OF LWF</t>
  </si>
  <si>
    <t>EFFORT INDEX</t>
  </si>
  <si>
    <t>RANK</t>
  </si>
  <si>
    <t>ORLEANS</t>
  </si>
  <si>
    <r>
      <t xml:space="preserve">TABLE 6 LWF: </t>
    </r>
    <r>
      <rPr>
        <b/>
        <i/>
        <sz val="18"/>
        <color indexed="20"/>
        <rFont val="Arial Narrow"/>
        <family val="2"/>
      </rPr>
      <t>Continued --</t>
    </r>
  </si>
  <si>
    <t>La. Tax Commission Tables 41 &amp; 43</t>
  </si>
  <si>
    <t>col. 1 - col. 2</t>
  </si>
  <si>
    <t>AFR-kpc 62220 col. 3</t>
  </si>
  <si>
    <t>AFR-kpc 62220 col. 4</t>
  </si>
  <si>
    <t>AFR-kpc 62320 col. 3</t>
  </si>
  <si>
    <t>AFR-kpc 62320 col. 4</t>
  </si>
  <si>
    <t>AFR-kpc 62320 col. 5</t>
  </si>
  <si>
    <t>AFR-kpc 62320 col. 6</t>
  </si>
  <si>
    <t>AFR-kpc 62320 col. 7</t>
  </si>
  <si>
    <t>AFR-kpc 62320 col. 8</t>
  </si>
  <si>
    <t>col. 5 + col. 7 + col. 11</t>
  </si>
  <si>
    <t>AFR-kpc 62620 col. 3</t>
  </si>
  <si>
    <t>AFR-kpc 62620 col. 4</t>
  </si>
  <si>
    <t>AFR-kpc 62620 col. 5</t>
  </si>
  <si>
    <t>AFR-kpc 62620 col. 6</t>
  </si>
  <si>
    <t>AFR-kpc 62620 col. 7</t>
  </si>
  <si>
    <t>AFR-kpc 62620 col. 8</t>
  </si>
  <si>
    <t>col. 14 + col. 18</t>
  </si>
  <si>
    <t>col. 4 + col. 6 + col 13</t>
  </si>
  <si>
    <t>col. 5 + col. 7 + col 14</t>
  </si>
  <si>
    <t>col. 11 + col. 18</t>
  </si>
  <si>
    <t>(col. 19/ col. 3)*1000</t>
  </si>
  <si>
    <t>(col. 12/ col. 3)*1000</t>
  </si>
  <si>
    <t>(col. 26/ col. 3)*1000</t>
  </si>
  <si>
    <t>col. 12 + col. 19</t>
  </si>
  <si>
    <t>AFR-kpc 63320 col.3</t>
  </si>
  <si>
    <t>AFR kpc 63320 col.4</t>
  </si>
  <si>
    <t>AFR kpc 63320 col. 5</t>
  </si>
  <si>
    <t>col. 28 + col. 29</t>
  </si>
  <si>
    <t>col. 30/ col 27</t>
  </si>
  <si>
    <t>col. 28/ col. 31</t>
  </si>
  <si>
    <t>col. 29/ col. 31</t>
  </si>
  <si>
    <t>AFR kpcs (50% of 1210, 1220) 8231, 8232, 8233, 8234, 8240, 14200, 14300, 14400</t>
  </si>
  <si>
    <t>col. 34+col.30+col. 26</t>
  </si>
  <si>
    <t>Col.35 / Tab.3 col.1</t>
  </si>
  <si>
    <t xml:space="preserve">  2004 ASSESSED PROPERTY VALUE</t>
  </si>
  <si>
    <t xml:space="preserve">  AD VALOREM 
CONSTITUTIONAL TAX</t>
  </si>
  <si>
    <t>AD VALOREM RENEWABLE TAXES</t>
  </si>
  <si>
    <t>TOTAL AD VALOREM TAXES    (NON DEBT)</t>
  </si>
  <si>
    <t>DEBT SERVICE TAXES</t>
  </si>
  <si>
    <t>TOTAL AD VALOREM TAXES         (DEBT)</t>
  </si>
  <si>
    <t>SUMMARY OF AD VALOREM TAXES</t>
  </si>
  <si>
    <t>TOTAL AD VALOREM REVENUE INCLUDING DEBT
2004-2005 AFR</t>
  </si>
  <si>
    <t>TOTAL AD VALOREM REVENUE INCLUDING DEBT
2004-2005 AFR with Hurricane Adjustments</t>
  </si>
  <si>
    <t>SUMMARY OF SALES TAXES</t>
  </si>
  <si>
    <t>TOTAL SALES TAX REVENUE
2004-2005 AFR</t>
  </si>
  <si>
    <t>TOTAL SALES TAX REVENUE
2004-2005 with Hurricane Adjustments</t>
  </si>
  <si>
    <t>COMPUTED SALES TAX BASE</t>
  </si>
  <si>
    <t>OTHER REVENUES: Includes State and Federal taxes in lieu of &amp; 50% of earnings from 16th section and from other real estate
2004-2005 AFR</t>
  </si>
  <si>
    <t>TOTAL ASSESSED PROPERTY VALUE</t>
  </si>
  <si>
    <t>ASSESSED HOMESTEAD EXEMPTION</t>
  </si>
  <si>
    <t>NET ASSESSED TAXABLE PROPERTY</t>
  </si>
  <si>
    <t>NET ASSESSED TAXABLE PROPERTY ADJUSTED</t>
  </si>
  <si>
    <t>PARISH MILL RATE</t>
  </si>
  <si>
    <t>PARISH REVENUE AMOUNT</t>
  </si>
  <si>
    <t>DIST. MILL LOW</t>
  </si>
  <si>
    <t>DIST. MILL HIGH</t>
  </si>
  <si>
    <t># OF DISTS.</t>
  </si>
  <si>
    <t>DIST. REVENUE AMOUNT</t>
  </si>
  <si>
    <t>DIST MILL LOW</t>
  </si>
  <si>
    <t>DIST MILL HIGH</t>
  </si>
  <si>
    <t>DIST REVENUE AMOUNT</t>
  </si>
  <si>
    <t>PARISHWIDE  MILLAGE INCL. DEBT</t>
  </si>
  <si>
    <t>REVENUE PARISHWIDE INCL. DEBT</t>
  </si>
  <si>
    <t>REVENUE DISTRICT INCL. DEBT</t>
  </si>
  <si>
    <t>TOTAL AVG. MILL RATE (DEBT)</t>
  </si>
  <si>
    <t>TOTAL AVG. MILL RATE (NON DEBT)</t>
  </si>
  <si>
    <t>TOTAL AVG. MILL RATE INCLUDING DEBT</t>
  </si>
  <si>
    <t>COMBINED SALES PERCENT</t>
  </si>
  <si>
    <t>SALES REVENUE (NON-DEBT)</t>
  </si>
  <si>
    <t>SALES REVENUE (DEBT)</t>
  </si>
  <si>
    <t>2005-06 COMPUTED SALES TAX BASE</t>
  </si>
  <si>
    <t>2006-07
COMPUTED SALES
 TAX BASE</t>
  </si>
  <si>
    <t>NON-DEBT RATE</t>
  </si>
  <si>
    <t>DEBT RATE</t>
  </si>
  <si>
    <t>Total Revenue for Use in MFP Level 2</t>
  </si>
  <si>
    <t xml:space="preserve"> FY 05-06 Budget Letter'Total Revenue for Use in MFP Level 2</t>
  </si>
  <si>
    <t>50% 1210</t>
  </si>
  <si>
    <t>50% 1220</t>
  </si>
  <si>
    <t>100% 8231</t>
  </si>
  <si>
    <t>100% 8232</t>
  </si>
  <si>
    <t>100% 8233</t>
  </si>
  <si>
    <t>100% 8240</t>
  </si>
  <si>
    <t>100% 14200</t>
  </si>
  <si>
    <t>100% 14300</t>
  </si>
  <si>
    <t>100% 14440</t>
  </si>
  <si>
    <r>
      <t xml:space="preserve">
COMPUTED SALES 
TAX BASE
</t>
    </r>
    <r>
      <rPr>
        <sz val="10"/>
        <color indexed="18"/>
        <rFont val="Arial"/>
        <family val="2"/>
      </rPr>
      <t xml:space="preserve"> PERCENT CHANGE</t>
    </r>
  </si>
  <si>
    <r>
      <t xml:space="preserve">COMPUTED SALES
 TAX BASE WITH </t>
    </r>
    <r>
      <rPr>
        <b/>
        <sz val="10"/>
        <color indexed="20"/>
        <rFont val="Arial"/>
        <family val="2"/>
      </rPr>
      <t>15%</t>
    </r>
    <r>
      <rPr>
        <b/>
        <sz val="10"/>
        <color indexed="62"/>
        <rFont val="Arial"/>
        <family val="2"/>
      </rPr>
      <t xml:space="preserve"> GROWTH CAP 
(USED IN
 CALCULATING 
THE LWF)</t>
    </r>
  </si>
  <si>
    <t>Table 8- May 1, 2006 MFP Student Membership</t>
  </si>
  <si>
    <t xml:space="preserve">GRADE LEVELS </t>
  </si>
  <si>
    <t>GRADE LEVELS</t>
  </si>
  <si>
    <t xml:space="preserve">May 1, 2006
LEA Total 
</t>
  </si>
  <si>
    <t>Adjusted
October 1, 2004 
LEA Total</t>
  </si>
  <si>
    <t xml:space="preserve">May 1, 2006
LEA Total with Minimums
</t>
  </si>
  <si>
    <t xml:space="preserve">Additional to Fund Minimum
</t>
  </si>
  <si>
    <t>Infants</t>
  </si>
  <si>
    <t>Pre-K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</si>
  <si>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</si>
  <si>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</si>
  <si>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</si>
  <si>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</si>
  <si>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</si>
  <si>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</si>
  <si>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</si>
  <si>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</si>
  <si>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</si>
  <si>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</si>
  <si>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</si>
  <si>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</si>
  <si>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</si>
  <si>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Percent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</si>
  <si>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</si>
  <si>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</si>
  <si>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</si>
  <si>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</si>
  <si>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</si>
  <si>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</si>
  <si>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</si>
  <si>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</si>
  <si>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</si>
  <si>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</si>
  <si>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</si>
  <si>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</si>
  <si>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</si>
  <si>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</si>
  <si>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</si>
  <si>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</si>
  <si>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</si>
  <si>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</si>
  <si>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</si>
  <si>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</si>
  <si>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</si>
  <si>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</si>
  <si>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</si>
  <si>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</si>
  <si>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</si>
  <si>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</si>
  <si>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</si>
  <si>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</si>
  <si>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</si>
  <si>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</si>
  <si>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</si>
  <si>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</si>
  <si>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</si>
  <si>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</si>
  <si>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</si>
  <si>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</si>
  <si>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</si>
  <si>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</si>
  <si>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</si>
  <si>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</si>
  <si>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</si>
  <si>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</si>
  <si>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</si>
  <si>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</si>
  <si>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 xml:space="preserve">hardcoded 35%; 3,000 </t>
  </si>
  <si>
    <t>St. Charles Parish</t>
  </si>
  <si>
    <t>mimimum calcuates 36%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</si>
  <si>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</si>
  <si>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</si>
  <si>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</si>
  <si>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</si>
  <si>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</si>
  <si>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</si>
  <si>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</si>
  <si>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</si>
  <si>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</si>
  <si>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</si>
  <si>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</si>
  <si>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</si>
  <si>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</si>
  <si>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</si>
  <si>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</si>
  <si>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</si>
  <si>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</si>
  <si>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</si>
  <si>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</si>
  <si>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>State Total</t>
  </si>
  <si>
    <t>Orleans less Capdau</t>
  </si>
  <si>
    <t>Zachary Est</t>
  </si>
  <si>
    <t>Baker Est</t>
  </si>
  <si>
    <r>
      <t xml:space="preserve">Table 8: </t>
    </r>
    <r>
      <rPr>
        <b/>
        <i/>
        <sz val="18"/>
        <rFont val="Arial"/>
        <family val="2"/>
      </rPr>
      <t>Continued --</t>
    </r>
  </si>
  <si>
    <r>
      <t xml:space="preserve">Change </t>
    </r>
    <r>
      <rPr>
        <b/>
        <sz val="8"/>
        <rFont val="Arial"/>
        <family val="2"/>
      </rPr>
      <t>(Increases)</t>
    </r>
  </si>
  <si>
    <r>
      <t xml:space="preserve">Change  </t>
    </r>
    <r>
      <rPr>
        <b/>
        <sz val="8"/>
        <rFont val="Arial"/>
        <family val="2"/>
      </rPr>
      <t>(Decreases)</t>
    </r>
  </si>
  <si>
    <t xml:space="preserve">State and Local per Student 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</si>
</sst>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00"/>
    <numFmt numFmtId="169" formatCode="0.0000"/>
    <numFmt numFmtId="170" formatCode="0.00000"/>
    <numFmt numFmtId="171" formatCode="0.0000000"/>
    <numFmt numFmtId="172" formatCode="0.000000"/>
    <numFmt numFmtId="173" formatCode="0.0%"/>
    <numFmt numFmtId="174" formatCode="#,##0.0"/>
    <numFmt numFmtId="175" formatCode="&quot;$&quot;#,##0.0_);[Red]\(&quot;$&quot;#,##0.0\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_);_(* \(#,##0.000000\);_(* &quot;-&quot;??????_);_(@_)"/>
    <numFmt numFmtId="183" formatCode="#,##0.000"/>
    <numFmt numFmtId="184" formatCode="#,##0.0000"/>
    <numFmt numFmtId="185" formatCode="#,##0.00000"/>
    <numFmt numFmtId="186" formatCode="#,##0.000000"/>
    <numFmt numFmtId="187" formatCode="&quot;$&quot;#,##0.0"/>
    <numFmt numFmtId="188" formatCode="&quot;$&quot;#,##0.00"/>
    <numFmt numFmtId="189" formatCode="dd\-mmm\-yy_)"/>
    <numFmt numFmtId="190" formatCode="&quot;$&quot;#,##0.0_);\(&quot;$&quot;#,##0.0\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0;[Red]#,##0.00"/>
    <numFmt numFmtId="194" formatCode="&quot;$&quot;#,##0.00;[Red]&quot;$&quot;#,##0.00"/>
    <numFmt numFmtId="195" formatCode="&quot;$&quot;#,##0.0;[Red]&quot;$&quot;#,##0.0"/>
    <numFmt numFmtId="196" formatCode="&quot;$&quot;#,##0;[Red]&quot;$&quot;#,##0"/>
    <numFmt numFmtId="197" formatCode="0.000%"/>
    <numFmt numFmtId="198" formatCode="#,##0.0_);\(#,##0.0\)"/>
    <numFmt numFmtId="199" formatCode="&quot;$&quot;#,##0.000_);\(&quot;$&quot;#,##0.000\)"/>
    <numFmt numFmtId="200" formatCode="&quot;$&quot;#,##0.000_);[Red]\(&quot;$&quot;#,##0.000\)"/>
    <numFmt numFmtId="201" formatCode="dd\-mmm\-yy"/>
    <numFmt numFmtId="202" formatCode="_(* #,##0.0_);_(* \(#,##0.0\);_(* &quot;-&quot;?_);_(@_)"/>
    <numFmt numFmtId="203" formatCode="0.0000%"/>
    <numFmt numFmtId="204" formatCode="0.00000%"/>
    <numFmt numFmtId="205" formatCode="0.000000%"/>
    <numFmt numFmtId="206" formatCode="&quot;$&quot;#,##0.0000_);\(&quot;$&quot;#,##0.0000\)"/>
    <numFmt numFmtId="207" formatCode="&quot;$&quot;#,##0.000"/>
    <numFmt numFmtId="208" formatCode="&quot;$&quot;#,##0.0000"/>
    <numFmt numFmtId="209" formatCode="#,##0.0000000"/>
    <numFmt numFmtId="210" formatCode="#,##0.00000000"/>
    <numFmt numFmtId="211" formatCode="#,##0.000000000"/>
    <numFmt numFmtId="212" formatCode="0.000_);[Red]\(0.000\)"/>
    <numFmt numFmtId="213" formatCode="#,##0.0_);[Red]\(#,##0.0\)"/>
    <numFmt numFmtId="214" formatCode="#,##0.000000_);[Red]\(#,##0.000000\)"/>
    <numFmt numFmtId="215" formatCode="&quot;$&quot;#,##0.0000_);[Red]\(&quot;$&quot;#,##0.0000\)"/>
    <numFmt numFmtId="216" formatCode="0.00_);[Red]\(0.00\)"/>
    <numFmt numFmtId="217" formatCode="0.000000_);[Red]\(0.000000\)"/>
    <numFmt numFmtId="218" formatCode="0_);[Red]\(0\)"/>
    <numFmt numFmtId="219" formatCode="[$-409]dddd\,\ mmmm\ dd\,\ yyyy"/>
    <numFmt numFmtId="220" formatCode="mm/dd/yy;@"/>
    <numFmt numFmtId="221" formatCode="0_);\(0\)"/>
    <numFmt numFmtId="222" formatCode="&quot;$&quot;#,##0.00000_);[Red]\(&quot;$&quot;#,##0.00000\)"/>
  </numFmts>
  <fonts count="1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 Narrow"/>
      <family val="2"/>
    </font>
    <font>
      <b/>
      <sz val="20"/>
      <color indexed="2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2"/>
      <color indexed="18"/>
      <name val="Arial Narrow"/>
      <family val="2"/>
    </font>
    <font>
      <b/>
      <sz val="16"/>
      <color indexed="10"/>
      <name val="Arial"/>
      <family val="2"/>
    </font>
    <font>
      <sz val="10"/>
      <color indexed="18"/>
      <name val="Arial"/>
      <family val="0"/>
    </font>
    <font>
      <b/>
      <i/>
      <sz val="10"/>
      <color indexed="1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color indexed="18"/>
      <name val="Arial Narrow"/>
      <family val="2"/>
    </font>
    <font>
      <b/>
      <sz val="12"/>
      <color indexed="62"/>
      <name val="Arial Narrow"/>
      <family val="2"/>
    </font>
    <font>
      <b/>
      <sz val="12"/>
      <color indexed="20"/>
      <name val="Arial Narrow"/>
      <family val="2"/>
    </font>
    <font>
      <sz val="10"/>
      <color indexed="62"/>
      <name val="Arial Narrow"/>
      <family val="2"/>
    </font>
    <font>
      <sz val="12"/>
      <color indexed="62"/>
      <name val="Arial Narrow"/>
      <family val="2"/>
    </font>
    <font>
      <b/>
      <sz val="10"/>
      <color indexed="20"/>
      <name val="Arial"/>
      <family val="2"/>
    </font>
    <font>
      <sz val="9"/>
      <name val="Arial Narrow"/>
      <family val="2"/>
    </font>
    <font>
      <sz val="9"/>
      <color indexed="20"/>
      <name val="Arial Narrow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i/>
      <sz val="21"/>
      <name val="Arial"/>
      <family val="2"/>
    </font>
    <font>
      <b/>
      <sz val="16"/>
      <color indexed="20"/>
      <name val="Arial Narrow"/>
      <family val="2"/>
    </font>
    <font>
      <b/>
      <sz val="18"/>
      <color indexed="20"/>
      <name val="Arial Narrow"/>
      <family val="2"/>
    </font>
    <font>
      <b/>
      <sz val="16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i/>
      <sz val="18"/>
      <name val="Arial Narrow"/>
      <family val="2"/>
    </font>
    <font>
      <b/>
      <sz val="12"/>
      <color indexed="12"/>
      <name val="CG Omega (PCL6)"/>
      <family val="2"/>
    </font>
    <font>
      <b/>
      <i/>
      <sz val="10"/>
      <color indexed="12"/>
      <name val="Arial"/>
      <family val="2"/>
    </font>
    <font>
      <sz val="10"/>
      <name val="Arial Narrow"/>
      <family val="2"/>
    </font>
    <font>
      <sz val="9"/>
      <color indexed="10"/>
      <name val="Arial Narrow"/>
      <family val="2"/>
    </font>
    <font>
      <b/>
      <sz val="10"/>
      <color indexed="20"/>
      <name val="Arial Narrow"/>
      <family val="2"/>
    </font>
    <font>
      <sz val="10"/>
      <color indexed="20"/>
      <name val="Arial Narrow"/>
      <family val="2"/>
    </font>
    <font>
      <b/>
      <sz val="10"/>
      <name val="Arial Narrow"/>
      <family val="2"/>
    </font>
    <font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1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4"/>
      <color indexed="62"/>
      <name val="Arial"/>
      <family val="2"/>
    </font>
    <font>
      <b/>
      <sz val="10"/>
      <color indexed="14"/>
      <name val="Arial"/>
      <family val="2"/>
    </font>
    <font>
      <b/>
      <i/>
      <sz val="9"/>
      <color indexed="18"/>
      <name val="Arial"/>
      <family val="2"/>
    </font>
    <font>
      <b/>
      <sz val="10"/>
      <color indexed="52"/>
      <name val="Arial"/>
      <family val="2"/>
    </font>
    <font>
      <i/>
      <sz val="10"/>
      <color indexed="18"/>
      <name val="Arial"/>
      <family val="2"/>
    </font>
    <font>
      <sz val="14"/>
      <name val="Arial"/>
      <family val="2"/>
    </font>
    <font>
      <b/>
      <u val="single"/>
      <sz val="10"/>
      <color indexed="10"/>
      <name val="Arial"/>
      <family val="2"/>
    </font>
    <font>
      <b/>
      <sz val="20"/>
      <name val="Arial Narrow"/>
      <family val="2"/>
    </font>
    <font>
      <b/>
      <sz val="14"/>
      <color indexed="2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8"/>
      <color indexed="20"/>
      <name val="Arial Narrow"/>
      <family val="2"/>
    </font>
    <font>
      <b/>
      <i/>
      <sz val="16"/>
      <name val="Arial"/>
      <family val="2"/>
    </font>
    <font>
      <sz val="10"/>
      <name val="CG Times"/>
      <family val="1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12"/>
      <name val="Impact"/>
      <family val="2"/>
    </font>
    <font>
      <b/>
      <sz val="8"/>
      <name val="Times New Roman"/>
      <family val="1"/>
    </font>
    <font>
      <b/>
      <sz val="18"/>
      <name val="Arial"/>
      <family val="2"/>
    </font>
    <font>
      <b/>
      <i/>
      <sz val="1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medium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double"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medium"/>
      <top style="thin"/>
      <bottom style="thin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double">
        <color indexed="63"/>
      </bottom>
    </border>
    <border>
      <left style="thin"/>
      <right style="thin"/>
      <top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>
        <color indexed="63"/>
      </bottom>
    </border>
    <border>
      <left style="medium"/>
      <right style="thin">
        <color indexed="63"/>
      </right>
      <top>
        <color indexed="63"/>
      </top>
      <bottom style="double">
        <color indexed="63"/>
      </bottom>
    </border>
    <border>
      <left style="medium"/>
      <right style="thin"/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medium"/>
    </border>
    <border>
      <left>
        <color indexed="63"/>
      </left>
      <right style="medium"/>
      <top style="double"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117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12" fillId="0" borderId="26" xfId="0" applyFont="1" applyFill="1" applyBorder="1" applyAlignment="1">
      <alignment/>
    </xf>
    <xf numFmtId="5" fontId="12" fillId="0" borderId="26" xfId="0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5" fontId="12" fillId="0" borderId="28" xfId="0" applyNumberFormat="1" applyFont="1" applyFill="1" applyBorder="1" applyAlignment="1" applyProtection="1">
      <alignment vertical="top"/>
      <protection/>
    </xf>
    <xf numFmtId="10" fontId="12" fillId="0" borderId="0" xfId="0" applyNumberFormat="1" applyFont="1" applyFill="1" applyBorder="1" applyAlignment="1" applyProtection="1">
      <alignment vertical="top"/>
      <protection/>
    </xf>
    <xf numFmtId="173" fontId="12" fillId="0" borderId="29" xfId="0" applyNumberFormat="1" applyFont="1" applyFill="1" applyBorder="1" applyAlignment="1" applyProtection="1">
      <alignment/>
      <protection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37" fontId="12" fillId="0" borderId="33" xfId="0" applyNumberFormat="1" applyFont="1" applyFill="1" applyBorder="1" applyAlignment="1" applyProtection="1">
      <alignment/>
      <protection/>
    </xf>
    <xf numFmtId="166" fontId="12" fillId="0" borderId="33" xfId="42" applyNumberFormat="1" applyFont="1" applyFill="1" applyBorder="1" applyAlignment="1" applyProtection="1">
      <alignment/>
      <protection/>
    </xf>
    <xf numFmtId="10" fontId="12" fillId="0" borderId="31" xfId="0" applyNumberFormat="1" applyFont="1" applyFill="1" applyBorder="1" applyAlignment="1" applyProtection="1">
      <alignment/>
      <protection/>
    </xf>
    <xf numFmtId="5" fontId="12" fillId="0" borderId="34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left"/>
    </xf>
    <xf numFmtId="37" fontId="12" fillId="0" borderId="37" xfId="0" applyNumberFormat="1" applyFont="1" applyFill="1" applyBorder="1" applyAlignment="1" applyProtection="1">
      <alignment/>
      <protection/>
    </xf>
    <xf numFmtId="166" fontId="12" fillId="0" borderId="37" xfId="42" applyNumberFormat="1" applyFont="1" applyFill="1" applyBorder="1" applyAlignment="1" applyProtection="1">
      <alignment/>
      <protection/>
    </xf>
    <xf numFmtId="166" fontId="12" fillId="0" borderId="38" xfId="42" applyNumberFormat="1" applyFont="1" applyFill="1" applyBorder="1" applyAlignment="1" applyProtection="1">
      <alignment/>
      <protection/>
    </xf>
    <xf numFmtId="10" fontId="12" fillId="0" borderId="39" xfId="0" applyNumberFormat="1" applyFont="1" applyFill="1" applyBorder="1" applyAlignment="1" applyProtection="1">
      <alignment/>
      <protection/>
    </xf>
    <xf numFmtId="5" fontId="6" fillId="0" borderId="34" xfId="0" applyNumberFormat="1" applyFont="1" applyFill="1" applyBorder="1" applyAlignment="1" applyProtection="1">
      <alignment/>
      <protection/>
    </xf>
    <xf numFmtId="37" fontId="6" fillId="0" borderId="37" xfId="0" applyNumberFormat="1" applyFont="1" applyFill="1" applyBorder="1" applyAlignment="1" applyProtection="1">
      <alignment/>
      <protection/>
    </xf>
    <xf numFmtId="166" fontId="6" fillId="0" borderId="37" xfId="42" applyNumberFormat="1" applyFont="1" applyFill="1" applyBorder="1" applyAlignment="1" applyProtection="1">
      <alignment/>
      <protection/>
    </xf>
    <xf numFmtId="166" fontId="6" fillId="0" borderId="38" xfId="42" applyNumberFormat="1" applyFont="1" applyFill="1" applyBorder="1" applyAlignment="1" applyProtection="1">
      <alignment/>
      <protection/>
    </xf>
    <xf numFmtId="10" fontId="6" fillId="0" borderId="39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/>
    </xf>
    <xf numFmtId="37" fontId="12" fillId="0" borderId="41" xfId="0" applyNumberFormat="1" applyFont="1" applyFill="1" applyBorder="1" applyAlignment="1" applyProtection="1">
      <alignment horizontal="right"/>
      <protection/>
    </xf>
    <xf numFmtId="166" fontId="12" fillId="0" borderId="41" xfId="42" applyNumberFormat="1" applyFont="1" applyFill="1" applyBorder="1" applyAlignment="1" applyProtection="1">
      <alignment horizontal="right"/>
      <protection/>
    </xf>
    <xf numFmtId="166" fontId="12" fillId="0" borderId="41" xfId="42" applyNumberFormat="1" applyFont="1" applyFill="1" applyBorder="1" applyAlignment="1" applyProtection="1">
      <alignment/>
      <protection/>
    </xf>
    <xf numFmtId="10" fontId="12" fillId="0" borderId="25" xfId="0" applyNumberFormat="1" applyFont="1" applyFill="1" applyBorder="1" applyAlignment="1" applyProtection="1">
      <alignment/>
      <protection/>
    </xf>
    <xf numFmtId="5" fontId="6" fillId="0" borderId="17" xfId="0" applyNumberFormat="1" applyFont="1" applyFill="1" applyBorder="1" applyAlignment="1" applyProtection="1">
      <alignment/>
      <protection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37" fontId="12" fillId="0" borderId="45" xfId="0" applyNumberFormat="1" applyFont="1" applyFill="1" applyBorder="1" applyAlignment="1" applyProtection="1">
      <alignment horizontal="right"/>
      <protection/>
    </xf>
    <xf numFmtId="5" fontId="12" fillId="0" borderId="45" xfId="0" applyNumberFormat="1" applyFont="1" applyFill="1" applyBorder="1" applyAlignment="1" applyProtection="1">
      <alignment horizontal="right"/>
      <protection/>
    </xf>
    <xf numFmtId="10" fontId="12" fillId="0" borderId="43" xfId="0" applyNumberFormat="1" applyFont="1" applyFill="1" applyBorder="1" applyAlignment="1" applyProtection="1">
      <alignment/>
      <protection/>
    </xf>
    <xf numFmtId="5" fontId="6" fillId="0" borderId="29" xfId="0" applyNumberFormat="1" applyFont="1" applyFill="1" applyBorder="1" applyAlignment="1" applyProtection="1">
      <alignment/>
      <protection/>
    </xf>
    <xf numFmtId="0" fontId="6" fillId="0" borderId="39" xfId="0" applyFont="1" applyFill="1" applyBorder="1" applyAlignment="1">
      <alignment horizontal="left"/>
    </xf>
    <xf numFmtId="0" fontId="12" fillId="0" borderId="39" xfId="0" applyFont="1" applyFill="1" applyBorder="1" applyAlignment="1">
      <alignment/>
    </xf>
    <xf numFmtId="5" fontId="12" fillId="0" borderId="38" xfId="0" applyNumberFormat="1" applyFont="1" applyFill="1" applyBorder="1" applyAlignment="1" applyProtection="1">
      <alignment/>
      <protection/>
    </xf>
    <xf numFmtId="0" fontId="7" fillId="0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left"/>
    </xf>
    <xf numFmtId="5" fontId="7" fillId="0" borderId="38" xfId="0" applyNumberFormat="1" applyFont="1" applyFill="1" applyBorder="1" applyAlignment="1" applyProtection="1">
      <alignment/>
      <protection/>
    </xf>
    <xf numFmtId="10" fontId="7" fillId="0" borderId="39" xfId="0" applyNumberFormat="1" applyFont="1" applyFill="1" applyBorder="1" applyAlignment="1" applyProtection="1">
      <alignment/>
      <protection/>
    </xf>
    <xf numFmtId="0" fontId="6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5" fontId="12" fillId="0" borderId="45" xfId="0" applyNumberFormat="1" applyFont="1" applyFill="1" applyBorder="1" applyAlignment="1" applyProtection="1">
      <alignment/>
      <protection/>
    </xf>
    <xf numFmtId="5" fontId="12" fillId="0" borderId="46" xfId="0" applyNumberFormat="1" applyFont="1" applyFill="1" applyBorder="1" applyAlignment="1" applyProtection="1">
      <alignment/>
      <protection/>
    </xf>
    <xf numFmtId="0" fontId="6" fillId="0" borderId="47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39" fontId="12" fillId="0" borderId="38" xfId="0" applyNumberFormat="1" applyFont="1" applyFill="1" applyBorder="1" applyAlignment="1" applyProtection="1">
      <alignment/>
      <protection/>
    </xf>
    <xf numFmtId="43" fontId="12" fillId="0" borderId="38" xfId="42" applyFont="1" applyFill="1" applyBorder="1" applyAlignment="1" applyProtection="1">
      <alignment/>
      <protection/>
    </xf>
    <xf numFmtId="10" fontId="12" fillId="0" borderId="38" xfId="0" applyNumberFormat="1" applyFont="1" applyFill="1" applyBorder="1" applyAlignment="1" applyProtection="1">
      <alignment/>
      <protection/>
    </xf>
    <xf numFmtId="10" fontId="12" fillId="0" borderId="38" xfId="60" applyNumberFormat="1" applyFont="1" applyFill="1" applyBorder="1" applyAlignment="1" applyProtection="1">
      <alignment/>
      <protection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left"/>
    </xf>
    <xf numFmtId="5" fontId="12" fillId="0" borderId="51" xfId="0" applyNumberFormat="1" applyFont="1" applyFill="1" applyBorder="1" applyAlignment="1" applyProtection="1">
      <alignment/>
      <protection/>
    </xf>
    <xf numFmtId="10" fontId="12" fillId="0" borderId="50" xfId="0" applyNumberFormat="1" applyFont="1" applyFill="1" applyBorder="1" applyAlignment="1" applyProtection="1">
      <alignment/>
      <protection/>
    </xf>
    <xf numFmtId="0" fontId="6" fillId="0" borderId="3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5" fontId="6" fillId="0" borderId="46" xfId="0" applyNumberFormat="1" applyFont="1" applyFill="1" applyBorder="1" applyAlignment="1" applyProtection="1">
      <alignment/>
      <protection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 quotePrefix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5" fontId="7" fillId="0" borderId="54" xfId="0" applyNumberFormat="1" applyFont="1" applyFill="1" applyBorder="1" applyAlignment="1" applyProtection="1">
      <alignment vertical="center"/>
      <protection/>
    </xf>
    <xf numFmtId="10" fontId="7" fillId="0" borderId="55" xfId="0" applyNumberFormat="1" applyFont="1" applyFill="1" applyBorder="1" applyAlignment="1" applyProtection="1">
      <alignment/>
      <protection/>
    </xf>
    <xf numFmtId="0" fontId="7" fillId="0" borderId="47" xfId="0" applyFont="1" applyFill="1" applyBorder="1" applyAlignment="1">
      <alignment horizontal="center" vertical="center"/>
    </xf>
    <xf numFmtId="5" fontId="13" fillId="0" borderId="56" xfId="0" applyNumberFormat="1" applyFont="1" applyFill="1" applyBorder="1" applyAlignment="1" applyProtection="1">
      <alignment vertical="center"/>
      <protection/>
    </xf>
    <xf numFmtId="10" fontId="13" fillId="0" borderId="57" xfId="0" applyNumberFormat="1" applyFont="1" applyFill="1" applyBorder="1" applyAlignment="1" applyProtection="1">
      <alignment/>
      <protection/>
    </xf>
    <xf numFmtId="5" fontId="6" fillId="0" borderId="58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59" xfId="0" applyFont="1" applyFill="1" applyBorder="1" applyAlignment="1" quotePrefix="1">
      <alignment horizontal="center" vertical="center" wrapText="1"/>
    </xf>
    <xf numFmtId="0" fontId="6" fillId="0" borderId="60" xfId="0" applyFont="1" applyFill="1" applyBorder="1" applyAlignment="1">
      <alignment horizontal="left" vertical="center" wrapText="1"/>
    </xf>
    <xf numFmtId="5" fontId="12" fillId="0" borderId="37" xfId="0" applyNumberFormat="1" applyFont="1" applyFill="1" applyBorder="1" applyAlignment="1" applyProtection="1">
      <alignment vertical="center"/>
      <protection/>
    </xf>
    <xf numFmtId="10" fontId="12" fillId="0" borderId="61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5" fontId="12" fillId="0" borderId="64" xfId="0" applyNumberFormat="1" applyFont="1" applyFill="1" applyBorder="1" applyAlignment="1" applyProtection="1">
      <alignment vertical="center"/>
      <protection/>
    </xf>
    <xf numFmtId="5" fontId="12" fillId="0" borderId="65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left" vertical="center" wrapText="1"/>
    </xf>
    <xf numFmtId="5" fontId="12" fillId="0" borderId="28" xfId="0" applyNumberFormat="1" applyFont="1" applyFill="1" applyBorder="1" applyAlignment="1" applyProtection="1">
      <alignment vertical="center"/>
      <protection/>
    </xf>
    <xf numFmtId="5" fontId="12" fillId="0" borderId="66" xfId="0" applyNumberFormat="1" applyFont="1" applyFill="1" applyBorder="1" applyAlignment="1" applyProtection="1">
      <alignment vertical="center"/>
      <protection/>
    </xf>
    <xf numFmtId="10" fontId="12" fillId="0" borderId="67" xfId="0" applyNumberFormat="1" applyFont="1" applyFill="1" applyBorder="1" applyAlignment="1" applyProtection="1">
      <alignment/>
      <protection/>
    </xf>
    <xf numFmtId="5" fontId="6" fillId="0" borderId="68" xfId="0" applyNumberFormat="1" applyFont="1" applyFill="1" applyBorder="1" applyAlignment="1" applyProtection="1">
      <alignment/>
      <protection/>
    </xf>
    <xf numFmtId="0" fontId="7" fillId="33" borderId="69" xfId="0" applyFont="1" applyFill="1" applyBorder="1" applyAlignment="1" quotePrefix="1">
      <alignment horizontal="center"/>
    </xf>
    <xf numFmtId="0" fontId="7" fillId="33" borderId="70" xfId="0" applyFont="1" applyFill="1" applyBorder="1" applyAlignment="1">
      <alignment horizontal="left"/>
    </xf>
    <xf numFmtId="0" fontId="13" fillId="33" borderId="70" xfId="0" applyFont="1" applyFill="1" applyBorder="1" applyAlignment="1">
      <alignment/>
    </xf>
    <xf numFmtId="5" fontId="13" fillId="33" borderId="71" xfId="0" applyNumberFormat="1" applyFont="1" applyFill="1" applyBorder="1" applyAlignment="1" applyProtection="1">
      <alignment/>
      <protection/>
    </xf>
    <xf numFmtId="5" fontId="13" fillId="33" borderId="28" xfId="0" applyNumberFormat="1" applyFont="1" applyFill="1" applyBorder="1" applyAlignment="1" applyProtection="1">
      <alignment/>
      <protection/>
    </xf>
    <xf numFmtId="10" fontId="13" fillId="33" borderId="0" xfId="0" applyNumberFormat="1" applyFont="1" applyFill="1" applyBorder="1" applyAlignment="1" applyProtection="1">
      <alignment/>
      <protection/>
    </xf>
    <xf numFmtId="5" fontId="12" fillId="33" borderId="17" xfId="0" applyNumberFormat="1" applyFont="1" applyFill="1" applyBorder="1" applyAlignment="1" applyProtection="1">
      <alignment/>
      <protection/>
    </xf>
    <xf numFmtId="0" fontId="13" fillId="33" borderId="15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5" fontId="7" fillId="33" borderId="28" xfId="0" applyNumberFormat="1" applyFont="1" applyFill="1" applyBorder="1" applyAlignment="1" applyProtection="1">
      <alignment/>
      <protection/>
    </xf>
    <xf numFmtId="10" fontId="13" fillId="33" borderId="16" xfId="0" applyNumberFormat="1" applyFont="1" applyFill="1" applyBorder="1" applyAlignment="1" applyProtection="1">
      <alignment/>
      <protection/>
    </xf>
    <xf numFmtId="5" fontId="6" fillId="33" borderId="17" xfId="0" applyNumberFormat="1" applyFont="1" applyFill="1" applyBorder="1" applyAlignment="1" applyProtection="1">
      <alignment/>
      <protection/>
    </xf>
    <xf numFmtId="7" fontId="7" fillId="33" borderId="28" xfId="0" applyNumberFormat="1" applyFont="1" applyFill="1" applyBorder="1" applyAlignment="1" applyProtection="1">
      <alignment/>
      <protection/>
    </xf>
    <xf numFmtId="0" fontId="13" fillId="33" borderId="42" xfId="0" applyFont="1" applyFill="1" applyBorder="1" applyAlignment="1">
      <alignment/>
    </xf>
    <xf numFmtId="0" fontId="7" fillId="33" borderId="43" xfId="0" applyFont="1" applyFill="1" applyBorder="1" applyAlignment="1">
      <alignment horizontal="left"/>
    </xf>
    <xf numFmtId="0" fontId="13" fillId="33" borderId="43" xfId="0" applyFont="1" applyFill="1" applyBorder="1" applyAlignment="1">
      <alignment/>
    </xf>
    <xf numFmtId="7" fontId="7" fillId="33" borderId="45" xfId="0" applyNumberFormat="1" applyFont="1" applyFill="1" applyBorder="1" applyAlignment="1" applyProtection="1">
      <alignment/>
      <protection/>
    </xf>
    <xf numFmtId="10" fontId="13" fillId="33" borderId="43" xfId="0" applyNumberFormat="1" applyFont="1" applyFill="1" applyBorder="1" applyAlignment="1" applyProtection="1">
      <alignment/>
      <protection/>
    </xf>
    <xf numFmtId="5" fontId="6" fillId="33" borderId="29" xfId="0" applyNumberFormat="1" applyFont="1" applyFill="1" applyBorder="1" applyAlignment="1" applyProtection="1">
      <alignment/>
      <protection/>
    </xf>
    <xf numFmtId="0" fontId="7" fillId="0" borderId="47" xfId="0" applyFont="1" applyFill="1" applyBorder="1" applyAlignment="1" quotePrefix="1">
      <alignment horizontal="center"/>
    </xf>
    <xf numFmtId="5" fontId="7" fillId="0" borderId="72" xfId="0" applyNumberFormat="1" applyFont="1" applyFill="1" applyBorder="1" applyAlignment="1" applyProtection="1">
      <alignment/>
      <protection/>
    </xf>
    <xf numFmtId="5" fontId="7" fillId="0" borderId="73" xfId="0" applyNumberFormat="1" applyFont="1" applyFill="1" applyBorder="1" applyAlignment="1" applyProtection="1">
      <alignment/>
      <protection/>
    </xf>
    <xf numFmtId="5" fontId="7" fillId="0" borderId="0" xfId="0" applyNumberFormat="1" applyFont="1" applyFill="1" applyBorder="1" applyAlignment="1" applyProtection="1">
      <alignment/>
      <protection/>
    </xf>
    <xf numFmtId="10" fontId="13" fillId="0" borderId="72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7" fillId="0" borderId="63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left"/>
    </xf>
    <xf numFmtId="5" fontId="12" fillId="0" borderId="28" xfId="0" applyNumberFormat="1" applyFont="1" applyFill="1" applyBorder="1" applyAlignment="1" applyProtection="1">
      <alignment/>
      <protection/>
    </xf>
    <xf numFmtId="10" fontId="12" fillId="0" borderId="0" xfId="0" applyNumberFormat="1" applyFont="1" applyFill="1" applyBorder="1" applyAlignment="1" applyProtection="1">
      <alignment/>
      <protection/>
    </xf>
    <xf numFmtId="0" fontId="6" fillId="0" borderId="74" xfId="0" applyFont="1" applyFill="1" applyBorder="1" applyAlignment="1" quotePrefix="1">
      <alignment horizontal="center"/>
    </xf>
    <xf numFmtId="0" fontId="6" fillId="0" borderId="74" xfId="0" applyFont="1" applyFill="1" applyBorder="1" applyAlignment="1">
      <alignment horizontal="left"/>
    </xf>
    <xf numFmtId="5" fontId="12" fillId="0" borderId="75" xfId="0" applyNumberFormat="1" applyFont="1" applyFill="1" applyBorder="1" applyAlignment="1" applyProtection="1">
      <alignment/>
      <protection/>
    </xf>
    <xf numFmtId="10" fontId="12" fillId="0" borderId="76" xfId="0" applyNumberFormat="1" applyFont="1" applyFill="1" applyBorder="1" applyAlignment="1" applyProtection="1">
      <alignment/>
      <protection/>
    </xf>
    <xf numFmtId="5" fontId="12" fillId="0" borderId="27" xfId="0" applyNumberFormat="1" applyFont="1" applyFill="1" applyBorder="1" applyAlignment="1" applyProtection="1">
      <alignment/>
      <protection/>
    </xf>
    <xf numFmtId="0" fontId="7" fillId="0" borderId="77" xfId="0" applyFont="1" applyFill="1" applyBorder="1" applyAlignment="1" quotePrefix="1">
      <alignment horizontal="center"/>
    </xf>
    <xf numFmtId="0" fontId="7" fillId="0" borderId="76" xfId="0" applyFont="1" applyFill="1" applyBorder="1" applyAlignment="1">
      <alignment horizontal="left"/>
    </xf>
    <xf numFmtId="0" fontId="6" fillId="0" borderId="76" xfId="0" applyFont="1" applyFill="1" applyBorder="1" applyAlignment="1">
      <alignment horizontal="left"/>
    </xf>
    <xf numFmtId="5" fontId="12" fillId="0" borderId="78" xfId="0" applyNumberFormat="1" applyFont="1" applyFill="1" applyBorder="1" applyAlignment="1" applyProtection="1">
      <alignment/>
      <protection/>
    </xf>
    <xf numFmtId="0" fontId="12" fillId="0" borderId="42" xfId="0" applyFont="1" applyFill="1" applyBorder="1" applyAlignment="1">
      <alignment/>
    </xf>
    <xf numFmtId="5" fontId="12" fillId="0" borderId="29" xfId="0" applyNumberFormat="1" applyFont="1" applyFill="1" applyBorder="1" applyAlignment="1" applyProtection="1">
      <alignment/>
      <protection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 quotePrefix="1">
      <alignment horizontal="left" vertical="center"/>
    </xf>
    <xf numFmtId="0" fontId="7" fillId="33" borderId="53" xfId="0" applyFont="1" applyFill="1" applyBorder="1" applyAlignment="1">
      <alignment horizontal="left" vertical="center"/>
    </xf>
    <xf numFmtId="5" fontId="7" fillId="33" borderId="54" xfId="0" applyNumberFormat="1" applyFont="1" applyFill="1" applyBorder="1" applyAlignment="1" applyProtection="1">
      <alignment vertical="center"/>
      <protection/>
    </xf>
    <xf numFmtId="10" fontId="7" fillId="33" borderId="53" xfId="0" applyNumberFormat="1" applyFont="1" applyFill="1" applyBorder="1" applyAlignment="1" applyProtection="1">
      <alignment vertical="center"/>
      <protection/>
    </xf>
    <xf numFmtId="5" fontId="6" fillId="33" borderId="29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center"/>
    </xf>
    <xf numFmtId="10" fontId="13" fillId="0" borderId="39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>
      <alignment horizontal="center"/>
    </xf>
    <xf numFmtId="0" fontId="6" fillId="0" borderId="39" xfId="0" applyFont="1" applyFill="1" applyBorder="1" applyAlignment="1" quotePrefix="1">
      <alignment horizontal="center"/>
    </xf>
    <xf numFmtId="0" fontId="6" fillId="0" borderId="39" xfId="0" applyFont="1" applyFill="1" applyBorder="1" applyAlignment="1">
      <alignment horizontal="left" wrapText="1"/>
    </xf>
    <xf numFmtId="0" fontId="0" fillId="0" borderId="37" xfId="0" applyBorder="1" applyAlignment="1">
      <alignment/>
    </xf>
    <xf numFmtId="0" fontId="0" fillId="0" borderId="79" xfId="0" applyBorder="1" applyAlignment="1">
      <alignment/>
    </xf>
    <xf numFmtId="5" fontId="12" fillId="0" borderId="80" xfId="0" applyNumberFormat="1" applyFont="1" applyFill="1" applyBorder="1" applyAlignment="1" applyProtection="1">
      <alignment/>
      <protection/>
    </xf>
    <xf numFmtId="0" fontId="6" fillId="0" borderId="35" xfId="0" applyFont="1" applyFill="1" applyBorder="1" applyAlignment="1" quotePrefix="1">
      <alignment horizontal="center"/>
    </xf>
    <xf numFmtId="5" fontId="12" fillId="0" borderId="65" xfId="0" applyNumberFormat="1" applyFont="1" applyFill="1" applyBorder="1" applyAlignment="1" applyProtection="1">
      <alignment/>
      <protection/>
    </xf>
    <xf numFmtId="5" fontId="12" fillId="0" borderId="37" xfId="0" applyNumberFormat="1" applyFont="1" applyFill="1" applyBorder="1" applyAlignment="1" applyProtection="1">
      <alignment/>
      <protection/>
    </xf>
    <xf numFmtId="10" fontId="12" fillId="0" borderId="79" xfId="0" applyNumberFormat="1" applyFont="1" applyFill="1" applyBorder="1" applyAlignment="1" applyProtection="1">
      <alignment/>
      <protection/>
    </xf>
    <xf numFmtId="5" fontId="12" fillId="0" borderId="81" xfId="0" applyNumberFormat="1" applyFont="1" applyFill="1" applyBorder="1" applyAlignment="1" applyProtection="1">
      <alignment/>
      <protection/>
    </xf>
    <xf numFmtId="0" fontId="6" fillId="0" borderId="60" xfId="0" applyFont="1" applyFill="1" applyBorder="1" applyAlignment="1">
      <alignment horizontal="left"/>
    </xf>
    <xf numFmtId="5" fontId="12" fillId="0" borderId="41" xfId="0" applyNumberFormat="1" applyFont="1" applyFill="1" applyBorder="1" applyAlignment="1" applyProtection="1">
      <alignment/>
      <protection/>
    </xf>
    <xf numFmtId="5" fontId="12" fillId="0" borderId="17" xfId="0" applyNumberFormat="1" applyFont="1" applyFill="1" applyBorder="1" applyAlignment="1" applyProtection="1">
      <alignment/>
      <protection/>
    </xf>
    <xf numFmtId="0" fontId="14" fillId="33" borderId="82" xfId="0" applyFont="1" applyFill="1" applyBorder="1" applyAlignment="1">
      <alignment horizontal="center" vertical="center" wrapText="1"/>
    </xf>
    <xf numFmtId="5" fontId="14" fillId="33" borderId="83" xfId="0" applyNumberFormat="1" applyFont="1" applyFill="1" applyBorder="1" applyAlignment="1" applyProtection="1">
      <alignment/>
      <protection/>
    </xf>
    <xf numFmtId="10" fontId="12" fillId="33" borderId="84" xfId="0" applyNumberFormat="1" applyFont="1" applyFill="1" applyBorder="1" applyAlignment="1" applyProtection="1">
      <alignment/>
      <protection/>
    </xf>
    <xf numFmtId="5" fontId="6" fillId="33" borderId="85" xfId="0" applyNumberFormat="1" applyFont="1" applyFill="1" applyBorder="1" applyAlignment="1" applyProtection="1">
      <alignment/>
      <protection/>
    </xf>
    <xf numFmtId="5" fontId="7" fillId="0" borderId="56" xfId="0" applyNumberFormat="1" applyFont="1" applyFill="1" applyBorder="1" applyAlignment="1" applyProtection="1">
      <alignment vertical="center"/>
      <protection/>
    </xf>
    <xf numFmtId="10" fontId="7" fillId="0" borderId="57" xfId="0" applyNumberFormat="1" applyFont="1" applyFill="1" applyBorder="1" applyAlignment="1" applyProtection="1">
      <alignment/>
      <protection/>
    </xf>
    <xf numFmtId="0" fontId="6" fillId="0" borderId="76" xfId="0" applyFont="1" applyFill="1" applyBorder="1" applyAlignment="1" quotePrefix="1">
      <alignment horizontal="center" wrapText="1"/>
    </xf>
    <xf numFmtId="0" fontId="6" fillId="0" borderId="76" xfId="0" applyFont="1" applyFill="1" applyBorder="1" applyAlignment="1">
      <alignment horizontal="left" wrapText="1"/>
    </xf>
    <xf numFmtId="5" fontId="12" fillId="0" borderId="75" xfId="0" applyNumberFormat="1" applyFont="1" applyFill="1" applyBorder="1" applyAlignment="1" applyProtection="1">
      <alignment/>
      <protection/>
    </xf>
    <xf numFmtId="5" fontId="12" fillId="0" borderId="37" xfId="0" applyNumberFormat="1" applyFont="1" applyFill="1" applyBorder="1" applyAlignment="1" applyProtection="1">
      <alignment/>
      <protection/>
    </xf>
    <xf numFmtId="10" fontId="12" fillId="0" borderId="79" xfId="0" applyNumberFormat="1" applyFont="1" applyFill="1" applyBorder="1" applyAlignment="1" applyProtection="1">
      <alignment/>
      <protection/>
    </xf>
    <xf numFmtId="0" fontId="6" fillId="0" borderId="63" xfId="0" applyFont="1" applyFill="1" applyBorder="1" applyAlignment="1" quotePrefix="1">
      <alignment horizontal="center" wrapText="1"/>
    </xf>
    <xf numFmtId="0" fontId="6" fillId="0" borderId="62" xfId="0" applyFont="1" applyFill="1" applyBorder="1" applyAlignment="1">
      <alignment horizontal="left" wrapText="1"/>
    </xf>
    <xf numFmtId="5" fontId="12" fillId="0" borderId="64" xfId="0" applyNumberFormat="1" applyFont="1" applyFill="1" applyBorder="1" applyAlignment="1" applyProtection="1">
      <alignment/>
      <protection/>
    </xf>
    <xf numFmtId="0" fontId="6" fillId="0" borderId="63" xfId="0" applyFont="1" applyFill="1" applyBorder="1" applyAlignment="1">
      <alignment horizontal="left" wrapText="1"/>
    </xf>
    <xf numFmtId="5" fontId="0" fillId="0" borderId="86" xfId="0" applyNumberFormat="1" applyBorder="1" applyAlignment="1">
      <alignment/>
    </xf>
    <xf numFmtId="5" fontId="12" fillId="0" borderId="87" xfId="0" applyNumberFormat="1" applyFont="1" applyFill="1" applyBorder="1" applyAlignment="1" applyProtection="1">
      <alignment/>
      <protection/>
    </xf>
    <xf numFmtId="10" fontId="12" fillId="0" borderId="63" xfId="0" applyNumberFormat="1" applyFont="1" applyFill="1" applyBorder="1" applyAlignment="1" applyProtection="1">
      <alignment/>
      <protection/>
    </xf>
    <xf numFmtId="10" fontId="12" fillId="0" borderId="59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quotePrefix="1">
      <alignment horizontal="center" wrapText="1"/>
    </xf>
    <xf numFmtId="0" fontId="6" fillId="0" borderId="0" xfId="0" applyFont="1" applyFill="1" applyBorder="1" applyAlignment="1">
      <alignment horizontal="left" wrapText="1"/>
    </xf>
    <xf numFmtId="5" fontId="12" fillId="0" borderId="28" xfId="0" applyNumberFormat="1" applyFont="1" applyFill="1" applyBorder="1" applyAlignment="1" applyProtection="1">
      <alignment/>
      <protection/>
    </xf>
    <xf numFmtId="5" fontId="12" fillId="0" borderId="28" xfId="0" applyNumberFormat="1" applyFont="1" applyFill="1" applyBorder="1" applyAlignment="1" applyProtection="1">
      <alignment horizontal="right"/>
      <protection/>
    </xf>
    <xf numFmtId="10" fontId="12" fillId="0" borderId="0" xfId="0" applyNumberFormat="1" applyFont="1" applyFill="1" applyBorder="1" applyAlignment="1" applyProtection="1">
      <alignment/>
      <protection/>
    </xf>
    <xf numFmtId="0" fontId="7" fillId="33" borderId="47" xfId="0" applyFont="1" applyFill="1" applyBorder="1" applyAlignment="1">
      <alignment horizontal="center" vertical="center"/>
    </xf>
    <xf numFmtId="5" fontId="7" fillId="33" borderId="88" xfId="0" applyNumberFormat="1" applyFont="1" applyFill="1" applyBorder="1" applyAlignment="1" applyProtection="1">
      <alignment vertical="center"/>
      <protection/>
    </xf>
    <xf numFmtId="5" fontId="15" fillId="33" borderId="88" xfId="0" applyNumberFormat="1" applyFont="1" applyFill="1" applyBorder="1" applyAlignment="1" applyProtection="1">
      <alignment vertical="center"/>
      <protection/>
    </xf>
    <xf numFmtId="10" fontId="13" fillId="33" borderId="89" xfId="0" applyNumberFormat="1" applyFont="1" applyFill="1" applyBorder="1" applyAlignment="1" applyProtection="1">
      <alignment vertical="center"/>
      <protection/>
    </xf>
    <xf numFmtId="5" fontId="12" fillId="33" borderId="90" xfId="0" applyNumberFormat="1" applyFont="1" applyFill="1" applyBorder="1" applyAlignment="1" applyProtection="1">
      <alignment vertical="center"/>
      <protection/>
    </xf>
    <xf numFmtId="0" fontId="7" fillId="33" borderId="91" xfId="0" applyFont="1" applyFill="1" applyBorder="1" applyAlignment="1">
      <alignment horizontal="center" vertical="center"/>
    </xf>
    <xf numFmtId="5" fontId="7" fillId="33" borderId="92" xfId="0" applyNumberFormat="1" applyFont="1" applyFill="1" applyBorder="1" applyAlignment="1" applyProtection="1">
      <alignment vertical="center"/>
      <protection/>
    </xf>
    <xf numFmtId="166" fontId="15" fillId="33" borderId="92" xfId="0" applyNumberFormat="1" applyFont="1" applyFill="1" applyBorder="1" applyAlignment="1" applyProtection="1">
      <alignment vertical="center"/>
      <protection/>
    </xf>
    <xf numFmtId="10" fontId="13" fillId="33" borderId="93" xfId="0" applyNumberFormat="1" applyFont="1" applyFill="1" applyBorder="1" applyAlignment="1" applyProtection="1">
      <alignment vertical="center"/>
      <protection/>
    </xf>
    <xf numFmtId="5" fontId="12" fillId="33" borderId="17" xfId="0" applyNumberFormat="1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/>
    </xf>
    <xf numFmtId="5" fontId="16" fillId="0" borderId="18" xfId="0" applyNumberFormat="1" applyFont="1" applyFill="1" applyBorder="1" applyAlignment="1">
      <alignment horizontal="center" wrapText="1"/>
    </xf>
    <xf numFmtId="5" fontId="17" fillId="0" borderId="18" xfId="0" applyNumberFormat="1" applyFont="1" applyFill="1" applyBorder="1" applyAlignment="1">
      <alignment/>
    </xf>
    <xf numFmtId="0" fontId="14" fillId="0" borderId="19" xfId="0" applyFont="1" applyFill="1" applyBorder="1" applyAlignment="1">
      <alignment horizontal="left"/>
    </xf>
    <xf numFmtId="0" fontId="14" fillId="0" borderId="20" xfId="0" applyFont="1" applyFill="1" applyBorder="1" applyAlignment="1" quotePrefix="1">
      <alignment horizontal="left"/>
    </xf>
    <xf numFmtId="0" fontId="14" fillId="0" borderId="20" xfId="0" applyFont="1" applyFill="1" applyBorder="1" applyAlignment="1">
      <alignment horizontal="left"/>
    </xf>
    <xf numFmtId="5" fontId="14" fillId="0" borderId="94" xfId="0" applyNumberFormat="1" applyFont="1" applyFill="1" applyBorder="1" applyAlignment="1" applyProtection="1">
      <alignment/>
      <protection/>
    </xf>
    <xf numFmtId="10" fontId="12" fillId="0" borderId="22" xfId="0" applyNumberFormat="1" applyFont="1" applyFill="1" applyBorder="1" applyAlignment="1" applyProtection="1">
      <alignment/>
      <protection/>
    </xf>
    <xf numFmtId="5" fontId="6" fillId="0" borderId="23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right"/>
    </xf>
    <xf numFmtId="166" fontId="0" fillId="0" borderId="0" xfId="42" applyNumberFormat="1" applyFont="1" applyAlignment="1">
      <alignment/>
    </xf>
    <xf numFmtId="5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5" fontId="0" fillId="0" borderId="0" xfId="0" applyNumberFormat="1" applyFont="1" applyAlignment="1">
      <alignment/>
    </xf>
    <xf numFmtId="6" fontId="0" fillId="0" borderId="0" xfId="0" applyNumberFormat="1" applyAlignment="1">
      <alignment/>
    </xf>
    <xf numFmtId="5" fontId="15" fillId="0" borderId="0" xfId="0" applyNumberFormat="1" applyFont="1" applyFill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5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5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19" fillId="0" borderId="86" xfId="0" applyFont="1" applyBorder="1" applyAlignment="1" applyProtection="1">
      <alignment horizontal="center" vertical="center"/>
      <protection/>
    </xf>
    <xf numFmtId="0" fontId="20" fillId="0" borderId="86" xfId="0" applyFont="1" applyBorder="1" applyAlignment="1" applyProtection="1">
      <alignment horizontal="center" vertical="center" wrapText="1"/>
      <protection/>
    </xf>
    <xf numFmtId="0" fontId="19" fillId="0" borderId="86" xfId="0" applyFont="1" applyBorder="1" applyAlignment="1" applyProtection="1">
      <alignment horizontal="center" vertical="center" wrapText="1"/>
      <protection/>
    </xf>
    <xf numFmtId="0" fontId="19" fillId="0" borderId="86" xfId="0" applyFont="1" applyBorder="1" applyAlignment="1" applyProtection="1" quotePrefix="1">
      <alignment horizontal="center" vertical="center"/>
      <protection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95" xfId="0" applyFont="1" applyFill="1" applyBorder="1" applyAlignment="1" applyProtection="1">
      <alignment/>
      <protection/>
    </xf>
    <xf numFmtId="0" fontId="0" fillId="34" borderId="96" xfId="0" applyFont="1" applyFill="1" applyBorder="1" applyAlignment="1" applyProtection="1">
      <alignment/>
      <protection/>
    </xf>
    <xf numFmtId="0" fontId="21" fillId="34" borderId="97" xfId="0" applyFont="1" applyFill="1" applyBorder="1" applyAlignment="1" applyProtection="1">
      <alignment horizontal="centerContinuous" vertical="center" wrapText="1"/>
      <protection locked="0"/>
    </xf>
    <xf numFmtId="0" fontId="21" fillId="34" borderId="86" xfId="0" applyFont="1" applyFill="1" applyBorder="1" applyAlignment="1" applyProtection="1">
      <alignment horizontal="center" vertical="center" wrapText="1"/>
      <protection locked="0"/>
    </xf>
    <xf numFmtId="1" fontId="0" fillId="35" borderId="86" xfId="0" applyNumberFormat="1" applyFont="1" applyFill="1" applyBorder="1" applyAlignment="1" applyProtection="1">
      <alignment/>
      <protection/>
    </xf>
    <xf numFmtId="1" fontId="0" fillId="35" borderId="98" xfId="0" applyNumberFormat="1" applyFont="1" applyFill="1" applyBorder="1" applyAlignment="1" applyProtection="1">
      <alignment/>
      <protection/>
    </xf>
    <xf numFmtId="1" fontId="18" fillId="35" borderId="86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0" fontId="0" fillId="0" borderId="99" xfId="0" applyFont="1" applyFill="1" applyBorder="1" applyAlignment="1" applyProtection="1">
      <alignment/>
      <protection/>
    </xf>
    <xf numFmtId="5" fontId="22" fillId="0" borderId="99" xfId="0" applyNumberFormat="1" applyFont="1" applyFill="1" applyBorder="1" applyAlignment="1" applyProtection="1">
      <alignment/>
      <protection/>
    </xf>
    <xf numFmtId="5" fontId="0" fillId="0" borderId="99" xfId="0" applyNumberFormat="1" applyFont="1" applyFill="1" applyBorder="1" applyAlignment="1" applyProtection="1">
      <alignment/>
      <protection/>
    </xf>
    <xf numFmtId="6" fontId="0" fillId="0" borderId="99" xfId="0" applyNumberFormat="1" applyFont="1" applyFill="1" applyBorder="1" applyAlignment="1" applyProtection="1">
      <alignment/>
      <protection/>
    </xf>
    <xf numFmtId="5" fontId="23" fillId="0" borderId="99" xfId="0" applyNumberFormat="1" applyFont="1" applyFill="1" applyBorder="1" applyAlignment="1" applyProtection="1">
      <alignment/>
      <protection/>
    </xf>
    <xf numFmtId="5" fontId="22" fillId="0" borderId="100" xfId="0" applyNumberFormat="1" applyFont="1" applyFill="1" applyBorder="1" applyAlignment="1" applyProtection="1">
      <alignment/>
      <protection/>
    </xf>
    <xf numFmtId="6" fontId="22" fillId="0" borderId="99" xfId="0" applyNumberFormat="1" applyFont="1" applyFill="1" applyBorder="1" applyAlignment="1" applyProtection="1">
      <alignment/>
      <protection/>
    </xf>
    <xf numFmtId="5" fontId="0" fillId="0" borderId="99" xfId="0" applyNumberFormat="1" applyFont="1" applyBorder="1" applyAlignment="1" applyProtection="1">
      <alignment/>
      <protection/>
    </xf>
    <xf numFmtId="6" fontId="0" fillId="0" borderId="99" xfId="0" applyNumberFormat="1" applyFont="1" applyBorder="1" applyAlignment="1" applyProtection="1">
      <alignment/>
      <protection/>
    </xf>
    <xf numFmtId="10" fontId="0" fillId="0" borderId="99" xfId="60" applyNumberFormat="1" applyFont="1" applyBorder="1" applyAlignment="1" applyProtection="1">
      <alignment/>
      <protection/>
    </xf>
    <xf numFmtId="0" fontId="0" fillId="0" borderId="101" xfId="0" applyFont="1" applyFill="1" applyBorder="1" applyAlignment="1" applyProtection="1">
      <alignment/>
      <protection/>
    </xf>
    <xf numFmtId="5" fontId="22" fillId="0" borderId="101" xfId="0" applyNumberFormat="1" applyFont="1" applyFill="1" applyBorder="1" applyAlignment="1" applyProtection="1">
      <alignment/>
      <protection/>
    </xf>
    <xf numFmtId="5" fontId="0" fillId="0" borderId="102" xfId="0" applyNumberFormat="1" applyFont="1" applyFill="1" applyBorder="1" applyAlignment="1" applyProtection="1">
      <alignment/>
      <protection/>
    </xf>
    <xf numFmtId="6" fontId="0" fillId="0" borderId="102" xfId="0" applyNumberFormat="1" applyFont="1" applyFill="1" applyBorder="1" applyAlignment="1" applyProtection="1">
      <alignment/>
      <protection/>
    </xf>
    <xf numFmtId="5" fontId="23" fillId="0" borderId="101" xfId="0" applyNumberFormat="1" applyFont="1" applyFill="1" applyBorder="1" applyAlignment="1" applyProtection="1">
      <alignment/>
      <protection/>
    </xf>
    <xf numFmtId="5" fontId="0" fillId="0" borderId="101" xfId="0" applyNumberFormat="1" applyFont="1" applyFill="1" applyBorder="1" applyAlignment="1" applyProtection="1">
      <alignment/>
      <protection/>
    </xf>
    <xf numFmtId="5" fontId="22" fillId="0" borderId="102" xfId="0" applyNumberFormat="1" applyFont="1" applyFill="1" applyBorder="1" applyAlignment="1" applyProtection="1">
      <alignment/>
      <protection/>
    </xf>
    <xf numFmtId="6" fontId="22" fillId="0" borderId="102" xfId="0" applyNumberFormat="1" applyFont="1" applyFill="1" applyBorder="1" applyAlignment="1" applyProtection="1">
      <alignment/>
      <protection/>
    </xf>
    <xf numFmtId="5" fontId="0" fillId="0" borderId="101" xfId="0" applyNumberFormat="1" applyFont="1" applyBorder="1" applyAlignment="1" applyProtection="1">
      <alignment/>
      <protection/>
    </xf>
    <xf numFmtId="6" fontId="0" fillId="0" borderId="101" xfId="0" applyNumberFormat="1" applyFont="1" applyBorder="1" applyAlignment="1" applyProtection="1">
      <alignment/>
      <protection/>
    </xf>
    <xf numFmtId="10" fontId="0" fillId="0" borderId="101" xfId="60" applyNumberFormat="1" applyFont="1" applyBorder="1" applyAlignment="1" applyProtection="1">
      <alignment/>
      <protection/>
    </xf>
    <xf numFmtId="6" fontId="0" fillId="0" borderId="101" xfId="0" applyNumberFormat="1" applyFont="1" applyFill="1" applyBorder="1" applyAlignment="1" applyProtection="1">
      <alignment/>
      <protection/>
    </xf>
    <xf numFmtId="10" fontId="0" fillId="0" borderId="101" xfId="60" applyNumberFormat="1" applyFont="1" applyFill="1" applyBorder="1" applyAlignment="1" applyProtection="1">
      <alignment/>
      <protection/>
    </xf>
    <xf numFmtId="10" fontId="0" fillId="0" borderId="99" xfId="6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5" fontId="22" fillId="0" borderId="103" xfId="0" applyNumberFormat="1" applyFont="1" applyFill="1" applyBorder="1" applyAlignment="1" applyProtection="1">
      <alignment/>
      <protection/>
    </xf>
    <xf numFmtId="5" fontId="24" fillId="0" borderId="99" xfId="0" applyNumberFormat="1" applyFont="1" applyFill="1" applyBorder="1" applyAlignment="1" applyProtection="1">
      <alignment/>
      <protection/>
    </xf>
    <xf numFmtId="0" fontId="0" fillId="0" borderId="102" xfId="0" applyFont="1" applyFill="1" applyBorder="1" applyAlignment="1" applyProtection="1">
      <alignment/>
      <protection/>
    </xf>
    <xf numFmtId="5" fontId="23" fillId="0" borderId="102" xfId="0" applyNumberFormat="1" applyFont="1" applyFill="1" applyBorder="1" applyAlignment="1" applyProtection="1">
      <alignment/>
      <protection/>
    </xf>
    <xf numFmtId="5" fontId="0" fillId="0" borderId="102" xfId="0" applyNumberFormat="1" applyFont="1" applyBorder="1" applyAlignment="1" applyProtection="1">
      <alignment/>
      <protection/>
    </xf>
    <xf numFmtId="6" fontId="0" fillId="0" borderId="102" xfId="0" applyNumberFormat="1" applyFont="1" applyBorder="1" applyAlignment="1" applyProtection="1">
      <alignment/>
      <protection/>
    </xf>
    <xf numFmtId="10" fontId="0" fillId="0" borderId="102" xfId="60" applyNumberFormat="1" applyFont="1" applyBorder="1" applyAlignment="1" applyProtection="1">
      <alignment/>
      <protection/>
    </xf>
    <xf numFmtId="0" fontId="0" fillId="0" borderId="104" xfId="0" applyFont="1" applyFill="1" applyBorder="1" applyAlignment="1" applyProtection="1">
      <alignment/>
      <protection/>
    </xf>
    <xf numFmtId="5" fontId="22" fillId="0" borderId="104" xfId="0" applyNumberFormat="1" applyFont="1" applyFill="1" applyBorder="1" applyAlignment="1" applyProtection="1">
      <alignment/>
      <protection/>
    </xf>
    <xf numFmtId="5" fontId="0" fillId="0" borderId="104" xfId="0" applyNumberFormat="1" applyFont="1" applyFill="1" applyBorder="1" applyAlignment="1" applyProtection="1">
      <alignment/>
      <protection/>
    </xf>
    <xf numFmtId="6" fontId="0" fillId="0" borderId="104" xfId="0" applyNumberFormat="1" applyFont="1" applyFill="1" applyBorder="1" applyAlignment="1" applyProtection="1">
      <alignment/>
      <protection/>
    </xf>
    <xf numFmtId="5" fontId="23" fillId="0" borderId="104" xfId="0" applyNumberFormat="1" applyFont="1" applyFill="1" applyBorder="1" applyAlignment="1" applyProtection="1">
      <alignment/>
      <protection/>
    </xf>
    <xf numFmtId="6" fontId="22" fillId="0" borderId="104" xfId="0" applyNumberFormat="1" applyFont="1" applyFill="1" applyBorder="1" applyAlignment="1" applyProtection="1">
      <alignment/>
      <protection/>
    </xf>
    <xf numFmtId="10" fontId="0" fillId="0" borderId="104" xfId="60" applyNumberFormat="1" applyFont="1" applyFill="1" applyBorder="1" applyAlignment="1" applyProtection="1">
      <alignment/>
      <protection/>
    </xf>
    <xf numFmtId="0" fontId="22" fillId="36" borderId="105" xfId="0" applyFont="1" applyFill="1" applyBorder="1" applyAlignment="1" applyProtection="1">
      <alignment/>
      <protection/>
    </xf>
    <xf numFmtId="0" fontId="21" fillId="36" borderId="105" xfId="0" applyFont="1" applyFill="1" applyBorder="1" applyAlignment="1" applyProtection="1">
      <alignment horizontal="center"/>
      <protection/>
    </xf>
    <xf numFmtId="5" fontId="21" fillId="37" borderId="106" xfId="0" applyNumberFormat="1" applyFont="1" applyFill="1" applyBorder="1" applyAlignment="1" applyProtection="1">
      <alignment/>
      <protection/>
    </xf>
    <xf numFmtId="6" fontId="21" fillId="37" borderId="106" xfId="0" applyNumberFormat="1" applyFont="1" applyFill="1" applyBorder="1" applyAlignment="1" applyProtection="1">
      <alignment/>
      <protection/>
    </xf>
    <xf numFmtId="5" fontId="24" fillId="37" borderId="106" xfId="0" applyNumberFormat="1" applyFont="1" applyFill="1" applyBorder="1" applyAlignment="1" applyProtection="1">
      <alignment/>
      <protection/>
    </xf>
    <xf numFmtId="10" fontId="21" fillId="37" borderId="106" xfId="6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6" fontId="0" fillId="0" borderId="0" xfId="0" applyNumberFormat="1" applyFont="1" applyAlignment="1">
      <alignment/>
    </xf>
    <xf numFmtId="5" fontId="21" fillId="37" borderId="0" xfId="0" applyNumberFormat="1" applyFont="1" applyFill="1" applyBorder="1" applyAlignment="1" applyProtection="1">
      <alignment/>
      <protection/>
    </xf>
    <xf numFmtId="5" fontId="21" fillId="36" borderId="0" xfId="0" applyNumberFormat="1" applyFont="1" applyFill="1" applyBorder="1" applyAlignment="1" applyProtection="1">
      <alignment/>
      <protection/>
    </xf>
    <xf numFmtId="5" fontId="22" fillId="0" borderId="0" xfId="0" applyNumberFormat="1" applyFont="1" applyAlignment="1" applyProtection="1">
      <alignment/>
      <protection/>
    </xf>
    <xf numFmtId="38" fontId="0" fillId="0" borderId="0" xfId="0" applyNumberFormat="1" applyFont="1" applyBorder="1" applyAlignment="1">
      <alignment/>
    </xf>
    <xf numFmtId="5" fontId="22" fillId="37" borderId="0" xfId="0" applyNumberFormat="1" applyFont="1" applyFill="1" applyBorder="1" applyAlignment="1" applyProtection="1">
      <alignment/>
      <protection/>
    </xf>
    <xf numFmtId="5" fontId="22" fillId="36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28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29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86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19" fillId="0" borderId="10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86" xfId="0" applyFont="1" applyFill="1" applyBorder="1" applyAlignment="1" quotePrefix="1">
      <alignment horizontal="center" vertical="center"/>
    </xf>
    <xf numFmtId="6" fontId="35" fillId="0" borderId="107" xfId="0" applyNumberFormat="1" applyFont="1" applyFill="1" applyBorder="1" applyAlignment="1">
      <alignment horizontal="center" vertical="center" wrapText="1"/>
    </xf>
    <xf numFmtId="0" fontId="35" fillId="0" borderId="86" xfId="0" applyFont="1" applyFill="1" applyBorder="1" applyAlignment="1" quotePrefix="1">
      <alignment horizontal="center" vertical="center"/>
    </xf>
    <xf numFmtId="0" fontId="19" fillId="0" borderId="86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 wrapText="1"/>
    </xf>
    <xf numFmtId="0" fontId="19" fillId="0" borderId="108" xfId="0" applyFont="1" applyBorder="1" applyAlignment="1" quotePrefix="1">
      <alignment horizontal="center" vertical="center" wrapText="1"/>
    </xf>
    <xf numFmtId="0" fontId="19" fillId="0" borderId="86" xfId="0" applyFont="1" applyBorder="1" applyAlignment="1" quotePrefix="1">
      <alignment horizontal="center" vertical="center" wrapText="1"/>
    </xf>
    <xf numFmtId="0" fontId="2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9" fontId="37" fillId="38" borderId="109" xfId="60" applyFont="1" applyFill="1" applyBorder="1" applyAlignment="1">
      <alignment horizontal="right"/>
    </xf>
    <xf numFmtId="0" fontId="38" fillId="0" borderId="74" xfId="0" applyFont="1" applyFill="1" applyBorder="1" applyAlignment="1">
      <alignment horizontal="center"/>
    </xf>
    <xf numFmtId="9" fontId="37" fillId="38" borderId="109" xfId="0" applyNumberFormat="1" applyFont="1" applyFill="1" applyBorder="1" applyAlignment="1">
      <alignment horizontal="right"/>
    </xf>
    <xf numFmtId="166" fontId="37" fillId="38" borderId="109" xfId="42" applyNumberFormat="1" applyFont="1" applyFill="1" applyBorder="1" applyAlignment="1">
      <alignment horizontal="right"/>
    </xf>
    <xf numFmtId="166" fontId="37" fillId="38" borderId="108" xfId="42" applyNumberFormat="1" applyFont="1" applyFill="1" applyBorder="1" applyAlignment="1">
      <alignment horizontal="right"/>
    </xf>
    <xf numFmtId="166" fontId="37" fillId="38" borderId="110" xfId="42" applyNumberFormat="1" applyFont="1" applyFill="1" applyBorder="1" applyAlignment="1">
      <alignment horizontal="right"/>
    </xf>
    <xf numFmtId="167" fontId="37" fillId="38" borderId="109" xfId="42" applyNumberFormat="1" applyFont="1" applyFill="1" applyBorder="1" applyAlignment="1">
      <alignment horizontal="center"/>
    </xf>
    <xf numFmtId="49" fontId="21" fillId="34" borderId="73" xfId="0" applyNumberFormat="1" applyFont="1" applyFill="1" applyBorder="1" applyAlignment="1" applyProtection="1">
      <alignment horizontal="center" vertical="center" wrapText="1"/>
      <protection locked="0"/>
    </xf>
    <xf numFmtId="9" fontId="37" fillId="38" borderId="109" xfId="0" applyNumberFormat="1" applyFont="1" applyFill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21" fillId="34" borderId="86" xfId="0" applyFont="1" applyFill="1" applyBorder="1" applyAlignment="1">
      <alignment horizontal="center"/>
    </xf>
    <xf numFmtId="0" fontId="21" fillId="34" borderId="86" xfId="0" applyFont="1" applyFill="1" applyBorder="1" applyAlignment="1">
      <alignment horizontal="center" vertical="center" wrapText="1"/>
    </xf>
    <xf numFmtId="0" fontId="9" fillId="34" borderId="86" xfId="0" applyFont="1" applyFill="1" applyBorder="1" applyAlignment="1">
      <alignment horizontal="center" vertical="center" wrapText="1"/>
    </xf>
    <xf numFmtId="0" fontId="9" fillId="34" borderId="111" xfId="0" applyFont="1" applyFill="1" applyBorder="1" applyAlignment="1">
      <alignment horizontal="center" vertical="center" wrapText="1"/>
    </xf>
    <xf numFmtId="0" fontId="9" fillId="34" borderId="111" xfId="0" applyFont="1" applyFill="1" applyBorder="1" applyAlignment="1" quotePrefix="1">
      <alignment horizontal="center" vertical="center" wrapText="1"/>
    </xf>
    <xf numFmtId="0" fontId="40" fillId="34" borderId="111" xfId="0" applyFont="1" applyFill="1" applyBorder="1" applyAlignment="1">
      <alignment horizontal="center" vertical="center" wrapText="1"/>
    </xf>
    <xf numFmtId="171" fontId="9" fillId="34" borderId="111" xfId="0" applyNumberFormat="1" applyFont="1" applyFill="1" applyBorder="1" applyAlignment="1">
      <alignment horizontal="center" vertical="center" wrapText="1"/>
    </xf>
    <xf numFmtId="0" fontId="21" fillId="34" borderId="111" xfId="0" applyFont="1" applyFill="1" applyBorder="1" applyAlignment="1">
      <alignment horizontal="center" vertical="center" wrapText="1"/>
    </xf>
    <xf numFmtId="0" fontId="21" fillId="33" borderId="86" xfId="0" applyFont="1" applyFill="1" applyBorder="1" applyAlignment="1">
      <alignment horizontal="center" vertical="center" wrapText="1"/>
    </xf>
    <xf numFmtId="0" fontId="21" fillId="34" borderId="108" xfId="0" applyFont="1" applyFill="1" applyBorder="1" applyAlignment="1">
      <alignment horizontal="center" vertical="center" wrapText="1"/>
    </xf>
    <xf numFmtId="0" fontId="21" fillId="33" borderId="111" xfId="0" applyFont="1" applyFill="1" applyBorder="1" applyAlignment="1">
      <alignment horizontal="center" vertical="center" wrapText="1"/>
    </xf>
    <xf numFmtId="0" fontId="21" fillId="34" borderId="86" xfId="0" applyFont="1" applyFill="1" applyBorder="1" applyAlignment="1" quotePrefix="1">
      <alignment horizontal="center" vertical="center" wrapText="1"/>
    </xf>
    <xf numFmtId="0" fontId="21" fillId="33" borderId="86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1" fontId="0" fillId="35" borderId="86" xfId="42" applyNumberFormat="1" applyFont="1" applyFill="1" applyBorder="1" applyAlignment="1">
      <alignment horizontal="center"/>
    </xf>
    <xf numFmtId="1" fontId="18" fillId="35" borderId="86" xfId="42" applyNumberFormat="1" applyFont="1" applyFill="1" applyBorder="1" applyAlignment="1">
      <alignment horizontal="center"/>
    </xf>
    <xf numFmtId="1" fontId="18" fillId="35" borderId="86" xfId="42" applyNumberFormat="1" applyFont="1" applyFill="1" applyBorder="1" applyAlignment="1" quotePrefix="1">
      <alignment horizont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7" xfId="0" applyFont="1" applyBorder="1" applyAlignment="1">
      <alignment/>
    </xf>
    <xf numFmtId="0" fontId="0" fillId="0" borderId="107" xfId="0" applyFont="1" applyFill="1" applyBorder="1" applyAlignment="1">
      <alignment/>
    </xf>
    <xf numFmtId="0" fontId="22" fillId="39" borderId="107" xfId="0" applyFont="1" applyFill="1" applyBorder="1" applyAlignment="1">
      <alignment horizontal="center"/>
    </xf>
    <xf numFmtId="0" fontId="0" fillId="40" borderId="107" xfId="0" applyFont="1" applyFill="1" applyBorder="1" applyAlignment="1">
      <alignment horizontal="center"/>
    </xf>
    <xf numFmtId="166" fontId="22" fillId="39" borderId="107" xfId="42" applyNumberFormat="1" applyFont="1" applyFill="1" applyBorder="1" applyAlignment="1">
      <alignment horizontal="center"/>
    </xf>
    <xf numFmtId="15" fontId="0" fillId="40" borderId="107" xfId="0" applyNumberFormat="1" applyFont="1" applyFill="1" applyBorder="1" applyAlignment="1">
      <alignment horizontal="center"/>
    </xf>
    <xf numFmtId="166" fontId="0" fillId="39" borderId="107" xfId="42" applyNumberFormat="1" applyFont="1" applyFill="1" applyBorder="1" applyAlignment="1">
      <alignment horizontal="center"/>
    </xf>
    <xf numFmtId="0" fontId="22" fillId="0" borderId="107" xfId="0" applyFont="1" applyBorder="1" applyAlignment="1">
      <alignment/>
    </xf>
    <xf numFmtId="0" fontId="0" fillId="0" borderId="112" xfId="0" applyFont="1" applyBorder="1" applyAlignment="1">
      <alignment/>
    </xf>
    <xf numFmtId="0" fontId="0" fillId="33" borderId="107" xfId="0" applyFont="1" applyFill="1" applyBorder="1" applyAlignment="1">
      <alignment/>
    </xf>
    <xf numFmtId="3" fontId="0" fillId="0" borderId="103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>
      <alignment/>
    </xf>
    <xf numFmtId="3" fontId="0" fillId="0" borderId="103" xfId="0" applyNumberFormat="1" applyFont="1" applyBorder="1" applyAlignment="1">
      <alignment/>
    </xf>
    <xf numFmtId="3" fontId="0" fillId="0" borderId="103" xfId="42" applyNumberFormat="1" applyFont="1" applyBorder="1" applyAlignment="1">
      <alignment/>
    </xf>
    <xf numFmtId="197" fontId="0" fillId="0" borderId="103" xfId="60" applyNumberFormat="1" applyFont="1" applyBorder="1" applyAlignment="1">
      <alignment/>
    </xf>
    <xf numFmtId="167" fontId="0" fillId="0" borderId="103" xfId="0" applyNumberFormat="1" applyFont="1" applyBorder="1" applyAlignment="1">
      <alignment/>
    </xf>
    <xf numFmtId="186" fontId="0" fillId="0" borderId="103" xfId="0" applyNumberFormat="1" applyFont="1" applyBorder="1" applyAlignment="1">
      <alignment/>
    </xf>
    <xf numFmtId="10" fontId="0" fillId="0" borderId="103" xfId="60" applyNumberFormat="1" applyFont="1" applyBorder="1" applyAlignment="1">
      <alignment/>
    </xf>
    <xf numFmtId="167" fontId="22" fillId="33" borderId="103" xfId="0" applyNumberFormat="1" applyFont="1" applyFill="1" applyBorder="1" applyAlignment="1">
      <alignment/>
    </xf>
    <xf numFmtId="167" fontId="0" fillId="0" borderId="113" xfId="0" applyNumberFormat="1" applyFont="1" applyBorder="1" applyAlignment="1">
      <alignment/>
    </xf>
    <xf numFmtId="6" fontId="0" fillId="0" borderId="103" xfId="0" applyNumberFormat="1" applyFont="1" applyBorder="1" applyAlignment="1">
      <alignment/>
    </xf>
    <xf numFmtId="167" fontId="22" fillId="0" borderId="10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1" xfId="0" applyNumberFormat="1" applyFont="1" applyFill="1" applyBorder="1" applyAlignment="1">
      <alignment horizontal="center"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197" fontId="0" fillId="0" borderId="111" xfId="60" applyNumberFormat="1" applyFont="1" applyBorder="1" applyAlignment="1">
      <alignment/>
    </xf>
    <xf numFmtId="167" fontId="0" fillId="0" borderId="111" xfId="0" applyNumberFormat="1" applyFont="1" applyBorder="1" applyAlignment="1">
      <alignment/>
    </xf>
    <xf numFmtId="186" fontId="0" fillId="0" borderId="111" xfId="0" applyNumberFormat="1" applyFont="1" applyBorder="1" applyAlignment="1">
      <alignment/>
    </xf>
    <xf numFmtId="10" fontId="0" fillId="0" borderId="111" xfId="60" applyNumberFormat="1" applyFont="1" applyBorder="1" applyAlignment="1">
      <alignment/>
    </xf>
    <xf numFmtId="167" fontId="22" fillId="33" borderId="111" xfId="0" applyNumberFormat="1" applyFont="1" applyFill="1" applyBorder="1" applyAlignment="1">
      <alignment/>
    </xf>
    <xf numFmtId="6" fontId="0" fillId="0" borderId="111" xfId="0" applyNumberFormat="1" applyFont="1" applyBorder="1" applyAlignment="1">
      <alignment/>
    </xf>
    <xf numFmtId="167" fontId="22" fillId="0" borderId="11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107" xfId="0" applyNumberFormat="1" applyFont="1" applyBorder="1" applyAlignment="1">
      <alignment/>
    </xf>
    <xf numFmtId="167" fontId="41" fillId="0" borderId="111" xfId="0" applyNumberFormat="1" applyFont="1" applyBorder="1" applyAlignment="1">
      <alignment/>
    </xf>
    <xf numFmtId="3" fontId="24" fillId="0" borderId="103" xfId="0" applyNumberFormat="1" applyFont="1" applyBorder="1" applyAlignment="1">
      <alignment/>
    </xf>
    <xf numFmtId="3" fontId="42" fillId="0" borderId="103" xfId="0" applyNumberFormat="1" applyFont="1" applyBorder="1" applyAlignment="1">
      <alignment/>
    </xf>
    <xf numFmtId="3" fontId="0" fillId="0" borderId="103" xfId="0" applyNumberFormat="1" applyFont="1" applyFill="1" applyBorder="1" applyAlignment="1">
      <alignment horizontal="left"/>
    </xf>
    <xf numFmtId="3" fontId="0" fillId="0" borderId="103" xfId="0" applyNumberFormat="1" applyFont="1" applyBorder="1" applyAlignment="1">
      <alignment horizontal="right"/>
    </xf>
    <xf numFmtId="0" fontId="0" fillId="0" borderId="103" xfId="0" applyFont="1" applyFill="1" applyBorder="1" applyAlignment="1">
      <alignment horizontal="center"/>
    </xf>
    <xf numFmtId="3" fontId="0" fillId="0" borderId="103" xfId="0" applyNumberFormat="1" applyFont="1" applyFill="1" applyBorder="1" applyAlignment="1" quotePrefix="1">
      <alignment horizontal="left"/>
    </xf>
    <xf numFmtId="0" fontId="0" fillId="0" borderId="114" xfId="0" applyFont="1" applyFill="1" applyBorder="1" applyAlignment="1">
      <alignment horizontal="center"/>
    </xf>
    <xf numFmtId="0" fontId="21" fillId="0" borderId="114" xfId="0" applyFont="1" applyFill="1" applyBorder="1" applyAlignment="1">
      <alignment/>
    </xf>
    <xf numFmtId="3" fontId="21" fillId="0" borderId="114" xfId="0" applyNumberFormat="1" applyFont="1" applyFill="1" applyBorder="1" applyAlignment="1">
      <alignment/>
    </xf>
    <xf numFmtId="185" fontId="0" fillId="0" borderId="103" xfId="0" applyNumberFormat="1" applyFont="1" applyBorder="1" applyAlignment="1">
      <alignment/>
    </xf>
    <xf numFmtId="6" fontId="21" fillId="0" borderId="114" xfId="0" applyNumberFormat="1" applyFont="1" applyBorder="1" applyAlignment="1">
      <alignment/>
    </xf>
    <xf numFmtId="6" fontId="21" fillId="0" borderId="114" xfId="0" applyNumberFormat="1" applyFont="1" applyFill="1" applyBorder="1" applyAlignment="1">
      <alignment/>
    </xf>
    <xf numFmtId="171" fontId="21" fillId="0" borderId="114" xfId="0" applyNumberFormat="1" applyFont="1" applyBorder="1" applyAlignment="1">
      <alignment/>
    </xf>
    <xf numFmtId="10" fontId="21" fillId="0" borderId="114" xfId="0" applyNumberFormat="1" applyFont="1" applyBorder="1" applyAlignment="1">
      <alignment/>
    </xf>
    <xf numFmtId="6" fontId="21" fillId="33" borderId="114" xfId="0" applyNumberFormat="1" applyFont="1" applyFill="1" applyBorder="1" applyAlignment="1">
      <alignment/>
    </xf>
    <xf numFmtId="3" fontId="21" fillId="0" borderId="114" xfId="0" applyNumberFormat="1" applyFont="1" applyBorder="1" applyAlignment="1">
      <alignment/>
    </xf>
    <xf numFmtId="10" fontId="21" fillId="0" borderId="114" xfId="6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71" fontId="0" fillId="0" borderId="0" xfId="0" applyNumberFormat="1" applyFont="1" applyAlignment="1">
      <alignment/>
    </xf>
    <xf numFmtId="0" fontId="35" fillId="0" borderId="0" xfId="0" applyFont="1" applyAlignment="1">
      <alignment/>
    </xf>
    <xf numFmtId="10" fontId="0" fillId="0" borderId="0" xfId="0" applyNumberFormat="1" applyFont="1" applyAlignment="1">
      <alignment/>
    </xf>
    <xf numFmtId="7" fontId="35" fillId="0" borderId="0" xfId="44" applyNumberFormat="1" applyFont="1" applyFill="1" applyAlignment="1">
      <alignment horizontal="center"/>
    </xf>
    <xf numFmtId="7" fontId="35" fillId="0" borderId="0" xfId="44" applyNumberFormat="1" applyFont="1" applyFill="1" applyAlignment="1">
      <alignment/>
    </xf>
    <xf numFmtId="3" fontId="0" fillId="0" borderId="1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7" fontId="37" fillId="0" borderId="0" xfId="44" applyNumberFormat="1" applyFont="1" applyFill="1" applyAlignment="1" quotePrefix="1">
      <alignment horizontal="center"/>
    </xf>
    <xf numFmtId="7" fontId="35" fillId="0" borderId="0" xfId="44" applyNumberFormat="1" applyFont="1" applyFill="1" applyBorder="1" applyAlignment="1">
      <alignment/>
    </xf>
    <xf numFmtId="7" fontId="35" fillId="0" borderId="0" xfId="44" applyNumberFormat="1" applyFont="1" applyAlignment="1">
      <alignment/>
    </xf>
    <xf numFmtId="10" fontId="35" fillId="0" borderId="0" xfId="60" applyNumberFormat="1" applyFont="1" applyAlignment="1">
      <alignment/>
    </xf>
    <xf numFmtId="10" fontId="0" fillId="0" borderId="0" xfId="6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60" applyNumberFormat="1" applyFont="1" applyFill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22" fillId="0" borderId="113" xfId="0" applyFont="1" applyFill="1" applyBorder="1" applyAlignment="1" applyProtection="1">
      <alignment horizontal="center" wrapText="1"/>
      <protection/>
    </xf>
    <xf numFmtId="0" fontId="43" fillId="0" borderId="107" xfId="0" applyFont="1" applyBorder="1" applyAlignment="1" quotePrefix="1">
      <alignment horizontal="center" vertical="center" wrapText="1"/>
    </xf>
    <xf numFmtId="0" fontId="19" fillId="0" borderId="0" xfId="0" applyFont="1" applyAlignment="1">
      <alignment horizontal="center"/>
    </xf>
    <xf numFmtId="0" fontId="43" fillId="0" borderId="107" xfId="0" applyFont="1" applyFill="1" applyBorder="1" applyAlignment="1" quotePrefix="1">
      <alignment horizontal="center" vertical="center" wrapText="1"/>
    </xf>
    <xf numFmtId="0" fontId="19" fillId="0" borderId="103" xfId="0" applyFont="1" applyBorder="1" applyAlignment="1">
      <alignment horizontal="center" wrapText="1"/>
    </xf>
    <xf numFmtId="0" fontId="44" fillId="0" borderId="116" xfId="0" applyFont="1" applyBorder="1" applyAlignment="1" quotePrefix="1">
      <alignment horizontal="center" vertical="center" wrapText="1"/>
    </xf>
    <xf numFmtId="0" fontId="43" fillId="0" borderId="0" xfId="0" applyFont="1" applyBorder="1" applyAlignment="1" quotePrefix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Alignment="1">
      <alignment/>
    </xf>
    <xf numFmtId="49" fontId="0" fillId="34" borderId="116" xfId="0" applyNumberFormat="1" applyFont="1" applyFill="1" applyBorder="1" applyAlignment="1" applyProtection="1">
      <alignment/>
      <protection/>
    </xf>
    <xf numFmtId="49" fontId="21" fillId="41" borderId="117" xfId="0" applyNumberFormat="1" applyFont="1" applyFill="1" applyBorder="1" applyAlignment="1" applyProtection="1">
      <alignment horizontal="center" wrapText="1"/>
      <protection/>
    </xf>
    <xf numFmtId="49" fontId="9" fillId="34" borderId="73" xfId="0" applyNumberFormat="1" applyFont="1" applyFill="1" applyBorder="1" applyAlignment="1">
      <alignment horizontal="center"/>
    </xf>
    <xf numFmtId="49" fontId="21" fillId="34" borderId="118" xfId="0" applyNumberFormat="1" applyFont="1" applyFill="1" applyBorder="1" applyAlignment="1" quotePrefix="1">
      <alignment horizontal="center" vertical="center" wrapText="1"/>
    </xf>
    <xf numFmtId="49" fontId="21" fillId="34" borderId="103" xfId="0" applyNumberFormat="1" applyFont="1" applyFill="1" applyBorder="1" applyAlignment="1">
      <alignment horizontal="center" vertical="center" wrapText="1"/>
    </xf>
    <xf numFmtId="49" fontId="21" fillId="34" borderId="103" xfId="0" applyNumberFormat="1" applyFont="1" applyFill="1" applyBorder="1" applyAlignment="1" quotePrefix="1">
      <alignment horizontal="center" vertical="center" wrapText="1"/>
    </xf>
    <xf numFmtId="49" fontId="21" fillId="34" borderId="119" xfId="0" applyNumberFormat="1" applyFont="1" applyFill="1" applyBorder="1" applyAlignment="1">
      <alignment horizontal="center" vertical="center" wrapText="1"/>
    </xf>
    <xf numFmtId="49" fontId="21" fillId="34" borderId="73" xfId="0" applyNumberFormat="1" applyFont="1" applyFill="1" applyBorder="1" applyAlignment="1" quotePrefix="1">
      <alignment horizontal="center" vertical="center" wrapText="1"/>
    </xf>
    <xf numFmtId="49" fontId="21" fillId="34" borderId="115" xfId="0" applyNumberFormat="1" applyFont="1" applyFill="1" applyBorder="1" applyAlignment="1" quotePrefix="1">
      <alignment horizontal="center" vertical="center" wrapText="1"/>
    </xf>
    <xf numFmtId="49" fontId="21" fillId="34" borderId="73" xfId="0" applyNumberFormat="1" applyFont="1" applyFill="1" applyBorder="1" applyAlignment="1">
      <alignment horizontal="center" vertical="center" wrapText="1"/>
    </xf>
    <xf numFmtId="49" fontId="21" fillId="34" borderId="120" xfId="0" applyNumberFormat="1" applyFont="1" applyFill="1" applyBorder="1" applyAlignment="1" quotePrefix="1">
      <alignment horizontal="center" vertical="center" wrapText="1"/>
    </xf>
    <xf numFmtId="49" fontId="0" fillId="34" borderId="121" xfId="0" applyNumberFormat="1" applyFont="1" applyFill="1" applyBorder="1" applyAlignment="1" applyProtection="1">
      <alignment/>
      <protection/>
    </xf>
    <xf numFmtId="49" fontId="9" fillId="34" borderId="122" xfId="0" applyNumberFormat="1" applyFont="1" applyFill="1" applyBorder="1" applyAlignment="1">
      <alignment horizontal="center" wrapText="1"/>
    </xf>
    <xf numFmtId="49" fontId="9" fillId="34" borderId="111" xfId="0" applyNumberFormat="1" applyFont="1" applyFill="1" applyBorder="1" applyAlignment="1">
      <alignment horizontal="center"/>
    </xf>
    <xf numFmtId="49" fontId="0" fillId="34" borderId="111" xfId="0" applyNumberFormat="1" applyFill="1" applyBorder="1" applyAlignment="1">
      <alignment horizontal="center" vertical="center"/>
    </xf>
    <xf numFmtId="49" fontId="21" fillId="34" borderId="122" xfId="0" applyNumberFormat="1" applyFont="1" applyFill="1" applyBorder="1" applyAlignment="1">
      <alignment horizontal="center" vertical="center" wrapText="1"/>
    </xf>
    <xf numFmtId="49" fontId="21" fillId="34" borderId="111" xfId="0" applyNumberFormat="1" applyFont="1" applyFill="1" applyBorder="1" applyAlignment="1">
      <alignment horizontal="center" vertical="center" wrapText="1"/>
    </xf>
    <xf numFmtId="49" fontId="22" fillId="34" borderId="123" xfId="0" applyNumberFormat="1" applyFont="1" applyFill="1" applyBorder="1" applyAlignment="1">
      <alignment horizontal="center" vertical="center" wrapText="1"/>
    </xf>
    <xf numFmtId="49" fontId="21" fillId="34" borderId="111" xfId="0" applyNumberFormat="1" applyFont="1" applyFill="1" applyBorder="1" applyAlignment="1" quotePrefix="1">
      <alignment horizontal="center" vertical="center" wrapText="1"/>
    </xf>
    <xf numFmtId="49" fontId="21" fillId="34" borderId="121" xfId="0" applyNumberFormat="1" applyFont="1" applyFill="1" applyBorder="1" applyAlignment="1" quotePrefix="1">
      <alignment horizontal="center" vertical="center" wrapText="1"/>
    </xf>
    <xf numFmtId="167" fontId="21" fillId="34" borderId="111" xfId="0" applyNumberFormat="1" applyFont="1" applyFill="1" applyBorder="1" applyAlignment="1" quotePrefix="1">
      <alignment horizontal="center" vertical="center" wrapText="1"/>
    </xf>
    <xf numFmtId="49" fontId="21" fillId="34" borderId="124" xfId="0" applyNumberFormat="1" applyFont="1" applyFill="1" applyBorder="1" applyAlignment="1" quotePrefix="1">
      <alignment horizontal="center" vertical="center" wrapText="1"/>
    </xf>
    <xf numFmtId="0" fontId="0" fillId="35" borderId="96" xfId="0" applyFont="1" applyFill="1" applyBorder="1" applyAlignment="1" applyProtection="1">
      <alignment/>
      <protection/>
    </xf>
    <xf numFmtId="0" fontId="22" fillId="35" borderId="125" xfId="0" applyFont="1" applyFill="1" applyBorder="1" applyAlignment="1" applyProtection="1">
      <alignment/>
      <protection/>
    </xf>
    <xf numFmtId="0" fontId="18" fillId="35" borderId="126" xfId="0" applyFont="1" applyFill="1" applyBorder="1" applyAlignment="1" applyProtection="1">
      <alignment horizontal="center"/>
      <protection/>
    </xf>
    <xf numFmtId="0" fontId="18" fillId="35" borderId="127" xfId="0" applyFont="1" applyFill="1" applyBorder="1" applyAlignment="1" applyProtection="1">
      <alignment horizontal="center"/>
      <protection/>
    </xf>
    <xf numFmtId="0" fontId="18" fillId="35" borderId="128" xfId="0" applyFont="1" applyFill="1" applyBorder="1" applyAlignment="1" applyProtection="1">
      <alignment horizontal="center"/>
      <protection/>
    </xf>
    <xf numFmtId="0" fontId="18" fillId="35" borderId="129" xfId="0" applyFont="1" applyFill="1" applyBorder="1" applyAlignment="1" applyProtection="1">
      <alignment horizontal="center"/>
      <protection/>
    </xf>
    <xf numFmtId="0" fontId="18" fillId="35" borderId="130" xfId="0" applyFont="1" applyFill="1" applyBorder="1" applyAlignment="1" applyProtection="1">
      <alignment horizontal="center"/>
      <protection/>
    </xf>
    <xf numFmtId="0" fontId="0" fillId="0" borderId="131" xfId="0" applyFont="1" applyFill="1" applyBorder="1" applyAlignment="1" applyProtection="1">
      <alignment/>
      <protection/>
    </xf>
    <xf numFmtId="5" fontId="22" fillId="0" borderId="132" xfId="0" applyNumberFormat="1" applyFont="1" applyFill="1" applyBorder="1" applyAlignment="1" applyProtection="1">
      <alignment/>
      <protection/>
    </xf>
    <xf numFmtId="166" fontId="22" fillId="0" borderId="99" xfId="42" applyNumberFormat="1" applyFont="1" applyFill="1" applyBorder="1" applyAlignment="1" applyProtection="1">
      <alignment/>
      <protection/>
    </xf>
    <xf numFmtId="5" fontId="22" fillId="35" borderId="99" xfId="0" applyNumberFormat="1" applyFont="1" applyFill="1" applyBorder="1" applyAlignment="1" applyProtection="1">
      <alignment/>
      <protection/>
    </xf>
    <xf numFmtId="5" fontId="22" fillId="0" borderId="131" xfId="0" applyNumberFormat="1" applyFont="1" applyFill="1" applyBorder="1" applyAlignment="1" applyProtection="1">
      <alignment/>
      <protection/>
    </xf>
    <xf numFmtId="5" fontId="0" fillId="0" borderId="132" xfId="0" applyNumberFormat="1" applyFont="1" applyFill="1" applyBorder="1" applyAlignment="1" applyProtection="1">
      <alignment/>
      <protection/>
    </xf>
    <xf numFmtId="166" fontId="0" fillId="0" borderId="131" xfId="42" applyNumberFormat="1" applyFont="1" applyFill="1" applyBorder="1" applyAlignment="1" applyProtection="1">
      <alignment/>
      <protection/>
    </xf>
    <xf numFmtId="166" fontId="0" fillId="0" borderId="133" xfId="42" applyNumberFormat="1" applyFont="1" applyFill="1" applyBorder="1" applyAlignment="1" applyProtection="1">
      <alignment/>
      <protection/>
    </xf>
    <xf numFmtId="5" fontId="0" fillId="0" borderId="134" xfId="0" applyNumberFormat="1" applyFont="1" applyFill="1" applyBorder="1" applyAlignment="1" applyProtection="1">
      <alignment/>
      <protection/>
    </xf>
    <xf numFmtId="6" fontId="0" fillId="0" borderId="0" xfId="42" applyNumberFormat="1" applyFont="1" applyFill="1" applyBorder="1" applyAlignment="1" applyProtection="1">
      <alignment/>
      <protection/>
    </xf>
    <xf numFmtId="6" fontId="0" fillId="0" borderId="133" xfId="42" applyNumberFormat="1" applyFont="1" applyFill="1" applyBorder="1" applyAlignment="1" applyProtection="1">
      <alignment/>
      <protection/>
    </xf>
    <xf numFmtId="166" fontId="0" fillId="0" borderId="134" xfId="42" applyNumberFormat="1" applyFont="1" applyFill="1" applyBorder="1" applyAlignment="1" applyProtection="1">
      <alignment/>
      <protection/>
    </xf>
    <xf numFmtId="166" fontId="0" fillId="0" borderId="135" xfId="42" applyNumberFormat="1" applyFont="1" applyFill="1" applyBorder="1" applyAlignment="1" applyProtection="1">
      <alignment/>
      <protection/>
    </xf>
    <xf numFmtId="166" fontId="0" fillId="0" borderId="136" xfId="42" applyNumberFormat="1" applyFont="1" applyFill="1" applyBorder="1" applyAlignment="1" applyProtection="1">
      <alignment/>
      <protection/>
    </xf>
    <xf numFmtId="166" fontId="0" fillId="0" borderId="137" xfId="42" applyNumberFormat="1" applyFont="1" applyFill="1" applyBorder="1" applyAlignment="1" applyProtection="1">
      <alignment/>
      <protection/>
    </xf>
    <xf numFmtId="166" fontId="0" fillId="0" borderId="138" xfId="42" applyNumberFormat="1" applyFont="1" applyFill="1" applyBorder="1" applyAlignment="1" applyProtection="1">
      <alignment/>
      <protection/>
    </xf>
    <xf numFmtId="167" fontId="0" fillId="0" borderId="135" xfId="42" applyNumberFormat="1" applyFont="1" applyFill="1" applyBorder="1" applyAlignment="1" applyProtection="1">
      <alignment/>
      <protection/>
    </xf>
    <xf numFmtId="166" fontId="0" fillId="0" borderId="118" xfId="42" applyNumberFormat="1" applyFont="1" applyFill="1" applyBorder="1" applyAlignment="1" applyProtection="1">
      <alignment/>
      <protection/>
    </xf>
    <xf numFmtId="166" fontId="0" fillId="0" borderId="103" xfId="42" applyNumberFormat="1" applyFont="1" applyFill="1" applyBorder="1" applyAlignment="1" applyProtection="1">
      <alignment/>
      <protection/>
    </xf>
    <xf numFmtId="166" fontId="0" fillId="0" borderId="113" xfId="42" applyNumberFormat="1" applyFont="1" applyFill="1" applyBorder="1" applyAlignment="1" applyProtection="1">
      <alignment/>
      <protection/>
    </xf>
    <xf numFmtId="0" fontId="0" fillId="0" borderId="139" xfId="0" applyFont="1" applyFill="1" applyBorder="1" applyAlignment="1" applyProtection="1">
      <alignment/>
      <protection/>
    </xf>
    <xf numFmtId="5" fontId="22" fillId="0" borderId="140" xfId="0" applyNumberFormat="1" applyFont="1" applyFill="1" applyBorder="1" applyAlignment="1" applyProtection="1">
      <alignment/>
      <protection/>
    </xf>
    <xf numFmtId="166" fontId="22" fillId="0" borderId="102" xfId="42" applyNumberFormat="1" applyFont="1" applyFill="1" applyBorder="1" applyAlignment="1" applyProtection="1">
      <alignment/>
      <protection/>
    </xf>
    <xf numFmtId="5" fontId="22" fillId="35" borderId="101" xfId="0" applyNumberFormat="1" applyFont="1" applyFill="1" applyBorder="1" applyAlignment="1" applyProtection="1">
      <alignment/>
      <protection/>
    </xf>
    <xf numFmtId="5" fontId="22" fillId="35" borderId="102" xfId="0" applyNumberFormat="1" applyFont="1" applyFill="1" applyBorder="1" applyAlignment="1" applyProtection="1">
      <alignment/>
      <protection/>
    </xf>
    <xf numFmtId="5" fontId="22" fillId="0" borderId="139" xfId="0" applyNumberFormat="1" applyFont="1" applyFill="1" applyBorder="1" applyAlignment="1" applyProtection="1">
      <alignment/>
      <protection/>
    </xf>
    <xf numFmtId="5" fontId="0" fillId="0" borderId="140" xfId="0" applyNumberFormat="1" applyFont="1" applyFill="1" applyBorder="1" applyAlignment="1" applyProtection="1">
      <alignment/>
      <protection/>
    </xf>
    <xf numFmtId="166" fontId="0" fillId="0" borderId="139" xfId="42" applyNumberFormat="1" applyFont="1" applyFill="1" applyBorder="1" applyAlignment="1" applyProtection="1">
      <alignment/>
      <protection/>
    </xf>
    <xf numFmtId="5" fontId="0" fillId="0" borderId="141" xfId="0" applyNumberFormat="1" applyFont="1" applyFill="1" applyBorder="1" applyAlignment="1" applyProtection="1">
      <alignment/>
      <protection/>
    </xf>
    <xf numFmtId="166" fontId="0" fillId="0" borderId="142" xfId="42" applyNumberFormat="1" applyFont="1" applyFill="1" applyBorder="1" applyAlignment="1" applyProtection="1">
      <alignment/>
      <protection/>
    </xf>
    <xf numFmtId="5" fontId="0" fillId="0" borderId="143" xfId="0" applyNumberFormat="1" applyFont="1" applyFill="1" applyBorder="1" applyAlignment="1" applyProtection="1">
      <alignment/>
      <protection/>
    </xf>
    <xf numFmtId="6" fontId="0" fillId="0" borderId="144" xfId="42" applyNumberFormat="1" applyFont="1" applyFill="1" applyBorder="1" applyAlignment="1" applyProtection="1">
      <alignment/>
      <protection/>
    </xf>
    <xf numFmtId="6" fontId="0" fillId="0" borderId="142" xfId="42" applyNumberFormat="1" applyFont="1" applyFill="1" applyBorder="1" applyAlignment="1" applyProtection="1">
      <alignment/>
      <protection/>
    </xf>
    <xf numFmtId="166" fontId="0" fillId="0" borderId="143" xfId="42" applyNumberFormat="1" applyFont="1" applyFill="1" applyBorder="1" applyAlignment="1" applyProtection="1">
      <alignment/>
      <protection/>
    </xf>
    <xf numFmtId="166" fontId="0" fillId="0" borderId="145" xfId="42" applyNumberFormat="1" applyFont="1" applyFill="1" applyBorder="1" applyAlignment="1" applyProtection="1">
      <alignment/>
      <protection/>
    </xf>
    <xf numFmtId="166" fontId="0" fillId="0" borderId="146" xfId="42" applyNumberFormat="1" applyFont="1" applyFill="1" applyBorder="1" applyAlignment="1" applyProtection="1">
      <alignment/>
      <protection/>
    </xf>
    <xf numFmtId="166" fontId="0" fillId="0" borderId="147" xfId="42" applyNumberFormat="1" applyFont="1" applyFill="1" applyBorder="1" applyAlignment="1" applyProtection="1">
      <alignment/>
      <protection/>
    </xf>
    <xf numFmtId="166" fontId="0" fillId="0" borderId="148" xfId="42" applyNumberFormat="1" applyFont="1" applyFill="1" applyBorder="1" applyAlignment="1" applyProtection="1">
      <alignment/>
      <protection/>
    </xf>
    <xf numFmtId="167" fontId="0" fillId="0" borderId="145" xfId="42" applyNumberFormat="1" applyFont="1" applyFill="1" applyBorder="1" applyAlignment="1" applyProtection="1">
      <alignment/>
      <protection/>
    </xf>
    <xf numFmtId="6" fontId="0" fillId="42" borderId="0" xfId="42" applyNumberFormat="1" applyFont="1" applyFill="1" applyBorder="1" applyAlignment="1" applyProtection="1">
      <alignment/>
      <protection/>
    </xf>
    <xf numFmtId="5" fontId="22" fillId="35" borderId="99" xfId="0" applyNumberFormat="1" applyFont="1" applyFill="1" applyBorder="1" applyAlignment="1" applyProtection="1">
      <alignment horizontal="right"/>
      <protection/>
    </xf>
    <xf numFmtId="166" fontId="22" fillId="0" borderId="101" xfId="42" applyNumberFormat="1" applyFont="1" applyFill="1" applyBorder="1" applyAlignment="1" applyProtection="1">
      <alignment/>
      <protection/>
    </xf>
    <xf numFmtId="0" fontId="0" fillId="0" borderId="100" xfId="0" applyFont="1" applyFill="1" applyBorder="1" applyAlignment="1" applyProtection="1">
      <alignment/>
      <protection/>
    </xf>
    <xf numFmtId="0" fontId="0" fillId="0" borderId="149" xfId="0" applyFont="1" applyFill="1" applyBorder="1" applyAlignment="1" applyProtection="1">
      <alignment/>
      <protection/>
    </xf>
    <xf numFmtId="5" fontId="22" fillId="0" borderId="150" xfId="0" applyNumberFormat="1" applyFont="1" applyFill="1" applyBorder="1" applyAlignment="1" applyProtection="1">
      <alignment/>
      <protection/>
    </xf>
    <xf numFmtId="166" fontId="22" fillId="0" borderId="100" xfId="42" applyNumberFormat="1" applyFont="1" applyFill="1" applyBorder="1" applyAlignment="1" applyProtection="1">
      <alignment/>
      <protection/>
    </xf>
    <xf numFmtId="5" fontId="22" fillId="35" borderId="100" xfId="0" applyNumberFormat="1" applyFont="1" applyFill="1" applyBorder="1" applyAlignment="1" applyProtection="1">
      <alignment/>
      <protection/>
    </xf>
    <xf numFmtId="5" fontId="22" fillId="0" borderId="149" xfId="0" applyNumberFormat="1" applyFont="1" applyFill="1" applyBorder="1" applyAlignment="1" applyProtection="1">
      <alignment/>
      <protection/>
    </xf>
    <xf numFmtId="5" fontId="0" fillId="0" borderId="150" xfId="0" applyNumberFormat="1" applyFont="1" applyFill="1" applyBorder="1" applyAlignment="1" applyProtection="1">
      <alignment/>
      <protection/>
    </xf>
    <xf numFmtId="6" fontId="0" fillId="0" borderId="100" xfId="0" applyNumberFormat="1" applyFont="1" applyFill="1" applyBorder="1" applyAlignment="1" applyProtection="1">
      <alignment/>
      <protection/>
    </xf>
    <xf numFmtId="166" fontId="0" fillId="0" borderId="149" xfId="42" applyNumberFormat="1" applyFont="1" applyFill="1" applyBorder="1" applyAlignment="1" applyProtection="1">
      <alignment/>
      <protection/>
    </xf>
    <xf numFmtId="5" fontId="0" fillId="0" borderId="100" xfId="0" applyNumberFormat="1" applyFont="1" applyFill="1" applyBorder="1" applyAlignment="1" applyProtection="1">
      <alignment/>
      <protection/>
    </xf>
    <xf numFmtId="166" fontId="0" fillId="0" borderId="151" xfId="42" applyNumberFormat="1" applyFont="1" applyFill="1" applyBorder="1" applyAlignment="1" applyProtection="1">
      <alignment/>
      <protection/>
    </xf>
    <xf numFmtId="5" fontId="0" fillId="0" borderId="152" xfId="0" applyNumberFormat="1" applyFont="1" applyFill="1" applyBorder="1" applyAlignment="1" applyProtection="1">
      <alignment/>
      <protection/>
    </xf>
    <xf numFmtId="6" fontId="0" fillId="0" borderId="153" xfId="42" applyNumberFormat="1" applyFont="1" applyFill="1" applyBorder="1" applyAlignment="1" applyProtection="1">
      <alignment/>
      <protection/>
    </xf>
    <xf numFmtId="6" fontId="0" fillId="0" borderId="151" xfId="42" applyNumberFormat="1" applyFont="1" applyFill="1" applyBorder="1" applyAlignment="1" applyProtection="1">
      <alignment/>
      <protection/>
    </xf>
    <xf numFmtId="166" fontId="0" fillId="0" borderId="152" xfId="42" applyNumberFormat="1" applyFont="1" applyFill="1" applyBorder="1" applyAlignment="1" applyProtection="1">
      <alignment/>
      <protection/>
    </xf>
    <xf numFmtId="166" fontId="0" fillId="0" borderId="154" xfId="42" applyNumberFormat="1" applyFont="1" applyFill="1" applyBorder="1" applyAlignment="1" applyProtection="1">
      <alignment/>
      <protection/>
    </xf>
    <xf numFmtId="0" fontId="0" fillId="0" borderId="147" xfId="0" applyFont="1" applyFill="1" applyBorder="1" applyAlignment="1">
      <alignment horizontal="center"/>
    </xf>
    <xf numFmtId="3" fontId="0" fillId="0" borderId="147" xfId="0" applyNumberFormat="1" applyFont="1" applyFill="1" applyBorder="1" applyAlignment="1">
      <alignment horizontal="left"/>
    </xf>
    <xf numFmtId="0" fontId="22" fillId="0" borderId="105" xfId="0" applyFont="1" applyFill="1" applyBorder="1" applyAlignment="1" applyProtection="1">
      <alignment/>
      <protection/>
    </xf>
    <xf numFmtId="0" fontId="21" fillId="0" borderId="155" xfId="0" applyFont="1" applyFill="1" applyBorder="1" applyAlignment="1" applyProtection="1">
      <alignment horizontal="center"/>
      <protection/>
    </xf>
    <xf numFmtId="5" fontId="21" fillId="0" borderId="156" xfId="0" applyNumberFormat="1" applyFont="1" applyFill="1" applyBorder="1" applyAlignment="1" applyProtection="1">
      <alignment/>
      <protection/>
    </xf>
    <xf numFmtId="5" fontId="21" fillId="0" borderId="157" xfId="0" applyNumberFormat="1" applyFont="1" applyFill="1" applyBorder="1" applyAlignment="1" applyProtection="1">
      <alignment/>
      <protection/>
    </xf>
    <xf numFmtId="166" fontId="22" fillId="0" borderId="157" xfId="42" applyNumberFormat="1" applyFont="1" applyFill="1" applyBorder="1" applyAlignment="1" applyProtection="1">
      <alignment/>
      <protection/>
    </xf>
    <xf numFmtId="5" fontId="22" fillId="35" borderId="157" xfId="0" applyNumberFormat="1" applyFont="1" applyFill="1" applyBorder="1" applyAlignment="1" applyProtection="1">
      <alignment/>
      <protection/>
    </xf>
    <xf numFmtId="5" fontId="21" fillId="0" borderId="158" xfId="0" applyNumberFormat="1" applyFont="1" applyFill="1" applyBorder="1" applyAlignment="1" applyProtection="1">
      <alignment/>
      <protection/>
    </xf>
    <xf numFmtId="5" fontId="21" fillId="0" borderId="159" xfId="0" applyNumberFormat="1" applyFont="1" applyFill="1" applyBorder="1" applyAlignment="1" applyProtection="1">
      <alignment/>
      <protection/>
    </xf>
    <xf numFmtId="6" fontId="21" fillId="0" borderId="157" xfId="0" applyNumberFormat="1" applyFont="1" applyFill="1" applyBorder="1" applyAlignment="1" applyProtection="1">
      <alignment/>
      <protection/>
    </xf>
    <xf numFmtId="166" fontId="21" fillId="0" borderId="159" xfId="42" applyNumberFormat="1" applyFont="1" applyFill="1" applyBorder="1" applyAlignment="1" applyProtection="1">
      <alignment/>
      <protection/>
    </xf>
    <xf numFmtId="166" fontId="21" fillId="0" borderId="157" xfId="42" applyNumberFormat="1" applyFont="1" applyFill="1" applyBorder="1" applyAlignment="1" applyProtection="1">
      <alignment/>
      <protection/>
    </xf>
    <xf numFmtId="5" fontId="21" fillId="0" borderId="160" xfId="0" applyNumberFormat="1" applyFont="1" applyFill="1" applyBorder="1" applyAlignment="1" applyProtection="1">
      <alignment/>
      <protection/>
    </xf>
    <xf numFmtId="6" fontId="21" fillId="0" borderId="43" xfId="42" applyNumberFormat="1" applyFont="1" applyFill="1" applyBorder="1" applyAlignment="1" applyProtection="1">
      <alignment/>
      <protection/>
    </xf>
    <xf numFmtId="166" fontId="21" fillId="0" borderId="160" xfId="42" applyNumberFormat="1" applyFont="1" applyFill="1" applyBorder="1" applyAlignment="1" applyProtection="1">
      <alignment/>
      <protection/>
    </xf>
    <xf numFmtId="5" fontId="21" fillId="0" borderId="161" xfId="0" applyNumberFormat="1" applyFont="1" applyFill="1" applyBorder="1" applyAlignment="1" applyProtection="1">
      <alignment/>
      <protection/>
    </xf>
    <xf numFmtId="166" fontId="21" fillId="0" borderId="162" xfId="42" applyNumberFormat="1" applyFont="1" applyFill="1" applyBorder="1" applyAlignment="1" applyProtection="1">
      <alignment/>
      <protection/>
    </xf>
    <xf numFmtId="166" fontId="21" fillId="0" borderId="163" xfId="42" applyNumberFormat="1" applyFont="1" applyFill="1" applyBorder="1" applyAlignment="1" applyProtection="1">
      <alignment/>
      <protection/>
    </xf>
    <xf numFmtId="167" fontId="21" fillId="0" borderId="161" xfId="42" applyNumberFormat="1" applyFont="1" applyFill="1" applyBorder="1" applyAlignment="1" applyProtection="1">
      <alignment/>
      <protection/>
    </xf>
    <xf numFmtId="0" fontId="22" fillId="0" borderId="113" xfId="0" applyFont="1" applyBorder="1" applyAlignment="1" applyProtection="1">
      <alignment horizontal="center"/>
      <protection/>
    </xf>
    <xf numFmtId="0" fontId="43" fillId="0" borderId="164" xfId="0" applyFont="1" applyBorder="1" applyAlignment="1" quotePrefix="1">
      <alignment horizontal="center" vertical="center" wrapText="1"/>
    </xf>
    <xf numFmtId="0" fontId="43" fillId="0" borderId="108" xfId="0" applyFont="1" applyBorder="1" applyAlignment="1" quotePrefix="1">
      <alignment horizontal="center" vertical="center" wrapText="1"/>
    </xf>
    <xf numFmtId="0" fontId="25" fillId="0" borderId="107" xfId="0" applyFont="1" applyBorder="1" applyAlignment="1" quotePrefix="1">
      <alignment horizontal="center" vertical="center"/>
    </xf>
    <xf numFmtId="0" fontId="43" fillId="0" borderId="107" xfId="0" applyFont="1" applyBorder="1" applyAlignment="1">
      <alignment horizontal="center" vertical="center" wrapText="1"/>
    </xf>
    <xf numFmtId="0" fontId="43" fillId="0" borderId="86" xfId="0" applyFont="1" applyBorder="1" applyAlignment="1">
      <alignment horizontal="center" vertical="center" wrapText="1"/>
    </xf>
    <xf numFmtId="0" fontId="43" fillId="0" borderId="164" xfId="0" applyFont="1" applyBorder="1" applyAlignment="1">
      <alignment horizontal="center" vertical="center" wrapText="1"/>
    </xf>
    <xf numFmtId="0" fontId="43" fillId="0" borderId="86" xfId="0" applyFont="1" applyBorder="1" applyAlignment="1" quotePrefix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0" fontId="22" fillId="0" borderId="165" xfId="0" applyFont="1" applyBorder="1" applyAlignment="1" applyProtection="1">
      <alignment/>
      <protection/>
    </xf>
    <xf numFmtId="0" fontId="45" fillId="43" borderId="166" xfId="0" applyFont="1" applyFill="1" applyBorder="1" applyAlignment="1" applyProtection="1">
      <alignment horizontal="center" vertical="center" wrapText="1"/>
      <protection/>
    </xf>
    <xf numFmtId="0" fontId="0" fillId="34" borderId="107" xfId="0" applyFont="1" applyFill="1" applyBorder="1" applyAlignment="1" applyProtection="1">
      <alignment/>
      <protection/>
    </xf>
    <xf numFmtId="0" fontId="21" fillId="34" borderId="167" xfId="0" applyFont="1" applyFill="1" applyBorder="1" applyAlignment="1" applyProtection="1">
      <alignment horizontal="center"/>
      <protection/>
    </xf>
    <xf numFmtId="0" fontId="21" fillId="34" borderId="168" xfId="0" applyFont="1" applyFill="1" applyBorder="1" applyAlignment="1" quotePrefix="1">
      <alignment horizontal="center" vertical="center" wrapText="1"/>
    </xf>
    <xf numFmtId="0" fontId="24" fillId="34" borderId="107" xfId="0" applyFont="1" applyFill="1" applyBorder="1" applyAlignment="1">
      <alignment horizontal="center" vertical="center" wrapText="1"/>
    </xf>
    <xf numFmtId="0" fontId="21" fillId="34" borderId="167" xfId="0" applyFont="1" applyFill="1" applyBorder="1" applyAlignment="1" quotePrefix="1">
      <alignment horizontal="center" vertical="center" wrapText="1"/>
    </xf>
    <xf numFmtId="0" fontId="21" fillId="34" borderId="107" xfId="0" applyFont="1" applyFill="1" applyBorder="1" applyAlignment="1">
      <alignment horizontal="center" vertical="center" wrapText="1"/>
    </xf>
    <xf numFmtId="0" fontId="21" fillId="34" borderId="116" xfId="0" applyFont="1" applyFill="1" applyBorder="1" applyAlignment="1" quotePrefix="1">
      <alignment horizontal="center" vertical="center" wrapText="1"/>
    </xf>
    <xf numFmtId="0" fontId="21" fillId="34" borderId="107" xfId="0" applyFont="1" applyFill="1" applyBorder="1" applyAlignment="1" quotePrefix="1">
      <alignment horizontal="center" vertical="center" wrapText="1"/>
    </xf>
    <xf numFmtId="0" fontId="21" fillId="34" borderId="119" xfId="0" applyFont="1" applyFill="1" applyBorder="1" applyAlignment="1" quotePrefix="1">
      <alignment horizontal="center" vertical="center" wrapText="1"/>
    </xf>
    <xf numFmtId="0" fontId="21" fillId="34" borderId="112" xfId="0" applyFont="1" applyFill="1" applyBorder="1" applyAlignment="1" quotePrefix="1">
      <alignment horizontal="center" wrapText="1"/>
    </xf>
    <xf numFmtId="0" fontId="21" fillId="34" borderId="167" xfId="0" applyFont="1" applyFill="1" applyBorder="1" applyAlignment="1">
      <alignment horizontal="center" wrapText="1"/>
    </xf>
    <xf numFmtId="0" fontId="21" fillId="34" borderId="167" xfId="0" applyFont="1" applyFill="1" applyBorder="1" applyAlignment="1" quotePrefix="1">
      <alignment horizontal="center" wrapText="1"/>
    </xf>
    <xf numFmtId="0" fontId="21" fillId="34" borderId="103" xfId="0" applyFont="1" applyFill="1" applyBorder="1" applyAlignment="1">
      <alignment horizontal="center" wrapText="1"/>
    </xf>
    <xf numFmtId="0" fontId="21" fillId="33" borderId="169" xfId="0" applyFont="1" applyFill="1" applyBorder="1" applyAlignment="1">
      <alignment horizontal="center" vertical="center" wrapText="1"/>
    </xf>
    <xf numFmtId="0" fontId="0" fillId="34" borderId="103" xfId="0" applyFont="1" applyFill="1" applyBorder="1" applyAlignment="1" applyProtection="1">
      <alignment/>
      <protection/>
    </xf>
    <xf numFmtId="0" fontId="21" fillId="34" borderId="119" xfId="0" applyFont="1" applyFill="1" applyBorder="1" applyAlignment="1" applyProtection="1">
      <alignment horizontal="center"/>
      <protection/>
    </xf>
    <xf numFmtId="0" fontId="21" fillId="34" borderId="118" xfId="0" applyFont="1" applyFill="1" applyBorder="1" applyAlignment="1" quotePrefix="1">
      <alignment horizontal="center" vertical="center" wrapText="1"/>
    </xf>
    <xf numFmtId="0" fontId="24" fillId="34" borderId="103" xfId="0" applyFont="1" applyFill="1" applyBorder="1" applyAlignment="1">
      <alignment vertical="center" wrapText="1"/>
    </xf>
    <xf numFmtId="0" fontId="24" fillId="34" borderId="115" xfId="0" applyFont="1" applyFill="1" applyBorder="1" applyAlignment="1">
      <alignment horizontal="center" vertical="center" wrapText="1"/>
    </xf>
    <xf numFmtId="0" fontId="24" fillId="34" borderId="103" xfId="0" applyFont="1" applyFill="1" applyBorder="1" applyAlignment="1">
      <alignment horizontal="center" vertical="center" wrapText="1"/>
    </xf>
    <xf numFmtId="0" fontId="21" fillId="34" borderId="103" xfId="0" applyFont="1" applyFill="1" applyBorder="1" applyAlignment="1">
      <alignment horizontal="center" vertical="center" wrapText="1"/>
    </xf>
    <xf numFmtId="0" fontId="21" fillId="34" borderId="115" xfId="0" applyFont="1" applyFill="1" applyBorder="1" applyAlignment="1" quotePrefix="1">
      <alignment horizontal="center" vertical="center" wrapText="1"/>
    </xf>
    <xf numFmtId="0" fontId="21" fillId="34" borderId="103" xfId="0" applyFont="1" applyFill="1" applyBorder="1" applyAlignment="1" quotePrefix="1">
      <alignment horizontal="center" vertical="center" wrapText="1"/>
    </xf>
    <xf numFmtId="0" fontId="21" fillId="34" borderId="113" xfId="0" applyFont="1" applyFill="1" applyBorder="1" applyAlignment="1" quotePrefix="1">
      <alignment horizontal="center" wrapText="1"/>
    </xf>
    <xf numFmtId="0" fontId="21" fillId="34" borderId="119" xfId="0" applyFont="1" applyFill="1" applyBorder="1" applyAlignment="1">
      <alignment horizontal="center" wrapText="1"/>
    </xf>
    <xf numFmtId="0" fontId="21" fillId="34" borderId="119" xfId="0" applyFont="1" applyFill="1" applyBorder="1" applyAlignment="1" quotePrefix="1">
      <alignment horizontal="center" wrapText="1"/>
    </xf>
    <xf numFmtId="0" fontId="7" fillId="34" borderId="119" xfId="0" applyFont="1" applyFill="1" applyBorder="1" applyAlignment="1">
      <alignment horizontal="center" wrapText="1"/>
    </xf>
    <xf numFmtId="0" fontId="21" fillId="33" borderId="170" xfId="0" applyFont="1" applyFill="1" applyBorder="1" applyAlignment="1" quotePrefix="1">
      <alignment horizontal="center" vertical="center" wrapText="1"/>
    </xf>
    <xf numFmtId="0" fontId="21" fillId="34" borderId="0" xfId="0" applyFont="1" applyFill="1" applyBorder="1" applyAlignment="1" quotePrefix="1">
      <alignment horizontal="center" vertical="center" wrapText="1"/>
    </xf>
    <xf numFmtId="0" fontId="21" fillId="34" borderId="165" xfId="0" applyFont="1" applyFill="1" applyBorder="1" applyAlignment="1" quotePrefix="1">
      <alignment horizontal="center" wrapText="1"/>
    </xf>
    <xf numFmtId="0" fontId="7" fillId="34" borderId="123" xfId="0" applyFont="1" applyFill="1" applyBorder="1" applyAlignment="1">
      <alignment horizontal="center" wrapText="1"/>
    </xf>
    <xf numFmtId="0" fontId="0" fillId="34" borderId="111" xfId="0" applyFont="1" applyFill="1" applyBorder="1" applyAlignment="1" applyProtection="1">
      <alignment/>
      <protection/>
    </xf>
    <xf numFmtId="0" fontId="21" fillId="34" borderId="123" xfId="0" applyFont="1" applyFill="1" applyBorder="1" applyAlignment="1" applyProtection="1">
      <alignment/>
      <protection/>
    </xf>
    <xf numFmtId="0" fontId="22" fillId="34" borderId="122" xfId="0" applyFont="1" applyFill="1" applyBorder="1" applyAlignment="1">
      <alignment horizontal="center" vertical="center" wrapText="1"/>
    </xf>
    <xf numFmtId="0" fontId="0" fillId="34" borderId="111" xfId="0" applyFill="1" applyBorder="1" applyAlignment="1">
      <alignment vertical="center" wrapText="1"/>
    </xf>
    <xf numFmtId="0" fontId="0" fillId="34" borderId="121" xfId="0" applyFont="1" applyFill="1" applyBorder="1" applyAlignment="1" quotePrefix="1">
      <alignment horizontal="center"/>
    </xf>
    <xf numFmtId="167" fontId="18" fillId="34" borderId="123" xfId="0" applyNumberFormat="1" applyFont="1" applyFill="1" applyBorder="1" applyAlignment="1" applyProtection="1" quotePrefix="1">
      <alignment horizontal="center"/>
      <protection/>
    </xf>
    <xf numFmtId="167" fontId="18" fillId="34" borderId="122" xfId="0" applyNumberFormat="1" applyFont="1" applyFill="1" applyBorder="1" applyAlignment="1" applyProtection="1" quotePrefix="1">
      <alignment horizontal="center"/>
      <protection/>
    </xf>
    <xf numFmtId="167" fontId="18" fillId="34" borderId="111" xfId="0" applyNumberFormat="1" applyFont="1" applyFill="1" applyBorder="1" applyAlignment="1" applyProtection="1" quotePrefix="1">
      <alignment horizontal="center"/>
      <protection/>
    </xf>
    <xf numFmtId="167" fontId="18" fillId="34" borderId="121" xfId="0" applyNumberFormat="1" applyFont="1" applyFill="1" applyBorder="1" applyAlignment="1" applyProtection="1" quotePrefix="1">
      <alignment horizontal="center"/>
      <protection/>
    </xf>
    <xf numFmtId="6" fontId="21" fillId="34" borderId="86" xfId="0" applyNumberFormat="1" applyFont="1" applyFill="1" applyBorder="1" applyAlignment="1" quotePrefix="1">
      <alignment horizontal="center" vertical="center" wrapText="1"/>
    </xf>
    <xf numFmtId="167" fontId="18" fillId="34" borderId="63" xfId="0" applyNumberFormat="1" applyFont="1" applyFill="1" applyBorder="1" applyAlignment="1" applyProtection="1" quotePrefix="1">
      <alignment horizontal="center"/>
      <protection/>
    </xf>
    <xf numFmtId="6" fontId="21" fillId="34" borderId="171" xfId="0" applyNumberFormat="1" applyFont="1" applyFill="1" applyBorder="1" applyAlignment="1" quotePrefix="1">
      <alignment horizontal="center" vertical="center" wrapText="1"/>
    </xf>
    <xf numFmtId="0" fontId="21" fillId="34" borderId="124" xfId="0" applyFont="1" applyFill="1" applyBorder="1" applyAlignment="1">
      <alignment horizontal="center" wrapText="1"/>
    </xf>
    <xf numFmtId="167" fontId="18" fillId="34" borderId="86" xfId="0" applyNumberFormat="1" applyFont="1" applyFill="1" applyBorder="1" applyAlignment="1">
      <alignment horizontal="center" wrapText="1"/>
    </xf>
    <xf numFmtId="6" fontId="18" fillId="34" borderId="172" xfId="0" applyNumberFormat="1" applyFont="1" applyFill="1" applyBorder="1" applyAlignment="1">
      <alignment horizontal="center" wrapText="1"/>
    </xf>
    <xf numFmtId="6" fontId="18" fillId="34" borderId="171" xfId="0" applyNumberFormat="1" applyFont="1" applyFill="1" applyBorder="1" applyAlignment="1">
      <alignment horizontal="center" wrapText="1"/>
    </xf>
    <xf numFmtId="0" fontId="0" fillId="33" borderId="173" xfId="0" applyFont="1" applyFill="1" applyBorder="1" applyAlignment="1">
      <alignment horizontal="center" wrapText="1"/>
    </xf>
    <xf numFmtId="1" fontId="0" fillId="35" borderId="96" xfId="0" applyNumberFormat="1" applyFont="1" applyFill="1" applyBorder="1" applyAlignment="1" applyProtection="1">
      <alignment/>
      <protection/>
    </xf>
    <xf numFmtId="1" fontId="22" fillId="35" borderId="125" xfId="0" applyNumberFormat="1" applyFont="1" applyFill="1" applyBorder="1" applyAlignment="1" applyProtection="1">
      <alignment/>
      <protection/>
    </xf>
    <xf numFmtId="1" fontId="18" fillId="35" borderId="140" xfId="0" applyNumberFormat="1" applyFont="1" applyFill="1" applyBorder="1" applyAlignment="1" applyProtection="1">
      <alignment horizontal="center"/>
      <protection/>
    </xf>
    <xf numFmtId="1" fontId="18" fillId="35" borderId="174" xfId="0" applyNumberFormat="1" applyFont="1" applyFill="1" applyBorder="1" applyAlignment="1" applyProtection="1" quotePrefix="1">
      <alignment horizontal="center"/>
      <protection/>
    </xf>
    <xf numFmtId="1" fontId="18" fillId="35" borderId="175" xfId="0" applyNumberFormat="1" applyFont="1" applyFill="1" applyBorder="1" applyAlignment="1" applyProtection="1" quotePrefix="1">
      <alignment horizontal="center"/>
      <protection/>
    </xf>
    <xf numFmtId="1" fontId="18" fillId="35" borderId="126" xfId="0" applyNumberFormat="1" applyFont="1" applyFill="1" applyBorder="1" applyAlignment="1" applyProtection="1" quotePrefix="1">
      <alignment horizontal="center"/>
      <protection/>
    </xf>
    <xf numFmtId="1" fontId="18" fillId="35" borderId="176" xfId="0" applyNumberFormat="1" applyFont="1" applyFill="1" applyBorder="1" applyAlignment="1" applyProtection="1" quotePrefix="1">
      <alignment horizontal="center"/>
      <protection/>
    </xf>
    <xf numFmtId="1" fontId="18" fillId="35" borderId="129" xfId="0" applyNumberFormat="1" applyFont="1" applyFill="1" applyBorder="1" applyAlignment="1" applyProtection="1" quotePrefix="1">
      <alignment horizontal="center"/>
      <protection/>
    </xf>
    <xf numFmtId="166" fontId="0" fillId="0" borderId="99" xfId="42" applyNumberFormat="1" applyFont="1" applyFill="1" applyBorder="1" applyAlignment="1" applyProtection="1">
      <alignment/>
      <protection/>
    </xf>
    <xf numFmtId="5" fontId="22" fillId="0" borderId="177" xfId="0" applyNumberFormat="1" applyFont="1" applyFill="1" applyBorder="1" applyAlignment="1" applyProtection="1">
      <alignment/>
      <protection/>
    </xf>
    <xf numFmtId="5" fontId="0" fillId="0" borderId="177" xfId="0" applyNumberFormat="1" applyFont="1" applyFill="1" applyBorder="1" applyAlignment="1" applyProtection="1">
      <alignment/>
      <protection/>
    </xf>
    <xf numFmtId="38" fontId="0" fillId="0" borderId="177" xfId="42" applyNumberFormat="1" applyFont="1" applyFill="1" applyBorder="1" applyAlignment="1" applyProtection="1">
      <alignment/>
      <protection/>
    </xf>
    <xf numFmtId="8" fontId="0" fillId="0" borderId="177" xfId="42" applyNumberFormat="1" applyFont="1" applyFill="1" applyBorder="1" applyAlignment="1" applyProtection="1">
      <alignment/>
      <protection/>
    </xf>
    <xf numFmtId="6" fontId="22" fillId="0" borderId="178" xfId="42" applyNumberFormat="1" applyFont="1" applyFill="1" applyBorder="1" applyAlignment="1" applyProtection="1">
      <alignment/>
      <protection/>
    </xf>
    <xf numFmtId="38" fontId="0" fillId="0" borderId="170" xfId="42" applyNumberFormat="1" applyFont="1" applyFill="1" applyBorder="1" applyAlignment="1" applyProtection="1">
      <alignment/>
      <protection/>
    </xf>
    <xf numFmtId="37" fontId="0" fillId="0" borderId="179" xfId="42" applyNumberFormat="1" applyFont="1" applyFill="1" applyBorder="1" applyAlignment="1" applyProtection="1">
      <alignment/>
      <protection/>
    </xf>
    <xf numFmtId="38" fontId="0" fillId="0" borderId="133" xfId="0" applyNumberFormat="1" applyFont="1" applyFill="1" applyBorder="1" applyAlignment="1" applyProtection="1">
      <alignment/>
      <protection/>
    </xf>
    <xf numFmtId="167" fontId="0" fillId="0" borderId="99" xfId="42" applyNumberFormat="1" applyFont="1" applyFill="1" applyBorder="1" applyAlignment="1" applyProtection="1">
      <alignment/>
      <protection/>
    </xf>
    <xf numFmtId="166" fontId="22" fillId="0" borderId="135" xfId="42" applyNumberFormat="1" applyFont="1" applyFill="1" applyBorder="1" applyAlignment="1" applyProtection="1">
      <alignment/>
      <protection/>
    </xf>
    <xf numFmtId="5" fontId="22" fillId="0" borderId="135" xfId="0" applyNumberFormat="1" applyFont="1" applyFill="1" applyBorder="1" applyAlignment="1" applyProtection="1">
      <alignment/>
      <protection/>
    </xf>
    <xf numFmtId="6" fontId="22" fillId="33" borderId="178" xfId="42" applyNumberFormat="1" applyFont="1" applyFill="1" applyBorder="1" applyAlignment="1" applyProtection="1">
      <alignment/>
      <protection/>
    </xf>
    <xf numFmtId="5" fontId="22" fillId="0" borderId="119" xfId="0" applyNumberFormat="1" applyFont="1" applyFill="1" applyBorder="1" applyAlignment="1" applyProtection="1">
      <alignment/>
      <protection/>
    </xf>
    <xf numFmtId="5" fontId="0" fillId="0" borderId="119" xfId="0" applyNumberFormat="1" applyFont="1" applyFill="1" applyBorder="1" applyAlignment="1" applyProtection="1">
      <alignment/>
      <protection/>
    </xf>
    <xf numFmtId="38" fontId="0" fillId="0" borderId="119" xfId="42" applyNumberFormat="1" applyFont="1" applyFill="1" applyBorder="1" applyAlignment="1" applyProtection="1">
      <alignment/>
      <protection/>
    </xf>
    <xf numFmtId="8" fontId="0" fillId="0" borderId="119" xfId="42" applyNumberFormat="1" applyFont="1" applyFill="1" applyBorder="1" applyAlignment="1" applyProtection="1">
      <alignment/>
      <protection/>
    </xf>
    <xf numFmtId="6" fontId="22" fillId="0" borderId="115" xfId="42" applyNumberFormat="1" applyFont="1" applyFill="1" applyBorder="1" applyAlignment="1" applyProtection="1">
      <alignment/>
      <protection/>
    </xf>
    <xf numFmtId="6" fontId="22" fillId="33" borderId="115" xfId="42" applyNumberFormat="1" applyFont="1" applyFill="1" applyBorder="1" applyAlignment="1" applyProtection="1">
      <alignment/>
      <protection/>
    </xf>
    <xf numFmtId="166" fontId="0" fillId="0" borderId="102" xfId="42" applyNumberFormat="1" applyFont="1" applyFill="1" applyBorder="1" applyAlignment="1" applyProtection="1">
      <alignment/>
      <protection/>
    </xf>
    <xf numFmtId="5" fontId="22" fillId="0" borderId="180" xfId="0" applyNumberFormat="1" applyFont="1" applyFill="1" applyBorder="1" applyAlignment="1" applyProtection="1">
      <alignment/>
      <protection/>
    </xf>
    <xf numFmtId="5" fontId="0" fillId="0" borderId="180" xfId="0" applyNumberFormat="1" applyFont="1" applyFill="1" applyBorder="1" applyAlignment="1" applyProtection="1">
      <alignment/>
      <protection/>
    </xf>
    <xf numFmtId="38" fontId="0" fillId="0" borderId="180" xfId="42" applyNumberFormat="1" applyFont="1" applyFill="1" applyBorder="1" applyAlignment="1" applyProtection="1">
      <alignment/>
      <protection/>
    </xf>
    <xf numFmtId="8" fontId="0" fillId="0" borderId="180" xfId="42" applyNumberFormat="1" applyFont="1" applyFill="1" applyBorder="1" applyAlignment="1" applyProtection="1">
      <alignment/>
      <protection/>
    </xf>
    <xf numFmtId="6" fontId="22" fillId="0" borderId="181" xfId="42" applyNumberFormat="1" applyFont="1" applyFill="1" applyBorder="1" applyAlignment="1" applyProtection="1">
      <alignment/>
      <protection/>
    </xf>
    <xf numFmtId="38" fontId="0" fillId="0" borderId="182" xfId="42" applyNumberFormat="1" applyFont="1" applyFill="1" applyBorder="1" applyAlignment="1" applyProtection="1">
      <alignment/>
      <protection/>
    </xf>
    <xf numFmtId="166" fontId="0" fillId="0" borderId="101" xfId="42" applyNumberFormat="1" applyFont="1" applyFill="1" applyBorder="1" applyAlignment="1" applyProtection="1">
      <alignment/>
      <protection/>
    </xf>
    <xf numFmtId="37" fontId="0" fillId="0" borderId="183" xfId="42" applyNumberFormat="1" applyFont="1" applyFill="1" applyBorder="1" applyAlignment="1" applyProtection="1">
      <alignment/>
      <protection/>
    </xf>
    <xf numFmtId="38" fontId="0" fillId="0" borderId="142" xfId="0" applyNumberFormat="1" applyFont="1" applyFill="1" applyBorder="1" applyAlignment="1" applyProtection="1">
      <alignment/>
      <protection/>
    </xf>
    <xf numFmtId="167" fontId="0" fillId="0" borderId="101" xfId="42" applyNumberFormat="1" applyFont="1" applyFill="1" applyBorder="1" applyAlignment="1" applyProtection="1">
      <alignment/>
      <protection/>
    </xf>
    <xf numFmtId="166" fontId="22" fillId="0" borderId="145" xfId="42" applyNumberFormat="1" applyFont="1" applyFill="1" applyBorder="1" applyAlignment="1" applyProtection="1">
      <alignment/>
      <protection/>
    </xf>
    <xf numFmtId="5" fontId="22" fillId="0" borderId="145" xfId="0" applyNumberFormat="1" applyFont="1" applyFill="1" applyBorder="1" applyAlignment="1" applyProtection="1">
      <alignment/>
      <protection/>
    </xf>
    <xf numFmtId="6" fontId="22" fillId="33" borderId="181" xfId="42" applyNumberFormat="1" applyFont="1" applyFill="1" applyBorder="1" applyAlignment="1" applyProtection="1">
      <alignment/>
      <protection/>
    </xf>
    <xf numFmtId="10" fontId="0" fillId="0" borderId="0" xfId="60" applyNumberFormat="1" applyFont="1" applyAlignment="1">
      <alignment/>
    </xf>
    <xf numFmtId="37" fontId="0" fillId="0" borderId="184" xfId="42" applyNumberFormat="1" applyFont="1" applyFill="1" applyBorder="1" applyAlignment="1" applyProtection="1">
      <alignment/>
      <protection/>
    </xf>
    <xf numFmtId="5" fontId="22" fillId="0" borderId="125" xfId="0" applyNumberFormat="1" applyFont="1" applyFill="1" applyBorder="1" applyAlignment="1" applyProtection="1">
      <alignment/>
      <protection/>
    </xf>
    <xf numFmtId="166" fontId="0" fillId="0" borderId="100" xfId="42" applyNumberFormat="1" applyFont="1" applyFill="1" applyBorder="1" applyAlignment="1" applyProtection="1">
      <alignment/>
      <protection/>
    </xf>
    <xf numFmtId="38" fontId="0" fillId="0" borderId="185" xfId="42" applyNumberFormat="1" applyFont="1" applyFill="1" applyBorder="1" applyAlignment="1" applyProtection="1">
      <alignment/>
      <protection/>
    </xf>
    <xf numFmtId="37" fontId="0" fillId="0" borderId="186" xfId="42" applyNumberFormat="1" applyFont="1" applyFill="1" applyBorder="1" applyAlignment="1" applyProtection="1">
      <alignment/>
      <protection/>
    </xf>
    <xf numFmtId="38" fontId="0" fillId="0" borderId="170" xfId="0" applyNumberFormat="1" applyFont="1" applyFill="1" applyBorder="1" applyAlignment="1" applyProtection="1">
      <alignment/>
      <protection/>
    </xf>
    <xf numFmtId="167" fontId="0" fillId="0" borderId="150" xfId="42" applyNumberFormat="1" applyFont="1" applyFill="1" applyBorder="1" applyAlignment="1" applyProtection="1">
      <alignment/>
      <protection/>
    </xf>
    <xf numFmtId="167" fontId="0" fillId="0" borderId="100" xfId="42" applyNumberFormat="1" applyFont="1" applyFill="1" applyBorder="1" applyAlignment="1" applyProtection="1">
      <alignment/>
      <protection/>
    </xf>
    <xf numFmtId="166" fontId="22" fillId="0" borderId="154" xfId="42" applyNumberFormat="1" applyFont="1" applyFill="1" applyBorder="1" applyAlignment="1" applyProtection="1">
      <alignment/>
      <protection/>
    </xf>
    <xf numFmtId="5" fontId="22" fillId="0" borderId="154" xfId="0" applyNumberFormat="1" applyFont="1" applyFill="1" applyBorder="1" applyAlignment="1" applyProtection="1">
      <alignment/>
      <protection/>
    </xf>
    <xf numFmtId="5" fontId="0" fillId="0" borderId="118" xfId="0" applyNumberFormat="1" applyFont="1" applyFill="1" applyBorder="1" applyAlignment="1" applyProtection="1">
      <alignment/>
      <protection/>
    </xf>
    <xf numFmtId="5" fontId="0" fillId="0" borderId="179" xfId="0" applyNumberFormat="1" applyFont="1" applyFill="1" applyBorder="1" applyAlignment="1" applyProtection="1">
      <alignment/>
      <protection/>
    </xf>
    <xf numFmtId="5" fontId="0" fillId="0" borderId="187" xfId="0" applyNumberFormat="1" applyFont="1" applyFill="1" applyBorder="1" applyAlignment="1" applyProtection="1">
      <alignment/>
      <protection/>
    </xf>
    <xf numFmtId="38" fontId="0" fillId="0" borderId="135" xfId="42" applyNumberFormat="1" applyFont="1" applyFill="1" applyBorder="1" applyAlignment="1" applyProtection="1">
      <alignment/>
      <protection/>
    </xf>
    <xf numFmtId="5" fontId="22" fillId="0" borderId="179" xfId="0" applyNumberFormat="1" applyFont="1" applyFill="1" applyBorder="1" applyAlignment="1" applyProtection="1">
      <alignment/>
      <protection/>
    </xf>
    <xf numFmtId="166" fontId="0" fillId="0" borderId="179" xfId="42" applyNumberFormat="1" applyFont="1" applyFill="1" applyBorder="1" applyAlignment="1" applyProtection="1">
      <alignment/>
      <protection/>
    </xf>
    <xf numFmtId="37" fontId="0" fillId="0" borderId="132" xfId="42" applyNumberFormat="1" applyFont="1" applyFill="1" applyBorder="1" applyAlignment="1" applyProtection="1">
      <alignment/>
      <protection/>
    </xf>
    <xf numFmtId="167" fontId="0" fillId="0" borderId="132" xfId="42" applyNumberFormat="1" applyFont="1" applyFill="1" applyBorder="1" applyAlignment="1" applyProtection="1">
      <alignment/>
      <protection/>
    </xf>
    <xf numFmtId="6" fontId="0" fillId="0" borderId="143" xfId="42" applyNumberFormat="1" applyFont="1" applyFill="1" applyBorder="1" applyAlignment="1" applyProtection="1">
      <alignment/>
      <protection/>
    </xf>
    <xf numFmtId="5" fontId="22" fillId="0" borderId="123" xfId="0" applyNumberFormat="1" applyFont="1" applyFill="1" applyBorder="1" applyAlignment="1" applyProtection="1">
      <alignment/>
      <protection/>
    </xf>
    <xf numFmtId="6" fontId="0" fillId="0" borderId="188" xfId="42" applyNumberFormat="1" applyFont="1" applyFill="1" applyBorder="1" applyAlignment="1" applyProtection="1">
      <alignment/>
      <protection/>
    </xf>
    <xf numFmtId="38" fontId="0" fillId="0" borderId="145" xfId="42" applyNumberFormat="1" applyFont="1" applyFill="1" applyBorder="1" applyAlignment="1" applyProtection="1">
      <alignment/>
      <protection/>
    </xf>
    <xf numFmtId="6" fontId="22" fillId="0" borderId="134" xfId="42" applyNumberFormat="1" applyFont="1" applyFill="1" applyBorder="1" applyAlignment="1" applyProtection="1">
      <alignment/>
      <protection/>
    </xf>
    <xf numFmtId="6" fontId="22" fillId="0" borderId="131" xfId="42" applyNumberFormat="1" applyFont="1" applyFill="1" applyBorder="1" applyAlignment="1" applyProtection="1">
      <alignment/>
      <protection/>
    </xf>
    <xf numFmtId="37" fontId="0" fillId="0" borderId="141" xfId="42" applyNumberFormat="1" applyFont="1" applyFill="1" applyBorder="1" applyAlignment="1" applyProtection="1">
      <alignment/>
      <protection/>
    </xf>
    <xf numFmtId="167" fontId="0" fillId="0" borderId="140" xfId="42" applyNumberFormat="1" applyFont="1" applyFill="1" applyBorder="1" applyAlignment="1" applyProtection="1">
      <alignment/>
      <protection/>
    </xf>
    <xf numFmtId="6" fontId="21" fillId="0" borderId="189" xfId="42" applyNumberFormat="1" applyFont="1" applyFill="1" applyBorder="1" applyAlignment="1" applyProtection="1">
      <alignment/>
      <protection/>
    </xf>
    <xf numFmtId="38" fontId="21" fillId="0" borderId="190" xfId="42" applyNumberFormat="1" applyFont="1" applyFill="1" applyBorder="1" applyAlignment="1" applyProtection="1">
      <alignment/>
      <protection/>
    </xf>
    <xf numFmtId="6" fontId="21" fillId="0" borderId="191" xfId="0" applyNumberFormat="1" applyFont="1" applyBorder="1" applyAlignment="1">
      <alignment/>
    </xf>
    <xf numFmtId="6" fontId="21" fillId="0" borderId="192" xfId="42" applyNumberFormat="1" applyFont="1" applyFill="1" applyBorder="1" applyAlignment="1" applyProtection="1">
      <alignment/>
      <protection/>
    </xf>
    <xf numFmtId="166" fontId="21" fillId="0" borderId="192" xfId="42" applyNumberFormat="1" applyFont="1" applyFill="1" applyBorder="1" applyAlignment="1" applyProtection="1">
      <alignment/>
      <protection/>
    </xf>
    <xf numFmtId="8" fontId="21" fillId="0" borderId="192" xfId="42" applyNumberFormat="1" applyFont="1" applyFill="1" applyBorder="1" applyAlignment="1" applyProtection="1">
      <alignment/>
      <protection/>
    </xf>
    <xf numFmtId="6" fontId="21" fillId="0" borderId="193" xfId="42" applyNumberFormat="1" applyFont="1" applyFill="1" applyBorder="1" applyAlignment="1" applyProtection="1">
      <alignment/>
      <protection/>
    </xf>
    <xf numFmtId="38" fontId="21" fillId="0" borderId="194" xfId="42" applyNumberFormat="1" applyFont="1" applyFill="1" applyBorder="1" applyAlignment="1" applyProtection="1">
      <alignment/>
      <protection/>
    </xf>
    <xf numFmtId="6" fontId="21" fillId="0" borderId="195" xfId="42" applyNumberFormat="1" applyFont="1" applyFill="1" applyBorder="1" applyAlignment="1" applyProtection="1">
      <alignment/>
      <protection/>
    </xf>
    <xf numFmtId="166" fontId="21" fillId="0" borderId="106" xfId="42" applyNumberFormat="1" applyFont="1" applyFill="1" applyBorder="1" applyAlignment="1" applyProtection="1">
      <alignment/>
      <protection/>
    </xf>
    <xf numFmtId="5" fontId="21" fillId="0" borderId="155" xfId="0" applyNumberFormat="1" applyFont="1" applyFill="1" applyBorder="1" applyAlignment="1" applyProtection="1">
      <alignment/>
      <protection/>
    </xf>
    <xf numFmtId="0" fontId="21" fillId="0" borderId="196" xfId="0" applyNumberFormat="1" applyFont="1" applyFill="1" applyBorder="1" applyAlignment="1" applyProtection="1">
      <alignment/>
      <protection/>
    </xf>
    <xf numFmtId="5" fontId="21" fillId="0" borderId="192" xfId="0" applyNumberFormat="1" applyFont="1" applyFill="1" applyBorder="1" applyAlignment="1" applyProtection="1">
      <alignment/>
      <protection/>
    </xf>
    <xf numFmtId="5" fontId="21" fillId="0" borderId="197" xfId="0" applyNumberFormat="1" applyFont="1" applyFill="1" applyBorder="1" applyAlignment="1" applyProtection="1">
      <alignment/>
      <protection/>
    </xf>
    <xf numFmtId="5" fontId="21" fillId="0" borderId="105" xfId="0" applyNumberFormat="1" applyFont="1" applyFill="1" applyBorder="1" applyAlignment="1" applyProtection="1">
      <alignment/>
      <protection/>
    </xf>
    <xf numFmtId="166" fontId="21" fillId="0" borderId="155" xfId="42" applyNumberFormat="1" applyFont="1" applyFill="1" applyBorder="1" applyAlignment="1" applyProtection="1">
      <alignment/>
      <protection/>
    </xf>
    <xf numFmtId="6" fontId="21" fillId="33" borderId="198" xfId="42" applyNumberFormat="1" applyFont="1" applyFill="1" applyBorder="1" applyAlignment="1" applyProtection="1">
      <alignment/>
      <protection/>
    </xf>
    <xf numFmtId="0" fontId="22" fillId="36" borderId="0" xfId="0" applyFont="1" applyFill="1" applyBorder="1" applyAlignment="1" applyProtection="1">
      <alignment/>
      <protection/>
    </xf>
    <xf numFmtId="0" fontId="22" fillId="36" borderId="0" xfId="0" applyFont="1" applyFill="1" applyBorder="1" applyAlignment="1" applyProtection="1">
      <alignment horizontal="center"/>
      <protection/>
    </xf>
    <xf numFmtId="5" fontId="22" fillId="36" borderId="199" xfId="0" applyNumberFormat="1" applyFont="1" applyFill="1" applyBorder="1" applyAlignment="1" applyProtection="1">
      <alignment/>
      <protection/>
    </xf>
    <xf numFmtId="0" fontId="22" fillId="0" borderId="199" xfId="0" applyFont="1" applyBorder="1" applyAlignment="1">
      <alignment/>
    </xf>
    <xf numFmtId="5" fontId="22" fillId="0" borderId="199" xfId="0" applyNumberFormat="1" applyFont="1" applyBorder="1" applyAlignment="1" applyProtection="1">
      <alignment/>
      <protection/>
    </xf>
    <xf numFmtId="6" fontId="52" fillId="0" borderId="0" xfId="42" applyNumberFormat="1" applyFont="1" applyFill="1" applyBorder="1" applyAlignment="1" applyProtection="1">
      <alignment/>
      <protection/>
    </xf>
    <xf numFmtId="3" fontId="52" fillId="0" borderId="0" xfId="42" applyNumberFormat="1" applyFont="1" applyFill="1" applyBorder="1" applyAlignment="1" applyProtection="1">
      <alignment/>
      <protection/>
    </xf>
    <xf numFmtId="0" fontId="22" fillId="0" borderId="200" xfId="0" applyFont="1" applyBorder="1" applyAlignment="1">
      <alignment/>
    </xf>
    <xf numFmtId="0" fontId="22" fillId="0" borderId="201" xfId="0" applyFont="1" applyBorder="1" applyAlignment="1">
      <alignment/>
    </xf>
    <xf numFmtId="0" fontId="22" fillId="0" borderId="0" xfId="0" applyFont="1" applyBorder="1" applyAlignment="1">
      <alignment/>
    </xf>
    <xf numFmtId="166" fontId="22" fillId="0" borderId="0" xfId="42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170" xfId="0" applyFont="1" applyBorder="1" applyAlignment="1">
      <alignment/>
    </xf>
    <xf numFmtId="0" fontId="0" fillId="0" borderId="135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22" fillId="0" borderId="202" xfId="0" applyFont="1" applyBorder="1" applyAlignment="1">
      <alignment horizontal="right"/>
    </xf>
    <xf numFmtId="5" fontId="0" fillId="0" borderId="161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0" fontId="19" fillId="0" borderId="0" xfId="0" applyFont="1" applyAlignment="1" quotePrefix="1">
      <alignment horizontal="center" wrapText="1"/>
    </xf>
    <xf numFmtId="0" fontId="0" fillId="34" borderId="111" xfId="0" applyFill="1" applyBorder="1" applyAlignment="1">
      <alignment/>
    </xf>
    <xf numFmtId="0" fontId="21" fillId="34" borderId="111" xfId="0" applyFont="1" applyFill="1" applyBorder="1" applyAlignment="1">
      <alignment horizontal="center" wrapText="1"/>
    </xf>
    <xf numFmtId="0" fontId="9" fillId="34" borderId="111" xfId="0" applyFont="1" applyFill="1" applyBorder="1" applyAlignment="1">
      <alignment horizontal="center" wrapText="1"/>
    </xf>
    <xf numFmtId="0" fontId="0" fillId="35" borderId="86" xfId="0" applyFill="1" applyBorder="1" applyAlignment="1">
      <alignment/>
    </xf>
    <xf numFmtId="1" fontId="18" fillId="35" borderId="86" xfId="0" applyNumberFormat="1" applyFont="1" applyFill="1" applyBorder="1" applyAlignment="1" quotePrefix="1">
      <alignment horizontal="center"/>
    </xf>
    <xf numFmtId="0" fontId="22" fillId="0" borderId="111" xfId="0" applyFont="1" applyBorder="1" applyAlignment="1">
      <alignment wrapText="1"/>
    </xf>
    <xf numFmtId="3" fontId="0" fillId="0" borderId="111" xfId="0" applyNumberFormat="1" applyFill="1" applyBorder="1" applyAlignment="1">
      <alignment/>
    </xf>
    <xf numFmtId="6" fontId="0" fillId="0" borderId="111" xfId="0" applyNumberFormat="1" applyBorder="1" applyAlignment="1">
      <alignment/>
    </xf>
    <xf numFmtId="6" fontId="18" fillId="0" borderId="86" xfId="0" applyNumberFormat="1" applyFont="1" applyBorder="1" applyAlignment="1">
      <alignment horizontal="right"/>
    </xf>
    <xf numFmtId="6" fontId="0" fillId="0" borderId="86" xfId="0" applyNumberFormat="1" applyFont="1" applyBorder="1" applyAlignment="1">
      <alignment horizontal="right"/>
    </xf>
    <xf numFmtId="167" fontId="0" fillId="0" borderId="86" xfId="0" applyNumberFormat="1" applyFont="1" applyBorder="1" applyAlignment="1">
      <alignment horizontal="right"/>
    </xf>
    <xf numFmtId="0" fontId="22" fillId="0" borderId="103" xfId="0" applyFont="1" applyBorder="1" applyAlignment="1">
      <alignment horizontal="left" wrapText="1"/>
    </xf>
    <xf numFmtId="0" fontId="21" fillId="0" borderId="114" xfId="0" applyFont="1" applyBorder="1" applyAlignment="1">
      <alignment/>
    </xf>
    <xf numFmtId="37" fontId="21" fillId="0" borderId="114" xfId="42" applyNumberFormat="1" applyFont="1" applyBorder="1" applyAlignment="1">
      <alignment/>
    </xf>
    <xf numFmtId="8" fontId="21" fillId="0" borderId="114" xfId="0" applyNumberFormat="1" applyFont="1" applyBorder="1" applyAlignment="1">
      <alignment/>
    </xf>
    <xf numFmtId="0" fontId="21" fillId="0" borderId="0" xfId="0" applyFont="1" applyBorder="1" applyAlignment="1">
      <alignment/>
    </xf>
    <xf numFmtId="37" fontId="21" fillId="0" borderId="0" xfId="42" applyNumberFormat="1" applyFont="1" applyBorder="1" applyAlignment="1">
      <alignment/>
    </xf>
    <xf numFmtId="8" fontId="21" fillId="0" borderId="0" xfId="0" applyNumberFormat="1" applyFont="1" applyBorder="1" applyAlignment="1">
      <alignment/>
    </xf>
    <xf numFmtId="6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37" fontId="9" fillId="0" borderId="0" xfId="42" applyNumberFormat="1" applyFont="1" applyBorder="1" applyAlignment="1">
      <alignment/>
    </xf>
    <xf numFmtId="6" fontId="9" fillId="0" borderId="0" xfId="0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0" fontId="54" fillId="0" borderId="0" xfId="0" applyFont="1" applyAlignment="1">
      <alignment/>
    </xf>
    <xf numFmtId="167" fontId="0" fillId="0" borderId="111" xfId="0" applyNumberFormat="1" applyFill="1" applyBorder="1" applyAlignment="1">
      <alignment/>
    </xf>
    <xf numFmtId="167" fontId="21" fillId="0" borderId="114" xfId="42" applyNumberFormat="1" applyFont="1" applyBorder="1" applyAlignment="1">
      <alignment/>
    </xf>
    <xf numFmtId="167" fontId="21" fillId="0" borderId="0" xfId="42" applyNumberFormat="1" applyFont="1" applyBorder="1" applyAlignment="1">
      <alignment/>
    </xf>
    <xf numFmtId="6" fontId="9" fillId="34" borderId="111" xfId="0" applyNumberFormat="1" applyFont="1" applyFill="1" applyBorder="1" applyAlignment="1">
      <alignment horizontal="center" wrapText="1"/>
    </xf>
    <xf numFmtId="6" fontId="0" fillId="0" borderId="111" xfId="0" applyNumberFormat="1" applyBorder="1" applyAlignment="1">
      <alignment horizontal="right"/>
    </xf>
    <xf numFmtId="0" fontId="56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27" fillId="0" borderId="0" xfId="0" applyNumberFormat="1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0" fontId="57" fillId="0" borderId="63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quotePrefix="1">
      <alignment horizontal="center" vertical="center" wrapText="1"/>
    </xf>
    <xf numFmtId="0" fontId="53" fillId="34" borderId="1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5" fontId="9" fillId="0" borderId="0" xfId="0" applyNumberFormat="1" applyFont="1" applyFill="1" applyBorder="1" applyAlignment="1">
      <alignment horizontal="center" wrapText="1"/>
    </xf>
    <xf numFmtId="0" fontId="0" fillId="35" borderId="107" xfId="0" applyFill="1" applyBorder="1" applyAlignment="1">
      <alignment/>
    </xf>
    <xf numFmtId="0" fontId="18" fillId="35" borderId="107" xfId="0" applyFont="1" applyFill="1" applyBorder="1" applyAlignment="1" quotePrefix="1">
      <alignment horizontal="center"/>
    </xf>
    <xf numFmtId="0" fontId="18" fillId="0" borderId="0" xfId="0" applyFont="1" applyFill="1" applyBorder="1" applyAlignment="1" quotePrefix="1">
      <alignment horizontal="center"/>
    </xf>
    <xf numFmtId="0" fontId="58" fillId="34" borderId="86" xfId="0" applyFont="1" applyFill="1" applyBorder="1" applyAlignment="1">
      <alignment wrapText="1"/>
    </xf>
    <xf numFmtId="3" fontId="59" fillId="34" borderId="86" xfId="0" applyNumberFormat="1" applyFont="1" applyFill="1" applyBorder="1" applyAlignment="1" quotePrefix="1">
      <alignment horizontal="right" wrapText="1"/>
    </xf>
    <xf numFmtId="0" fontId="59" fillId="34" borderId="86" xfId="0" applyFont="1" applyFill="1" applyBorder="1" applyAlignment="1">
      <alignment horizontal="center" wrapText="1"/>
    </xf>
    <xf numFmtId="0" fontId="58" fillId="0" borderId="86" xfId="0" applyFont="1" applyFill="1" applyBorder="1" applyAlignment="1">
      <alignment wrapText="1"/>
    </xf>
    <xf numFmtId="3" fontId="58" fillId="0" borderId="86" xfId="0" applyNumberFormat="1" applyFont="1" applyFill="1" applyBorder="1" applyAlignment="1" quotePrefix="1">
      <alignment horizontal="right"/>
    </xf>
    <xf numFmtId="0" fontId="60" fillId="0" borderId="86" xfId="0" applyFont="1" applyFill="1" applyBorder="1" applyAlignment="1" quotePrefix="1">
      <alignment horizontal="center"/>
    </xf>
    <xf numFmtId="0" fontId="58" fillId="35" borderId="86" xfId="0" applyFont="1" applyFill="1" applyBorder="1" applyAlignment="1">
      <alignment wrapText="1"/>
    </xf>
    <xf numFmtId="3" fontId="58" fillId="35" borderId="86" xfId="0" applyNumberFormat="1" applyFont="1" applyFill="1" applyBorder="1" applyAlignment="1" quotePrefix="1">
      <alignment horizontal="right"/>
    </xf>
    <xf numFmtId="0" fontId="60" fillId="35" borderId="86" xfId="0" applyFont="1" applyFill="1" applyBorder="1" applyAlignment="1" quotePrefix="1">
      <alignment horizontal="center"/>
    </xf>
    <xf numFmtId="0" fontId="61" fillId="34" borderId="86" xfId="0" applyFont="1" applyFill="1" applyBorder="1" applyAlignment="1">
      <alignment/>
    </xf>
    <xf numFmtId="0" fontId="59" fillId="0" borderId="86" xfId="0" applyFont="1" applyFill="1" applyBorder="1" applyAlignment="1">
      <alignment wrapText="1"/>
    </xf>
    <xf numFmtId="166" fontId="59" fillId="0" borderId="86" xfId="42" applyNumberFormat="1" applyFont="1" applyBorder="1" applyAlignment="1">
      <alignment/>
    </xf>
    <xf numFmtId="3" fontId="62" fillId="0" borderId="86" xfId="0" applyNumberFormat="1" applyFont="1" applyFill="1" applyBorder="1" applyAlignment="1">
      <alignment horizontal="center" wrapText="1"/>
    </xf>
    <xf numFmtId="6" fontId="58" fillId="0" borderId="0" xfId="0" applyNumberFormat="1" applyFont="1" applyBorder="1" applyAlignment="1">
      <alignment/>
    </xf>
    <xf numFmtId="38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6" fontId="58" fillId="0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9" fillId="33" borderId="86" xfId="0" applyFont="1" applyFill="1" applyBorder="1" applyAlignment="1">
      <alignment wrapText="1"/>
    </xf>
    <xf numFmtId="6" fontId="59" fillId="33" borderId="86" xfId="0" applyNumberFormat="1" applyFont="1" applyFill="1" applyBorder="1" applyAlignment="1">
      <alignment/>
    </xf>
    <xf numFmtId="3" fontId="59" fillId="33" borderId="86" xfId="0" applyNumberFormat="1" applyFont="1" applyFill="1" applyBorder="1" applyAlignment="1">
      <alignment horizontal="center" wrapText="1"/>
    </xf>
    <xf numFmtId="6" fontId="58" fillId="0" borderId="86" xfId="0" applyNumberFormat="1" applyFont="1" applyBorder="1" applyAlignment="1">
      <alignment/>
    </xf>
    <xf numFmtId="6" fontId="58" fillId="0" borderId="86" xfId="0" applyNumberFormat="1" applyFont="1" applyFill="1" applyBorder="1" applyAlignment="1">
      <alignment/>
    </xf>
    <xf numFmtId="0" fontId="59" fillId="35" borderId="86" xfId="0" applyFont="1" applyFill="1" applyBorder="1" applyAlignment="1">
      <alignment wrapText="1"/>
    </xf>
    <xf numFmtId="6" fontId="59" fillId="35" borderId="86" xfId="0" applyNumberFormat="1" applyFont="1" applyFill="1" applyBorder="1" applyAlignment="1">
      <alignment/>
    </xf>
    <xf numFmtId="0" fontId="61" fillId="34" borderId="86" xfId="0" applyFont="1" applyFill="1" applyBorder="1" applyAlignment="1">
      <alignment wrapText="1"/>
    </xf>
    <xf numFmtId="0" fontId="58" fillId="0" borderId="86" xfId="0" applyFont="1" applyBorder="1" applyAlignment="1">
      <alignment/>
    </xf>
    <xf numFmtId="167" fontId="59" fillId="0" borderId="86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/>
    </xf>
    <xf numFmtId="0" fontId="58" fillId="0" borderId="86" xfId="0" applyFont="1" applyFill="1" applyBorder="1" applyAlignment="1" quotePrefix="1">
      <alignment wrapText="1"/>
    </xf>
    <xf numFmtId="0" fontId="58" fillId="0" borderId="86" xfId="0" applyFont="1" applyFill="1" applyBorder="1" applyAlignment="1">
      <alignment/>
    </xf>
    <xf numFmtId="0" fontId="58" fillId="33" borderId="86" xfId="0" applyFont="1" applyFill="1" applyBorder="1" applyAlignment="1">
      <alignment/>
    </xf>
    <xf numFmtId="166" fontId="59" fillId="33" borderId="86" xfId="42" applyNumberFormat="1" applyFont="1" applyFill="1" applyBorder="1" applyAlignment="1">
      <alignment/>
    </xf>
    <xf numFmtId="43" fontId="58" fillId="0" borderId="86" xfId="42" applyFont="1" applyFill="1" applyBorder="1" applyAlignment="1">
      <alignment wrapText="1"/>
    </xf>
    <xf numFmtId="166" fontId="59" fillId="0" borderId="86" xfId="42" applyNumberFormat="1" applyFont="1" applyFill="1" applyBorder="1" applyAlignment="1">
      <alignment horizontal="right"/>
    </xf>
    <xf numFmtId="166" fontId="59" fillId="0" borderId="86" xfId="42" applyNumberFormat="1" applyFont="1" applyFill="1" applyBorder="1" applyAlignment="1">
      <alignment/>
    </xf>
    <xf numFmtId="166" fontId="59" fillId="33" borderId="86" xfId="42" applyNumberFormat="1" applyFont="1" applyFill="1" applyBorder="1" applyAlignment="1">
      <alignment horizontal="center"/>
    </xf>
    <xf numFmtId="0" fontId="59" fillId="33" borderId="86" xfId="0" applyFont="1" applyFill="1" applyBorder="1" applyAlignment="1">
      <alignment horizontal="center" wrapText="1"/>
    </xf>
    <xf numFmtId="6" fontId="59" fillId="0" borderId="86" xfId="0" applyNumberFormat="1" applyFont="1" applyBorder="1" applyAlignment="1">
      <alignment/>
    </xf>
    <xf numFmtId="8" fontId="59" fillId="0" borderId="86" xfId="0" applyNumberFormat="1" applyFont="1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64" fillId="0" borderId="0" xfId="0" applyFont="1" applyBorder="1" applyAlignment="1">
      <alignment horizontal="center" vertical="center"/>
    </xf>
    <xf numFmtId="0" fontId="0" fillId="34" borderId="107" xfId="0" applyFill="1" applyBorder="1" applyAlignment="1">
      <alignment/>
    </xf>
    <xf numFmtId="0" fontId="9" fillId="34" borderId="107" xfId="0" applyFont="1" applyFill="1" applyBorder="1" applyAlignment="1">
      <alignment horizontal="center" wrapText="1"/>
    </xf>
    <xf numFmtId="0" fontId="35" fillId="34" borderId="107" xfId="0" applyFont="1" applyFill="1" applyBorder="1" applyAlignment="1">
      <alignment horizontal="center"/>
    </xf>
    <xf numFmtId="0" fontId="21" fillId="34" borderId="111" xfId="0" applyFont="1" applyFill="1" applyBorder="1" applyAlignment="1">
      <alignment horizontal="center"/>
    </xf>
    <xf numFmtId="0" fontId="9" fillId="34" borderId="113" xfId="0" applyFont="1" applyFill="1" applyBorder="1" applyAlignment="1">
      <alignment horizontal="center" wrapText="1"/>
    </xf>
    <xf numFmtId="0" fontId="18" fillId="34" borderId="107" xfId="0" applyFont="1" applyFill="1" applyBorder="1" applyAlignment="1">
      <alignment horizontal="center" vertical="center" wrapText="1"/>
    </xf>
    <xf numFmtId="0" fontId="9" fillId="34" borderId="108" xfId="0" applyFont="1" applyFill="1" applyBorder="1" applyAlignment="1">
      <alignment horizontal="center" wrapText="1"/>
    </xf>
    <xf numFmtId="0" fontId="9" fillId="34" borderId="86" xfId="0" applyFont="1" applyFill="1" applyBorder="1" applyAlignment="1">
      <alignment horizontal="center" wrapText="1"/>
    </xf>
    <xf numFmtId="0" fontId="9" fillId="34" borderId="86" xfId="0" applyFont="1" applyFill="1" applyBorder="1" applyAlignment="1">
      <alignment horizontal="center"/>
    </xf>
    <xf numFmtId="166" fontId="0" fillId="35" borderId="86" xfId="42" applyNumberFormat="1" applyFont="1" applyFill="1" applyBorder="1" applyAlignment="1">
      <alignment horizontal="center"/>
    </xf>
    <xf numFmtId="38" fontId="0" fillId="0" borderId="103" xfId="0" applyNumberFormat="1" applyFont="1" applyBorder="1" applyAlignment="1">
      <alignment/>
    </xf>
    <xf numFmtId="0" fontId="0" fillId="0" borderId="103" xfId="0" applyFont="1" applyBorder="1" applyAlignment="1">
      <alignment/>
    </xf>
    <xf numFmtId="0" fontId="22" fillId="0" borderId="103" xfId="0" applyFont="1" applyBorder="1" applyAlignment="1">
      <alignment/>
    </xf>
    <xf numFmtId="3" fontId="0" fillId="0" borderId="103" xfId="0" applyNumberFormat="1" applyFont="1" applyBorder="1" applyAlignment="1">
      <alignment horizontal="center"/>
    </xf>
    <xf numFmtId="179" fontId="22" fillId="0" borderId="103" xfId="42" applyNumberFormat="1" applyFont="1" applyBorder="1" applyAlignment="1">
      <alignment/>
    </xf>
    <xf numFmtId="179" fontId="0" fillId="0" borderId="103" xfId="42" applyNumberFormat="1" applyFont="1" applyBorder="1" applyAlignment="1">
      <alignment/>
    </xf>
    <xf numFmtId="3" fontId="0" fillId="0" borderId="111" xfId="0" applyNumberFormat="1" applyFont="1" applyBorder="1" applyAlignment="1">
      <alignment horizontal="center"/>
    </xf>
    <xf numFmtId="38" fontId="0" fillId="0" borderId="111" xfId="0" applyNumberFormat="1" applyFont="1" applyBorder="1" applyAlignment="1">
      <alignment/>
    </xf>
    <xf numFmtId="179" fontId="22" fillId="0" borderId="111" xfId="42" applyNumberFormat="1" applyFont="1" applyBorder="1" applyAlignment="1">
      <alignment/>
    </xf>
    <xf numFmtId="179" fontId="0" fillId="0" borderId="111" xfId="42" applyNumberFormat="1" applyFont="1" applyBorder="1" applyAlignment="1">
      <alignment/>
    </xf>
    <xf numFmtId="179" fontId="22" fillId="0" borderId="103" xfId="42" applyNumberFormat="1" applyFont="1" applyFill="1" applyBorder="1" applyAlignment="1">
      <alignment/>
    </xf>
    <xf numFmtId="38" fontId="0" fillId="0" borderId="103" xfId="0" applyNumberFormat="1" applyFont="1" applyFill="1" applyBorder="1" applyAlignment="1">
      <alignment/>
    </xf>
    <xf numFmtId="167" fontId="0" fillId="0" borderId="103" xfId="0" applyNumberFormat="1" applyFont="1" applyFill="1" applyBorder="1" applyAlignment="1">
      <alignment/>
    </xf>
    <xf numFmtId="179" fontId="0" fillId="0" borderId="103" xfId="42" applyNumberFormat="1" applyFont="1" applyFill="1" applyBorder="1" applyAlignment="1">
      <alignment/>
    </xf>
    <xf numFmtId="38" fontId="0" fillId="0" borderId="111" xfId="0" applyNumberFormat="1" applyFont="1" applyFill="1" applyBorder="1" applyAlignment="1">
      <alignment/>
    </xf>
    <xf numFmtId="167" fontId="0" fillId="0" borderId="111" xfId="0" applyNumberFormat="1" applyFont="1" applyFill="1" applyBorder="1" applyAlignment="1">
      <alignment/>
    </xf>
    <xf numFmtId="179" fontId="22" fillId="0" borderId="111" xfId="42" applyNumberFormat="1" applyFont="1" applyFill="1" applyBorder="1" applyAlignment="1">
      <alignment/>
    </xf>
    <xf numFmtId="179" fontId="0" fillId="0" borderId="111" xfId="42" applyNumberFormat="1" applyFont="1" applyFill="1" applyBorder="1" applyAlignment="1">
      <alignment/>
    </xf>
    <xf numFmtId="0" fontId="0" fillId="0" borderId="103" xfId="0" applyFont="1" applyBorder="1" applyAlignment="1">
      <alignment horizontal="center"/>
    </xf>
    <xf numFmtId="172" fontId="0" fillId="0" borderId="103" xfId="0" applyNumberFormat="1" applyFont="1" applyBorder="1" applyAlignment="1">
      <alignment/>
    </xf>
    <xf numFmtId="0" fontId="0" fillId="0" borderId="114" xfId="0" applyFont="1" applyBorder="1" applyAlignment="1">
      <alignment horizontal="center"/>
    </xf>
    <xf numFmtId="37" fontId="21" fillId="0" borderId="114" xfId="44" applyNumberFormat="1" applyFont="1" applyBorder="1" applyAlignment="1">
      <alignment/>
    </xf>
    <xf numFmtId="5" fontId="21" fillId="0" borderId="114" xfId="44" applyNumberFormat="1" applyFont="1" applyBorder="1" applyAlignment="1">
      <alignment/>
    </xf>
    <xf numFmtId="179" fontId="21" fillId="0" borderId="114" xfId="42" applyNumberFormat="1" applyFont="1" applyBorder="1" applyAlignment="1">
      <alignment/>
    </xf>
    <xf numFmtId="2" fontId="21" fillId="0" borderId="114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9" fillId="0" borderId="0" xfId="0" applyFont="1" applyBorder="1" applyAlignment="1" quotePrefix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/>
    </xf>
    <xf numFmtId="0" fontId="65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/>
    </xf>
    <xf numFmtId="0" fontId="11" fillId="0" borderId="112" xfId="0" applyFont="1" applyBorder="1" applyAlignment="1">
      <alignment horizontal="center"/>
    </xf>
    <xf numFmtId="0" fontId="19" fillId="0" borderId="112" xfId="0" applyFont="1" applyBorder="1" applyAlignment="1" quotePrefix="1">
      <alignment horizontal="center" vertical="center" wrapText="1"/>
    </xf>
    <xf numFmtId="0" fontId="19" fillId="0" borderId="107" xfId="0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86" xfId="0" applyFont="1" applyBorder="1" applyAlignment="1">
      <alignment horizontal="center" wrapText="1"/>
    </xf>
    <xf numFmtId="0" fontId="11" fillId="0" borderId="86" xfId="0" applyFont="1" applyBorder="1" applyAlignment="1">
      <alignment/>
    </xf>
    <xf numFmtId="0" fontId="0" fillId="34" borderId="116" xfId="0" applyFill="1" applyBorder="1" applyAlignment="1">
      <alignment/>
    </xf>
    <xf numFmtId="0" fontId="0" fillId="34" borderId="112" xfId="0" applyFill="1" applyBorder="1" applyAlignment="1">
      <alignment/>
    </xf>
    <xf numFmtId="0" fontId="11" fillId="0" borderId="203" xfId="0" applyFont="1" applyBorder="1" applyAlignment="1">
      <alignment/>
    </xf>
    <xf numFmtId="0" fontId="21" fillId="34" borderId="121" xfId="0" applyFont="1" applyFill="1" applyBorder="1" applyAlignment="1">
      <alignment horizontal="center"/>
    </xf>
    <xf numFmtId="0" fontId="9" fillId="34" borderId="124" xfId="0" applyFont="1" applyFill="1" applyBorder="1" applyAlignment="1">
      <alignment horizontal="center"/>
    </xf>
    <xf numFmtId="0" fontId="21" fillId="34" borderId="86" xfId="0" applyFont="1" applyFill="1" applyBorder="1" applyAlignment="1">
      <alignment horizontal="center" wrapText="1"/>
    </xf>
    <xf numFmtId="0" fontId="21" fillId="34" borderId="98" xfId="0" applyFont="1" applyFill="1" applyBorder="1" applyAlignment="1">
      <alignment horizontal="center" wrapText="1"/>
    </xf>
    <xf numFmtId="0" fontId="9" fillId="34" borderId="98" xfId="0" applyFont="1" applyFill="1" applyBorder="1" applyAlignment="1">
      <alignment horizontal="center" wrapText="1"/>
    </xf>
    <xf numFmtId="0" fontId="66" fillId="34" borderId="108" xfId="0" applyFont="1" applyFill="1" applyBorder="1" applyAlignment="1">
      <alignment horizontal="center" wrapText="1"/>
    </xf>
    <xf numFmtId="0" fontId="23" fillId="34" borderId="86" xfId="0" applyFont="1" applyFill="1" applyBorder="1" applyAlignment="1">
      <alignment horizontal="center" wrapText="1"/>
    </xf>
    <xf numFmtId="0" fontId="23" fillId="34" borderId="98" xfId="0" applyFont="1" applyFill="1" applyBorder="1" applyAlignment="1">
      <alignment horizontal="center" wrapText="1"/>
    </xf>
    <xf numFmtId="0" fontId="66" fillId="34" borderId="112" xfId="0" applyFont="1" applyFill="1" applyBorder="1" applyAlignment="1">
      <alignment horizontal="center" wrapText="1"/>
    </xf>
    <xf numFmtId="0" fontId="67" fillId="34" borderId="112" xfId="0" applyFont="1" applyFill="1" applyBorder="1" applyAlignment="1">
      <alignment horizontal="center" wrapText="1"/>
    </xf>
    <xf numFmtId="0" fontId="66" fillId="34" borderId="86" xfId="0" applyFont="1" applyFill="1" applyBorder="1" applyAlignment="1">
      <alignment horizontal="center" wrapText="1"/>
    </xf>
    <xf numFmtId="0" fontId="67" fillId="33" borderId="204" xfId="0" applyFont="1" applyFill="1" applyBorder="1" applyAlignment="1" quotePrefix="1">
      <alignment horizontal="center" wrapText="1"/>
    </xf>
    <xf numFmtId="0" fontId="67" fillId="34" borderId="204" xfId="0" applyFont="1" applyFill="1" applyBorder="1" applyAlignment="1" quotePrefix="1">
      <alignment horizontal="center" wrapText="1"/>
    </xf>
    <xf numFmtId="166" fontId="0" fillId="35" borderId="98" xfId="42" applyNumberFormat="1" applyFont="1" applyFill="1" applyBorder="1" applyAlignment="1">
      <alignment horizontal="center"/>
    </xf>
    <xf numFmtId="166" fontId="18" fillId="35" borderId="108" xfId="42" applyNumberFormat="1" applyFont="1" applyFill="1" applyBorder="1" applyAlignment="1">
      <alignment horizontal="center"/>
    </xf>
    <xf numFmtId="0" fontId="18" fillId="35" borderId="86" xfId="42" applyNumberFormat="1" applyFont="1" applyFill="1" applyBorder="1" applyAlignment="1" quotePrefix="1">
      <alignment horizontal="center"/>
    </xf>
    <xf numFmtId="1" fontId="18" fillId="35" borderId="98" xfId="42" applyNumberFormat="1" applyFont="1" applyFill="1" applyBorder="1" applyAlignment="1" quotePrefix="1">
      <alignment horizontal="center"/>
    </xf>
    <xf numFmtId="0" fontId="0" fillId="0" borderId="116" xfId="0" applyFont="1" applyBorder="1" applyAlignment="1">
      <alignment/>
    </xf>
    <xf numFmtId="0" fontId="0" fillId="0" borderId="113" xfId="0" applyFont="1" applyBorder="1" applyAlignment="1">
      <alignment/>
    </xf>
    <xf numFmtId="0" fontId="0" fillId="0" borderId="103" xfId="0" applyFont="1" applyFill="1" applyBorder="1" applyAlignment="1">
      <alignment/>
    </xf>
    <xf numFmtId="0" fontId="0" fillId="0" borderId="115" xfId="0" applyFont="1" applyFill="1" applyBorder="1" applyAlignment="1">
      <alignment/>
    </xf>
    <xf numFmtId="9" fontId="35" fillId="0" borderId="103" xfId="0" applyNumberFormat="1" applyFont="1" applyBorder="1" applyAlignment="1">
      <alignment horizontal="center"/>
    </xf>
    <xf numFmtId="0" fontId="0" fillId="0" borderId="115" xfId="0" applyFont="1" applyBorder="1" applyAlignment="1">
      <alignment/>
    </xf>
    <xf numFmtId="0" fontId="42" fillId="0" borderId="107" xfId="0" applyFont="1" applyFill="1" applyBorder="1" applyAlignment="1">
      <alignment/>
    </xf>
    <xf numFmtId="0" fontId="42" fillId="0" borderId="115" xfId="0" applyFont="1" applyFill="1" applyBorder="1" applyAlignment="1">
      <alignment/>
    </xf>
    <xf numFmtId="10" fontId="0" fillId="0" borderId="115" xfId="0" applyNumberFormat="1" applyFont="1" applyFill="1" applyBorder="1" applyAlignment="1">
      <alignment/>
    </xf>
    <xf numFmtId="9" fontId="68" fillId="0" borderId="103" xfId="0" applyNumberFormat="1" applyFont="1" applyBorder="1" applyAlignment="1">
      <alignment/>
    </xf>
    <xf numFmtId="9" fontId="0" fillId="0" borderId="115" xfId="0" applyNumberFormat="1" applyFont="1" applyBorder="1" applyAlignment="1">
      <alignment/>
    </xf>
    <xf numFmtId="6" fontId="0" fillId="0" borderId="107" xfId="0" applyNumberFormat="1" applyFill="1" applyBorder="1" applyAlignment="1">
      <alignment horizontal="center"/>
    </xf>
    <xf numFmtId="0" fontId="0" fillId="0" borderId="205" xfId="0" applyFont="1" applyBorder="1" applyAlignment="1">
      <alignment/>
    </xf>
    <xf numFmtId="3" fontId="0" fillId="0" borderId="113" xfId="0" applyNumberFormat="1" applyFont="1" applyBorder="1" applyAlignment="1">
      <alignment/>
    </xf>
    <xf numFmtId="2" fontId="41" fillId="0" borderId="103" xfId="57" applyNumberFormat="1" applyFont="1" applyFill="1" applyBorder="1" applyAlignment="1">
      <alignment horizontal="right" wrapText="1"/>
      <protection/>
    </xf>
    <xf numFmtId="167" fontId="41" fillId="0" borderId="103" xfId="57" applyNumberFormat="1" applyFont="1" applyFill="1" applyBorder="1" applyAlignment="1">
      <alignment horizontal="right" wrapText="1"/>
      <protection/>
    </xf>
    <xf numFmtId="0" fontId="41" fillId="0" borderId="103" xfId="57" applyFont="1" applyFill="1" applyBorder="1" applyAlignment="1">
      <alignment horizontal="right" wrapText="1"/>
      <protection/>
    </xf>
    <xf numFmtId="2" fontId="0" fillId="0" borderId="103" xfId="0" applyNumberFormat="1" applyFont="1" applyBorder="1" applyAlignment="1">
      <alignment/>
    </xf>
    <xf numFmtId="4" fontId="0" fillId="0" borderId="103" xfId="42" applyNumberFormat="1" applyFont="1" applyBorder="1" applyAlignment="1">
      <alignment/>
    </xf>
    <xf numFmtId="4" fontId="0" fillId="0" borderId="115" xfId="42" applyNumberFormat="1" applyFont="1" applyBorder="1" applyAlignment="1">
      <alignment/>
    </xf>
    <xf numFmtId="40" fontId="0" fillId="0" borderId="103" xfId="0" applyNumberFormat="1" applyFont="1" applyFill="1" applyBorder="1" applyAlignment="1">
      <alignment/>
    </xf>
    <xf numFmtId="10" fontId="0" fillId="0" borderId="103" xfId="0" applyNumberFormat="1" applyFont="1" applyFill="1" applyBorder="1" applyAlignment="1">
      <alignment/>
    </xf>
    <xf numFmtId="196" fontId="0" fillId="0" borderId="103" xfId="60" applyNumberFormat="1" applyFont="1" applyFill="1" applyBorder="1" applyAlignment="1">
      <alignment/>
    </xf>
    <xf numFmtId="196" fontId="0" fillId="0" borderId="115" xfId="60" applyNumberFormat="1" applyFont="1" applyFill="1" applyBorder="1" applyAlignment="1">
      <alignment/>
    </xf>
    <xf numFmtId="10" fontId="0" fillId="0" borderId="103" xfId="60" applyNumberFormat="1" applyFont="1" applyFill="1" applyBorder="1" applyAlignment="1">
      <alignment/>
    </xf>
    <xf numFmtId="167" fontId="0" fillId="0" borderId="115" xfId="0" applyNumberFormat="1" applyFont="1" applyFill="1" applyBorder="1" applyAlignment="1">
      <alignment/>
    </xf>
    <xf numFmtId="167" fontId="0" fillId="0" borderId="187" xfId="0" applyNumberFormat="1" applyFont="1" applyFill="1" applyBorder="1" applyAlignment="1">
      <alignment/>
    </xf>
    <xf numFmtId="3" fontId="0" fillId="0" borderId="121" xfId="0" applyNumberFormat="1" applyFont="1" applyBorder="1" applyAlignment="1">
      <alignment/>
    </xf>
    <xf numFmtId="3" fontId="0" fillId="0" borderId="124" xfId="0" applyNumberFormat="1" applyFont="1" applyBorder="1" applyAlignment="1">
      <alignment/>
    </xf>
    <xf numFmtId="2" fontId="41" fillId="0" borderId="111" xfId="57" applyNumberFormat="1" applyFont="1" applyFill="1" applyBorder="1" applyAlignment="1">
      <alignment horizontal="right" wrapText="1"/>
      <protection/>
    </xf>
    <xf numFmtId="167" fontId="41" fillId="0" borderId="111" xfId="57" applyNumberFormat="1" applyFont="1" applyFill="1" applyBorder="1" applyAlignment="1">
      <alignment horizontal="right" wrapText="1"/>
      <protection/>
    </xf>
    <xf numFmtId="0" fontId="41" fillId="0" borderId="111" xfId="57" applyFont="1" applyFill="1" applyBorder="1" applyAlignment="1">
      <alignment horizontal="right" wrapText="1"/>
      <protection/>
    </xf>
    <xf numFmtId="2" fontId="0" fillId="0" borderId="111" xfId="0" applyNumberFormat="1" applyFont="1" applyBorder="1" applyAlignment="1">
      <alignment/>
    </xf>
    <xf numFmtId="4" fontId="0" fillId="0" borderId="111" xfId="42" applyNumberFormat="1" applyFont="1" applyBorder="1" applyAlignment="1">
      <alignment/>
    </xf>
    <xf numFmtId="4" fontId="0" fillId="0" borderId="121" xfId="42" applyNumberFormat="1" applyFont="1" applyBorder="1" applyAlignment="1">
      <alignment/>
    </xf>
    <xf numFmtId="40" fontId="0" fillId="0" borderId="111" xfId="0" applyNumberFormat="1" applyFont="1" applyFill="1" applyBorder="1" applyAlignment="1">
      <alignment/>
    </xf>
    <xf numFmtId="10" fontId="0" fillId="0" borderId="111" xfId="0" applyNumberFormat="1" applyFont="1" applyFill="1" applyBorder="1" applyAlignment="1">
      <alignment/>
    </xf>
    <xf numFmtId="196" fontId="0" fillId="0" borderId="111" xfId="60" applyNumberFormat="1" applyFont="1" applyFill="1" applyBorder="1" applyAlignment="1">
      <alignment/>
    </xf>
    <xf numFmtId="196" fontId="0" fillId="0" borderId="121" xfId="60" applyNumberFormat="1" applyFont="1" applyFill="1" applyBorder="1" applyAlignment="1">
      <alignment/>
    </xf>
    <xf numFmtId="10" fontId="0" fillId="0" borderId="111" xfId="60" applyNumberFormat="1" applyFont="1" applyFill="1" applyBorder="1" applyAlignment="1">
      <alignment/>
    </xf>
    <xf numFmtId="167" fontId="0" fillId="0" borderId="121" xfId="0" applyNumberFormat="1" applyFont="1" applyFill="1" applyBorder="1" applyAlignment="1">
      <alignment/>
    </xf>
    <xf numFmtId="167" fontId="0" fillId="0" borderId="206" xfId="0" applyNumberFormat="1" applyFont="1" applyFill="1" applyBorder="1" applyAlignment="1">
      <alignment/>
    </xf>
    <xf numFmtId="10" fontId="69" fillId="0" borderId="103" xfId="0" applyNumberFormat="1" applyFont="1" applyFill="1" applyBorder="1" applyAlignment="1">
      <alignment/>
    </xf>
    <xf numFmtId="167" fontId="69" fillId="0" borderId="103" xfId="0" applyNumberFormat="1" applyFont="1" applyFill="1" applyBorder="1" applyAlignment="1">
      <alignment/>
    </xf>
    <xf numFmtId="167" fontId="24" fillId="0" borderId="103" xfId="0" applyNumberFormat="1" applyFont="1" applyBorder="1" applyAlignment="1">
      <alignment/>
    </xf>
    <xf numFmtId="167" fontId="24" fillId="0" borderId="103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3" fontId="0" fillId="0" borderId="113" xfId="0" applyNumberFormat="1" applyFont="1" applyFill="1" applyBorder="1" applyAlignment="1">
      <alignment/>
    </xf>
    <xf numFmtId="2" fontId="0" fillId="0" borderId="103" xfId="0" applyNumberFormat="1" applyFont="1" applyFill="1" applyBorder="1" applyAlignment="1">
      <alignment/>
    </xf>
    <xf numFmtId="4" fontId="0" fillId="0" borderId="103" xfId="42" applyNumberFormat="1" applyFont="1" applyFill="1" applyBorder="1" applyAlignment="1">
      <alignment/>
    </xf>
    <xf numFmtId="4" fontId="0" fillId="0" borderId="115" xfId="42" applyNumberFormat="1" applyFont="1" applyFill="1" applyBorder="1" applyAlignment="1">
      <alignment/>
    </xf>
    <xf numFmtId="10" fontId="69" fillId="0" borderId="111" xfId="0" applyNumberFormat="1" applyFont="1" applyFill="1" applyBorder="1" applyAlignment="1">
      <alignment/>
    </xf>
    <xf numFmtId="167" fontId="69" fillId="0" borderId="111" xfId="0" applyNumberFormat="1" applyFont="1" applyFill="1" applyBorder="1" applyAlignment="1">
      <alignment/>
    </xf>
    <xf numFmtId="167" fontId="70" fillId="0" borderId="187" xfId="0" applyNumberFormat="1" applyFont="1" applyFill="1" applyBorder="1" applyAlignment="1">
      <alignment/>
    </xf>
    <xf numFmtId="2" fontId="0" fillId="0" borderId="103" xfId="0" applyNumberFormat="1" applyFill="1" applyBorder="1" applyAlignment="1">
      <alignment/>
    </xf>
    <xf numFmtId="167" fontId="0" fillId="0" borderId="103" xfId="0" applyNumberFormat="1" applyFill="1" applyBorder="1" applyAlignment="1">
      <alignment/>
    </xf>
    <xf numFmtId="0" fontId="0" fillId="0" borderId="103" xfId="0" applyFill="1" applyBorder="1" applyAlignment="1">
      <alignment/>
    </xf>
    <xf numFmtId="1" fontId="0" fillId="0" borderId="103" xfId="0" applyNumberFormat="1" applyFont="1" applyFill="1" applyBorder="1" applyAlignment="1">
      <alignment/>
    </xf>
    <xf numFmtId="2" fontId="0" fillId="0" borderId="113" xfId="0" applyNumberFormat="1" applyFont="1" applyBorder="1" applyAlignment="1">
      <alignment/>
    </xf>
    <xf numFmtId="43" fontId="0" fillId="0" borderId="103" xfId="42" applyFont="1" applyBorder="1" applyAlignment="1">
      <alignment/>
    </xf>
    <xf numFmtId="43" fontId="0" fillId="0" borderId="115" xfId="42" applyFont="1" applyBorder="1" applyAlignment="1">
      <alignment/>
    </xf>
    <xf numFmtId="43" fontId="0" fillId="0" borderId="111" xfId="42" applyFont="1" applyBorder="1" applyAlignment="1">
      <alignment/>
    </xf>
    <xf numFmtId="6" fontId="0" fillId="0" borderId="124" xfId="0" applyNumberFormat="1" applyBorder="1" applyAlignment="1">
      <alignment/>
    </xf>
    <xf numFmtId="10" fontId="0" fillId="0" borderId="111" xfId="42" applyNumberFormat="1" applyFont="1" applyBorder="1" applyAlignment="1">
      <alignment/>
    </xf>
    <xf numFmtId="0" fontId="0" fillId="0" borderId="111" xfId="0" applyFill="1" applyBorder="1" applyAlignment="1">
      <alignment/>
    </xf>
    <xf numFmtId="0" fontId="0" fillId="0" borderId="111" xfId="0" applyFont="1" applyBorder="1" applyAlignment="1">
      <alignment/>
    </xf>
    <xf numFmtId="10" fontId="0" fillId="0" borderId="103" xfId="0" applyNumberFormat="1" applyFont="1" applyBorder="1" applyAlignment="1">
      <alignment/>
    </xf>
    <xf numFmtId="0" fontId="0" fillId="0" borderId="121" xfId="0" applyFont="1" applyFill="1" applyBorder="1" applyAlignment="1">
      <alignment/>
    </xf>
    <xf numFmtId="0" fontId="0" fillId="0" borderId="206" xfId="0" applyFont="1" applyBorder="1" applyAlignment="1">
      <alignment/>
    </xf>
    <xf numFmtId="0" fontId="21" fillId="0" borderId="207" xfId="0" applyFont="1" applyBorder="1" applyAlignment="1">
      <alignment/>
    </xf>
    <xf numFmtId="0" fontId="21" fillId="0" borderId="208" xfId="0" applyFont="1" applyBorder="1" applyAlignment="1">
      <alignment/>
    </xf>
    <xf numFmtId="2" fontId="21" fillId="0" borderId="208" xfId="0" applyNumberFormat="1" applyFont="1" applyBorder="1" applyAlignment="1">
      <alignment/>
    </xf>
    <xf numFmtId="5" fontId="21" fillId="0" borderId="114" xfId="44" applyNumberFormat="1" applyFont="1" applyBorder="1" applyAlignment="1">
      <alignment horizontal="right"/>
    </xf>
    <xf numFmtId="43" fontId="21" fillId="0" borderId="114" xfId="42" applyNumberFormat="1" applyFont="1" applyBorder="1" applyAlignment="1">
      <alignment/>
    </xf>
    <xf numFmtId="43" fontId="21" fillId="0" borderId="114" xfId="42" applyFont="1" applyBorder="1" applyAlignment="1">
      <alignment/>
    </xf>
    <xf numFmtId="43" fontId="21" fillId="0" borderId="207" xfId="42" applyFont="1" applyBorder="1" applyAlignment="1">
      <alignment/>
    </xf>
    <xf numFmtId="5" fontId="21" fillId="0" borderId="207" xfId="44" applyNumberFormat="1" applyFont="1" applyBorder="1" applyAlignment="1">
      <alignment/>
    </xf>
    <xf numFmtId="5" fontId="21" fillId="0" borderId="208" xfId="44" applyNumberFormat="1" applyFont="1" applyBorder="1" applyAlignment="1">
      <alignment/>
    </xf>
    <xf numFmtId="10" fontId="21" fillId="0" borderId="208" xfId="44" applyNumberFormat="1" applyFont="1" applyBorder="1" applyAlignment="1">
      <alignment/>
    </xf>
    <xf numFmtId="5" fontId="21" fillId="0" borderId="207" xfId="44" applyNumberFormat="1" applyFont="1" applyFill="1" applyBorder="1" applyAlignment="1">
      <alignment/>
    </xf>
    <xf numFmtId="5" fontId="21" fillId="0" borderId="194" xfId="44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71" fillId="0" borderId="0" xfId="0" applyFont="1" applyAlignment="1" applyProtection="1">
      <alignment horizontal="center" wrapText="1"/>
      <protection locked="0"/>
    </xf>
    <xf numFmtId="0" fontId="72" fillId="0" borderId="0" xfId="0" applyFont="1" applyAlignment="1" quotePrefix="1">
      <alignment horizontal="center" wrapText="1"/>
    </xf>
    <xf numFmtId="0" fontId="73" fillId="0" borderId="0" xfId="0" applyFont="1" applyFill="1" applyAlignment="1" quotePrefix="1">
      <alignment horizontal="left"/>
    </xf>
    <xf numFmtId="0" fontId="73" fillId="0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19" fillId="0" borderId="0" xfId="0" applyFont="1" applyAlignment="1">
      <alignment/>
    </xf>
    <xf numFmtId="0" fontId="11" fillId="0" borderId="63" xfId="0" applyFont="1" applyBorder="1" applyAlignment="1" quotePrefix="1">
      <alignment horizontal="left"/>
    </xf>
    <xf numFmtId="0" fontId="0" fillId="0" borderId="113" xfId="0" applyBorder="1" applyAlignment="1">
      <alignment/>
    </xf>
    <xf numFmtId="0" fontId="22" fillId="34" borderId="103" xfId="0" applyFont="1" applyFill="1" applyBorder="1" applyAlignment="1">
      <alignment/>
    </xf>
    <xf numFmtId="0" fontId="22" fillId="34" borderId="103" xfId="0" applyFont="1" applyFill="1" applyBorder="1" applyAlignment="1">
      <alignment horizontal="center"/>
    </xf>
    <xf numFmtId="0" fontId="0" fillId="34" borderId="103" xfId="0" applyFill="1" applyBorder="1" applyAlignment="1">
      <alignment horizontal="center"/>
    </xf>
    <xf numFmtId="0" fontId="0" fillId="34" borderId="112" xfId="0" applyFill="1" applyBorder="1" applyAlignment="1">
      <alignment horizontal="center"/>
    </xf>
    <xf numFmtId="0" fontId="0" fillId="34" borderId="107" xfId="0" applyFill="1" applyBorder="1" applyAlignment="1">
      <alignment horizontal="center"/>
    </xf>
    <xf numFmtId="0" fontId="22" fillId="34" borderId="103" xfId="0" applyFont="1" applyFill="1" applyBorder="1" applyAlignment="1" quotePrefix="1">
      <alignment horizontal="center" wrapText="1"/>
    </xf>
    <xf numFmtId="0" fontId="22" fillId="34" borderId="103" xfId="0" applyFont="1" applyFill="1" applyBorder="1" applyAlignment="1">
      <alignment horizontal="center" wrapText="1"/>
    </xf>
    <xf numFmtId="0" fontId="0" fillId="34" borderId="113" xfId="0" applyFill="1" applyBorder="1" applyAlignment="1">
      <alignment horizontal="center"/>
    </xf>
    <xf numFmtId="166" fontId="18" fillId="35" borderId="86" xfId="42" applyNumberFormat="1" applyFont="1" applyFill="1" applyBorder="1" applyAlignment="1">
      <alignment horizontal="center"/>
    </xf>
    <xf numFmtId="0" fontId="18" fillId="35" borderId="108" xfId="42" applyNumberFormat="1" applyFont="1" applyFill="1" applyBorder="1" applyAlignment="1" quotePrefix="1">
      <alignment horizontal="center"/>
    </xf>
    <xf numFmtId="0" fontId="0" fillId="0" borderId="103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0" fillId="0" borderId="103" xfId="0" applyNumberFormat="1" applyBorder="1" applyAlignment="1" applyProtection="1">
      <alignment/>
      <protection/>
    </xf>
    <xf numFmtId="0" fontId="0" fillId="0" borderId="113" xfId="0" applyFill="1" applyBorder="1" applyAlignment="1">
      <alignment/>
    </xf>
    <xf numFmtId="166" fontId="0" fillId="0" borderId="103" xfId="42" applyNumberFormat="1" applyBorder="1" applyAlignment="1">
      <alignment/>
    </xf>
    <xf numFmtId="10" fontId="0" fillId="0" borderId="103" xfId="60" applyNumberFormat="1" applyBorder="1" applyAlignment="1">
      <alignment/>
    </xf>
    <xf numFmtId="0" fontId="0" fillId="0" borderId="111" xfId="0" applyBorder="1" applyAlignment="1">
      <alignment/>
    </xf>
    <xf numFmtId="37" fontId="0" fillId="0" borderId="209" xfId="0" applyNumberFormat="1" applyBorder="1" applyAlignment="1" applyProtection="1">
      <alignment/>
      <protection/>
    </xf>
    <xf numFmtId="37" fontId="0" fillId="0" borderId="210" xfId="0" applyNumberFormat="1" applyBorder="1" applyAlignment="1" applyProtection="1">
      <alignment/>
      <protection/>
    </xf>
    <xf numFmtId="0" fontId="0" fillId="0" borderId="124" xfId="0" applyFill="1" applyBorder="1" applyAlignment="1">
      <alignment/>
    </xf>
    <xf numFmtId="166" fontId="0" fillId="0" borderId="111" xfId="42" applyNumberFormat="1" applyBorder="1" applyAlignment="1">
      <alignment/>
    </xf>
    <xf numFmtId="10" fontId="0" fillId="0" borderId="111" xfId="60" applyNumberFormat="1" applyBorder="1" applyAlignment="1">
      <alignment/>
    </xf>
    <xf numFmtId="9" fontId="0" fillId="0" borderId="0" xfId="60" applyAlignment="1">
      <alignment/>
    </xf>
    <xf numFmtId="38" fontId="0" fillId="0" borderId="0" xfId="0" applyNumberFormat="1" applyAlignment="1">
      <alignment/>
    </xf>
    <xf numFmtId="0" fontId="24" fillId="0" borderId="103" xfId="0" applyFont="1" applyBorder="1" applyAlignment="1">
      <alignment/>
    </xf>
    <xf numFmtId="37" fontId="24" fillId="0" borderId="18" xfId="0" applyNumberFormat="1" applyFont="1" applyBorder="1" applyAlignment="1" applyProtection="1">
      <alignment/>
      <protection/>
    </xf>
    <xf numFmtId="37" fontId="24" fillId="0" borderId="103" xfId="0" applyNumberFormat="1" applyFont="1" applyBorder="1" applyAlignment="1" applyProtection="1">
      <alignment/>
      <protection/>
    </xf>
    <xf numFmtId="166" fontId="24" fillId="0" borderId="103" xfId="42" applyNumberFormat="1" applyFont="1" applyBorder="1" applyAlignment="1">
      <alignment/>
    </xf>
    <xf numFmtId="38" fontId="68" fillId="0" borderId="0" xfId="0" applyNumberFormat="1" applyFont="1" applyAlignment="1">
      <alignment/>
    </xf>
    <xf numFmtId="3" fontId="0" fillId="0" borderId="115" xfId="0" applyNumberFormat="1" applyFont="1" applyBorder="1" applyAlignment="1">
      <alignment horizontal="center"/>
    </xf>
    <xf numFmtId="166" fontId="0" fillId="0" borderId="103" xfId="42" applyNumberFormat="1" applyFill="1" applyBorder="1" applyAlignment="1">
      <alignment/>
    </xf>
    <xf numFmtId="0" fontId="22" fillId="0" borderId="207" xfId="0" applyFont="1" applyBorder="1" applyAlignment="1">
      <alignment/>
    </xf>
    <xf numFmtId="0" fontId="22" fillId="0" borderId="114" xfId="0" applyFont="1" applyBorder="1" applyAlignment="1">
      <alignment/>
    </xf>
    <xf numFmtId="166" fontId="22" fillId="0" borderId="208" xfId="42" applyNumberFormat="1" applyFont="1" applyBorder="1" applyAlignment="1">
      <alignment/>
    </xf>
    <xf numFmtId="166" fontId="22" fillId="0" borderId="114" xfId="42" applyNumberFormat="1" applyFont="1" applyBorder="1" applyAlignment="1">
      <alignment/>
    </xf>
    <xf numFmtId="166" fontId="22" fillId="0" borderId="114" xfId="42" applyNumberFormat="1" applyFont="1" applyFill="1" applyBorder="1" applyAlignment="1">
      <alignment/>
    </xf>
    <xf numFmtId="10" fontId="22" fillId="0" borderId="114" xfId="60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11" xfId="0" applyFill="1" applyBorder="1" applyAlignment="1">
      <alignment wrapText="1"/>
    </xf>
    <xf numFmtId="0" fontId="18" fillId="0" borderId="0" xfId="0" applyFont="1" applyAlignment="1">
      <alignment/>
    </xf>
    <xf numFmtId="0" fontId="25" fillId="0" borderId="0" xfId="0" applyFont="1" applyAlignment="1" quotePrefix="1">
      <alignment horizontal="left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33" borderId="21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94" xfId="0" applyFont="1" applyFill="1" applyBorder="1" applyAlignment="1">
      <alignment horizontal="center" vertical="center" wrapText="1"/>
    </xf>
    <xf numFmtId="0" fontId="7" fillId="0" borderId="213" xfId="0" applyFont="1" applyFill="1" applyBorder="1" applyAlignment="1" quotePrefix="1">
      <alignment horizontal="left" vertical="center" wrapText="1"/>
    </xf>
    <xf numFmtId="0" fontId="7" fillId="0" borderId="214" xfId="0" applyFont="1" applyFill="1" applyBorder="1" applyAlignment="1">
      <alignment horizontal="left" vertical="center" wrapText="1"/>
    </xf>
    <xf numFmtId="0" fontId="5" fillId="0" borderId="20" xfId="0" applyFont="1" applyBorder="1" applyAlignment="1" quotePrefix="1">
      <alignment horizontal="center" wrapText="1"/>
    </xf>
    <xf numFmtId="0" fontId="5" fillId="0" borderId="20" xfId="0" applyFont="1" applyBorder="1" applyAlignment="1">
      <alignment horizontal="center" wrapText="1"/>
    </xf>
    <xf numFmtId="0" fontId="7" fillId="33" borderId="212" xfId="0" applyFont="1" applyFill="1" applyBorder="1" applyAlignment="1" quotePrefix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9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left"/>
    </xf>
    <xf numFmtId="0" fontId="14" fillId="33" borderId="53" xfId="0" applyFont="1" applyFill="1" applyBorder="1" applyAlignment="1" quotePrefix="1">
      <alignment horizontal="left" wrapText="1"/>
    </xf>
    <xf numFmtId="0" fontId="0" fillId="0" borderId="215" xfId="0" applyBorder="1" applyAlignment="1">
      <alignment horizontal="left" wrapText="1"/>
    </xf>
    <xf numFmtId="0" fontId="14" fillId="33" borderId="216" xfId="0" applyFont="1" applyFill="1" applyBorder="1" applyAlignment="1" quotePrefix="1">
      <alignment horizontal="left" wrapText="1"/>
    </xf>
    <xf numFmtId="0" fontId="0" fillId="0" borderId="217" xfId="0" applyBorder="1" applyAlignment="1">
      <alignment horizontal="left" wrapText="1"/>
    </xf>
    <xf numFmtId="0" fontId="14" fillId="33" borderId="93" xfId="0" applyFont="1" applyFill="1" applyBorder="1" applyAlignment="1">
      <alignment horizontal="left" wrapText="1"/>
    </xf>
    <xf numFmtId="0" fontId="14" fillId="33" borderId="92" xfId="0" applyFont="1" applyFill="1" applyBorder="1" applyAlignment="1">
      <alignment horizontal="left" wrapText="1"/>
    </xf>
    <xf numFmtId="10" fontId="21" fillId="41" borderId="107" xfId="60" applyNumberFormat="1" applyFont="1" applyFill="1" applyBorder="1" applyAlignment="1" applyProtection="1">
      <alignment horizontal="center" vertical="center" wrapText="1"/>
      <protection/>
    </xf>
    <xf numFmtId="10" fontId="21" fillId="41" borderId="111" xfId="60" applyNumberFormat="1" applyFont="1" applyFill="1" applyBorder="1" applyAlignment="1" applyProtection="1" quotePrefix="1">
      <alignment horizontal="center" vertical="center" wrapText="1"/>
      <protection/>
    </xf>
    <xf numFmtId="0" fontId="21" fillId="41" borderId="95" xfId="0" applyFont="1" applyFill="1" applyBorder="1" applyAlignment="1" applyProtection="1">
      <alignment horizontal="center" vertical="center" wrapText="1"/>
      <protection/>
    </xf>
    <xf numFmtId="0" fontId="21" fillId="41" borderId="96" xfId="0" applyFont="1" applyFill="1" applyBorder="1" applyAlignment="1" applyProtection="1" quotePrefix="1">
      <alignment horizontal="center" vertical="center" wrapText="1"/>
      <protection/>
    </xf>
    <xf numFmtId="0" fontId="21" fillId="41" borderId="95" xfId="0" applyFont="1" applyFill="1" applyBorder="1" applyAlignment="1" applyProtection="1" quotePrefix="1">
      <alignment horizontal="center" vertical="center" wrapText="1"/>
      <protection/>
    </xf>
    <xf numFmtId="0" fontId="0" fillId="0" borderId="96" xfId="0" applyBorder="1" applyAlignment="1">
      <alignment/>
    </xf>
    <xf numFmtId="0" fontId="18" fillId="41" borderId="95" xfId="0" applyFont="1" applyFill="1" applyBorder="1" applyAlignment="1" applyProtection="1" quotePrefix="1">
      <alignment horizontal="center" vertical="center" wrapText="1"/>
      <protection/>
    </xf>
    <xf numFmtId="0" fontId="18" fillId="41" borderId="96" xfId="0" applyFont="1" applyFill="1" applyBorder="1" applyAlignment="1" applyProtection="1" quotePrefix="1">
      <alignment horizontal="center" vertical="center" wrapText="1"/>
      <protection/>
    </xf>
    <xf numFmtId="0" fontId="18" fillId="34" borderId="97" xfId="0" applyFont="1" applyFill="1" applyBorder="1" applyAlignment="1" applyProtection="1">
      <alignment horizontal="center" wrapText="1"/>
      <protection locked="0"/>
    </xf>
    <xf numFmtId="0" fontId="18" fillId="34" borderId="218" xfId="0" applyFont="1" applyFill="1" applyBorder="1" applyAlignment="1" applyProtection="1" quotePrefix="1">
      <alignment horizontal="center" wrapText="1"/>
      <protection locked="0"/>
    </xf>
    <xf numFmtId="0" fontId="19" fillId="0" borderId="98" xfId="0" applyFont="1" applyBorder="1" applyAlignment="1" applyProtection="1">
      <alignment horizontal="center" vertical="center" wrapText="1"/>
      <protection/>
    </xf>
    <xf numFmtId="0" fontId="19" fillId="0" borderId="108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7" fillId="0" borderId="0" xfId="0" applyFont="1" applyAlignment="1">
      <alignment horizontal="left"/>
    </xf>
    <xf numFmtId="49" fontId="21" fillId="34" borderId="73" xfId="0" applyNumberFormat="1" applyFont="1" applyFill="1" applyBorder="1" applyAlignment="1" quotePrefix="1">
      <alignment horizontal="center" vertical="center" wrapText="1"/>
    </xf>
    <xf numFmtId="49" fontId="21" fillId="34" borderId="111" xfId="0" applyNumberFormat="1" applyFont="1" applyFill="1" applyBorder="1" applyAlignment="1" quotePrefix="1">
      <alignment horizontal="center" vertical="center" wrapText="1"/>
    </xf>
    <xf numFmtId="49" fontId="45" fillId="44" borderId="219" xfId="0" applyNumberFormat="1" applyFont="1" applyFill="1" applyBorder="1" applyAlignment="1" applyProtection="1">
      <alignment horizontal="center" vertical="center" wrapText="1"/>
      <protection/>
    </xf>
    <xf numFmtId="49" fontId="45" fillId="44" borderId="53" xfId="0" applyNumberFormat="1" applyFont="1" applyFill="1" applyBorder="1" applyAlignment="1" applyProtection="1">
      <alignment horizontal="center" vertical="center" wrapText="1"/>
      <protection/>
    </xf>
    <xf numFmtId="49" fontId="0" fillId="33" borderId="53" xfId="0" applyNumberFormat="1" applyFill="1" applyBorder="1" applyAlignment="1">
      <alignment wrapText="1"/>
    </xf>
    <xf numFmtId="49" fontId="0" fillId="33" borderId="110" xfId="0" applyNumberFormat="1" applyFill="1" applyBorder="1" applyAlignment="1">
      <alignment wrapText="1"/>
    </xf>
    <xf numFmtId="49" fontId="21" fillId="34" borderId="73" xfId="0" applyNumberFormat="1" applyFont="1" applyFill="1" applyBorder="1" applyAlignment="1">
      <alignment horizontal="center" vertical="center" wrapText="1"/>
    </xf>
    <xf numFmtId="49" fontId="0" fillId="0" borderId="111" xfId="0" applyNumberFormat="1" applyBorder="1" applyAlignment="1">
      <alignment horizontal="center" vertical="center" wrapText="1"/>
    </xf>
    <xf numFmtId="49" fontId="21" fillId="34" borderId="7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1" xfId="0" applyNumberFormat="1" applyBorder="1" applyAlignment="1">
      <alignment horizontal="center" vertical="center"/>
    </xf>
    <xf numFmtId="49" fontId="45" fillId="44" borderId="219" xfId="0" applyNumberFormat="1" applyFont="1" applyFill="1" applyBorder="1" applyAlignment="1" applyProtection="1" quotePrefix="1">
      <alignment horizontal="center" vertical="center" wrapText="1"/>
      <protection/>
    </xf>
    <xf numFmtId="49" fontId="45" fillId="44" borderId="53" xfId="0" applyNumberFormat="1" applyFont="1" applyFill="1" applyBorder="1" applyAlignment="1" applyProtection="1" quotePrefix="1">
      <alignment horizontal="center" vertical="center" wrapText="1"/>
      <protection/>
    </xf>
    <xf numFmtId="49" fontId="45" fillId="44" borderId="110" xfId="0" applyNumberFormat="1" applyFont="1" applyFill="1" applyBorder="1" applyAlignment="1" applyProtection="1" quotePrefix="1">
      <alignment horizontal="center" vertical="center" wrapText="1"/>
      <protection/>
    </xf>
    <xf numFmtId="49" fontId="21" fillId="34" borderId="220" xfId="0" applyNumberFormat="1" applyFont="1" applyFill="1" applyBorder="1" applyAlignment="1">
      <alignment horizontal="center" vertical="center" wrapText="1"/>
    </xf>
    <xf numFmtId="49" fontId="21" fillId="34" borderId="123" xfId="0" applyNumberFormat="1" applyFont="1" applyFill="1" applyBorder="1" applyAlignment="1">
      <alignment horizontal="center" vertical="center" wrapText="1"/>
    </xf>
    <xf numFmtId="49" fontId="21" fillId="34" borderId="220" xfId="0" applyNumberFormat="1" applyFont="1" applyFill="1" applyBorder="1" applyAlignment="1" quotePrefix="1">
      <alignment horizontal="center" vertical="center" wrapText="1"/>
    </xf>
    <xf numFmtId="49" fontId="0" fillId="0" borderId="123" xfId="0" applyNumberFormat="1" applyBorder="1" applyAlignment="1">
      <alignment horizontal="center" vertical="center" wrapText="1"/>
    </xf>
    <xf numFmtId="49" fontId="21" fillId="34" borderId="117" xfId="0" applyNumberFormat="1" applyFont="1" applyFill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21" fillId="34" borderId="221" xfId="0" applyNumberFormat="1" applyFont="1" applyFill="1" applyBorder="1" applyAlignment="1" quotePrefix="1">
      <alignment horizontal="center" vertical="center" wrapText="1"/>
    </xf>
    <xf numFmtId="49" fontId="21" fillId="34" borderId="165" xfId="0" applyNumberFormat="1" applyFont="1" applyFill="1" applyBorder="1" applyAlignment="1" quotePrefix="1">
      <alignment horizontal="center" vertical="center" wrapText="1"/>
    </xf>
    <xf numFmtId="49" fontId="21" fillId="34" borderId="204" xfId="0" applyNumberFormat="1" applyFont="1" applyFill="1" applyBorder="1" applyAlignment="1" applyProtection="1">
      <alignment horizontal="center" vertical="center" wrapText="1"/>
      <protection/>
    </xf>
    <xf numFmtId="49" fontId="0" fillId="0" borderId="187" xfId="0" applyNumberFormat="1" applyBorder="1" applyAlignment="1">
      <alignment horizontal="center" vertical="center" wrapText="1"/>
    </xf>
    <xf numFmtId="49" fontId="0" fillId="0" borderId="206" xfId="0" applyNumberFormat="1" applyBorder="1" applyAlignment="1">
      <alignment horizontal="center" vertical="center" wrapText="1"/>
    </xf>
    <xf numFmtId="49" fontId="45" fillId="43" borderId="219" xfId="0" applyNumberFormat="1" applyFont="1" applyFill="1" applyBorder="1" applyAlignment="1" applyProtection="1">
      <alignment horizontal="center" vertical="center"/>
      <protection/>
    </xf>
    <xf numFmtId="49" fontId="45" fillId="43" borderId="53" xfId="0" applyNumberFormat="1" applyFont="1" applyFill="1" applyBorder="1" applyAlignment="1" applyProtection="1">
      <alignment horizontal="center" vertical="center"/>
      <protection/>
    </xf>
    <xf numFmtId="49" fontId="45" fillId="43" borderId="110" xfId="0" applyNumberFormat="1" applyFont="1" applyFill="1" applyBorder="1" applyAlignment="1" applyProtection="1">
      <alignment horizontal="center" vertical="center"/>
      <protection/>
    </xf>
    <xf numFmtId="49" fontId="21" fillId="34" borderId="117" xfId="0" applyNumberFormat="1" applyFont="1" applyFill="1" applyBorder="1" applyAlignment="1" quotePrefix="1">
      <alignment horizontal="center" vertical="center" wrapText="1"/>
    </xf>
    <xf numFmtId="49" fontId="21" fillId="34" borderId="122" xfId="0" applyNumberFormat="1" applyFont="1" applyFill="1" applyBorder="1" applyAlignment="1" quotePrefix="1">
      <alignment horizontal="center" vertical="center" wrapText="1"/>
    </xf>
    <xf numFmtId="49" fontId="45" fillId="43" borderId="219" xfId="0" applyNumberFormat="1" applyFont="1" applyFill="1" applyBorder="1" applyAlignment="1" applyProtection="1">
      <alignment horizontal="center" vertical="center" wrapText="1"/>
      <protection/>
    </xf>
    <xf numFmtId="49" fontId="45" fillId="43" borderId="53" xfId="0" applyNumberFormat="1" applyFont="1" applyFill="1" applyBorder="1" applyAlignment="1" applyProtection="1">
      <alignment horizontal="center" vertical="center" wrapText="1"/>
      <protection/>
    </xf>
    <xf numFmtId="49" fontId="45" fillId="43" borderId="110" xfId="0" applyNumberFormat="1" applyFont="1" applyFill="1" applyBorder="1" applyAlignment="1" applyProtection="1">
      <alignment horizontal="center" vertical="center" wrapText="1"/>
      <protection/>
    </xf>
    <xf numFmtId="0" fontId="45" fillId="43" borderId="222" xfId="0" applyFont="1" applyFill="1" applyBorder="1" applyAlignment="1" applyProtection="1">
      <alignment horizontal="center" vertical="center" wrapText="1"/>
      <protection/>
    </xf>
    <xf numFmtId="0" fontId="0" fillId="0" borderId="223" xfId="0" applyBorder="1" applyAlignment="1">
      <alignment horizontal="center" vertical="center" wrapText="1"/>
    </xf>
    <xf numFmtId="0" fontId="45" fillId="43" borderId="224" xfId="0" applyFont="1" applyFill="1" applyBorder="1" applyAlignment="1" applyProtection="1" quotePrefix="1">
      <alignment horizontal="center" vertical="center" wrapText="1"/>
      <protection/>
    </xf>
    <xf numFmtId="0" fontId="45" fillId="43" borderId="222" xfId="0" applyFont="1" applyFill="1" applyBorder="1" applyAlignment="1" applyProtection="1" quotePrefix="1">
      <alignment horizontal="center" vertical="center" wrapText="1"/>
      <protection/>
    </xf>
    <xf numFmtId="0" fontId="45" fillId="43" borderId="223" xfId="0" applyFont="1" applyFill="1" applyBorder="1" applyAlignment="1" applyProtection="1" quotePrefix="1">
      <alignment horizontal="center" vertical="center" wrapText="1"/>
      <protection/>
    </xf>
    <xf numFmtId="0" fontId="21" fillId="34" borderId="115" xfId="0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45" fillId="43" borderId="225" xfId="0" applyFont="1" applyFill="1" applyBorder="1" applyAlignment="1" applyProtection="1" quotePrefix="1">
      <alignment horizontal="center" vertical="center" wrapText="1"/>
      <protection/>
    </xf>
    <xf numFmtId="49" fontId="21" fillId="34" borderId="168" xfId="0" applyNumberFormat="1" applyFont="1" applyFill="1" applyBorder="1" applyAlignment="1">
      <alignment horizontal="center" vertical="center" wrapText="1"/>
    </xf>
    <xf numFmtId="49" fontId="21" fillId="34" borderId="118" xfId="0" applyNumberFormat="1" applyFont="1" applyFill="1" applyBorder="1" applyAlignment="1">
      <alignment horizontal="center" vertical="center" wrapText="1"/>
    </xf>
    <xf numFmtId="49" fontId="21" fillId="34" borderId="122" xfId="0" applyNumberFormat="1" applyFont="1" applyFill="1" applyBorder="1" applyAlignment="1">
      <alignment horizontal="center" vertical="center" wrapText="1"/>
    </xf>
    <xf numFmtId="0" fontId="21" fillId="34" borderId="107" xfId="0" applyFont="1" applyFill="1" applyBorder="1" applyAlignment="1" quotePrefix="1">
      <alignment horizontal="center" vertical="center" wrapText="1"/>
    </xf>
    <xf numFmtId="0" fontId="21" fillId="34" borderId="103" xfId="0" applyFont="1" applyFill="1" applyBorder="1" applyAlignment="1" quotePrefix="1">
      <alignment horizontal="center" vertical="center" wrapText="1"/>
    </xf>
    <xf numFmtId="0" fontId="49" fillId="33" borderId="98" xfId="0" applyFont="1" applyFill="1" applyBorder="1" applyAlignment="1">
      <alignment horizontal="center" wrapText="1"/>
    </xf>
    <xf numFmtId="0" fontId="49" fillId="33" borderId="108" xfId="0" applyFont="1" applyFill="1" applyBorder="1" applyAlignment="1">
      <alignment horizontal="center" wrapText="1"/>
    </xf>
    <xf numFmtId="0" fontId="21" fillId="34" borderId="112" xfId="0" applyFont="1" applyFill="1" applyBorder="1" applyAlignment="1" quotePrefix="1">
      <alignment horizontal="center" vertical="center" wrapText="1"/>
    </xf>
    <xf numFmtId="0" fontId="21" fillId="34" borderId="113" xfId="0" applyFont="1" applyFill="1" applyBorder="1" applyAlignment="1" quotePrefix="1">
      <alignment horizontal="center" vertical="center" wrapText="1"/>
    </xf>
    <xf numFmtId="0" fontId="0" fillId="0" borderId="124" xfId="0" applyBorder="1" applyAlignment="1">
      <alignment horizontal="center" wrapText="1"/>
    </xf>
    <xf numFmtId="0" fontId="45" fillId="45" borderId="224" xfId="0" applyFont="1" applyFill="1" applyBorder="1" applyAlignment="1" quotePrefix="1">
      <alignment horizontal="center" vertical="center" wrapText="1"/>
    </xf>
    <xf numFmtId="0" fontId="45" fillId="45" borderId="223" xfId="0" applyFont="1" applyFill="1" applyBorder="1" applyAlignment="1">
      <alignment horizontal="center" vertical="center" wrapText="1"/>
    </xf>
    <xf numFmtId="0" fontId="45" fillId="43" borderId="224" xfId="0" applyFont="1" applyFill="1" applyBorder="1" applyAlignment="1" applyProtection="1">
      <alignment horizontal="center" vertical="center" wrapText="1"/>
      <protection/>
    </xf>
    <xf numFmtId="0" fontId="45" fillId="43" borderId="223" xfId="0" applyFont="1" applyFill="1" applyBorder="1" applyAlignment="1" applyProtection="1">
      <alignment horizontal="center" vertical="center" wrapText="1"/>
      <protection/>
    </xf>
    <xf numFmtId="38" fontId="18" fillId="34" borderId="168" xfId="0" applyNumberFormat="1" applyFont="1" applyFill="1" applyBorder="1" applyAlignment="1" quotePrefix="1">
      <alignment horizontal="center" wrapText="1"/>
    </xf>
    <xf numFmtId="38" fontId="18" fillId="34" borderId="124" xfId="0" applyNumberFormat="1" applyFont="1" applyFill="1" applyBorder="1" applyAlignment="1" quotePrefix="1">
      <alignment horizontal="center" wrapText="1"/>
    </xf>
    <xf numFmtId="0" fontId="21" fillId="34" borderId="168" xfId="0" applyFont="1" applyFill="1" applyBorder="1" applyAlignment="1" quotePrefix="1">
      <alignment horizontal="center" vertical="center" wrapText="1"/>
    </xf>
    <xf numFmtId="0" fontId="21" fillId="34" borderId="118" xfId="0" applyFont="1" applyFill="1" applyBorder="1" applyAlignment="1" quotePrefix="1">
      <alignment horizontal="center" vertical="center" wrapText="1"/>
    </xf>
    <xf numFmtId="0" fontId="0" fillId="0" borderId="122" xfId="0" applyBorder="1" applyAlignment="1">
      <alignment horizontal="center" wrapText="1"/>
    </xf>
    <xf numFmtId="38" fontId="21" fillId="34" borderId="168" xfId="0" applyNumberFormat="1" applyFont="1" applyFill="1" applyBorder="1" applyAlignment="1" quotePrefix="1">
      <alignment horizontal="center" wrapText="1"/>
    </xf>
    <xf numFmtId="38" fontId="21" fillId="34" borderId="122" xfId="0" applyNumberFormat="1" applyFont="1" applyFill="1" applyBorder="1" applyAlignment="1" quotePrefix="1">
      <alignment horizontal="center" wrapText="1"/>
    </xf>
    <xf numFmtId="0" fontId="4" fillId="0" borderId="0" xfId="0" applyFont="1" applyFill="1" applyAlignment="1">
      <alignment horizontal="center" vertical="center"/>
    </xf>
    <xf numFmtId="0" fontId="21" fillId="34" borderId="107" xfId="0" applyFont="1" applyFill="1" applyBorder="1" applyAlignment="1">
      <alignment horizontal="center" vertical="center" wrapText="1"/>
    </xf>
    <xf numFmtId="0" fontId="21" fillId="34" borderId="103" xfId="0" applyFont="1" applyFill="1" applyBorder="1" applyAlignment="1">
      <alignment horizontal="center" vertical="center" wrapText="1"/>
    </xf>
    <xf numFmtId="0" fontId="21" fillId="34" borderId="111" xfId="0" applyFont="1" applyFill="1" applyBorder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 quotePrefix="1">
      <alignment horizontal="center" vertical="center"/>
    </xf>
    <xf numFmtId="0" fontId="59" fillId="34" borderId="98" xfId="0" applyFont="1" applyFill="1" applyBorder="1" applyAlignment="1">
      <alignment horizontal="left" wrapText="1"/>
    </xf>
    <xf numFmtId="0" fontId="59" fillId="34" borderId="76" xfId="0" applyFont="1" applyFill="1" applyBorder="1" applyAlignment="1">
      <alignment horizontal="left" wrapText="1"/>
    </xf>
    <xf numFmtId="0" fontId="59" fillId="34" borderId="108" xfId="0" applyFont="1" applyFill="1" applyBorder="1" applyAlignment="1">
      <alignment horizontal="left" wrapText="1"/>
    </xf>
    <xf numFmtId="0" fontId="37" fillId="33" borderId="98" xfId="0" applyFont="1" applyFill="1" applyBorder="1" applyAlignment="1">
      <alignment horizontal="center" vertical="center"/>
    </xf>
    <xf numFmtId="0" fontId="37" fillId="33" borderId="76" xfId="0" applyFont="1" applyFill="1" applyBorder="1" applyAlignment="1">
      <alignment horizontal="center" vertical="center"/>
    </xf>
    <xf numFmtId="0" fontId="37" fillId="33" borderId="108" xfId="0" applyFont="1" applyFill="1" applyBorder="1" applyAlignment="1">
      <alignment horizontal="center" vertical="center"/>
    </xf>
    <xf numFmtId="0" fontId="28" fillId="0" borderId="0" xfId="0" applyFont="1" applyBorder="1" applyAlignment="1" quotePrefix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7" fillId="33" borderId="98" xfId="0" applyFont="1" applyFill="1" applyBorder="1" applyAlignment="1" quotePrefix="1">
      <alignment horizontal="center" vertical="center" wrapText="1"/>
    </xf>
    <xf numFmtId="0" fontId="37" fillId="33" borderId="76" xfId="0" applyFont="1" applyFill="1" applyBorder="1" applyAlignment="1">
      <alignment horizontal="center" vertical="center" wrapText="1"/>
    </xf>
    <xf numFmtId="0" fontId="37" fillId="33" borderId="108" xfId="0" applyFont="1" applyFill="1" applyBorder="1" applyAlignment="1">
      <alignment horizontal="center" vertical="center" wrapText="1"/>
    </xf>
    <xf numFmtId="0" fontId="21" fillId="34" borderId="107" xfId="0" applyFont="1" applyFill="1" applyBorder="1" applyAlignment="1" quotePrefix="1">
      <alignment horizontal="center" wrapText="1"/>
    </xf>
    <xf numFmtId="0" fontId="22" fillId="0" borderId="111" xfId="0" applyFont="1" applyBorder="1" applyAlignment="1">
      <alignment horizontal="center" wrapText="1"/>
    </xf>
    <xf numFmtId="0" fontId="18" fillId="34" borderId="107" xfId="0" applyFont="1" applyFill="1" applyBorder="1" applyAlignment="1" quotePrefix="1">
      <alignment horizontal="center" vertical="center" wrapText="1"/>
    </xf>
    <xf numFmtId="0" fontId="0" fillId="0" borderId="111" xfId="0" applyBorder="1" applyAlignment="1">
      <alignment horizontal="center" wrapText="1"/>
    </xf>
    <xf numFmtId="0" fontId="9" fillId="34" borderId="107" xfId="0" applyFont="1" applyFill="1" applyBorder="1" applyAlignment="1">
      <alignment horizontal="center" wrapText="1"/>
    </xf>
    <xf numFmtId="0" fontId="9" fillId="34" borderId="111" xfId="0" applyFont="1" applyFill="1" applyBorder="1" applyAlignment="1">
      <alignment horizontal="center" wrapText="1"/>
    </xf>
    <xf numFmtId="0" fontId="19" fillId="0" borderId="98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8" fillId="33" borderId="98" xfId="0" applyFont="1" applyFill="1" applyBorder="1" applyAlignment="1" quotePrefix="1">
      <alignment horizontal="center" vertical="center"/>
    </xf>
    <xf numFmtId="0" fontId="18" fillId="33" borderId="76" xfId="0" applyFont="1" applyFill="1" applyBorder="1" applyAlignment="1" quotePrefix="1">
      <alignment horizontal="center" vertical="center"/>
    </xf>
    <xf numFmtId="0" fontId="18" fillId="33" borderId="108" xfId="0" applyFont="1" applyFill="1" applyBorder="1" applyAlignment="1" quotePrefix="1">
      <alignment horizontal="center" vertical="center"/>
    </xf>
    <xf numFmtId="0" fontId="37" fillId="33" borderId="98" xfId="0" applyFont="1" applyFill="1" applyBorder="1" applyAlignment="1">
      <alignment horizontal="center" wrapText="1"/>
    </xf>
    <xf numFmtId="0" fontId="37" fillId="33" borderId="108" xfId="0" applyFont="1" applyFill="1" applyBorder="1" applyAlignment="1">
      <alignment horizontal="center" wrapText="1"/>
    </xf>
    <xf numFmtId="0" fontId="18" fillId="34" borderId="107" xfId="0" applyFont="1" applyFill="1" applyBorder="1" applyAlignment="1">
      <alignment horizontal="center" vertical="center" wrapText="1"/>
    </xf>
    <xf numFmtId="0" fontId="18" fillId="34" borderId="111" xfId="0" applyFont="1" applyFill="1" applyBorder="1" applyAlignment="1">
      <alignment horizontal="center" vertical="center"/>
    </xf>
    <xf numFmtId="0" fontId="37" fillId="34" borderId="107" xfId="0" applyFont="1" applyFill="1" applyBorder="1" applyAlignment="1">
      <alignment horizontal="center" wrapText="1"/>
    </xf>
    <xf numFmtId="0" fontId="18" fillId="34" borderId="121" xfId="0" applyFont="1" applyFill="1" applyBorder="1" applyAlignment="1">
      <alignment horizontal="center" wrapText="1"/>
    </xf>
    <xf numFmtId="0" fontId="22" fillId="33" borderId="107" xfId="0" applyFont="1" applyFill="1" applyBorder="1" applyAlignment="1">
      <alignment horizontal="center" wrapText="1"/>
    </xf>
    <xf numFmtId="0" fontId="22" fillId="33" borderId="103" xfId="0" applyFont="1" applyFill="1" applyBorder="1" applyAlignment="1">
      <alignment horizontal="center"/>
    </xf>
    <xf numFmtId="0" fontId="22" fillId="33" borderId="111" xfId="0" applyFont="1" applyFill="1" applyBorder="1" applyAlignment="1">
      <alignment horizontal="center"/>
    </xf>
    <xf numFmtId="0" fontId="75" fillId="0" borderId="0" xfId="0" applyFont="1" applyAlignment="1">
      <alignment horizontal="center" wrapText="1"/>
    </xf>
    <xf numFmtId="0" fontId="75" fillId="0" borderId="0" xfId="0" applyFont="1" applyAlignment="1" quotePrefix="1">
      <alignment horizontal="center" wrapText="1"/>
    </xf>
    <xf numFmtId="0" fontId="0" fillId="0" borderId="211" xfId="0" applyFill="1" applyBorder="1" applyAlignment="1" quotePrefix="1">
      <alignment horizontal="left" wrapText="1"/>
    </xf>
    <xf numFmtId="0" fontId="22" fillId="40" borderId="107" xfId="0" applyFont="1" applyFill="1" applyBorder="1" applyAlignment="1">
      <alignment horizontal="center" wrapText="1"/>
    </xf>
    <xf numFmtId="0" fontId="22" fillId="40" borderId="103" xfId="0" applyFont="1" applyFill="1" applyBorder="1" applyAlignment="1" quotePrefix="1">
      <alignment horizontal="center"/>
    </xf>
    <xf numFmtId="0" fontId="22" fillId="40" borderId="111" xfId="0" applyFont="1" applyFill="1" applyBorder="1" applyAlignment="1" quotePrefix="1">
      <alignment horizontal="center"/>
    </xf>
    <xf numFmtId="0" fontId="22" fillId="34" borderId="116" xfId="0" applyFont="1" applyFill="1" applyBorder="1" applyAlignment="1">
      <alignment horizontal="center"/>
    </xf>
    <xf numFmtId="0" fontId="22" fillId="34" borderId="74" xfId="0" applyFont="1" applyFill="1" applyBorder="1" applyAlignment="1">
      <alignment horizontal="center"/>
    </xf>
    <xf numFmtId="0" fontId="22" fillId="34" borderId="112" xfId="0" applyFont="1" applyFill="1" applyBorder="1" applyAlignment="1">
      <alignment horizontal="center"/>
    </xf>
    <xf numFmtId="0" fontId="22" fillId="34" borderId="63" xfId="0" applyFont="1" applyFill="1" applyBorder="1" applyAlignment="1">
      <alignment horizontal="center"/>
    </xf>
    <xf numFmtId="0" fontId="22" fillId="34" borderId="124" xfId="0" applyFont="1" applyFill="1" applyBorder="1" applyAlignment="1">
      <alignment horizontal="center"/>
    </xf>
    <xf numFmtId="0" fontId="22" fillId="34" borderId="121" xfId="0" applyFont="1" applyFill="1" applyBorder="1" applyAlignment="1">
      <alignment horizontal="center"/>
    </xf>
    <xf numFmtId="0" fontId="77" fillId="0" borderId="211" xfId="0" applyFont="1" applyBorder="1" applyAlignment="1">
      <alignment horizontal="left" wrapText="1"/>
    </xf>
    <xf numFmtId="0" fontId="25" fillId="0" borderId="211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155</xdr:row>
      <xdr:rowOff>123825</xdr:rowOff>
    </xdr:from>
    <xdr:to>
      <xdr:col>12</xdr:col>
      <xdr:colOff>28575</xdr:colOff>
      <xdr:row>157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1363325" y="26060400"/>
          <a:ext cx="0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428625</xdr:colOff>
      <xdr:row>76</xdr:row>
      <xdr:rowOff>104775</xdr:rowOff>
    </xdr:from>
    <xdr:to>
      <xdr:col>15</xdr:col>
      <xdr:colOff>609600</xdr:colOff>
      <xdr:row>77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192125" y="14230350"/>
          <a:ext cx="180975" cy="2190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lde/uploads/FY2006-2007%20MFP%20Budget%20Letter_Ju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5-06\November%202005%20Revised%20Budget%20Letter\November%2014%20Based%20on%20Rejection\REVISED%20BUDGET%20LETTER\May_June%20Payment\SCR%2029%20May_June%20Payments%20FY%2005-06%20BUDGET%20LETT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6-07\Prior%20Year%20Adjusted%20Budget%20Letter\Adjusted%20FY%2005-06%20FINAL%20BUDGET%20LETT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6-07\Student%20Data\Special%20Ed\MFP%20Membership%20As%20of%20May%201%20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6-07\Student%20Data\VocEd\voced%20units%20sent%20to%20Charlotte%20for%20July%202006%20budget%20lett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6-07\Southern%20Lab%20PreAudit%20Displac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6-07\Type%205%20Per%20Pupil%20Amounts_FY04-05%20AFR%20050106_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6-07\Tax%20Data\Tax%20Data%20per%20FINAL%20A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 State Summary"/>
      <sheetName val="Table 2 Distribution &amp; Adjusts"/>
      <sheetName val="Table 3 Levels 1&amp;2"/>
      <sheetName val="Table 3A Cert Pay Req"/>
      <sheetName val="Table 4 Level 3"/>
      <sheetName val="Table 5B RSD"/>
      <sheetName val="Table 6 Local Wealth Factor"/>
      <sheetName val="Table 7 Local Revenue"/>
      <sheetName val="Table 8 Membership"/>
      <sheetName val="Table 8A Orleans-RSD"/>
      <sheetName val="4-MFP_&amp;_Other_Funded"/>
      <sheetName val="LEP"/>
      <sheetName val="2004-05 Weighted"/>
    </sheetNames>
    <sheetDataSet>
      <sheetData sheetId="1">
        <row r="5">
          <cell r="I5">
            <v>39504242</v>
          </cell>
        </row>
        <row r="6">
          <cell r="I6">
            <v>21148043</v>
          </cell>
        </row>
        <row r="7">
          <cell r="I7">
            <v>63786720</v>
          </cell>
        </row>
        <row r="8">
          <cell r="I8">
            <v>20733934</v>
          </cell>
        </row>
        <row r="9">
          <cell r="I9">
            <v>28002177</v>
          </cell>
        </row>
        <row r="10">
          <cell r="I10">
            <v>26472658</v>
          </cell>
        </row>
        <row r="11">
          <cell r="I11">
            <v>9351655</v>
          </cell>
        </row>
        <row r="12">
          <cell r="I12">
            <v>68409290</v>
          </cell>
        </row>
        <row r="13">
          <cell r="I13">
            <v>178673602</v>
          </cell>
        </row>
        <row r="14">
          <cell r="I14">
            <v>110643540</v>
          </cell>
        </row>
        <row r="15">
          <cell r="I15">
            <v>8965089</v>
          </cell>
        </row>
        <row r="16">
          <cell r="I16">
            <v>6755189</v>
          </cell>
        </row>
        <row r="17">
          <cell r="I17">
            <v>8428029</v>
          </cell>
        </row>
        <row r="18">
          <cell r="I18">
            <v>13856655</v>
          </cell>
        </row>
        <row r="19">
          <cell r="I19">
            <v>17360202</v>
          </cell>
        </row>
        <row r="20">
          <cell r="I20">
            <v>20499337</v>
          </cell>
        </row>
        <row r="21">
          <cell r="I21">
            <v>143467678</v>
          </cell>
        </row>
        <row r="22">
          <cell r="I22">
            <v>8037152</v>
          </cell>
        </row>
        <row r="23">
          <cell r="I23">
            <v>10968175</v>
          </cell>
        </row>
        <row r="24">
          <cell r="I24">
            <v>28520136</v>
          </cell>
        </row>
        <row r="25">
          <cell r="I25">
            <v>15560541</v>
          </cell>
        </row>
        <row r="26">
          <cell r="I26">
            <v>18152558</v>
          </cell>
        </row>
        <row r="27">
          <cell r="I27">
            <v>60030315</v>
          </cell>
        </row>
        <row r="28">
          <cell r="I28">
            <v>12304274</v>
          </cell>
        </row>
        <row r="29">
          <cell r="I29">
            <v>9775512</v>
          </cell>
        </row>
        <row r="30">
          <cell r="I30">
            <v>140456886</v>
          </cell>
        </row>
        <row r="31">
          <cell r="I31">
            <v>28385684</v>
          </cell>
        </row>
        <row r="32">
          <cell r="I32">
            <v>92028417</v>
          </cell>
        </row>
        <row r="33">
          <cell r="I33">
            <v>59705222</v>
          </cell>
        </row>
        <row r="34">
          <cell r="I34">
            <v>11966414</v>
          </cell>
        </row>
        <row r="35">
          <cell r="I35">
            <v>24833603</v>
          </cell>
        </row>
        <row r="36">
          <cell r="I36">
            <v>99906686</v>
          </cell>
        </row>
        <row r="37">
          <cell r="I37">
            <v>10057407</v>
          </cell>
        </row>
        <row r="38">
          <cell r="I38">
            <v>22964267</v>
          </cell>
        </row>
        <row r="39">
          <cell r="I39">
            <v>27623891</v>
          </cell>
        </row>
        <row r="40">
          <cell r="I40">
            <v>101252128.66666667</v>
          </cell>
        </row>
        <row r="41">
          <cell r="I41">
            <v>83400312</v>
          </cell>
        </row>
        <row r="42">
          <cell r="I42">
            <v>12655641.666666666</v>
          </cell>
        </row>
        <row r="43">
          <cell r="I43">
            <v>10036954</v>
          </cell>
        </row>
        <row r="44">
          <cell r="I44">
            <v>92109741</v>
          </cell>
        </row>
        <row r="45">
          <cell r="I45">
            <v>8826805</v>
          </cell>
        </row>
        <row r="46">
          <cell r="I46">
            <v>16636059</v>
          </cell>
        </row>
        <row r="47">
          <cell r="I47">
            <v>19362842</v>
          </cell>
        </row>
        <row r="48">
          <cell r="I48">
            <v>19561800.666666668</v>
          </cell>
        </row>
        <row r="49">
          <cell r="I49">
            <v>26201585</v>
          </cell>
        </row>
        <row r="50">
          <cell r="I50">
            <v>6760848</v>
          </cell>
        </row>
        <row r="51">
          <cell r="I51">
            <v>13868257</v>
          </cell>
        </row>
        <row r="52">
          <cell r="I52">
            <v>30201517</v>
          </cell>
        </row>
        <row r="53">
          <cell r="I53">
            <v>65436525</v>
          </cell>
        </row>
        <row r="54">
          <cell r="I54">
            <v>37321666</v>
          </cell>
        </row>
        <row r="55">
          <cell r="I55">
            <v>39675075</v>
          </cell>
        </row>
        <row r="56">
          <cell r="I56">
            <v>153592593</v>
          </cell>
        </row>
        <row r="57">
          <cell r="I57">
            <v>77692277</v>
          </cell>
        </row>
        <row r="58">
          <cell r="I58">
            <v>4201641</v>
          </cell>
        </row>
        <row r="59">
          <cell r="I59">
            <v>74870357</v>
          </cell>
        </row>
        <row r="60">
          <cell r="I60">
            <v>13296125</v>
          </cell>
        </row>
        <row r="61">
          <cell r="I61">
            <v>33035327</v>
          </cell>
        </row>
        <row r="62">
          <cell r="I62">
            <v>45952566</v>
          </cell>
        </row>
        <row r="63">
          <cell r="I63">
            <v>24696099</v>
          </cell>
        </row>
        <row r="64">
          <cell r="I64">
            <v>31294511</v>
          </cell>
        </row>
        <row r="65">
          <cell r="I65">
            <v>10751677</v>
          </cell>
        </row>
        <row r="66">
          <cell r="I66">
            <v>10633614</v>
          </cell>
        </row>
        <row r="67">
          <cell r="I67">
            <v>9985862</v>
          </cell>
        </row>
        <row r="68">
          <cell r="I68">
            <v>12930826</v>
          </cell>
        </row>
        <row r="69">
          <cell r="I69">
            <v>31320985</v>
          </cell>
        </row>
        <row r="70">
          <cell r="I70">
            <v>13640105</v>
          </cell>
        </row>
        <row r="71">
          <cell r="I71">
            <v>13531661</v>
          </cell>
        </row>
        <row r="72">
          <cell r="I72">
            <v>11116232</v>
          </cell>
        </row>
        <row r="75">
          <cell r="E75">
            <v>-5111279</v>
          </cell>
        </row>
      </sheetData>
      <sheetData sheetId="2">
        <row r="8">
          <cell r="D8">
            <v>9113</v>
          </cell>
          <cell r="Q8">
            <v>12739</v>
          </cell>
          <cell r="AJ8">
            <v>38015448</v>
          </cell>
          <cell r="AN8">
            <v>42120399</v>
          </cell>
        </row>
        <row r="9">
          <cell r="D9">
            <v>4158</v>
          </cell>
          <cell r="Q9">
            <v>5908</v>
          </cell>
          <cell r="AJ9">
            <v>21253305</v>
          </cell>
          <cell r="AN9">
            <v>23089551</v>
          </cell>
        </row>
        <row r="10">
          <cell r="D10">
            <v>17451</v>
          </cell>
          <cell r="Q10">
            <v>23226</v>
          </cell>
          <cell r="AJ10">
            <v>68037127</v>
          </cell>
          <cell r="AN10">
            <v>72841291</v>
          </cell>
        </row>
        <row r="11">
          <cell r="D11">
            <v>4080</v>
          </cell>
          <cell r="Q11">
            <v>6004</v>
          </cell>
          <cell r="AJ11">
            <v>20656765</v>
          </cell>
          <cell r="AN11">
            <v>22011085</v>
          </cell>
        </row>
        <row r="12">
          <cell r="D12">
            <v>6080</v>
          </cell>
          <cell r="Q12">
            <v>8413</v>
          </cell>
          <cell r="AJ12">
            <v>25485247</v>
          </cell>
          <cell r="AN12">
            <v>27757119</v>
          </cell>
        </row>
        <row r="13">
          <cell r="D13">
            <v>6061</v>
          </cell>
          <cell r="Q13">
            <v>8271</v>
          </cell>
          <cell r="AJ13">
            <v>26413507</v>
          </cell>
          <cell r="AN13">
            <v>28313297</v>
          </cell>
        </row>
        <row r="14">
          <cell r="D14">
            <v>2260</v>
          </cell>
          <cell r="Q14">
            <v>3323</v>
          </cell>
          <cell r="AJ14">
            <v>7645155</v>
          </cell>
          <cell r="AN14">
            <v>8423788</v>
          </cell>
        </row>
        <row r="15">
          <cell r="D15">
            <v>18926</v>
          </cell>
          <cell r="Q15">
            <v>24491</v>
          </cell>
          <cell r="AJ15">
            <v>66141074</v>
          </cell>
          <cell r="AN15">
            <v>74094600</v>
          </cell>
        </row>
        <row r="16">
          <cell r="D16">
            <v>42137</v>
          </cell>
          <cell r="Q16">
            <v>57098</v>
          </cell>
          <cell r="AJ16">
            <v>170041715</v>
          </cell>
          <cell r="AN16">
            <v>186891219</v>
          </cell>
        </row>
        <row r="17">
          <cell r="D17">
            <v>30491</v>
          </cell>
          <cell r="Q17">
            <v>40637</v>
          </cell>
          <cell r="AJ17">
            <v>97066986</v>
          </cell>
          <cell r="AN17">
            <v>107858326</v>
          </cell>
        </row>
        <row r="18">
          <cell r="D18">
            <v>1730</v>
          </cell>
          <cell r="Q18">
            <v>2644</v>
          </cell>
          <cell r="AJ18">
            <v>8630734</v>
          </cell>
          <cell r="AN18">
            <v>9261887</v>
          </cell>
        </row>
        <row r="19">
          <cell r="D19">
            <v>1643</v>
          </cell>
          <cell r="Q19">
            <v>2589</v>
          </cell>
          <cell r="AJ19">
            <v>5930962</v>
          </cell>
          <cell r="AN19">
            <v>6839847</v>
          </cell>
        </row>
        <row r="20">
          <cell r="D20">
            <v>1755</v>
          </cell>
          <cell r="Q20">
            <v>2589</v>
          </cell>
          <cell r="AJ20">
            <v>8469510</v>
          </cell>
          <cell r="AN20">
            <v>9151602</v>
          </cell>
        </row>
        <row r="21">
          <cell r="D21">
            <v>2566</v>
          </cell>
          <cell r="Q21">
            <v>4097</v>
          </cell>
          <cell r="AJ21">
            <v>13302814</v>
          </cell>
          <cell r="AN21">
            <v>14441192</v>
          </cell>
        </row>
        <row r="22">
          <cell r="D22">
            <v>3930</v>
          </cell>
          <cell r="Q22">
            <v>5632</v>
          </cell>
          <cell r="AJ22">
            <v>18092237</v>
          </cell>
          <cell r="AN22">
            <v>19575706</v>
          </cell>
        </row>
        <row r="23">
          <cell r="D23">
            <v>4739</v>
          </cell>
          <cell r="Q23">
            <v>6830</v>
          </cell>
          <cell r="AJ23">
            <v>20487799</v>
          </cell>
          <cell r="AN23">
            <v>22057706</v>
          </cell>
        </row>
        <row r="24">
          <cell r="D24">
            <v>46459</v>
          </cell>
          <cell r="Q24">
            <v>64042</v>
          </cell>
          <cell r="AJ24">
            <v>113407244</v>
          </cell>
          <cell r="AN24">
            <v>160665822</v>
          </cell>
        </row>
        <row r="25">
          <cell r="D25">
            <v>1469</v>
          </cell>
          <cell r="Q25">
            <v>2305</v>
          </cell>
          <cell r="AJ25">
            <v>7574405</v>
          </cell>
          <cell r="AN25">
            <v>8225086</v>
          </cell>
        </row>
        <row r="26">
          <cell r="D26">
            <v>2238</v>
          </cell>
          <cell r="Q26">
            <v>3524</v>
          </cell>
          <cell r="AJ26">
            <v>10482727</v>
          </cell>
          <cell r="AN26">
            <v>11557558</v>
          </cell>
        </row>
        <row r="27">
          <cell r="D27">
            <v>5854</v>
          </cell>
          <cell r="Q27">
            <v>8726</v>
          </cell>
          <cell r="AJ27">
            <v>28686364</v>
          </cell>
          <cell r="AN27">
            <v>30628109</v>
          </cell>
        </row>
        <row r="28">
          <cell r="D28">
            <v>3159</v>
          </cell>
          <cell r="Q28">
            <v>4625</v>
          </cell>
          <cell r="AJ28">
            <v>13757770</v>
          </cell>
          <cell r="AN28">
            <v>14913753</v>
          </cell>
        </row>
        <row r="29">
          <cell r="D29">
            <v>3545</v>
          </cell>
          <cell r="Q29">
            <v>5272</v>
          </cell>
          <cell r="AJ29">
            <v>18030498</v>
          </cell>
          <cell r="AN29">
            <v>19053758</v>
          </cell>
        </row>
        <row r="30">
          <cell r="D30">
            <v>13638</v>
          </cell>
          <cell r="Q30">
            <v>19299</v>
          </cell>
          <cell r="AJ30">
            <v>59191914</v>
          </cell>
          <cell r="AN30">
            <v>64021859</v>
          </cell>
        </row>
        <row r="31">
          <cell r="D31">
            <v>4133</v>
          </cell>
          <cell r="Q31">
            <v>6155</v>
          </cell>
          <cell r="AJ31">
            <v>8857670</v>
          </cell>
          <cell r="AN31">
            <v>13257342</v>
          </cell>
        </row>
        <row r="32">
          <cell r="D32">
            <v>2186</v>
          </cell>
          <cell r="Q32">
            <v>3167</v>
          </cell>
          <cell r="AJ32">
            <v>8049760</v>
          </cell>
          <cell r="AN32">
            <v>8708569</v>
          </cell>
        </row>
        <row r="33">
          <cell r="D33">
            <v>44717</v>
          </cell>
          <cell r="Q33">
            <v>62250</v>
          </cell>
          <cell r="AJ33">
            <v>94780064</v>
          </cell>
          <cell r="AN33">
            <v>138199320</v>
          </cell>
        </row>
        <row r="34">
          <cell r="D34">
            <v>5656</v>
          </cell>
          <cell r="Q34">
            <v>8191</v>
          </cell>
          <cell r="AJ34">
            <v>27718169</v>
          </cell>
          <cell r="AN34">
            <v>29813403</v>
          </cell>
        </row>
        <row r="35">
          <cell r="D35">
            <v>29310</v>
          </cell>
          <cell r="Q35">
            <v>37610</v>
          </cell>
          <cell r="AJ35">
            <v>79197268</v>
          </cell>
          <cell r="AN35">
            <v>92267632</v>
          </cell>
        </row>
        <row r="36">
          <cell r="D36">
            <v>14314</v>
          </cell>
          <cell r="Q36">
            <v>19220</v>
          </cell>
          <cell r="AJ36">
            <v>55528304</v>
          </cell>
          <cell r="AN36">
            <v>61821495</v>
          </cell>
        </row>
        <row r="37">
          <cell r="D37">
            <v>2517</v>
          </cell>
          <cell r="Q37">
            <v>3585</v>
          </cell>
          <cell r="AJ37">
            <v>12068569</v>
          </cell>
          <cell r="AN37">
            <v>12989253</v>
          </cell>
        </row>
        <row r="38">
          <cell r="D38">
            <v>6609</v>
          </cell>
          <cell r="Q38">
            <v>9043</v>
          </cell>
          <cell r="AJ38">
            <v>26760328</v>
          </cell>
          <cell r="AN38">
            <v>28614834</v>
          </cell>
        </row>
        <row r="39">
          <cell r="D39">
            <v>22220</v>
          </cell>
          <cell r="Q39">
            <v>28982</v>
          </cell>
          <cell r="AJ39">
            <v>101832597</v>
          </cell>
          <cell r="AN39">
            <v>107867389</v>
          </cell>
        </row>
        <row r="40">
          <cell r="D40">
            <v>2164</v>
          </cell>
          <cell r="Q40">
            <v>3200</v>
          </cell>
          <cell r="AJ40">
            <v>9722730</v>
          </cell>
          <cell r="AN40">
            <v>10716892</v>
          </cell>
        </row>
        <row r="41">
          <cell r="D41">
            <v>4868</v>
          </cell>
          <cell r="Q41">
            <v>7101</v>
          </cell>
          <cell r="AJ41">
            <v>21831450</v>
          </cell>
          <cell r="AN41">
            <v>23732155</v>
          </cell>
        </row>
        <row r="42">
          <cell r="D42">
            <v>6544</v>
          </cell>
          <cell r="Q42">
            <v>8936</v>
          </cell>
          <cell r="AJ42">
            <v>27833717</v>
          </cell>
          <cell r="AN42">
            <v>30015507</v>
          </cell>
        </row>
        <row r="43">
          <cell r="D43">
            <v>21885</v>
          </cell>
          <cell r="Q43">
            <v>29746</v>
          </cell>
          <cell r="AJ43">
            <v>74669654</v>
          </cell>
          <cell r="AN43">
            <v>80671395</v>
          </cell>
          <cell r="AO43">
            <v>3686</v>
          </cell>
        </row>
        <row r="44">
          <cell r="D44">
            <v>18013</v>
          </cell>
          <cell r="Q44">
            <v>24128</v>
          </cell>
          <cell r="AJ44">
            <v>83736663</v>
          </cell>
          <cell r="AN44">
            <v>89122797</v>
          </cell>
        </row>
        <row r="45">
          <cell r="D45">
            <v>3599</v>
          </cell>
          <cell r="Q45">
            <v>5237</v>
          </cell>
          <cell r="AJ45">
            <v>2535667</v>
          </cell>
          <cell r="AN45">
            <v>9216749</v>
          </cell>
        </row>
        <row r="46">
          <cell r="D46">
            <v>2899</v>
          </cell>
          <cell r="Q46">
            <v>4595</v>
          </cell>
          <cell r="AJ46">
            <v>7938242</v>
          </cell>
          <cell r="AN46">
            <v>9549067</v>
          </cell>
        </row>
        <row r="47">
          <cell r="D47">
            <v>22627</v>
          </cell>
          <cell r="Q47">
            <v>31148</v>
          </cell>
          <cell r="AJ47">
            <v>89779636</v>
          </cell>
          <cell r="AN47">
            <v>100151996</v>
          </cell>
        </row>
        <row r="48">
          <cell r="D48">
            <v>1452</v>
          </cell>
          <cell r="Q48">
            <v>2239</v>
          </cell>
          <cell r="AJ48">
            <v>8351573</v>
          </cell>
          <cell r="AN48">
            <v>9139803</v>
          </cell>
        </row>
        <row r="49">
          <cell r="D49">
            <v>3327</v>
          </cell>
          <cell r="Q49">
            <v>4960</v>
          </cell>
          <cell r="AJ49">
            <v>15915309</v>
          </cell>
          <cell r="AN49">
            <v>16912056</v>
          </cell>
        </row>
        <row r="50">
          <cell r="D50">
            <v>4028</v>
          </cell>
          <cell r="Q50">
            <v>5967</v>
          </cell>
          <cell r="AJ50">
            <v>18900668</v>
          </cell>
          <cell r="AN50">
            <v>20138932</v>
          </cell>
        </row>
        <row r="51">
          <cell r="D51">
            <v>3000</v>
          </cell>
          <cell r="Q51">
            <v>4434</v>
          </cell>
          <cell r="AJ51">
            <v>12201699</v>
          </cell>
          <cell r="AN51">
            <v>12784072</v>
          </cell>
        </row>
        <row r="52">
          <cell r="D52">
            <v>9471</v>
          </cell>
          <cell r="Q52">
            <v>12530</v>
          </cell>
          <cell r="AJ52">
            <v>15593500</v>
          </cell>
          <cell r="AN52">
            <v>28267378</v>
          </cell>
        </row>
        <row r="53">
          <cell r="D53">
            <v>1438</v>
          </cell>
          <cell r="Q53">
            <v>2275</v>
          </cell>
          <cell r="AJ53">
            <v>7079009</v>
          </cell>
          <cell r="AN53">
            <v>7713437</v>
          </cell>
        </row>
        <row r="54">
          <cell r="D54">
            <v>3811</v>
          </cell>
          <cell r="Q54">
            <v>5656</v>
          </cell>
          <cell r="AJ54">
            <v>11820024</v>
          </cell>
          <cell r="AN54">
            <v>15593397</v>
          </cell>
        </row>
        <row r="55">
          <cell r="D55">
            <v>6555</v>
          </cell>
          <cell r="Q55">
            <v>9685</v>
          </cell>
          <cell r="AJ55">
            <v>28239349</v>
          </cell>
          <cell r="AN55">
            <v>31489644</v>
          </cell>
        </row>
        <row r="56">
          <cell r="D56">
            <v>14880</v>
          </cell>
          <cell r="Q56">
            <v>20900</v>
          </cell>
          <cell r="AJ56">
            <v>63530038</v>
          </cell>
          <cell r="AN56">
            <v>68298045</v>
          </cell>
        </row>
        <row r="57">
          <cell r="D57">
            <v>8133</v>
          </cell>
          <cell r="Q57">
            <v>11229</v>
          </cell>
          <cell r="AJ57">
            <v>36161209</v>
          </cell>
          <cell r="AN57">
            <v>39066815</v>
          </cell>
        </row>
        <row r="58">
          <cell r="D58">
            <v>9643</v>
          </cell>
          <cell r="Q58">
            <v>13606</v>
          </cell>
          <cell r="AJ58">
            <v>38179164</v>
          </cell>
          <cell r="AN58">
            <v>41367468</v>
          </cell>
        </row>
        <row r="59">
          <cell r="D59">
            <v>34240</v>
          </cell>
          <cell r="Q59">
            <v>48306</v>
          </cell>
          <cell r="AJ59">
            <v>142609989</v>
          </cell>
          <cell r="AN59">
            <v>153138498</v>
          </cell>
        </row>
        <row r="60">
          <cell r="D60">
            <v>18534</v>
          </cell>
          <cell r="Q60">
            <v>25466</v>
          </cell>
          <cell r="AJ60">
            <v>76884387</v>
          </cell>
          <cell r="AN60">
            <v>84097837</v>
          </cell>
        </row>
        <row r="61">
          <cell r="D61">
            <v>791</v>
          </cell>
          <cell r="Q61">
            <v>1339</v>
          </cell>
          <cell r="AJ61">
            <v>3671455</v>
          </cell>
          <cell r="AN61">
            <v>4088431</v>
          </cell>
        </row>
        <row r="62">
          <cell r="D62">
            <v>18822</v>
          </cell>
          <cell r="Q62">
            <v>26645</v>
          </cell>
          <cell r="AJ62">
            <v>70578073</v>
          </cell>
          <cell r="AN62">
            <v>78875568</v>
          </cell>
        </row>
        <row r="63">
          <cell r="D63">
            <v>3040</v>
          </cell>
          <cell r="Q63">
            <v>4405</v>
          </cell>
          <cell r="AJ63">
            <v>11740725</v>
          </cell>
          <cell r="AN63">
            <v>12563191</v>
          </cell>
        </row>
        <row r="64">
          <cell r="D64">
            <v>8540</v>
          </cell>
          <cell r="Q64">
            <v>11666</v>
          </cell>
          <cell r="AJ64">
            <v>31365068</v>
          </cell>
          <cell r="AN64">
            <v>35194892</v>
          </cell>
        </row>
        <row r="65">
          <cell r="D65">
            <v>9232</v>
          </cell>
          <cell r="Q65">
            <v>12460</v>
          </cell>
          <cell r="AJ65">
            <v>42492594</v>
          </cell>
          <cell r="AN65">
            <v>46872112</v>
          </cell>
        </row>
        <row r="66">
          <cell r="D66">
            <v>4710</v>
          </cell>
          <cell r="Q66">
            <v>7186</v>
          </cell>
          <cell r="AJ66">
            <v>25437172</v>
          </cell>
          <cell r="AN66">
            <v>27498985</v>
          </cell>
        </row>
        <row r="67">
          <cell r="D67">
            <v>7065</v>
          </cell>
          <cell r="Q67">
            <v>9661</v>
          </cell>
          <cell r="AJ67">
            <v>31322110</v>
          </cell>
          <cell r="AN67">
            <v>33439653</v>
          </cell>
        </row>
        <row r="68">
          <cell r="D68">
            <v>3357</v>
          </cell>
          <cell r="Q68">
            <v>4962</v>
          </cell>
          <cell r="AJ68">
            <v>9594525</v>
          </cell>
          <cell r="AN68">
            <v>11175842</v>
          </cell>
        </row>
        <row r="69">
          <cell r="D69">
            <v>2177</v>
          </cell>
          <cell r="Q69">
            <v>3250</v>
          </cell>
          <cell r="AJ69">
            <v>10531657</v>
          </cell>
          <cell r="AN69">
            <v>11195523</v>
          </cell>
        </row>
        <row r="70">
          <cell r="D70">
            <v>2281</v>
          </cell>
          <cell r="Q70">
            <v>3406</v>
          </cell>
          <cell r="AJ70">
            <v>3917151</v>
          </cell>
          <cell r="AN70">
            <v>10570459</v>
          </cell>
        </row>
        <row r="71">
          <cell r="D71">
            <v>2594</v>
          </cell>
          <cell r="Q71">
            <v>3901</v>
          </cell>
          <cell r="AJ71">
            <v>12518161</v>
          </cell>
          <cell r="AN71">
            <v>13430937</v>
          </cell>
        </row>
        <row r="72">
          <cell r="D72">
            <v>8767</v>
          </cell>
          <cell r="Q72">
            <v>12483</v>
          </cell>
          <cell r="AJ72">
            <v>28482454</v>
          </cell>
          <cell r="AN72">
            <v>32570340</v>
          </cell>
        </row>
        <row r="73">
          <cell r="D73">
            <v>2491</v>
          </cell>
          <cell r="Q73">
            <v>4253</v>
          </cell>
          <cell r="AJ73">
            <v>13115847</v>
          </cell>
          <cell r="AN73">
            <v>13885414</v>
          </cell>
        </row>
        <row r="74">
          <cell r="D74">
            <v>3443</v>
          </cell>
          <cell r="Q74">
            <v>4789</v>
          </cell>
          <cell r="AJ74">
            <v>14241538</v>
          </cell>
          <cell r="AN74">
            <v>15773991</v>
          </cell>
        </row>
        <row r="75">
          <cell r="D75">
            <v>2182</v>
          </cell>
          <cell r="Q75">
            <v>3133</v>
          </cell>
          <cell r="AJ75">
            <v>10387195</v>
          </cell>
          <cell r="AN75">
            <v>11499970</v>
          </cell>
        </row>
        <row r="76">
          <cell r="D76">
            <v>645747</v>
          </cell>
          <cell r="F76">
            <v>77133</v>
          </cell>
          <cell r="H76">
            <v>9952</v>
          </cell>
          <cell r="J76">
            <v>135813</v>
          </cell>
          <cell r="L76">
            <v>13411</v>
          </cell>
          <cell r="O76">
            <v>13314</v>
          </cell>
          <cell r="R76">
            <v>3652</v>
          </cell>
          <cell r="S76">
            <v>3269891240</v>
          </cell>
          <cell r="W76">
            <v>1144460697</v>
          </cell>
          <cell r="Y76">
            <v>2125430543</v>
          </cell>
          <cell r="AE76">
            <v>767348703</v>
          </cell>
          <cell r="AF76">
            <v>269072895</v>
          </cell>
          <cell r="AH76">
            <v>168595323</v>
          </cell>
          <cell r="AK76">
            <v>3708.11</v>
          </cell>
          <cell r="AO76">
            <v>4208</v>
          </cell>
          <cell r="AU76">
            <v>2960.62</v>
          </cell>
        </row>
      </sheetData>
      <sheetData sheetId="4">
        <row r="8">
          <cell r="Y8">
            <v>4104951</v>
          </cell>
        </row>
        <row r="9">
          <cell r="Y9">
            <v>1836246</v>
          </cell>
        </row>
        <row r="10">
          <cell r="Y10">
            <v>4804164</v>
          </cell>
        </row>
        <row r="11">
          <cell r="Y11">
            <v>1354320</v>
          </cell>
        </row>
        <row r="12">
          <cell r="Y12">
            <v>2271872</v>
          </cell>
        </row>
        <row r="13">
          <cell r="Y13">
            <v>1899790</v>
          </cell>
        </row>
        <row r="14">
          <cell r="Y14">
            <v>778633</v>
          </cell>
        </row>
        <row r="15">
          <cell r="Y15">
            <v>7953526</v>
          </cell>
        </row>
        <row r="16">
          <cell r="Y16">
            <v>16849504</v>
          </cell>
        </row>
        <row r="17">
          <cell r="Y17">
            <v>10791340</v>
          </cell>
        </row>
        <row r="18">
          <cell r="Y18">
            <v>631153</v>
          </cell>
        </row>
        <row r="19">
          <cell r="Y19">
            <v>908885</v>
          </cell>
        </row>
        <row r="20">
          <cell r="Y20">
            <v>682092</v>
          </cell>
        </row>
        <row r="21">
          <cell r="Y21">
            <v>1138378</v>
          </cell>
        </row>
        <row r="22">
          <cell r="Y22">
            <v>1483469</v>
          </cell>
        </row>
        <row r="23">
          <cell r="Y23">
            <v>1569907</v>
          </cell>
        </row>
        <row r="24">
          <cell r="Y24">
            <v>47258578</v>
          </cell>
        </row>
        <row r="25">
          <cell r="Y25">
            <v>650681</v>
          </cell>
        </row>
        <row r="26">
          <cell r="Y26">
            <v>1074831</v>
          </cell>
        </row>
        <row r="27">
          <cell r="Y27">
            <v>1941745</v>
          </cell>
        </row>
        <row r="28">
          <cell r="Y28">
            <v>1155983</v>
          </cell>
        </row>
        <row r="29">
          <cell r="Y29">
            <v>1023260</v>
          </cell>
        </row>
        <row r="30">
          <cell r="Y30">
            <v>4829945</v>
          </cell>
        </row>
        <row r="31">
          <cell r="Y31">
            <v>4399672</v>
          </cell>
        </row>
        <row r="32">
          <cell r="Y32">
            <v>658809</v>
          </cell>
        </row>
        <row r="33">
          <cell r="Y33">
            <v>43419256</v>
          </cell>
        </row>
        <row r="34">
          <cell r="Y34">
            <v>2095234</v>
          </cell>
        </row>
        <row r="35">
          <cell r="Y35">
            <v>13070364</v>
          </cell>
        </row>
        <row r="36">
          <cell r="Y36">
            <v>6293191</v>
          </cell>
        </row>
        <row r="37">
          <cell r="Y37">
            <v>920684</v>
          </cell>
        </row>
        <row r="38">
          <cell r="Y38">
            <v>1854506</v>
          </cell>
        </row>
        <row r="39">
          <cell r="Y39">
            <v>6034792</v>
          </cell>
        </row>
        <row r="40">
          <cell r="Y40">
            <v>994162</v>
          </cell>
        </row>
        <row r="41">
          <cell r="Y41">
            <v>1900705</v>
          </cell>
        </row>
        <row r="42">
          <cell r="Y42">
            <v>2181790</v>
          </cell>
        </row>
        <row r="43">
          <cell r="Y43">
            <v>6001741</v>
          </cell>
        </row>
        <row r="44">
          <cell r="Y44">
            <v>5386134</v>
          </cell>
        </row>
        <row r="45">
          <cell r="Y45">
            <v>6681082</v>
          </cell>
        </row>
        <row r="46">
          <cell r="Y46">
            <v>1610825</v>
          </cell>
        </row>
        <row r="47">
          <cell r="Y47">
            <v>10372360</v>
          </cell>
        </row>
        <row r="48">
          <cell r="Y48">
            <v>788230</v>
          </cell>
        </row>
        <row r="49">
          <cell r="Y49">
            <v>996747</v>
          </cell>
        </row>
        <row r="50">
          <cell r="Y50">
            <v>1238264</v>
          </cell>
        </row>
        <row r="51">
          <cell r="Y51">
            <v>582373</v>
          </cell>
        </row>
        <row r="52">
          <cell r="Y52">
            <v>12673878</v>
          </cell>
        </row>
        <row r="53">
          <cell r="Y53">
            <v>634428</v>
          </cell>
        </row>
        <row r="54">
          <cell r="Y54">
            <v>3773373</v>
          </cell>
        </row>
        <row r="55">
          <cell r="Y55">
            <v>3250295</v>
          </cell>
        </row>
        <row r="56">
          <cell r="Y56">
            <v>4768007</v>
          </cell>
        </row>
        <row r="57">
          <cell r="Y57">
            <v>2905606</v>
          </cell>
        </row>
        <row r="58">
          <cell r="Y58">
            <v>3188304</v>
          </cell>
        </row>
        <row r="59">
          <cell r="Y59">
            <v>10528509</v>
          </cell>
        </row>
        <row r="60">
          <cell r="Y60">
            <v>7213450</v>
          </cell>
        </row>
        <row r="61">
          <cell r="Y61">
            <v>416976</v>
          </cell>
        </row>
        <row r="62">
          <cell r="Y62">
            <v>8297495</v>
          </cell>
        </row>
        <row r="63">
          <cell r="Y63">
            <v>822466</v>
          </cell>
        </row>
        <row r="64">
          <cell r="Y64">
            <v>3829824</v>
          </cell>
        </row>
        <row r="65">
          <cell r="Y65">
            <v>4379518</v>
          </cell>
        </row>
        <row r="66">
          <cell r="Y66">
            <v>2061813</v>
          </cell>
        </row>
        <row r="67">
          <cell r="Y67">
            <v>2117543</v>
          </cell>
        </row>
        <row r="68">
          <cell r="Y68">
            <v>1581317</v>
          </cell>
        </row>
        <row r="69">
          <cell r="Y69">
            <v>663866</v>
          </cell>
        </row>
        <row r="70">
          <cell r="Y70">
            <v>6653308</v>
          </cell>
        </row>
        <row r="71">
          <cell r="Y71">
            <v>912776</v>
          </cell>
        </row>
        <row r="72">
          <cell r="Y72">
            <v>4087886</v>
          </cell>
        </row>
        <row r="73">
          <cell r="Y73">
            <v>769567</v>
          </cell>
        </row>
        <row r="74">
          <cell r="Y74">
            <v>1532453</v>
          </cell>
        </row>
        <row r="75">
          <cell r="Y75">
            <v>1112775</v>
          </cell>
        </row>
        <row r="76">
          <cell r="F76">
            <v>56507216</v>
          </cell>
          <cell r="J76">
            <v>18113128</v>
          </cell>
          <cell r="L76">
            <v>93719932</v>
          </cell>
          <cell r="N76">
            <v>21716638</v>
          </cell>
          <cell r="P76">
            <v>4140000</v>
          </cell>
          <cell r="R76">
            <v>0</v>
          </cell>
          <cell r="V76">
            <v>76792933</v>
          </cell>
          <cell r="X76">
            <v>51659760</v>
          </cell>
        </row>
      </sheetData>
      <sheetData sheetId="5">
        <row r="17">
          <cell r="C17">
            <v>50678814</v>
          </cell>
        </row>
      </sheetData>
      <sheetData sheetId="6">
        <row r="8">
          <cell r="L8">
            <v>0.62262247</v>
          </cell>
        </row>
        <row r="9">
          <cell r="L9">
            <v>0.50976135</v>
          </cell>
        </row>
        <row r="10">
          <cell r="L10">
            <v>0.96017854</v>
          </cell>
        </row>
        <row r="11">
          <cell r="L11">
            <v>0.52148753</v>
          </cell>
        </row>
        <row r="12">
          <cell r="L12">
            <v>0.55230127</v>
          </cell>
        </row>
        <row r="13">
          <cell r="L13">
            <v>0.72648932</v>
          </cell>
        </row>
        <row r="14">
          <cell r="L14">
            <v>1.27741342</v>
          </cell>
        </row>
        <row r="15">
          <cell r="L15">
            <v>1.0301902</v>
          </cell>
        </row>
        <row r="16">
          <cell r="L16">
            <v>0.93893774</v>
          </cell>
        </row>
        <row r="17">
          <cell r="L17">
            <v>1.22946797</v>
          </cell>
        </row>
        <row r="18">
          <cell r="L18">
            <v>0.56934326</v>
          </cell>
        </row>
        <row r="19">
          <cell r="L19">
            <v>1.28233447</v>
          </cell>
        </row>
        <row r="20">
          <cell r="L20">
            <v>0.48643011</v>
          </cell>
        </row>
        <row r="21">
          <cell r="L21">
            <v>0.64340571</v>
          </cell>
        </row>
        <row r="22">
          <cell r="L22">
            <v>0.60833034</v>
          </cell>
        </row>
        <row r="23">
          <cell r="L23">
            <v>0.92814014</v>
          </cell>
        </row>
        <row r="24">
          <cell r="L24">
            <v>1.54216759</v>
          </cell>
        </row>
        <row r="25">
          <cell r="L25">
            <v>0.43032478</v>
          </cell>
        </row>
        <row r="26">
          <cell r="L26">
            <v>0.61494707</v>
          </cell>
        </row>
        <row r="27">
          <cell r="L27">
            <v>0.5056702</v>
          </cell>
        </row>
        <row r="28">
          <cell r="L28">
            <v>0.55920061</v>
          </cell>
        </row>
        <row r="29">
          <cell r="L29">
            <v>0.29781985</v>
          </cell>
        </row>
        <row r="30">
          <cell r="L30">
            <v>0.73618787</v>
          </cell>
        </row>
        <row r="31">
          <cell r="L31">
            <v>1.73126234</v>
          </cell>
        </row>
        <row r="32">
          <cell r="L32">
            <v>1.15694868</v>
          </cell>
        </row>
        <row r="33">
          <cell r="L33">
            <v>1.66617621</v>
          </cell>
        </row>
        <row r="34">
          <cell r="L34">
            <v>0.63925175</v>
          </cell>
        </row>
        <row r="35">
          <cell r="L35">
            <v>1.36818141</v>
          </cell>
        </row>
        <row r="36">
          <cell r="L36">
            <v>0.91166338</v>
          </cell>
        </row>
        <row r="37">
          <cell r="L37">
            <v>0.56349363</v>
          </cell>
        </row>
        <row r="38">
          <cell r="L38">
            <v>0.92763772</v>
          </cell>
        </row>
        <row r="39">
          <cell r="L39">
            <v>0.42009241</v>
          </cell>
        </row>
        <row r="40">
          <cell r="L40">
            <v>0.50405527</v>
          </cell>
        </row>
        <row r="41">
          <cell r="L41">
            <v>0.73172887</v>
          </cell>
        </row>
        <row r="42">
          <cell r="L42">
            <v>0.7716894</v>
          </cell>
        </row>
        <row r="43">
          <cell r="L43">
            <v>1.13629105</v>
          </cell>
        </row>
        <row r="44">
          <cell r="L44">
            <v>0.64758209</v>
          </cell>
        </row>
        <row r="45">
          <cell r="L45">
            <v>2.47834201</v>
          </cell>
        </row>
        <row r="46">
          <cell r="L46">
            <v>1.52499551</v>
          </cell>
        </row>
        <row r="47">
          <cell r="L47">
            <v>0.85915575</v>
          </cell>
        </row>
        <row r="48">
          <cell r="L48">
            <v>0.47444823</v>
          </cell>
        </row>
        <row r="49">
          <cell r="L49">
            <v>0.54083528</v>
          </cell>
        </row>
        <row r="50">
          <cell r="L50">
            <v>0.60767091</v>
          </cell>
        </row>
        <row r="51">
          <cell r="L51">
            <v>1.02699175</v>
          </cell>
        </row>
        <row r="52">
          <cell r="L52">
            <v>1.88351427</v>
          </cell>
        </row>
        <row r="53">
          <cell r="L53">
            <v>0.4819756</v>
          </cell>
        </row>
        <row r="54">
          <cell r="L54">
            <v>1.38277409</v>
          </cell>
        </row>
        <row r="55">
          <cell r="L55">
            <v>0.9643325</v>
          </cell>
        </row>
        <row r="56">
          <cell r="L56">
            <v>0.68182756</v>
          </cell>
        </row>
        <row r="57">
          <cell r="L57">
            <v>0.58233896</v>
          </cell>
        </row>
        <row r="58">
          <cell r="L58">
            <v>0.89854656</v>
          </cell>
        </row>
        <row r="59">
          <cell r="L59">
            <v>0.95185268</v>
          </cell>
        </row>
        <row r="60">
          <cell r="L60">
            <v>0.6489054400000001</v>
          </cell>
        </row>
        <row r="61">
          <cell r="L61">
            <v>0.85387134</v>
          </cell>
        </row>
        <row r="62">
          <cell r="L62">
            <v>0.92147407</v>
          </cell>
        </row>
        <row r="63">
          <cell r="L63">
            <v>0.77193163</v>
          </cell>
        </row>
        <row r="64">
          <cell r="L64">
            <v>0.86578145</v>
          </cell>
        </row>
        <row r="65">
          <cell r="L65">
            <v>0.48635833</v>
          </cell>
        </row>
        <row r="66">
          <cell r="L66">
            <v>0.36660237</v>
          </cell>
        </row>
        <row r="67">
          <cell r="L67">
            <v>0.75285304</v>
          </cell>
        </row>
        <row r="68">
          <cell r="L68">
            <v>1.4304459</v>
          </cell>
        </row>
        <row r="69">
          <cell r="L69">
            <v>0.48564059</v>
          </cell>
        </row>
        <row r="70">
          <cell r="L70">
            <v>1.95738381</v>
          </cell>
        </row>
        <row r="71">
          <cell r="L71">
            <v>0.67017316</v>
          </cell>
        </row>
        <row r="72">
          <cell r="L72">
            <v>1.28689664</v>
          </cell>
        </row>
        <row r="73">
          <cell r="L73">
            <v>0.63791943</v>
          </cell>
        </row>
        <row r="74">
          <cell r="L74">
            <v>0.94106854</v>
          </cell>
        </row>
        <row r="75">
          <cell r="L75">
            <v>0.53644805</v>
          </cell>
        </row>
        <row r="77">
          <cell r="L77">
            <v>1</v>
          </cell>
        </row>
      </sheetData>
      <sheetData sheetId="7">
        <row r="7">
          <cell r="G7">
            <v>180701030</v>
          </cell>
          <cell r="AN7">
            <v>497352754</v>
          </cell>
          <cell r="AQ7">
            <v>373678</v>
          </cell>
          <cell r="AR7">
            <v>12741464</v>
          </cell>
        </row>
        <row r="8">
          <cell r="G8">
            <v>69135220</v>
          </cell>
          <cell r="AN8">
            <v>190047967</v>
          </cell>
          <cell r="AQ8">
            <v>96519</v>
          </cell>
          <cell r="AR8">
            <v>8930310</v>
          </cell>
        </row>
        <row r="9">
          <cell r="G9">
            <v>487483560</v>
          </cell>
          <cell r="AN9">
            <v>1487758850</v>
          </cell>
          <cell r="AQ9">
            <v>162802</v>
          </cell>
          <cell r="AR9">
            <v>56156244</v>
          </cell>
        </row>
        <row r="10">
          <cell r="G10">
            <v>83761260</v>
          </cell>
          <cell r="AN10">
            <v>171176840</v>
          </cell>
          <cell r="AQ10">
            <v>119548</v>
          </cell>
          <cell r="AR10">
            <v>7978457</v>
          </cell>
        </row>
        <row r="11">
          <cell r="G11">
            <v>74348170</v>
          </cell>
          <cell r="AN11">
            <v>326584533</v>
          </cell>
          <cell r="AQ11">
            <v>848743</v>
          </cell>
          <cell r="AR11">
            <v>6986324</v>
          </cell>
        </row>
        <row r="12">
          <cell r="G12">
            <v>140345671</v>
          </cell>
          <cell r="AN12">
            <v>368990000</v>
          </cell>
          <cell r="AQ12">
            <v>291162</v>
          </cell>
          <cell r="AR12">
            <v>14573203</v>
          </cell>
        </row>
        <row r="13">
          <cell r="G13">
            <v>137731830</v>
          </cell>
          <cell r="AN13">
            <v>163329950</v>
          </cell>
          <cell r="AQ13">
            <v>495882</v>
          </cell>
          <cell r="AR13">
            <v>11744440</v>
          </cell>
        </row>
        <row r="14">
          <cell r="G14">
            <v>465229050</v>
          </cell>
          <cell r="AN14">
            <v>1846012945</v>
          </cell>
          <cell r="AQ14">
            <v>609192</v>
          </cell>
          <cell r="AR14">
            <v>55684302</v>
          </cell>
        </row>
        <row r="15">
          <cell r="G15">
            <v>1036269930</v>
          </cell>
          <cell r="AN15">
            <v>3764583467</v>
          </cell>
          <cell r="AQ15">
            <v>2389330</v>
          </cell>
          <cell r="AR15">
            <v>140770270</v>
          </cell>
        </row>
        <row r="16">
          <cell r="G16">
            <v>942896320</v>
          </cell>
          <cell r="AN16">
            <v>3619101350</v>
          </cell>
          <cell r="AQ16">
            <v>1013045</v>
          </cell>
          <cell r="AR16">
            <v>111757310</v>
          </cell>
        </row>
        <row r="17">
          <cell r="G17">
            <v>28948300</v>
          </cell>
          <cell r="AN17">
            <v>85953587.5</v>
          </cell>
          <cell r="AQ17">
            <v>460106</v>
          </cell>
          <cell r="AR17">
            <v>3289529</v>
          </cell>
        </row>
        <row r="18">
          <cell r="G18">
            <v>135015718</v>
          </cell>
          <cell r="AN18">
            <v>28703197.8</v>
          </cell>
          <cell r="AQ18">
            <v>1184320</v>
          </cell>
          <cell r="AR18">
            <v>9110614</v>
          </cell>
        </row>
        <row r="19">
          <cell r="G19">
            <v>29883120</v>
          </cell>
          <cell r="AN19">
            <v>75107000</v>
          </cell>
          <cell r="AQ19">
            <v>85058</v>
          </cell>
          <cell r="AR19">
            <v>2491184</v>
          </cell>
        </row>
        <row r="20">
          <cell r="G20">
            <v>73954635</v>
          </cell>
          <cell r="AN20">
            <v>132082750</v>
          </cell>
          <cell r="AQ20">
            <v>192427</v>
          </cell>
          <cell r="AR20">
            <v>6154501</v>
          </cell>
        </row>
        <row r="21">
          <cell r="G21">
            <v>98913160</v>
          </cell>
          <cell r="AN21">
            <v>167294150</v>
          </cell>
          <cell r="AQ21">
            <v>218856</v>
          </cell>
          <cell r="AR21">
            <v>7376786</v>
          </cell>
        </row>
        <row r="22">
          <cell r="G22">
            <v>171602013</v>
          </cell>
          <cell r="AN22">
            <v>331888080</v>
          </cell>
          <cell r="AQ22">
            <v>445266</v>
          </cell>
          <cell r="AR22">
            <v>19780834</v>
          </cell>
        </row>
        <row r="23">
          <cell r="G23">
            <v>2154897810</v>
          </cell>
          <cell r="AN23">
            <v>6442845400</v>
          </cell>
          <cell r="AQ23">
            <v>3745686</v>
          </cell>
          <cell r="AR23">
            <v>224697572</v>
          </cell>
        </row>
        <row r="24">
          <cell r="G24">
            <v>28712423</v>
          </cell>
          <cell r="AN24">
            <v>45658433</v>
          </cell>
          <cell r="AQ24">
            <v>114525</v>
          </cell>
          <cell r="AR24">
            <v>1839952</v>
          </cell>
        </row>
        <row r="25">
          <cell r="G25">
            <v>63009360</v>
          </cell>
          <cell r="AN25">
            <v>105627450</v>
          </cell>
          <cell r="AQ25">
            <v>123489</v>
          </cell>
          <cell r="AR25">
            <v>3376947</v>
          </cell>
        </row>
        <row r="26">
          <cell r="G26">
            <v>108366260</v>
          </cell>
          <cell r="AN26">
            <v>258676300</v>
          </cell>
          <cell r="AQ26">
            <v>232202</v>
          </cell>
          <cell r="AR26">
            <v>9170113</v>
          </cell>
        </row>
        <row r="27">
          <cell r="G27">
            <v>47065262</v>
          </cell>
          <cell r="AN27">
            <v>188152733</v>
          </cell>
          <cell r="AQ27">
            <v>109695</v>
          </cell>
          <cell r="AR27">
            <v>3566292</v>
          </cell>
        </row>
        <row r="28">
          <cell r="G28">
            <v>30108222</v>
          </cell>
          <cell r="AN28">
            <v>85525700</v>
          </cell>
          <cell r="AQ28">
            <v>564262</v>
          </cell>
          <cell r="AR28">
            <v>2961554</v>
          </cell>
        </row>
        <row r="29">
          <cell r="G29">
            <v>278444489</v>
          </cell>
          <cell r="AN29">
            <v>993839850</v>
          </cell>
          <cell r="AQ29">
            <v>548083</v>
          </cell>
          <cell r="AR29">
            <v>30469784</v>
          </cell>
        </row>
        <row r="30">
          <cell r="G30">
            <v>304917809</v>
          </cell>
          <cell r="AN30">
            <v>553056800</v>
          </cell>
          <cell r="AQ30">
            <v>153646</v>
          </cell>
          <cell r="AR30">
            <v>23234952</v>
          </cell>
        </row>
        <row r="31">
          <cell r="G31">
            <v>74912910</v>
          </cell>
          <cell r="AN31">
            <v>248649779.99999997</v>
          </cell>
          <cell r="AQ31">
            <v>161233</v>
          </cell>
          <cell r="AR31">
            <v>11472115</v>
          </cell>
        </row>
        <row r="32">
          <cell r="G32">
            <v>2183750028</v>
          </cell>
          <cell r="AN32">
            <v>7022150950</v>
          </cell>
          <cell r="AQ32">
            <v>2240249</v>
          </cell>
          <cell r="AR32">
            <v>191306649</v>
          </cell>
        </row>
        <row r="33">
          <cell r="G33">
            <v>114645900</v>
          </cell>
          <cell r="AN33">
            <v>335153720</v>
          </cell>
          <cell r="AQ33">
            <v>307626</v>
          </cell>
          <cell r="AR33">
            <v>13988493</v>
          </cell>
        </row>
        <row r="34">
          <cell r="G34">
            <v>925133827</v>
          </cell>
          <cell r="AN34">
            <v>3771325850</v>
          </cell>
          <cell r="AQ34">
            <v>2109558</v>
          </cell>
          <cell r="AR34">
            <v>108311210</v>
          </cell>
        </row>
        <row r="35">
          <cell r="G35">
            <v>435712800</v>
          </cell>
          <cell r="AN35">
            <v>1009030550</v>
          </cell>
          <cell r="AQ35">
            <v>1052746</v>
          </cell>
          <cell r="AR35">
            <v>39468975</v>
          </cell>
        </row>
        <row r="36">
          <cell r="G36">
            <v>41214516</v>
          </cell>
          <cell r="AN36">
            <v>138465900</v>
          </cell>
          <cell r="AQ36">
            <v>65614</v>
          </cell>
          <cell r="AR36">
            <v>4936352</v>
          </cell>
        </row>
        <row r="37">
          <cell r="G37">
            <v>199592040</v>
          </cell>
          <cell r="AN37">
            <v>513626800</v>
          </cell>
          <cell r="AQ37">
            <v>282590</v>
          </cell>
          <cell r="AR37">
            <v>20775273</v>
          </cell>
        </row>
        <row r="38">
          <cell r="G38">
            <v>203301320</v>
          </cell>
          <cell r="AN38">
            <v>914177000</v>
          </cell>
          <cell r="AQ38">
            <v>724187</v>
          </cell>
          <cell r="AR38">
            <v>31007985</v>
          </cell>
        </row>
        <row r="39">
          <cell r="G39">
            <v>44804804</v>
          </cell>
          <cell r="AN39">
            <v>87045250</v>
          </cell>
          <cell r="AQ39">
            <v>14617</v>
          </cell>
          <cell r="AR39">
            <v>2202236</v>
          </cell>
        </row>
        <row r="40">
          <cell r="G40">
            <v>132148680</v>
          </cell>
          <cell r="AN40">
            <v>292940250</v>
          </cell>
          <cell r="AQ40">
            <v>311894</v>
          </cell>
          <cell r="AR40">
            <v>11169719</v>
          </cell>
        </row>
        <row r="41">
          <cell r="G41">
            <v>139434480</v>
          </cell>
          <cell r="AN41">
            <v>451972600</v>
          </cell>
          <cell r="AQ41">
            <v>681572</v>
          </cell>
          <cell r="AR41">
            <v>16288687</v>
          </cell>
        </row>
        <row r="42">
          <cell r="G42">
            <v>748517036</v>
          </cell>
          <cell r="AN42">
            <v>2101252533</v>
          </cell>
          <cell r="AQ42">
            <v>2850361</v>
          </cell>
          <cell r="AR42">
            <v>72241096</v>
          </cell>
        </row>
        <row r="43">
          <cell r="G43">
            <v>357452300</v>
          </cell>
          <cell r="AN43">
            <v>961769133</v>
          </cell>
          <cell r="AQ43">
            <v>1026336</v>
          </cell>
          <cell r="AR43">
            <v>45473183</v>
          </cell>
        </row>
        <row r="44">
          <cell r="G44">
            <v>442186043</v>
          </cell>
          <cell r="AN44">
            <v>448192500</v>
          </cell>
          <cell r="AQ44">
            <v>1637187</v>
          </cell>
          <cell r="AR44">
            <v>20826956</v>
          </cell>
        </row>
        <row r="45">
          <cell r="G45">
            <v>243298693</v>
          </cell>
          <cell r="AN45">
            <v>269497900</v>
          </cell>
          <cell r="AQ45">
            <v>153823</v>
          </cell>
          <cell r="AR45">
            <v>10299272</v>
          </cell>
        </row>
        <row r="46">
          <cell r="G46">
            <v>451959163</v>
          </cell>
          <cell r="AN46">
            <v>2017314600</v>
          </cell>
          <cell r="AQ46">
            <v>1222202</v>
          </cell>
          <cell r="AR46">
            <v>55326392</v>
          </cell>
        </row>
        <row r="47">
          <cell r="G47">
            <v>26683600</v>
          </cell>
          <cell r="AN47">
            <v>61451150</v>
          </cell>
          <cell r="AQ47">
            <v>47140</v>
          </cell>
          <cell r="AR47">
            <v>3500259</v>
          </cell>
        </row>
        <row r="48">
          <cell r="G48">
            <v>60913800</v>
          </cell>
          <cell r="AN48">
            <v>163101750</v>
          </cell>
          <cell r="AQ48">
            <v>234791</v>
          </cell>
          <cell r="AR48">
            <v>5250033</v>
          </cell>
        </row>
        <row r="49">
          <cell r="G49">
            <v>77194220</v>
          </cell>
          <cell r="AN49">
            <v>239332933</v>
          </cell>
          <cell r="AQ49">
            <v>163248</v>
          </cell>
          <cell r="AR49">
            <v>7379298</v>
          </cell>
        </row>
        <row r="50">
          <cell r="G50">
            <v>102081686</v>
          </cell>
          <cell r="AN50">
            <v>272564750</v>
          </cell>
          <cell r="AQ50">
            <v>538220</v>
          </cell>
          <cell r="AR50">
            <v>10586602</v>
          </cell>
        </row>
        <row r="51">
          <cell r="G51">
            <v>760505023</v>
          </cell>
          <cell r="AN51">
            <v>1045373467</v>
          </cell>
          <cell r="AQ51">
            <v>288432</v>
          </cell>
          <cell r="AR51">
            <v>74789072</v>
          </cell>
        </row>
        <row r="52">
          <cell r="G52">
            <v>33551640</v>
          </cell>
          <cell r="AN52">
            <v>49048750</v>
          </cell>
          <cell r="AQ52">
            <v>78643</v>
          </cell>
          <cell r="AR52">
            <v>1643871</v>
          </cell>
        </row>
        <row r="53">
          <cell r="G53">
            <v>236274511</v>
          </cell>
          <cell r="AN53">
            <v>380576722</v>
          </cell>
          <cell r="AQ53">
            <v>86478</v>
          </cell>
          <cell r="AR53">
            <v>21265621</v>
          </cell>
        </row>
        <row r="54">
          <cell r="G54">
            <v>193997223</v>
          </cell>
          <cell r="AN54">
            <v>637453177.65</v>
          </cell>
          <cell r="AQ54">
            <v>211788</v>
          </cell>
          <cell r="AR54">
            <v>23346339</v>
          </cell>
        </row>
        <row r="55">
          <cell r="G55">
            <v>327879770</v>
          </cell>
          <cell r="AN55">
            <v>896271850</v>
          </cell>
          <cell r="AQ55">
            <v>483200</v>
          </cell>
          <cell r="AR55">
            <v>27383347</v>
          </cell>
        </row>
        <row r="56">
          <cell r="G56">
            <v>133991827</v>
          </cell>
          <cell r="AN56">
            <v>427098000</v>
          </cell>
          <cell r="AQ56">
            <v>601474</v>
          </cell>
          <cell r="AR56">
            <v>13755085</v>
          </cell>
        </row>
        <row r="57">
          <cell r="G57">
            <v>309176739</v>
          </cell>
          <cell r="AN57">
            <v>701702971</v>
          </cell>
          <cell r="AQ57">
            <v>563459</v>
          </cell>
          <cell r="AR57">
            <v>24559519</v>
          </cell>
        </row>
        <row r="58">
          <cell r="G58">
            <v>869229251</v>
          </cell>
          <cell r="AN58">
            <v>3284813300</v>
          </cell>
          <cell r="AQ58">
            <v>1768679</v>
          </cell>
          <cell r="AR58">
            <v>128869710</v>
          </cell>
        </row>
        <row r="59">
          <cell r="G59">
            <v>304446310</v>
          </cell>
          <cell r="AN59">
            <v>1218771750</v>
          </cell>
          <cell r="AQ59">
            <v>220096</v>
          </cell>
          <cell r="AR59">
            <v>29318107</v>
          </cell>
        </row>
        <row r="60">
          <cell r="G60">
            <v>38360876</v>
          </cell>
          <cell r="AN60">
            <v>45089400</v>
          </cell>
          <cell r="AQ60">
            <v>59175</v>
          </cell>
          <cell r="AR60">
            <v>1959354</v>
          </cell>
        </row>
        <row r="61">
          <cell r="G61">
            <v>461860250</v>
          </cell>
          <cell r="AN61">
            <v>1764266490</v>
          </cell>
          <cell r="AQ61">
            <v>840390</v>
          </cell>
          <cell r="AR61">
            <v>41791639</v>
          </cell>
        </row>
        <row r="62">
          <cell r="G62">
            <v>99270360</v>
          </cell>
          <cell r="AN62">
            <v>166828650</v>
          </cell>
          <cell r="AQ62">
            <v>155612</v>
          </cell>
          <cell r="AR62">
            <v>4240886</v>
          </cell>
        </row>
        <row r="63">
          <cell r="G63">
            <v>209495700</v>
          </cell>
          <cell r="AN63">
            <v>587998700</v>
          </cell>
          <cell r="AQ63">
            <v>2226835</v>
          </cell>
          <cell r="AR63">
            <v>16387307</v>
          </cell>
        </row>
        <row r="64">
          <cell r="G64">
            <v>90039380</v>
          </cell>
          <cell r="AN64">
            <v>464174900</v>
          </cell>
          <cell r="AQ64">
            <v>648211</v>
          </cell>
          <cell r="AR64">
            <v>14431463</v>
          </cell>
        </row>
        <row r="65">
          <cell r="G65">
            <v>54987830</v>
          </cell>
          <cell r="AN65">
            <v>174806400</v>
          </cell>
          <cell r="AQ65">
            <v>146504</v>
          </cell>
          <cell r="AR65">
            <v>6650712</v>
          </cell>
        </row>
        <row r="66">
          <cell r="G66">
            <v>124525490</v>
          </cell>
          <cell r="AN66">
            <v>537179841.9</v>
          </cell>
          <cell r="AQ66">
            <v>478886</v>
          </cell>
          <cell r="AR66">
            <v>19030478</v>
          </cell>
        </row>
        <row r="67">
          <cell r="G67">
            <v>206679170</v>
          </cell>
          <cell r="AN67">
            <v>359254800</v>
          </cell>
          <cell r="AQ67">
            <v>131527</v>
          </cell>
          <cell r="AR67">
            <v>12923369</v>
          </cell>
        </row>
        <row r="68">
          <cell r="G68">
            <v>39731010</v>
          </cell>
          <cell r="AN68">
            <v>89554400</v>
          </cell>
          <cell r="AQ68">
            <v>100719</v>
          </cell>
          <cell r="AR68">
            <v>2977154</v>
          </cell>
        </row>
        <row r="69">
          <cell r="G69">
            <v>280109737</v>
          </cell>
          <cell r="AN69">
            <v>157093400</v>
          </cell>
          <cell r="AQ69">
            <v>54368</v>
          </cell>
          <cell r="AR69">
            <v>11046882</v>
          </cell>
        </row>
        <row r="70">
          <cell r="G70">
            <v>51215815</v>
          </cell>
          <cell r="AN70">
            <v>165130000</v>
          </cell>
          <cell r="AQ70">
            <v>449221</v>
          </cell>
          <cell r="AR70">
            <v>6040063</v>
          </cell>
        </row>
        <row r="71">
          <cell r="G71">
            <v>324300469</v>
          </cell>
          <cell r="AN71">
            <v>1119121500</v>
          </cell>
          <cell r="AQ71">
            <v>313001</v>
          </cell>
          <cell r="AR71">
            <v>36381954</v>
          </cell>
        </row>
        <row r="72">
          <cell r="G72">
            <v>49968108</v>
          </cell>
          <cell r="AN72">
            <v>191164400</v>
          </cell>
          <cell r="AQ72">
            <v>211724</v>
          </cell>
          <cell r="AR72">
            <v>5171758</v>
          </cell>
        </row>
        <row r="73">
          <cell r="G73">
            <v>101325510</v>
          </cell>
          <cell r="AN73">
            <v>293640800</v>
          </cell>
          <cell r="AQ73">
            <v>52586</v>
          </cell>
          <cell r="AR73">
            <v>13816077</v>
          </cell>
        </row>
        <row r="74">
          <cell r="G74">
            <v>25861740</v>
          </cell>
          <cell r="AN74">
            <v>134199650</v>
          </cell>
          <cell r="AQ74">
            <v>35451</v>
          </cell>
          <cell r="AR74">
            <v>3761127</v>
          </cell>
        </row>
        <row r="76">
          <cell r="G76">
            <v>19503462207</v>
          </cell>
          <cell r="AC76">
            <v>41.88</v>
          </cell>
          <cell r="AD76">
            <v>905752509</v>
          </cell>
          <cell r="AF76">
            <v>0.019583121186073867</v>
          </cell>
          <cell r="AJ76">
            <v>1140734645</v>
          </cell>
          <cell r="AN76">
            <v>58138979305.850006</v>
          </cell>
          <cell r="AQ76">
            <v>40609175</v>
          </cell>
          <cell r="AR76">
            <v>1998194617</v>
          </cell>
        </row>
      </sheetData>
      <sheetData sheetId="8">
        <row r="8">
          <cell r="R8">
            <v>9113</v>
          </cell>
          <cell r="T8">
            <v>9295</v>
          </cell>
          <cell r="W8" t="str">
            <v> </v>
          </cell>
          <cell r="Y8">
            <v>9113</v>
          </cell>
        </row>
        <row r="9">
          <cell r="R9">
            <v>4158</v>
          </cell>
          <cell r="T9">
            <v>4119</v>
          </cell>
          <cell r="W9">
            <v>39</v>
          </cell>
          <cell r="Y9">
            <v>4158</v>
          </cell>
        </row>
        <row r="10">
          <cell r="R10">
            <v>17451</v>
          </cell>
          <cell r="T10">
            <v>16046</v>
          </cell>
          <cell r="W10">
            <v>1405</v>
          </cell>
          <cell r="Y10">
            <v>17451</v>
          </cell>
        </row>
        <row r="11">
          <cell r="R11">
            <v>4080</v>
          </cell>
          <cell r="T11">
            <v>4132</v>
          </cell>
          <cell r="W11" t="str">
            <v> </v>
          </cell>
          <cell r="Y11">
            <v>4080</v>
          </cell>
        </row>
        <row r="12">
          <cell r="R12">
            <v>6080</v>
          </cell>
          <cell r="T12">
            <v>6331</v>
          </cell>
          <cell r="W12" t="str">
            <v> </v>
          </cell>
          <cell r="Y12">
            <v>6080</v>
          </cell>
        </row>
        <row r="13">
          <cell r="R13">
            <v>6061</v>
          </cell>
          <cell r="T13">
            <v>6117</v>
          </cell>
          <cell r="W13" t="str">
            <v> </v>
          </cell>
          <cell r="Y13">
            <v>6061</v>
          </cell>
        </row>
        <row r="14">
          <cell r="R14">
            <v>2260</v>
          </cell>
          <cell r="T14">
            <v>2358</v>
          </cell>
          <cell r="W14" t="str">
            <v> </v>
          </cell>
          <cell r="Y14">
            <v>2260</v>
          </cell>
        </row>
        <row r="15">
          <cell r="R15">
            <v>18926</v>
          </cell>
          <cell r="T15">
            <v>18791</v>
          </cell>
          <cell r="W15">
            <v>135</v>
          </cell>
          <cell r="Y15">
            <v>18926</v>
          </cell>
        </row>
        <row r="16">
          <cell r="R16">
            <v>42137</v>
          </cell>
          <cell r="T16">
            <v>42546</v>
          </cell>
          <cell r="W16" t="str">
            <v> </v>
          </cell>
          <cell r="Y16">
            <v>42137</v>
          </cell>
        </row>
        <row r="17">
          <cell r="R17">
            <v>30491</v>
          </cell>
          <cell r="T17">
            <v>31627</v>
          </cell>
          <cell r="W17" t="str">
            <v> </v>
          </cell>
          <cell r="Y17">
            <v>30491</v>
          </cell>
        </row>
        <row r="18">
          <cell r="R18">
            <v>1730</v>
          </cell>
          <cell r="T18">
            <v>1778</v>
          </cell>
          <cell r="W18" t="str">
            <v> </v>
          </cell>
          <cell r="Y18">
            <v>1730</v>
          </cell>
        </row>
        <row r="19">
          <cell r="R19">
            <v>1481</v>
          </cell>
          <cell r="T19">
            <v>1825</v>
          </cell>
          <cell r="W19" t="str">
            <v> </v>
          </cell>
          <cell r="Y19">
            <v>1643</v>
          </cell>
          <cell r="AA19">
            <v>0.9</v>
          </cell>
        </row>
        <row r="20">
          <cell r="R20">
            <v>1755</v>
          </cell>
          <cell r="T20">
            <v>1723</v>
          </cell>
          <cell r="W20">
            <v>32</v>
          </cell>
          <cell r="Y20">
            <v>1755</v>
          </cell>
        </row>
        <row r="21">
          <cell r="R21">
            <v>2566</v>
          </cell>
          <cell r="T21">
            <v>2671</v>
          </cell>
          <cell r="W21" t="str">
            <v> </v>
          </cell>
          <cell r="Y21">
            <v>2566</v>
          </cell>
        </row>
        <row r="22">
          <cell r="R22">
            <v>3930</v>
          </cell>
          <cell r="T22">
            <v>3728</v>
          </cell>
          <cell r="W22">
            <v>202</v>
          </cell>
          <cell r="Y22">
            <v>3930</v>
          </cell>
        </row>
        <row r="23">
          <cell r="R23">
            <v>4739</v>
          </cell>
          <cell r="T23">
            <v>4773</v>
          </cell>
          <cell r="W23" t="str">
            <v> </v>
          </cell>
          <cell r="Y23">
            <v>4739</v>
          </cell>
        </row>
        <row r="24">
          <cell r="R24">
            <v>46459</v>
          </cell>
          <cell r="T24">
            <v>45129</v>
          </cell>
          <cell r="W24">
            <v>1330</v>
          </cell>
          <cell r="Y24">
            <v>46459</v>
          </cell>
        </row>
        <row r="25">
          <cell r="R25">
            <v>1469</v>
          </cell>
          <cell r="T25">
            <v>1548</v>
          </cell>
          <cell r="W25" t="str">
            <v> </v>
          </cell>
          <cell r="Y25">
            <v>1469</v>
          </cell>
        </row>
        <row r="26">
          <cell r="R26">
            <v>2238</v>
          </cell>
          <cell r="T26">
            <v>2244</v>
          </cell>
          <cell r="W26" t="str">
            <v> </v>
          </cell>
          <cell r="Y26">
            <v>2238</v>
          </cell>
        </row>
        <row r="27">
          <cell r="R27">
            <v>5854</v>
          </cell>
          <cell r="T27">
            <v>5914</v>
          </cell>
          <cell r="W27" t="str">
            <v> </v>
          </cell>
          <cell r="Y27">
            <v>5854</v>
          </cell>
        </row>
        <row r="28">
          <cell r="R28">
            <v>3159</v>
          </cell>
          <cell r="T28">
            <v>3416</v>
          </cell>
          <cell r="W28" t="str">
            <v> </v>
          </cell>
          <cell r="Y28">
            <v>3159</v>
          </cell>
        </row>
        <row r="29">
          <cell r="R29">
            <v>3545</v>
          </cell>
          <cell r="T29">
            <v>3616</v>
          </cell>
          <cell r="W29" t="str">
            <v> </v>
          </cell>
          <cell r="Y29">
            <v>3545</v>
          </cell>
        </row>
        <row r="30">
          <cell r="R30">
            <v>13638</v>
          </cell>
          <cell r="T30">
            <v>13827</v>
          </cell>
          <cell r="W30" t="str">
            <v> </v>
          </cell>
          <cell r="Y30">
            <v>13638</v>
          </cell>
        </row>
        <row r="31">
          <cell r="R31">
            <v>4133</v>
          </cell>
          <cell r="T31">
            <v>4175</v>
          </cell>
          <cell r="W31" t="str">
            <v> </v>
          </cell>
          <cell r="Y31">
            <v>4133</v>
          </cell>
        </row>
        <row r="32">
          <cell r="R32">
            <v>2186</v>
          </cell>
          <cell r="T32">
            <v>2275</v>
          </cell>
          <cell r="W32" t="str">
            <v> </v>
          </cell>
          <cell r="Y32">
            <v>2186</v>
          </cell>
        </row>
        <row r="33">
          <cell r="R33">
            <v>40298</v>
          </cell>
          <cell r="T33">
            <v>49685</v>
          </cell>
          <cell r="W33" t="str">
            <v> </v>
          </cell>
          <cell r="Y33">
            <v>44717</v>
          </cell>
          <cell r="AA33">
            <v>0.9</v>
          </cell>
        </row>
        <row r="34">
          <cell r="R34">
            <v>5656</v>
          </cell>
          <cell r="T34">
            <v>5719</v>
          </cell>
          <cell r="W34" t="str">
            <v> </v>
          </cell>
          <cell r="Y34">
            <v>5656</v>
          </cell>
        </row>
        <row r="35">
          <cell r="R35">
            <v>29310</v>
          </cell>
          <cell r="T35">
            <v>29087</v>
          </cell>
          <cell r="W35">
            <v>223</v>
          </cell>
          <cell r="Y35">
            <v>29310</v>
          </cell>
        </row>
        <row r="36">
          <cell r="R36">
            <v>14314</v>
          </cell>
          <cell r="T36">
            <v>14670</v>
          </cell>
          <cell r="W36" t="str">
            <v> </v>
          </cell>
          <cell r="Y36">
            <v>14314</v>
          </cell>
        </row>
        <row r="37">
          <cell r="R37">
            <v>2517</v>
          </cell>
          <cell r="T37">
            <v>2508</v>
          </cell>
          <cell r="W37">
            <v>9</v>
          </cell>
          <cell r="Y37">
            <v>2517</v>
          </cell>
        </row>
        <row r="38">
          <cell r="R38">
            <v>6609</v>
          </cell>
          <cell r="T38">
            <v>6546</v>
          </cell>
          <cell r="W38">
            <v>63</v>
          </cell>
          <cell r="Y38">
            <v>6609</v>
          </cell>
        </row>
        <row r="39">
          <cell r="R39">
            <v>22220</v>
          </cell>
          <cell r="T39">
            <v>21431</v>
          </cell>
          <cell r="W39">
            <v>789</v>
          </cell>
          <cell r="Y39">
            <v>22220</v>
          </cell>
        </row>
        <row r="40">
          <cell r="R40">
            <v>2164</v>
          </cell>
          <cell r="T40">
            <v>2180</v>
          </cell>
          <cell r="W40" t="str">
            <v> </v>
          </cell>
          <cell r="Y40">
            <v>2164</v>
          </cell>
        </row>
        <row r="41">
          <cell r="R41">
            <v>4868</v>
          </cell>
          <cell r="T41">
            <v>5030</v>
          </cell>
          <cell r="W41" t="str">
            <v> </v>
          </cell>
          <cell r="Y41">
            <v>4868</v>
          </cell>
        </row>
        <row r="42">
          <cell r="R42">
            <v>6544</v>
          </cell>
          <cell r="T42">
            <v>6539</v>
          </cell>
          <cell r="W42">
            <v>5</v>
          </cell>
          <cell r="Y42">
            <v>6544</v>
          </cell>
        </row>
        <row r="43">
          <cell r="R43">
            <v>9028</v>
          </cell>
          <cell r="T43">
            <v>62529</v>
          </cell>
          <cell r="W43" t="str">
            <v> </v>
          </cell>
          <cell r="Y43">
            <v>21885</v>
          </cell>
          <cell r="AA43">
            <v>0.35</v>
          </cell>
        </row>
        <row r="44">
          <cell r="R44">
            <v>18013</v>
          </cell>
          <cell r="T44">
            <v>18067</v>
          </cell>
          <cell r="W44" t="str">
            <v> </v>
          </cell>
          <cell r="Y44">
            <v>18013</v>
          </cell>
        </row>
        <row r="45">
          <cell r="R45">
            <v>2995</v>
          </cell>
          <cell r="T45">
            <v>4798</v>
          </cell>
          <cell r="W45" t="str">
            <v> </v>
          </cell>
          <cell r="Y45">
            <v>3599</v>
          </cell>
          <cell r="AA45">
            <v>0.75</v>
          </cell>
        </row>
        <row r="46">
          <cell r="R46">
            <v>2899</v>
          </cell>
          <cell r="T46">
            <v>2970</v>
          </cell>
          <cell r="W46" t="str">
            <v> </v>
          </cell>
          <cell r="Y46">
            <v>2899</v>
          </cell>
        </row>
        <row r="47">
          <cell r="R47">
            <v>22627</v>
          </cell>
          <cell r="T47">
            <v>22221</v>
          </cell>
          <cell r="W47">
            <v>406</v>
          </cell>
          <cell r="Y47">
            <v>22627</v>
          </cell>
        </row>
        <row r="48">
          <cell r="R48">
            <v>1452</v>
          </cell>
          <cell r="T48">
            <v>1519</v>
          </cell>
          <cell r="W48" t="str">
            <v> </v>
          </cell>
          <cell r="Y48">
            <v>1452</v>
          </cell>
        </row>
        <row r="49">
          <cell r="R49">
            <v>3327</v>
          </cell>
          <cell r="T49">
            <v>3442</v>
          </cell>
          <cell r="W49" t="str">
            <v> </v>
          </cell>
          <cell r="Y49">
            <v>3327</v>
          </cell>
        </row>
        <row r="50">
          <cell r="R50">
            <v>4028</v>
          </cell>
          <cell r="T50">
            <v>4021</v>
          </cell>
          <cell r="W50">
            <v>7</v>
          </cell>
          <cell r="Y50">
            <v>4028</v>
          </cell>
        </row>
        <row r="51">
          <cell r="R51">
            <v>2114</v>
          </cell>
          <cell r="T51">
            <v>8424</v>
          </cell>
          <cell r="W51" t="str">
            <v> </v>
          </cell>
          <cell r="Y51">
            <v>3000</v>
          </cell>
          <cell r="AA51">
            <v>0.35</v>
          </cell>
        </row>
        <row r="52">
          <cell r="R52">
            <v>9471</v>
          </cell>
          <cell r="T52">
            <v>9509</v>
          </cell>
          <cell r="W52" t="str">
            <v> </v>
          </cell>
          <cell r="Y52">
            <v>9471</v>
          </cell>
        </row>
        <row r="53">
          <cell r="R53">
            <v>1438</v>
          </cell>
          <cell r="T53">
            <v>1299</v>
          </cell>
          <cell r="W53">
            <v>139</v>
          </cell>
          <cell r="Y53">
            <v>1438</v>
          </cell>
        </row>
        <row r="54">
          <cell r="R54">
            <v>3811</v>
          </cell>
          <cell r="T54">
            <v>3715</v>
          </cell>
          <cell r="W54">
            <v>96</v>
          </cell>
          <cell r="Y54">
            <v>3811</v>
          </cell>
        </row>
        <row r="55">
          <cell r="R55">
            <v>6555</v>
          </cell>
          <cell r="T55">
            <v>6351</v>
          </cell>
          <cell r="W55">
            <v>204</v>
          </cell>
          <cell r="Y55">
            <v>6555</v>
          </cell>
        </row>
        <row r="56">
          <cell r="R56">
            <v>14880</v>
          </cell>
          <cell r="T56">
            <v>15052</v>
          </cell>
          <cell r="W56" t="str">
            <v> </v>
          </cell>
          <cell r="Y56">
            <v>14880</v>
          </cell>
        </row>
        <row r="57">
          <cell r="R57">
            <v>8133</v>
          </cell>
          <cell r="T57">
            <v>8189</v>
          </cell>
          <cell r="W57" t="str">
            <v> </v>
          </cell>
          <cell r="Y57">
            <v>8133</v>
          </cell>
        </row>
        <row r="58">
          <cell r="R58">
            <v>9643</v>
          </cell>
          <cell r="T58">
            <v>9891</v>
          </cell>
          <cell r="W58" t="str">
            <v> </v>
          </cell>
          <cell r="Y58">
            <v>9643</v>
          </cell>
        </row>
        <row r="59">
          <cell r="R59">
            <v>34240</v>
          </cell>
          <cell r="T59">
            <v>35603</v>
          </cell>
          <cell r="W59" t="str">
            <v> </v>
          </cell>
          <cell r="Y59">
            <v>34240</v>
          </cell>
        </row>
        <row r="60">
          <cell r="R60">
            <v>18534</v>
          </cell>
          <cell r="T60">
            <v>18292</v>
          </cell>
          <cell r="W60">
            <v>242</v>
          </cell>
          <cell r="Y60">
            <v>18534</v>
          </cell>
        </row>
        <row r="61">
          <cell r="R61">
            <v>791</v>
          </cell>
          <cell r="T61">
            <v>840</v>
          </cell>
          <cell r="W61" t="str">
            <v> </v>
          </cell>
          <cell r="Y61">
            <v>791</v>
          </cell>
        </row>
        <row r="62">
          <cell r="R62">
            <v>18822</v>
          </cell>
          <cell r="T62">
            <v>19145</v>
          </cell>
          <cell r="W62" t="str">
            <v> </v>
          </cell>
          <cell r="Y62">
            <v>18822</v>
          </cell>
        </row>
        <row r="63">
          <cell r="R63">
            <v>3040</v>
          </cell>
          <cell r="T63">
            <v>3321</v>
          </cell>
          <cell r="W63" t="str">
            <v> </v>
          </cell>
          <cell r="Y63">
            <v>3040</v>
          </cell>
        </row>
        <row r="64">
          <cell r="R64">
            <v>8540</v>
          </cell>
          <cell r="T64">
            <v>8689</v>
          </cell>
          <cell r="W64" t="str">
            <v> </v>
          </cell>
          <cell r="Y64">
            <v>8540</v>
          </cell>
        </row>
        <row r="65">
          <cell r="R65">
            <v>9232</v>
          </cell>
          <cell r="T65">
            <v>9698</v>
          </cell>
          <cell r="W65" t="str">
            <v> </v>
          </cell>
          <cell r="Y65">
            <v>9232</v>
          </cell>
        </row>
        <row r="66">
          <cell r="R66">
            <v>4710</v>
          </cell>
          <cell r="T66">
            <v>4559</v>
          </cell>
          <cell r="W66">
            <v>151</v>
          </cell>
          <cell r="Y66">
            <v>4710</v>
          </cell>
        </row>
        <row r="67">
          <cell r="R67">
            <v>7065</v>
          </cell>
          <cell r="T67">
            <v>7406</v>
          </cell>
          <cell r="W67" t="str">
            <v> </v>
          </cell>
          <cell r="Y67">
            <v>7065</v>
          </cell>
        </row>
        <row r="68">
          <cell r="R68">
            <v>3357</v>
          </cell>
          <cell r="T68">
            <v>3357</v>
          </cell>
          <cell r="W68" t="str">
            <v> </v>
          </cell>
          <cell r="Y68">
            <v>3357</v>
          </cell>
        </row>
        <row r="69">
          <cell r="R69">
            <v>2177</v>
          </cell>
          <cell r="T69">
            <v>2337</v>
          </cell>
          <cell r="W69" t="str">
            <v> </v>
          </cell>
          <cell r="Y69">
            <v>2177</v>
          </cell>
        </row>
        <row r="70">
          <cell r="R70">
            <v>2281</v>
          </cell>
          <cell r="T70">
            <v>2269</v>
          </cell>
          <cell r="W70">
            <v>12</v>
          </cell>
          <cell r="Y70">
            <v>2281</v>
          </cell>
        </row>
        <row r="71">
          <cell r="R71">
            <v>2594</v>
          </cell>
          <cell r="T71">
            <v>2689</v>
          </cell>
          <cell r="W71" t="str">
            <v> </v>
          </cell>
          <cell r="Y71">
            <v>2594</v>
          </cell>
        </row>
        <row r="72">
          <cell r="R72">
            <v>8767</v>
          </cell>
          <cell r="T72">
            <v>9046</v>
          </cell>
          <cell r="W72" t="str">
            <v> </v>
          </cell>
          <cell r="Y72">
            <v>8767</v>
          </cell>
        </row>
        <row r="73">
          <cell r="R73">
            <v>2315</v>
          </cell>
          <cell r="T73">
            <v>2768</v>
          </cell>
          <cell r="W73" t="str">
            <v> </v>
          </cell>
          <cell r="Y73">
            <v>2491</v>
          </cell>
          <cell r="AA73">
            <v>0.9</v>
          </cell>
        </row>
        <row r="74">
          <cell r="R74">
            <v>3443</v>
          </cell>
          <cell r="T74">
            <v>3200</v>
          </cell>
          <cell r="W74">
            <v>243</v>
          </cell>
          <cell r="Y74">
            <v>3443</v>
          </cell>
        </row>
        <row r="75">
          <cell r="R75">
            <v>2182</v>
          </cell>
          <cell r="T75">
            <v>2096</v>
          </cell>
          <cell r="W75">
            <v>86</v>
          </cell>
          <cell r="Y75">
            <v>2182</v>
          </cell>
        </row>
        <row r="76">
          <cell r="T76">
            <v>700711</v>
          </cell>
        </row>
      </sheetData>
      <sheetData sheetId="9">
        <row r="51">
          <cell r="K51">
            <v>13749</v>
          </cell>
        </row>
      </sheetData>
      <sheetData sheetId="10">
        <row r="13">
          <cell r="BK13">
            <v>5913</v>
          </cell>
          <cell r="BU13">
            <v>31</v>
          </cell>
          <cell r="BW13">
            <v>110</v>
          </cell>
          <cell r="CA13">
            <v>811</v>
          </cell>
          <cell r="CC13">
            <v>831</v>
          </cell>
          <cell r="CE13">
            <v>742</v>
          </cell>
          <cell r="CG13">
            <v>735</v>
          </cell>
          <cell r="CI13">
            <v>799</v>
          </cell>
          <cell r="CK13">
            <v>677</v>
          </cell>
          <cell r="CM13">
            <v>691</v>
          </cell>
          <cell r="CO13">
            <v>697</v>
          </cell>
          <cell r="CQ13">
            <v>679</v>
          </cell>
          <cell r="CS13">
            <v>743</v>
          </cell>
          <cell r="CU13">
            <v>584</v>
          </cell>
          <cell r="CW13">
            <v>532</v>
          </cell>
          <cell r="CY13">
            <v>451</v>
          </cell>
        </row>
        <row r="14">
          <cell r="BK14">
            <v>2461</v>
          </cell>
          <cell r="BU14">
            <v>0</v>
          </cell>
          <cell r="BW14">
            <v>36</v>
          </cell>
          <cell r="CA14">
            <v>347</v>
          </cell>
          <cell r="CC14">
            <v>389</v>
          </cell>
          <cell r="CE14">
            <v>305</v>
          </cell>
          <cell r="CG14">
            <v>326</v>
          </cell>
          <cell r="CI14">
            <v>358</v>
          </cell>
          <cell r="CK14">
            <v>353</v>
          </cell>
          <cell r="CM14">
            <v>313</v>
          </cell>
          <cell r="CO14">
            <v>326</v>
          </cell>
          <cell r="CQ14">
            <v>317</v>
          </cell>
          <cell r="CS14">
            <v>304</v>
          </cell>
          <cell r="CU14">
            <v>304</v>
          </cell>
          <cell r="CW14">
            <v>232</v>
          </cell>
          <cell r="CY14">
            <v>248</v>
          </cell>
        </row>
        <row r="15">
          <cell r="BK15">
            <v>7546</v>
          </cell>
          <cell r="BU15">
            <v>0</v>
          </cell>
          <cell r="BW15">
            <v>276</v>
          </cell>
          <cell r="CA15">
            <v>1383</v>
          </cell>
          <cell r="CC15">
            <v>1528</v>
          </cell>
          <cell r="CE15">
            <v>1355</v>
          </cell>
          <cell r="CG15">
            <v>1439</v>
          </cell>
          <cell r="CI15">
            <v>1491</v>
          </cell>
          <cell r="CK15">
            <v>1375</v>
          </cell>
          <cell r="CM15">
            <v>1427</v>
          </cell>
          <cell r="CO15">
            <v>1359</v>
          </cell>
          <cell r="CQ15">
            <v>1370</v>
          </cell>
          <cell r="CS15">
            <v>1492</v>
          </cell>
          <cell r="CU15">
            <v>1086</v>
          </cell>
          <cell r="CW15">
            <v>953</v>
          </cell>
          <cell r="CY15">
            <v>917</v>
          </cell>
        </row>
        <row r="16">
          <cell r="BK16">
            <v>2575</v>
          </cell>
          <cell r="BU16">
            <v>0</v>
          </cell>
          <cell r="BW16">
            <v>78</v>
          </cell>
          <cell r="CA16">
            <v>304</v>
          </cell>
          <cell r="CC16">
            <v>301</v>
          </cell>
          <cell r="CE16">
            <v>301</v>
          </cell>
          <cell r="CG16">
            <v>299</v>
          </cell>
          <cell r="CI16">
            <v>354</v>
          </cell>
          <cell r="CK16">
            <v>327</v>
          </cell>
          <cell r="CM16">
            <v>313</v>
          </cell>
          <cell r="CO16">
            <v>372</v>
          </cell>
          <cell r="CQ16">
            <v>314</v>
          </cell>
          <cell r="CS16">
            <v>427</v>
          </cell>
          <cell r="CU16">
            <v>276</v>
          </cell>
          <cell r="CW16">
            <v>232</v>
          </cell>
          <cell r="CY16">
            <v>182</v>
          </cell>
        </row>
        <row r="17">
          <cell r="BK17">
            <v>4682</v>
          </cell>
          <cell r="BU17">
            <v>44</v>
          </cell>
          <cell r="BW17">
            <v>69</v>
          </cell>
          <cell r="CA17">
            <v>540</v>
          </cell>
          <cell r="CC17">
            <v>547</v>
          </cell>
          <cell r="CE17">
            <v>470</v>
          </cell>
          <cell r="CG17">
            <v>421</v>
          </cell>
          <cell r="CI17">
            <v>525</v>
          </cell>
          <cell r="CK17">
            <v>439</v>
          </cell>
          <cell r="CM17">
            <v>466</v>
          </cell>
          <cell r="CO17">
            <v>419</v>
          </cell>
          <cell r="CQ17">
            <v>460</v>
          </cell>
          <cell r="CS17">
            <v>561</v>
          </cell>
          <cell r="CU17">
            <v>379</v>
          </cell>
          <cell r="CW17">
            <v>366</v>
          </cell>
          <cell r="CY17">
            <v>374</v>
          </cell>
        </row>
        <row r="18">
          <cell r="BK18">
            <v>3119</v>
          </cell>
          <cell r="BU18">
            <v>0</v>
          </cell>
          <cell r="BW18">
            <v>103</v>
          </cell>
          <cell r="CA18">
            <v>514</v>
          </cell>
          <cell r="CC18">
            <v>487</v>
          </cell>
          <cell r="CE18">
            <v>442</v>
          </cell>
          <cell r="CG18">
            <v>452</v>
          </cell>
          <cell r="CI18">
            <v>486</v>
          </cell>
          <cell r="CK18">
            <v>434</v>
          </cell>
          <cell r="CM18">
            <v>488</v>
          </cell>
          <cell r="CO18">
            <v>523</v>
          </cell>
          <cell r="CQ18">
            <v>500</v>
          </cell>
          <cell r="CS18">
            <v>457</v>
          </cell>
          <cell r="CU18">
            <v>434</v>
          </cell>
          <cell r="CW18">
            <v>361</v>
          </cell>
          <cell r="CY18">
            <v>380</v>
          </cell>
        </row>
        <row r="19">
          <cell r="BK19">
            <v>1599</v>
          </cell>
          <cell r="BU19">
            <v>0</v>
          </cell>
          <cell r="BW19">
            <v>0</v>
          </cell>
          <cell r="CA19">
            <v>169</v>
          </cell>
          <cell r="CC19">
            <v>151</v>
          </cell>
          <cell r="CE19">
            <v>192</v>
          </cell>
          <cell r="CG19">
            <v>188</v>
          </cell>
          <cell r="CI19">
            <v>207</v>
          </cell>
          <cell r="CK19">
            <v>164</v>
          </cell>
          <cell r="CM19">
            <v>158</v>
          </cell>
          <cell r="CO19">
            <v>195</v>
          </cell>
          <cell r="CQ19">
            <v>220</v>
          </cell>
          <cell r="CS19">
            <v>173</v>
          </cell>
          <cell r="CU19">
            <v>152</v>
          </cell>
          <cell r="CW19">
            <v>132</v>
          </cell>
          <cell r="CY19">
            <v>159</v>
          </cell>
        </row>
        <row r="20">
          <cell r="BK20">
            <v>8048</v>
          </cell>
          <cell r="BU20">
            <v>0</v>
          </cell>
          <cell r="BW20">
            <v>239</v>
          </cell>
          <cell r="CA20">
            <v>1683</v>
          </cell>
          <cell r="CC20">
            <v>1630</v>
          </cell>
          <cell r="CE20">
            <v>1464</v>
          </cell>
          <cell r="CG20">
            <v>1483</v>
          </cell>
          <cell r="CI20">
            <v>1549</v>
          </cell>
          <cell r="CK20">
            <v>1441</v>
          </cell>
          <cell r="CM20">
            <v>1399</v>
          </cell>
          <cell r="CO20">
            <v>1456</v>
          </cell>
          <cell r="CQ20">
            <v>1671</v>
          </cell>
          <cell r="CS20">
            <v>1393</v>
          </cell>
          <cell r="CU20">
            <v>1265</v>
          </cell>
          <cell r="CW20">
            <v>1134</v>
          </cell>
          <cell r="CY20">
            <v>1119</v>
          </cell>
        </row>
        <row r="21">
          <cell r="BK21">
            <v>25508</v>
          </cell>
          <cell r="BU21">
            <v>31</v>
          </cell>
          <cell r="BW21">
            <v>577</v>
          </cell>
          <cell r="CA21">
            <v>3627</v>
          </cell>
          <cell r="CC21">
            <v>3476</v>
          </cell>
          <cell r="CE21">
            <v>3248</v>
          </cell>
          <cell r="CG21">
            <v>3295</v>
          </cell>
          <cell r="CI21">
            <v>3721</v>
          </cell>
          <cell r="CK21">
            <v>2926</v>
          </cell>
          <cell r="CM21">
            <v>3348</v>
          </cell>
          <cell r="CO21">
            <v>3417</v>
          </cell>
          <cell r="CQ21">
            <v>3885</v>
          </cell>
          <cell r="CS21">
            <v>3387</v>
          </cell>
          <cell r="CU21">
            <v>2638</v>
          </cell>
          <cell r="CW21">
            <v>2247</v>
          </cell>
          <cell r="CY21">
            <v>2314</v>
          </cell>
        </row>
        <row r="22">
          <cell r="BK22">
            <v>16438</v>
          </cell>
          <cell r="BU22">
            <v>20</v>
          </cell>
          <cell r="BW22">
            <v>420</v>
          </cell>
          <cell r="CA22">
            <v>2639</v>
          </cell>
          <cell r="CC22">
            <v>2704</v>
          </cell>
          <cell r="CE22">
            <v>2339</v>
          </cell>
          <cell r="CG22">
            <v>2380</v>
          </cell>
          <cell r="CI22">
            <v>2546</v>
          </cell>
          <cell r="CK22">
            <v>2203</v>
          </cell>
          <cell r="CM22">
            <v>2421</v>
          </cell>
          <cell r="CO22">
            <v>2332</v>
          </cell>
          <cell r="CQ22">
            <v>2367</v>
          </cell>
          <cell r="CS22">
            <v>2403</v>
          </cell>
          <cell r="CU22">
            <v>2099</v>
          </cell>
          <cell r="CW22">
            <v>1866</v>
          </cell>
          <cell r="CY22">
            <v>1752</v>
          </cell>
        </row>
        <row r="23">
          <cell r="BK23">
            <v>1137</v>
          </cell>
          <cell r="BU23">
            <v>0</v>
          </cell>
          <cell r="BW23">
            <v>31</v>
          </cell>
          <cell r="CA23">
            <v>158</v>
          </cell>
          <cell r="CC23">
            <v>146</v>
          </cell>
          <cell r="CE23">
            <v>121</v>
          </cell>
          <cell r="CG23">
            <v>140</v>
          </cell>
          <cell r="CI23">
            <v>163</v>
          </cell>
          <cell r="CK23">
            <v>117</v>
          </cell>
          <cell r="CM23">
            <v>135</v>
          </cell>
          <cell r="CO23">
            <v>138</v>
          </cell>
          <cell r="CQ23">
            <v>143</v>
          </cell>
          <cell r="CS23">
            <v>142</v>
          </cell>
          <cell r="CU23">
            <v>103</v>
          </cell>
          <cell r="CW23">
            <v>108</v>
          </cell>
          <cell r="CY23">
            <v>85</v>
          </cell>
        </row>
        <row r="24">
          <cell r="BU24">
            <v>0</v>
          </cell>
          <cell r="BW24">
            <v>29</v>
          </cell>
          <cell r="CA24">
            <v>114</v>
          </cell>
          <cell r="CC24">
            <v>107</v>
          </cell>
          <cell r="CE24">
            <v>103</v>
          </cell>
          <cell r="CG24">
            <v>104</v>
          </cell>
          <cell r="CI24">
            <v>101</v>
          </cell>
          <cell r="CK24">
            <v>116</v>
          </cell>
          <cell r="CM24">
            <v>101</v>
          </cell>
          <cell r="CO24">
            <v>97</v>
          </cell>
          <cell r="CQ24">
            <v>142</v>
          </cell>
          <cell r="CS24">
            <v>110</v>
          </cell>
          <cell r="CU24">
            <v>121</v>
          </cell>
          <cell r="CW24">
            <v>124</v>
          </cell>
          <cell r="CY24">
            <v>112</v>
          </cell>
        </row>
        <row r="25">
          <cell r="BK25">
            <v>1215</v>
          </cell>
          <cell r="BU25">
            <v>0</v>
          </cell>
          <cell r="BW25">
            <v>10</v>
          </cell>
          <cell r="CA25">
            <v>169</v>
          </cell>
          <cell r="CC25">
            <v>160</v>
          </cell>
          <cell r="CE25">
            <v>161</v>
          </cell>
          <cell r="CG25">
            <v>136</v>
          </cell>
          <cell r="CI25">
            <v>131</v>
          </cell>
          <cell r="CK25">
            <v>146</v>
          </cell>
          <cell r="CM25">
            <v>137</v>
          </cell>
          <cell r="CO25">
            <v>123</v>
          </cell>
          <cell r="CQ25">
            <v>149</v>
          </cell>
          <cell r="CS25">
            <v>169</v>
          </cell>
          <cell r="CU25">
            <v>96</v>
          </cell>
          <cell r="CW25">
            <v>92</v>
          </cell>
          <cell r="CY25">
            <v>76</v>
          </cell>
        </row>
        <row r="26">
          <cell r="BK26">
            <v>1827</v>
          </cell>
          <cell r="BU26">
            <v>0</v>
          </cell>
          <cell r="BW26">
            <v>62</v>
          </cell>
          <cell r="CA26">
            <v>192</v>
          </cell>
          <cell r="CC26">
            <v>200</v>
          </cell>
          <cell r="CE26">
            <v>177</v>
          </cell>
          <cell r="CG26">
            <v>190</v>
          </cell>
          <cell r="CI26">
            <v>214</v>
          </cell>
          <cell r="CK26">
            <v>189</v>
          </cell>
          <cell r="CM26">
            <v>190</v>
          </cell>
          <cell r="CO26">
            <v>220</v>
          </cell>
          <cell r="CQ26">
            <v>226</v>
          </cell>
          <cell r="CS26">
            <v>229</v>
          </cell>
          <cell r="CU26">
            <v>190</v>
          </cell>
          <cell r="CW26">
            <v>144</v>
          </cell>
          <cell r="CY26">
            <v>143</v>
          </cell>
        </row>
        <row r="27">
          <cell r="BK27">
            <v>2956</v>
          </cell>
          <cell r="BU27">
            <v>0</v>
          </cell>
          <cell r="BW27">
            <v>28</v>
          </cell>
          <cell r="CA27">
            <v>356</v>
          </cell>
          <cell r="CC27">
            <v>401</v>
          </cell>
          <cell r="CE27">
            <v>300</v>
          </cell>
          <cell r="CG27">
            <v>321</v>
          </cell>
          <cell r="CI27">
            <v>368</v>
          </cell>
          <cell r="CK27">
            <v>317</v>
          </cell>
          <cell r="CM27">
            <v>278</v>
          </cell>
          <cell r="CO27">
            <v>331</v>
          </cell>
          <cell r="CQ27">
            <v>326</v>
          </cell>
          <cell r="CS27">
            <v>290</v>
          </cell>
          <cell r="CU27">
            <v>223</v>
          </cell>
          <cell r="CW27">
            <v>207</v>
          </cell>
          <cell r="CY27">
            <v>184</v>
          </cell>
        </row>
        <row r="28">
          <cell r="BK28">
            <v>3182</v>
          </cell>
          <cell r="BU28">
            <v>0</v>
          </cell>
          <cell r="BW28">
            <v>85</v>
          </cell>
          <cell r="CA28">
            <v>398</v>
          </cell>
          <cell r="CC28">
            <v>389</v>
          </cell>
          <cell r="CE28">
            <v>338</v>
          </cell>
          <cell r="CG28">
            <v>370</v>
          </cell>
          <cell r="CI28">
            <v>376</v>
          </cell>
          <cell r="CK28">
            <v>333</v>
          </cell>
          <cell r="CM28">
            <v>371</v>
          </cell>
          <cell r="CO28">
            <v>431</v>
          </cell>
          <cell r="CQ28">
            <v>410</v>
          </cell>
          <cell r="CS28">
            <v>379</v>
          </cell>
          <cell r="CU28">
            <v>315</v>
          </cell>
          <cell r="CW28">
            <v>288</v>
          </cell>
          <cell r="CY28">
            <v>256</v>
          </cell>
        </row>
        <row r="29">
          <cell r="BK29">
            <v>36174</v>
          </cell>
          <cell r="BU29">
            <v>0</v>
          </cell>
          <cell r="BW29">
            <v>386</v>
          </cell>
          <cell r="CA29">
            <v>4181</v>
          </cell>
          <cell r="CC29">
            <v>4036</v>
          </cell>
          <cell r="CE29">
            <v>3774</v>
          </cell>
          <cell r="CG29">
            <v>3689</v>
          </cell>
          <cell r="CI29">
            <v>4342</v>
          </cell>
          <cell r="CK29">
            <v>3449</v>
          </cell>
          <cell r="CM29">
            <v>3524</v>
          </cell>
          <cell r="CO29">
            <v>3373</v>
          </cell>
          <cell r="CQ29">
            <v>4357</v>
          </cell>
          <cell r="CS29">
            <v>3275</v>
          </cell>
          <cell r="CU29">
            <v>2871</v>
          </cell>
          <cell r="CW29">
            <v>2483</v>
          </cell>
          <cell r="CY29">
            <v>2719</v>
          </cell>
        </row>
        <row r="30">
          <cell r="BK30">
            <v>1358</v>
          </cell>
          <cell r="BU30">
            <v>0</v>
          </cell>
          <cell r="BW30">
            <v>3</v>
          </cell>
          <cell r="CA30">
            <v>130</v>
          </cell>
          <cell r="CC30">
            <v>102</v>
          </cell>
          <cell r="CE30">
            <v>127</v>
          </cell>
          <cell r="CG30">
            <v>108</v>
          </cell>
          <cell r="CI30">
            <v>118</v>
          </cell>
          <cell r="CK30">
            <v>129</v>
          </cell>
          <cell r="CM30">
            <v>114</v>
          </cell>
          <cell r="CO30">
            <v>120</v>
          </cell>
          <cell r="CQ30">
            <v>153</v>
          </cell>
          <cell r="CS30">
            <v>96</v>
          </cell>
          <cell r="CU30">
            <v>98</v>
          </cell>
          <cell r="CW30">
            <v>89</v>
          </cell>
          <cell r="CY30">
            <v>82</v>
          </cell>
        </row>
        <row r="31">
          <cell r="BK31">
            <v>1916</v>
          </cell>
          <cell r="BU31">
            <v>0</v>
          </cell>
          <cell r="BW31">
            <v>10</v>
          </cell>
          <cell r="CA31">
            <v>218</v>
          </cell>
          <cell r="CC31">
            <v>186</v>
          </cell>
          <cell r="CE31">
            <v>187</v>
          </cell>
          <cell r="CG31">
            <v>185</v>
          </cell>
          <cell r="CI31">
            <v>195</v>
          </cell>
          <cell r="CK31">
            <v>171</v>
          </cell>
          <cell r="CM31">
            <v>130</v>
          </cell>
          <cell r="CO31">
            <v>180</v>
          </cell>
          <cell r="CQ31">
            <v>204</v>
          </cell>
          <cell r="CS31">
            <v>145</v>
          </cell>
          <cell r="CU31">
            <v>164</v>
          </cell>
          <cell r="CW31">
            <v>123</v>
          </cell>
          <cell r="CY31">
            <v>140</v>
          </cell>
        </row>
        <row r="32">
          <cell r="BK32">
            <v>4530</v>
          </cell>
          <cell r="BU32">
            <v>13</v>
          </cell>
          <cell r="BW32">
            <v>52</v>
          </cell>
          <cell r="CA32">
            <v>506</v>
          </cell>
          <cell r="CC32">
            <v>559</v>
          </cell>
          <cell r="CE32">
            <v>499</v>
          </cell>
          <cell r="CG32">
            <v>502</v>
          </cell>
          <cell r="CI32">
            <v>524</v>
          </cell>
          <cell r="CK32">
            <v>462</v>
          </cell>
          <cell r="CM32">
            <v>438</v>
          </cell>
          <cell r="CO32">
            <v>471</v>
          </cell>
          <cell r="CQ32">
            <v>517</v>
          </cell>
          <cell r="CS32">
            <v>468</v>
          </cell>
          <cell r="CU32">
            <v>355</v>
          </cell>
          <cell r="CW32">
            <v>209</v>
          </cell>
          <cell r="CY32">
            <v>279</v>
          </cell>
        </row>
        <row r="33">
          <cell r="BK33">
            <v>2473</v>
          </cell>
          <cell r="BU33">
            <v>0</v>
          </cell>
          <cell r="BW33">
            <v>42</v>
          </cell>
          <cell r="CA33">
            <v>242</v>
          </cell>
          <cell r="CC33">
            <v>269</v>
          </cell>
          <cell r="CE33">
            <v>292</v>
          </cell>
          <cell r="CG33">
            <v>261</v>
          </cell>
          <cell r="CI33">
            <v>300</v>
          </cell>
          <cell r="CK33">
            <v>229</v>
          </cell>
          <cell r="CM33">
            <v>260</v>
          </cell>
          <cell r="CO33">
            <v>271</v>
          </cell>
          <cell r="CQ33">
            <v>243</v>
          </cell>
          <cell r="CS33">
            <v>230</v>
          </cell>
          <cell r="CU33">
            <v>188</v>
          </cell>
          <cell r="CW33">
            <v>150</v>
          </cell>
          <cell r="CY33">
            <v>182</v>
          </cell>
        </row>
        <row r="34">
          <cell r="BK34">
            <v>2220</v>
          </cell>
          <cell r="BU34">
            <v>4</v>
          </cell>
          <cell r="BW34">
            <v>34</v>
          </cell>
          <cell r="CA34">
            <v>275</v>
          </cell>
          <cell r="CC34">
            <v>306</v>
          </cell>
          <cell r="CE34">
            <v>266</v>
          </cell>
          <cell r="CG34">
            <v>275</v>
          </cell>
          <cell r="CI34">
            <v>302</v>
          </cell>
          <cell r="CK34">
            <v>297</v>
          </cell>
          <cell r="CM34">
            <v>267</v>
          </cell>
          <cell r="CO34">
            <v>283</v>
          </cell>
          <cell r="CQ34">
            <v>316</v>
          </cell>
          <cell r="CS34">
            <v>287</v>
          </cell>
          <cell r="CU34">
            <v>228</v>
          </cell>
          <cell r="CW34">
            <v>213</v>
          </cell>
          <cell r="CY34">
            <v>192</v>
          </cell>
        </row>
        <row r="35">
          <cell r="BK35">
            <v>8917</v>
          </cell>
          <cell r="BU35">
            <v>50</v>
          </cell>
          <cell r="BW35">
            <v>144</v>
          </cell>
          <cell r="CA35">
            <v>1192</v>
          </cell>
          <cell r="CC35">
            <v>1200</v>
          </cell>
          <cell r="CE35">
            <v>1092</v>
          </cell>
          <cell r="CG35">
            <v>1070</v>
          </cell>
          <cell r="CI35">
            <v>1197</v>
          </cell>
          <cell r="CK35">
            <v>1073</v>
          </cell>
          <cell r="CM35">
            <v>963</v>
          </cell>
          <cell r="CO35">
            <v>1163</v>
          </cell>
          <cell r="CQ35">
            <v>1038</v>
          </cell>
          <cell r="CS35">
            <v>947</v>
          </cell>
          <cell r="CU35">
            <v>772</v>
          </cell>
          <cell r="CW35">
            <v>958</v>
          </cell>
          <cell r="CY35">
            <v>779</v>
          </cell>
        </row>
        <row r="36">
          <cell r="BK36">
            <v>3419</v>
          </cell>
          <cell r="BU36">
            <v>0</v>
          </cell>
          <cell r="BW36">
            <v>26</v>
          </cell>
          <cell r="CA36">
            <v>355</v>
          </cell>
          <cell r="CC36">
            <v>419</v>
          </cell>
          <cell r="CE36">
            <v>330</v>
          </cell>
          <cell r="CG36">
            <v>328</v>
          </cell>
          <cell r="CI36">
            <v>370</v>
          </cell>
          <cell r="CK36">
            <v>334</v>
          </cell>
          <cell r="CM36">
            <v>312</v>
          </cell>
          <cell r="CO36">
            <v>376</v>
          </cell>
          <cell r="CQ36">
            <v>336</v>
          </cell>
          <cell r="CS36">
            <v>306</v>
          </cell>
          <cell r="CU36">
            <v>226</v>
          </cell>
          <cell r="CW36">
            <v>176</v>
          </cell>
          <cell r="CY36">
            <v>239</v>
          </cell>
        </row>
        <row r="37">
          <cell r="BK37">
            <v>1216</v>
          </cell>
          <cell r="BU37">
            <v>0</v>
          </cell>
          <cell r="BW37">
            <v>21</v>
          </cell>
          <cell r="CA37">
            <v>185</v>
          </cell>
          <cell r="CC37">
            <v>174</v>
          </cell>
          <cell r="CE37">
            <v>184</v>
          </cell>
          <cell r="CG37">
            <v>168</v>
          </cell>
          <cell r="CI37">
            <v>193</v>
          </cell>
          <cell r="CK37">
            <v>151</v>
          </cell>
          <cell r="CM37">
            <v>174</v>
          </cell>
          <cell r="CO37">
            <v>175</v>
          </cell>
          <cell r="CQ37">
            <v>177</v>
          </cell>
          <cell r="CS37">
            <v>154</v>
          </cell>
          <cell r="CU37">
            <v>133</v>
          </cell>
          <cell r="CW37">
            <v>137</v>
          </cell>
          <cell r="CY37">
            <v>160</v>
          </cell>
        </row>
        <row r="38">
          <cell r="BU38">
            <v>0</v>
          </cell>
          <cell r="BW38">
            <v>146</v>
          </cell>
          <cell r="CA38">
            <v>3295</v>
          </cell>
          <cell r="CC38">
            <v>3427</v>
          </cell>
          <cell r="CE38">
            <v>3242</v>
          </cell>
          <cell r="CG38">
            <v>3167</v>
          </cell>
          <cell r="CI38">
            <v>3429</v>
          </cell>
          <cell r="CK38">
            <v>3265</v>
          </cell>
          <cell r="CM38">
            <v>3310</v>
          </cell>
          <cell r="CO38">
            <v>3177</v>
          </cell>
          <cell r="CQ38">
            <v>3374</v>
          </cell>
          <cell r="CS38">
            <v>3247</v>
          </cell>
          <cell r="CU38">
            <v>2607</v>
          </cell>
          <cell r="CW38">
            <v>2383</v>
          </cell>
          <cell r="CY38">
            <v>2229</v>
          </cell>
        </row>
        <row r="39">
          <cell r="BK39">
            <v>3247</v>
          </cell>
          <cell r="BU39">
            <v>12</v>
          </cell>
          <cell r="BW39">
            <v>92</v>
          </cell>
          <cell r="CA39">
            <v>485</v>
          </cell>
          <cell r="CC39">
            <v>476</v>
          </cell>
          <cell r="CE39">
            <v>448</v>
          </cell>
          <cell r="CG39">
            <v>419</v>
          </cell>
          <cell r="CI39">
            <v>475</v>
          </cell>
          <cell r="CK39">
            <v>428</v>
          </cell>
          <cell r="CM39">
            <v>401</v>
          </cell>
          <cell r="CO39">
            <v>438</v>
          </cell>
          <cell r="CQ39">
            <v>450</v>
          </cell>
          <cell r="CS39">
            <v>444</v>
          </cell>
          <cell r="CU39">
            <v>405</v>
          </cell>
          <cell r="CW39">
            <v>334</v>
          </cell>
          <cell r="CY39">
            <v>349</v>
          </cell>
        </row>
        <row r="40">
          <cell r="BK40">
            <v>15743</v>
          </cell>
          <cell r="BU40">
            <v>68</v>
          </cell>
          <cell r="BW40">
            <v>177</v>
          </cell>
          <cell r="CA40">
            <v>2369</v>
          </cell>
          <cell r="CC40">
            <v>2432</v>
          </cell>
          <cell r="CE40">
            <v>2362</v>
          </cell>
          <cell r="CG40">
            <v>2316</v>
          </cell>
          <cell r="CI40">
            <v>2427</v>
          </cell>
          <cell r="CK40">
            <v>2197</v>
          </cell>
          <cell r="CM40">
            <v>2327</v>
          </cell>
          <cell r="CO40">
            <v>2198</v>
          </cell>
          <cell r="CQ40">
            <v>2520</v>
          </cell>
          <cell r="CS40">
            <v>2363</v>
          </cell>
          <cell r="CU40">
            <v>2107</v>
          </cell>
          <cell r="CW40">
            <v>1832</v>
          </cell>
          <cell r="CY40">
            <v>1615</v>
          </cell>
        </row>
        <row r="41">
          <cell r="BK41">
            <v>8291</v>
          </cell>
          <cell r="BU41">
            <v>60</v>
          </cell>
          <cell r="BW41">
            <v>247</v>
          </cell>
          <cell r="CA41">
            <v>1082</v>
          </cell>
          <cell r="CC41">
            <v>1098</v>
          </cell>
          <cell r="CE41">
            <v>1108</v>
          </cell>
          <cell r="CG41">
            <v>1018</v>
          </cell>
          <cell r="CI41">
            <v>1199</v>
          </cell>
          <cell r="CK41">
            <v>1066</v>
          </cell>
          <cell r="CM41">
            <v>996</v>
          </cell>
          <cell r="CO41">
            <v>1167</v>
          </cell>
          <cell r="CQ41">
            <v>1394</v>
          </cell>
          <cell r="CS41">
            <v>1196</v>
          </cell>
          <cell r="CU41">
            <v>918</v>
          </cell>
          <cell r="CW41">
            <v>1014</v>
          </cell>
          <cell r="CY41">
            <v>751</v>
          </cell>
        </row>
        <row r="42">
          <cell r="BK42">
            <v>1362</v>
          </cell>
          <cell r="BU42">
            <v>0</v>
          </cell>
          <cell r="BW42">
            <v>20</v>
          </cell>
          <cell r="CA42">
            <v>208</v>
          </cell>
          <cell r="CC42">
            <v>194</v>
          </cell>
          <cell r="CE42">
            <v>230</v>
          </cell>
          <cell r="CG42">
            <v>197</v>
          </cell>
          <cell r="CI42">
            <v>192</v>
          </cell>
          <cell r="CK42">
            <v>172</v>
          </cell>
          <cell r="CM42">
            <v>166</v>
          </cell>
          <cell r="CO42">
            <v>217</v>
          </cell>
          <cell r="CQ42">
            <v>221</v>
          </cell>
          <cell r="CS42">
            <v>207</v>
          </cell>
          <cell r="CU42">
            <v>182</v>
          </cell>
          <cell r="CW42">
            <v>149</v>
          </cell>
          <cell r="CY42">
            <v>162</v>
          </cell>
        </row>
        <row r="43">
          <cell r="BK43">
            <v>3779</v>
          </cell>
          <cell r="BU43">
            <v>0</v>
          </cell>
          <cell r="BW43">
            <v>59</v>
          </cell>
          <cell r="CA43">
            <v>553</v>
          </cell>
          <cell r="CC43">
            <v>532</v>
          </cell>
          <cell r="CE43">
            <v>499</v>
          </cell>
          <cell r="CG43">
            <v>501</v>
          </cell>
          <cell r="CI43">
            <v>573</v>
          </cell>
          <cell r="CK43">
            <v>487</v>
          </cell>
          <cell r="CM43">
            <v>512</v>
          </cell>
          <cell r="CO43">
            <v>530</v>
          </cell>
          <cell r="CQ43">
            <v>537</v>
          </cell>
          <cell r="CS43">
            <v>576</v>
          </cell>
          <cell r="CU43">
            <v>388</v>
          </cell>
          <cell r="CW43">
            <v>450</v>
          </cell>
          <cell r="CY43">
            <v>412</v>
          </cell>
        </row>
        <row r="44">
          <cell r="BK44">
            <v>10475</v>
          </cell>
          <cell r="BU44">
            <v>0</v>
          </cell>
          <cell r="BW44">
            <v>244</v>
          </cell>
          <cell r="CA44">
            <v>1926</v>
          </cell>
          <cell r="CC44">
            <v>2050</v>
          </cell>
          <cell r="CE44">
            <v>1785</v>
          </cell>
          <cell r="CG44">
            <v>1685</v>
          </cell>
          <cell r="CI44">
            <v>1877</v>
          </cell>
          <cell r="CK44">
            <v>1675</v>
          </cell>
          <cell r="CM44">
            <v>1824</v>
          </cell>
          <cell r="CO44">
            <v>1893</v>
          </cell>
          <cell r="CQ44">
            <v>1846</v>
          </cell>
          <cell r="CS44">
            <v>1608</v>
          </cell>
          <cell r="CU44">
            <v>1455</v>
          </cell>
          <cell r="CW44">
            <v>1251</v>
          </cell>
          <cell r="CY44">
            <v>1101</v>
          </cell>
        </row>
        <row r="45">
          <cell r="BK45">
            <v>1755</v>
          </cell>
          <cell r="BU45">
            <v>0</v>
          </cell>
          <cell r="BW45">
            <v>3</v>
          </cell>
          <cell r="CA45">
            <v>191</v>
          </cell>
          <cell r="CC45">
            <v>182</v>
          </cell>
          <cell r="CE45">
            <v>165</v>
          </cell>
          <cell r="CG45">
            <v>183</v>
          </cell>
          <cell r="CI45">
            <v>184</v>
          </cell>
          <cell r="CK45">
            <v>160</v>
          </cell>
          <cell r="CM45">
            <v>221</v>
          </cell>
          <cell r="CO45">
            <v>213</v>
          </cell>
          <cell r="CQ45">
            <v>243</v>
          </cell>
          <cell r="CS45">
            <v>128</v>
          </cell>
          <cell r="CU45">
            <v>106</v>
          </cell>
          <cell r="CW45">
            <v>105</v>
          </cell>
          <cell r="CY45">
            <v>80</v>
          </cell>
        </row>
        <row r="46">
          <cell r="BK46">
            <v>3636</v>
          </cell>
          <cell r="BU46">
            <v>0</v>
          </cell>
          <cell r="BW46">
            <v>101</v>
          </cell>
          <cell r="CA46">
            <v>461</v>
          </cell>
          <cell r="CC46">
            <v>466</v>
          </cell>
          <cell r="CE46">
            <v>423</v>
          </cell>
          <cell r="CG46">
            <v>437</v>
          </cell>
          <cell r="CI46">
            <v>417</v>
          </cell>
          <cell r="CK46">
            <v>400</v>
          </cell>
          <cell r="CM46">
            <v>301</v>
          </cell>
          <cell r="CO46">
            <v>434</v>
          </cell>
          <cell r="CQ46">
            <v>332</v>
          </cell>
          <cell r="CS46">
            <v>414</v>
          </cell>
          <cell r="CU46">
            <v>242</v>
          </cell>
          <cell r="CW46">
            <v>201</v>
          </cell>
          <cell r="CY46">
            <v>239</v>
          </cell>
        </row>
        <row r="47">
          <cell r="BK47">
            <v>4563</v>
          </cell>
          <cell r="BU47">
            <v>27</v>
          </cell>
          <cell r="BW47">
            <v>96</v>
          </cell>
          <cell r="CA47">
            <v>610</v>
          </cell>
          <cell r="CC47">
            <v>548</v>
          </cell>
          <cell r="CE47">
            <v>535</v>
          </cell>
          <cell r="CG47">
            <v>537</v>
          </cell>
          <cell r="CI47">
            <v>607</v>
          </cell>
          <cell r="CK47">
            <v>457</v>
          </cell>
          <cell r="CM47">
            <v>465</v>
          </cell>
          <cell r="CO47">
            <v>517</v>
          </cell>
          <cell r="CQ47">
            <v>508</v>
          </cell>
          <cell r="CS47">
            <v>531</v>
          </cell>
          <cell r="CU47">
            <v>425</v>
          </cell>
          <cell r="CW47">
            <v>331</v>
          </cell>
          <cell r="CY47">
            <v>350</v>
          </cell>
        </row>
        <row r="48">
          <cell r="BU48">
            <v>0</v>
          </cell>
          <cell r="BW48">
            <v>61</v>
          </cell>
          <cell r="CA48">
            <v>538</v>
          </cell>
          <cell r="CC48">
            <v>595</v>
          </cell>
          <cell r="CE48">
            <v>558</v>
          </cell>
          <cell r="CG48">
            <v>535</v>
          </cell>
          <cell r="CI48">
            <v>521</v>
          </cell>
          <cell r="CK48">
            <v>563</v>
          </cell>
          <cell r="CM48">
            <v>522</v>
          </cell>
          <cell r="CO48">
            <v>573</v>
          </cell>
          <cell r="CQ48">
            <v>706</v>
          </cell>
          <cell r="CS48">
            <v>1036</v>
          </cell>
          <cell r="CU48">
            <v>997</v>
          </cell>
          <cell r="CW48">
            <v>935</v>
          </cell>
          <cell r="CY48">
            <v>888</v>
          </cell>
        </row>
        <row r="49">
          <cell r="BK49">
            <v>8372</v>
          </cell>
          <cell r="BU49">
            <v>34</v>
          </cell>
          <cell r="BW49">
            <v>172</v>
          </cell>
          <cell r="CA49">
            <v>1512</v>
          </cell>
          <cell r="CC49">
            <v>1580</v>
          </cell>
          <cell r="CE49">
            <v>1431</v>
          </cell>
          <cell r="CG49">
            <v>1451</v>
          </cell>
          <cell r="CI49">
            <v>1395</v>
          </cell>
          <cell r="CK49">
            <v>1293</v>
          </cell>
          <cell r="CM49">
            <v>1372</v>
          </cell>
          <cell r="CO49">
            <v>1511</v>
          </cell>
          <cell r="CQ49">
            <v>1399</v>
          </cell>
          <cell r="CS49">
            <v>1651</v>
          </cell>
          <cell r="CU49">
            <v>1245</v>
          </cell>
          <cell r="CW49">
            <v>966</v>
          </cell>
          <cell r="CY49">
            <v>1001</v>
          </cell>
        </row>
        <row r="50">
          <cell r="BU50">
            <v>0</v>
          </cell>
          <cell r="BW50">
            <v>8</v>
          </cell>
          <cell r="CA50">
            <v>236</v>
          </cell>
          <cell r="CC50">
            <v>226</v>
          </cell>
          <cell r="CE50">
            <v>207</v>
          </cell>
          <cell r="CG50">
            <v>212</v>
          </cell>
          <cell r="CI50">
            <v>209</v>
          </cell>
          <cell r="CK50">
            <v>224</v>
          </cell>
          <cell r="CM50">
            <v>218</v>
          </cell>
          <cell r="CO50">
            <v>253</v>
          </cell>
          <cell r="CQ50">
            <v>228</v>
          </cell>
          <cell r="CS50">
            <v>291</v>
          </cell>
          <cell r="CU50">
            <v>245</v>
          </cell>
          <cell r="CW50">
            <v>229</v>
          </cell>
          <cell r="CY50">
            <v>209</v>
          </cell>
        </row>
        <row r="51">
          <cell r="BK51">
            <v>2217</v>
          </cell>
          <cell r="BU51">
            <v>0</v>
          </cell>
          <cell r="BW51">
            <v>30</v>
          </cell>
          <cell r="CA51">
            <v>263</v>
          </cell>
          <cell r="CC51">
            <v>254</v>
          </cell>
          <cell r="CE51">
            <v>243</v>
          </cell>
          <cell r="CG51">
            <v>223</v>
          </cell>
          <cell r="CI51">
            <v>269</v>
          </cell>
          <cell r="CK51">
            <v>249</v>
          </cell>
          <cell r="CM51">
            <v>196</v>
          </cell>
          <cell r="CO51">
            <v>257</v>
          </cell>
          <cell r="CQ51">
            <v>283</v>
          </cell>
          <cell r="CS51">
            <v>204</v>
          </cell>
          <cell r="CU51">
            <v>132</v>
          </cell>
          <cell r="CW51">
            <v>151</v>
          </cell>
          <cell r="CY51">
            <v>145</v>
          </cell>
        </row>
        <row r="52">
          <cell r="BK52">
            <v>14745</v>
          </cell>
          <cell r="BU52">
            <v>70</v>
          </cell>
          <cell r="BW52">
            <v>273</v>
          </cell>
          <cell r="CA52">
            <v>2057</v>
          </cell>
          <cell r="CC52">
            <v>2003</v>
          </cell>
          <cell r="CE52">
            <v>1762</v>
          </cell>
          <cell r="CG52">
            <v>1734</v>
          </cell>
          <cell r="CI52">
            <v>1900</v>
          </cell>
          <cell r="CK52">
            <v>1736</v>
          </cell>
          <cell r="CM52">
            <v>1594</v>
          </cell>
          <cell r="CO52">
            <v>1728</v>
          </cell>
          <cell r="CQ52">
            <v>1710</v>
          </cell>
          <cell r="CS52">
            <v>1892</v>
          </cell>
          <cell r="CU52">
            <v>1478</v>
          </cell>
          <cell r="CW52">
            <v>1296</v>
          </cell>
          <cell r="CY52">
            <v>1394</v>
          </cell>
        </row>
        <row r="53">
          <cell r="BK53">
            <v>1253</v>
          </cell>
          <cell r="BU53">
            <v>0</v>
          </cell>
          <cell r="BW53">
            <v>9</v>
          </cell>
          <cell r="CA53">
            <v>128</v>
          </cell>
          <cell r="CC53">
            <v>110</v>
          </cell>
          <cell r="CE53">
            <v>106</v>
          </cell>
          <cell r="CG53">
            <v>104</v>
          </cell>
          <cell r="CI53">
            <v>116</v>
          </cell>
          <cell r="CK53">
            <v>133</v>
          </cell>
          <cell r="CM53">
            <v>99</v>
          </cell>
          <cell r="CO53">
            <v>131</v>
          </cell>
          <cell r="CQ53">
            <v>168</v>
          </cell>
          <cell r="CS53">
            <v>120</v>
          </cell>
          <cell r="CU53">
            <v>85</v>
          </cell>
          <cell r="CW53">
            <v>69</v>
          </cell>
          <cell r="CY53">
            <v>74</v>
          </cell>
        </row>
        <row r="54">
          <cell r="BK54">
            <v>2453</v>
          </cell>
          <cell r="BU54">
            <v>0</v>
          </cell>
          <cell r="BW54">
            <v>25</v>
          </cell>
          <cell r="CA54">
            <v>316</v>
          </cell>
          <cell r="CC54">
            <v>330</v>
          </cell>
          <cell r="CE54">
            <v>263</v>
          </cell>
          <cell r="CG54">
            <v>246</v>
          </cell>
          <cell r="CI54">
            <v>275</v>
          </cell>
          <cell r="CK54">
            <v>247</v>
          </cell>
          <cell r="CM54">
            <v>275</v>
          </cell>
          <cell r="CO54">
            <v>256</v>
          </cell>
          <cell r="CQ54">
            <v>294</v>
          </cell>
          <cell r="CS54">
            <v>280</v>
          </cell>
          <cell r="CU54">
            <v>185</v>
          </cell>
          <cell r="CW54">
            <v>177</v>
          </cell>
          <cell r="CY54">
            <v>158</v>
          </cell>
        </row>
        <row r="55">
          <cell r="BK55">
            <v>2601</v>
          </cell>
          <cell r="BU55">
            <v>1</v>
          </cell>
          <cell r="BW55">
            <v>52</v>
          </cell>
          <cell r="CA55">
            <v>374</v>
          </cell>
          <cell r="CC55">
            <v>305</v>
          </cell>
          <cell r="CE55">
            <v>318</v>
          </cell>
          <cell r="CG55">
            <v>294</v>
          </cell>
          <cell r="CI55">
            <v>320</v>
          </cell>
          <cell r="CK55">
            <v>278</v>
          </cell>
          <cell r="CM55">
            <v>294</v>
          </cell>
          <cell r="CO55">
            <v>314</v>
          </cell>
          <cell r="CQ55">
            <v>358</v>
          </cell>
          <cell r="CS55">
            <v>328</v>
          </cell>
          <cell r="CU55">
            <v>281</v>
          </cell>
          <cell r="CW55">
            <v>255</v>
          </cell>
          <cell r="CY55">
            <v>256</v>
          </cell>
        </row>
        <row r="56">
          <cell r="BU56">
            <v>0</v>
          </cell>
          <cell r="BW56">
            <v>8</v>
          </cell>
          <cell r="CA56">
            <v>143</v>
          </cell>
          <cell r="CC56">
            <v>108</v>
          </cell>
          <cell r="CE56">
            <v>132</v>
          </cell>
          <cell r="CG56">
            <v>169</v>
          </cell>
          <cell r="CI56">
            <v>157</v>
          </cell>
          <cell r="CK56">
            <v>124</v>
          </cell>
          <cell r="CM56">
            <v>170</v>
          </cell>
          <cell r="CO56">
            <v>187</v>
          </cell>
          <cell r="CQ56">
            <v>180</v>
          </cell>
          <cell r="CS56">
            <v>204</v>
          </cell>
          <cell r="CU56">
            <v>197</v>
          </cell>
          <cell r="CW56">
            <v>159</v>
          </cell>
          <cell r="CY56">
            <v>176</v>
          </cell>
        </row>
        <row r="57">
          <cell r="BK57">
            <v>4639</v>
          </cell>
          <cell r="BU57">
            <v>15</v>
          </cell>
          <cell r="BW57">
            <v>67</v>
          </cell>
          <cell r="CA57">
            <v>737</v>
          </cell>
          <cell r="CC57">
            <v>784</v>
          </cell>
          <cell r="CE57">
            <v>707</v>
          </cell>
          <cell r="CG57">
            <v>709</v>
          </cell>
          <cell r="CI57">
            <v>809</v>
          </cell>
          <cell r="CK57">
            <v>706</v>
          </cell>
          <cell r="CM57">
            <v>726</v>
          </cell>
          <cell r="CO57">
            <v>765</v>
          </cell>
          <cell r="CQ57">
            <v>751</v>
          </cell>
          <cell r="CS57">
            <v>826</v>
          </cell>
          <cell r="CU57">
            <v>724</v>
          </cell>
          <cell r="CW57">
            <v>561</v>
          </cell>
          <cell r="CY57">
            <v>584</v>
          </cell>
        </row>
        <row r="58">
          <cell r="BK58">
            <v>1253</v>
          </cell>
          <cell r="BU58">
            <v>0</v>
          </cell>
          <cell r="BW58">
            <v>71</v>
          </cell>
          <cell r="CA58">
            <v>111</v>
          </cell>
          <cell r="CC58">
            <v>119</v>
          </cell>
          <cell r="CE58">
            <v>99</v>
          </cell>
          <cell r="CG58">
            <v>100</v>
          </cell>
          <cell r="CI58">
            <v>119</v>
          </cell>
          <cell r="CK58">
            <v>101</v>
          </cell>
          <cell r="CM58">
            <v>107</v>
          </cell>
          <cell r="CO58">
            <v>101</v>
          </cell>
          <cell r="CQ58">
            <v>124</v>
          </cell>
          <cell r="CS58">
            <v>118</v>
          </cell>
          <cell r="CU58">
            <v>97</v>
          </cell>
          <cell r="CW58">
            <v>79</v>
          </cell>
          <cell r="CY58">
            <v>92</v>
          </cell>
        </row>
        <row r="59">
          <cell r="BK59">
            <v>2621</v>
          </cell>
          <cell r="BU59">
            <v>12</v>
          </cell>
          <cell r="BW59">
            <v>91</v>
          </cell>
          <cell r="CA59">
            <v>321</v>
          </cell>
          <cell r="CC59">
            <v>291</v>
          </cell>
          <cell r="CE59">
            <v>262</v>
          </cell>
          <cell r="CG59">
            <v>258</v>
          </cell>
          <cell r="CI59">
            <v>304</v>
          </cell>
          <cell r="CK59">
            <v>287</v>
          </cell>
          <cell r="CM59">
            <v>257</v>
          </cell>
          <cell r="CO59">
            <v>373</v>
          </cell>
          <cell r="CQ59">
            <v>296</v>
          </cell>
          <cell r="CS59">
            <v>303</v>
          </cell>
          <cell r="CU59">
            <v>259</v>
          </cell>
          <cell r="CW59">
            <v>264</v>
          </cell>
          <cell r="CY59">
            <v>233</v>
          </cell>
        </row>
        <row r="60">
          <cell r="BK60">
            <v>5450</v>
          </cell>
          <cell r="BU60">
            <v>0</v>
          </cell>
          <cell r="BW60">
            <v>83</v>
          </cell>
          <cell r="CA60">
            <v>559</v>
          </cell>
          <cell r="CC60">
            <v>551</v>
          </cell>
          <cell r="CE60">
            <v>521</v>
          </cell>
          <cell r="CG60">
            <v>495</v>
          </cell>
          <cell r="CI60">
            <v>553</v>
          </cell>
          <cell r="CK60">
            <v>506</v>
          </cell>
          <cell r="CM60">
            <v>544</v>
          </cell>
          <cell r="CO60">
            <v>522</v>
          </cell>
          <cell r="CQ60">
            <v>596</v>
          </cell>
          <cell r="CS60">
            <v>484</v>
          </cell>
          <cell r="CU60">
            <v>479</v>
          </cell>
          <cell r="CW60">
            <v>331</v>
          </cell>
          <cell r="CY60">
            <v>331</v>
          </cell>
        </row>
        <row r="61">
          <cell r="BK61">
            <v>11765</v>
          </cell>
          <cell r="BU61">
            <v>50</v>
          </cell>
          <cell r="BW61">
            <v>120</v>
          </cell>
          <cell r="CA61">
            <v>1361</v>
          </cell>
          <cell r="CC61">
            <v>1399</v>
          </cell>
          <cell r="CE61">
            <v>1227</v>
          </cell>
          <cell r="CG61">
            <v>1200</v>
          </cell>
          <cell r="CI61">
            <v>1271</v>
          </cell>
          <cell r="CK61">
            <v>1162</v>
          </cell>
          <cell r="CM61">
            <v>1070</v>
          </cell>
          <cell r="CO61">
            <v>1202</v>
          </cell>
          <cell r="CQ61">
            <v>1167</v>
          </cell>
          <cell r="CS61">
            <v>1185</v>
          </cell>
          <cell r="CU61">
            <v>879</v>
          </cell>
          <cell r="CW61">
            <v>813</v>
          </cell>
          <cell r="CY61">
            <v>774</v>
          </cell>
        </row>
        <row r="62">
          <cell r="BK62">
            <v>5745</v>
          </cell>
          <cell r="BU62">
            <v>6</v>
          </cell>
          <cell r="BW62">
            <v>125</v>
          </cell>
          <cell r="CA62">
            <v>711</v>
          </cell>
          <cell r="CC62">
            <v>662</v>
          </cell>
          <cell r="CE62">
            <v>620</v>
          </cell>
          <cell r="CG62">
            <v>639</v>
          </cell>
          <cell r="CI62">
            <v>684</v>
          </cell>
          <cell r="CK62">
            <v>592</v>
          </cell>
          <cell r="CM62">
            <v>576</v>
          </cell>
          <cell r="CO62">
            <v>625</v>
          </cell>
          <cell r="CQ62">
            <v>680</v>
          </cell>
          <cell r="CS62">
            <v>679</v>
          </cell>
          <cell r="CU62">
            <v>573</v>
          </cell>
          <cell r="CW62">
            <v>500</v>
          </cell>
          <cell r="CY62">
            <v>461</v>
          </cell>
        </row>
        <row r="63">
          <cell r="BK63">
            <v>6010</v>
          </cell>
          <cell r="BU63">
            <v>30</v>
          </cell>
          <cell r="BW63">
            <v>124</v>
          </cell>
          <cell r="CA63">
            <v>706</v>
          </cell>
          <cell r="CC63">
            <v>758</v>
          </cell>
          <cell r="CE63">
            <v>751</v>
          </cell>
          <cell r="CG63">
            <v>734</v>
          </cell>
          <cell r="CI63">
            <v>714</v>
          </cell>
          <cell r="CK63">
            <v>734</v>
          </cell>
          <cell r="CM63">
            <v>751</v>
          </cell>
          <cell r="CO63">
            <v>819</v>
          </cell>
          <cell r="CQ63">
            <v>838</v>
          </cell>
          <cell r="CS63">
            <v>828</v>
          </cell>
          <cell r="CU63">
            <v>687</v>
          </cell>
          <cell r="CW63">
            <v>671</v>
          </cell>
          <cell r="CY63">
            <v>498</v>
          </cell>
        </row>
        <row r="64">
          <cell r="BK64">
            <v>15059</v>
          </cell>
          <cell r="BU64">
            <v>0</v>
          </cell>
          <cell r="BW64">
            <v>567</v>
          </cell>
          <cell r="CA64">
            <v>2593</v>
          </cell>
          <cell r="CC64">
            <v>3120</v>
          </cell>
          <cell r="CE64">
            <v>2543</v>
          </cell>
          <cell r="CG64">
            <v>2486</v>
          </cell>
          <cell r="CI64">
            <v>2622</v>
          </cell>
          <cell r="CK64">
            <v>2547</v>
          </cell>
          <cell r="CM64">
            <v>2467</v>
          </cell>
          <cell r="CO64">
            <v>2763</v>
          </cell>
          <cell r="CQ64">
            <v>2712</v>
          </cell>
          <cell r="CS64">
            <v>2820</v>
          </cell>
          <cell r="CU64">
            <v>2529</v>
          </cell>
          <cell r="CW64">
            <v>2313</v>
          </cell>
          <cell r="CY64">
            <v>2158</v>
          </cell>
        </row>
        <row r="65">
          <cell r="BK65">
            <v>13124</v>
          </cell>
          <cell r="BU65">
            <v>0</v>
          </cell>
          <cell r="BW65">
            <v>110</v>
          </cell>
          <cell r="CA65">
            <v>1554</v>
          </cell>
          <cell r="CC65">
            <v>1562</v>
          </cell>
          <cell r="CE65">
            <v>1500</v>
          </cell>
          <cell r="CG65">
            <v>1453</v>
          </cell>
          <cell r="CI65">
            <v>1553</v>
          </cell>
          <cell r="CK65">
            <v>1410</v>
          </cell>
          <cell r="CM65">
            <v>1399</v>
          </cell>
          <cell r="CO65">
            <v>1430</v>
          </cell>
          <cell r="CQ65">
            <v>1662</v>
          </cell>
          <cell r="CS65">
            <v>1466</v>
          </cell>
          <cell r="CU65">
            <v>1302</v>
          </cell>
          <cell r="CW65">
            <v>1087</v>
          </cell>
          <cell r="CY65">
            <v>1046</v>
          </cell>
        </row>
        <row r="66">
          <cell r="BK66">
            <v>705</v>
          </cell>
          <cell r="BU66">
            <v>0</v>
          </cell>
          <cell r="BW66">
            <v>19</v>
          </cell>
          <cell r="CA66">
            <v>92</v>
          </cell>
          <cell r="CC66">
            <v>65</v>
          </cell>
          <cell r="CE66">
            <v>82</v>
          </cell>
          <cell r="CG66">
            <v>48</v>
          </cell>
          <cell r="CI66">
            <v>67</v>
          </cell>
          <cell r="CK66">
            <v>53</v>
          </cell>
          <cell r="CM66">
            <v>59</v>
          </cell>
          <cell r="CO66">
            <v>59</v>
          </cell>
          <cell r="CQ66">
            <v>62</v>
          </cell>
          <cell r="CS66">
            <v>39</v>
          </cell>
          <cell r="CU66">
            <v>60</v>
          </cell>
          <cell r="CW66">
            <v>41</v>
          </cell>
          <cell r="CY66">
            <v>45</v>
          </cell>
        </row>
        <row r="67">
          <cell r="BK67">
            <v>12670</v>
          </cell>
          <cell r="BU67">
            <v>27</v>
          </cell>
          <cell r="BW67">
            <v>379</v>
          </cell>
          <cell r="CA67">
            <v>1475</v>
          </cell>
          <cell r="CC67">
            <v>1677</v>
          </cell>
          <cell r="CE67">
            <v>1434</v>
          </cell>
          <cell r="CG67">
            <v>1421</v>
          </cell>
          <cell r="CI67">
            <v>1636</v>
          </cell>
          <cell r="CK67">
            <v>1414</v>
          </cell>
          <cell r="CM67">
            <v>1483</v>
          </cell>
          <cell r="CO67">
            <v>1423</v>
          </cell>
          <cell r="CQ67">
            <v>1499</v>
          </cell>
          <cell r="CS67">
            <v>1355</v>
          </cell>
          <cell r="CU67">
            <v>1147</v>
          </cell>
          <cell r="CW67">
            <v>1383</v>
          </cell>
          <cell r="CY67">
            <v>1069</v>
          </cell>
        </row>
        <row r="68">
          <cell r="BK68">
            <v>1286</v>
          </cell>
          <cell r="BU68">
            <v>0</v>
          </cell>
          <cell r="BW68">
            <v>30</v>
          </cell>
          <cell r="CA68">
            <v>299</v>
          </cell>
          <cell r="CC68">
            <v>225</v>
          </cell>
          <cell r="CE68">
            <v>244</v>
          </cell>
          <cell r="CG68">
            <v>217</v>
          </cell>
          <cell r="CI68">
            <v>264</v>
          </cell>
          <cell r="CK68">
            <v>206</v>
          </cell>
          <cell r="CM68">
            <v>227</v>
          </cell>
          <cell r="CO68">
            <v>221</v>
          </cell>
          <cell r="CQ68">
            <v>327</v>
          </cell>
          <cell r="CS68">
            <v>243</v>
          </cell>
          <cell r="CU68">
            <v>187</v>
          </cell>
          <cell r="CW68">
            <v>166</v>
          </cell>
          <cell r="CY68">
            <v>184</v>
          </cell>
        </row>
        <row r="69">
          <cell r="BK69">
            <v>4846</v>
          </cell>
          <cell r="BU69">
            <v>20</v>
          </cell>
          <cell r="BW69">
            <v>156</v>
          </cell>
          <cell r="CA69">
            <v>735</v>
          </cell>
          <cell r="CC69">
            <v>766</v>
          </cell>
          <cell r="CE69">
            <v>643</v>
          </cell>
          <cell r="CG69">
            <v>639</v>
          </cell>
          <cell r="CI69">
            <v>661</v>
          </cell>
          <cell r="CK69">
            <v>675</v>
          </cell>
          <cell r="CM69">
            <v>627</v>
          </cell>
          <cell r="CO69">
            <v>689</v>
          </cell>
          <cell r="CQ69">
            <v>637</v>
          </cell>
          <cell r="CS69">
            <v>649</v>
          </cell>
          <cell r="CU69">
            <v>635</v>
          </cell>
          <cell r="CW69">
            <v>493</v>
          </cell>
          <cell r="CY69">
            <v>515</v>
          </cell>
        </row>
        <row r="70">
          <cell r="BK70">
            <v>4731</v>
          </cell>
          <cell r="BU70">
            <v>37</v>
          </cell>
          <cell r="BW70">
            <v>189</v>
          </cell>
          <cell r="CA70">
            <v>910</v>
          </cell>
          <cell r="CC70">
            <v>812</v>
          </cell>
          <cell r="CE70">
            <v>810</v>
          </cell>
          <cell r="CG70">
            <v>742</v>
          </cell>
          <cell r="CI70">
            <v>735</v>
          </cell>
          <cell r="CK70">
            <v>678</v>
          </cell>
          <cell r="CM70">
            <v>684</v>
          </cell>
          <cell r="CO70">
            <v>734</v>
          </cell>
          <cell r="CQ70">
            <v>676</v>
          </cell>
          <cell r="CS70">
            <v>689</v>
          </cell>
          <cell r="CU70">
            <v>603</v>
          </cell>
          <cell r="CW70">
            <v>481</v>
          </cell>
          <cell r="CY70">
            <v>452</v>
          </cell>
        </row>
        <row r="71">
          <cell r="BK71">
            <v>4068</v>
          </cell>
          <cell r="BU71">
            <v>0</v>
          </cell>
          <cell r="BW71">
            <v>78</v>
          </cell>
          <cell r="CA71">
            <v>383</v>
          </cell>
          <cell r="CC71">
            <v>378</v>
          </cell>
          <cell r="CE71">
            <v>441</v>
          </cell>
          <cell r="CG71">
            <v>351</v>
          </cell>
          <cell r="CI71">
            <v>378</v>
          </cell>
          <cell r="CK71">
            <v>369</v>
          </cell>
          <cell r="CM71">
            <v>351</v>
          </cell>
          <cell r="CO71">
            <v>345</v>
          </cell>
          <cell r="CQ71">
            <v>400</v>
          </cell>
          <cell r="CS71">
            <v>349</v>
          </cell>
          <cell r="CU71">
            <v>343</v>
          </cell>
          <cell r="CW71">
            <v>267</v>
          </cell>
          <cell r="CY71">
            <v>277</v>
          </cell>
        </row>
        <row r="72">
          <cell r="BK72">
            <v>4174</v>
          </cell>
          <cell r="BU72">
            <v>0</v>
          </cell>
          <cell r="BW72">
            <v>77</v>
          </cell>
          <cell r="CA72">
            <v>603</v>
          </cell>
          <cell r="CC72">
            <v>574</v>
          </cell>
          <cell r="CE72">
            <v>574</v>
          </cell>
          <cell r="CG72">
            <v>566</v>
          </cell>
          <cell r="CI72">
            <v>619</v>
          </cell>
          <cell r="CK72">
            <v>569</v>
          </cell>
          <cell r="CM72">
            <v>540</v>
          </cell>
          <cell r="CO72">
            <v>533</v>
          </cell>
          <cell r="CQ72">
            <v>587</v>
          </cell>
          <cell r="CS72">
            <v>515</v>
          </cell>
          <cell r="CU72">
            <v>443</v>
          </cell>
          <cell r="CW72">
            <v>462</v>
          </cell>
          <cell r="CY72">
            <v>403</v>
          </cell>
        </row>
        <row r="73">
          <cell r="BK73">
            <v>2190</v>
          </cell>
          <cell r="BU73">
            <v>0</v>
          </cell>
          <cell r="BW73">
            <v>37</v>
          </cell>
          <cell r="CA73">
            <v>256</v>
          </cell>
          <cell r="CC73">
            <v>254</v>
          </cell>
          <cell r="CE73">
            <v>305</v>
          </cell>
          <cell r="CG73">
            <v>235</v>
          </cell>
          <cell r="CI73">
            <v>279</v>
          </cell>
          <cell r="CK73">
            <v>280</v>
          </cell>
          <cell r="CM73">
            <v>242</v>
          </cell>
          <cell r="CO73">
            <v>235</v>
          </cell>
          <cell r="CQ73">
            <v>304</v>
          </cell>
          <cell r="CS73">
            <v>263</v>
          </cell>
          <cell r="CU73">
            <v>270</v>
          </cell>
          <cell r="CW73">
            <v>218</v>
          </cell>
          <cell r="CY73">
            <v>179</v>
          </cell>
        </row>
        <row r="74">
          <cell r="BK74">
            <v>1575</v>
          </cell>
          <cell r="BU74">
            <v>0</v>
          </cell>
          <cell r="BW74">
            <v>39</v>
          </cell>
          <cell r="CA74">
            <v>164</v>
          </cell>
          <cell r="CC74">
            <v>195</v>
          </cell>
          <cell r="CE74">
            <v>155</v>
          </cell>
          <cell r="CG74">
            <v>155</v>
          </cell>
          <cell r="CI74">
            <v>169</v>
          </cell>
          <cell r="CK74">
            <v>161</v>
          </cell>
          <cell r="CM74">
            <v>169</v>
          </cell>
          <cell r="CO74">
            <v>196</v>
          </cell>
          <cell r="CQ74">
            <v>200</v>
          </cell>
          <cell r="CS74">
            <v>208</v>
          </cell>
          <cell r="CU74">
            <v>133</v>
          </cell>
          <cell r="CW74">
            <v>117</v>
          </cell>
          <cell r="CY74">
            <v>116</v>
          </cell>
        </row>
        <row r="75">
          <cell r="BK75">
            <v>1064</v>
          </cell>
          <cell r="BU75">
            <v>0</v>
          </cell>
          <cell r="BW75">
            <v>28</v>
          </cell>
          <cell r="CA75">
            <v>170</v>
          </cell>
          <cell r="CC75">
            <v>188</v>
          </cell>
          <cell r="CE75">
            <v>163</v>
          </cell>
          <cell r="CG75">
            <v>156</v>
          </cell>
          <cell r="CI75">
            <v>179</v>
          </cell>
          <cell r="CK75">
            <v>186</v>
          </cell>
          <cell r="CM75">
            <v>174</v>
          </cell>
          <cell r="CO75">
            <v>205</v>
          </cell>
          <cell r="CQ75">
            <v>184</v>
          </cell>
          <cell r="CS75">
            <v>178</v>
          </cell>
          <cell r="CU75">
            <v>165</v>
          </cell>
          <cell r="CW75">
            <v>151</v>
          </cell>
          <cell r="CY75">
            <v>154</v>
          </cell>
        </row>
        <row r="76">
          <cell r="BK76">
            <v>1737</v>
          </cell>
          <cell r="BU76">
            <v>4</v>
          </cell>
          <cell r="BW76">
            <v>36</v>
          </cell>
          <cell r="CA76">
            <v>219</v>
          </cell>
          <cell r="CC76">
            <v>251</v>
          </cell>
          <cell r="CE76">
            <v>211</v>
          </cell>
          <cell r="CG76">
            <v>196</v>
          </cell>
          <cell r="CI76">
            <v>226</v>
          </cell>
          <cell r="CK76">
            <v>201</v>
          </cell>
          <cell r="CM76">
            <v>183</v>
          </cell>
          <cell r="CO76">
            <v>218</v>
          </cell>
          <cell r="CQ76">
            <v>194</v>
          </cell>
          <cell r="CS76">
            <v>234</v>
          </cell>
          <cell r="CU76">
            <v>146</v>
          </cell>
          <cell r="CW76">
            <v>131</v>
          </cell>
          <cell r="CY76">
            <v>144</v>
          </cell>
        </row>
        <row r="77">
          <cell r="BK77">
            <v>6950</v>
          </cell>
          <cell r="BU77">
            <v>1</v>
          </cell>
          <cell r="BW77">
            <v>78</v>
          </cell>
          <cell r="CA77">
            <v>856</v>
          </cell>
          <cell r="CC77">
            <v>764</v>
          </cell>
          <cell r="CE77">
            <v>721</v>
          </cell>
          <cell r="CG77">
            <v>634</v>
          </cell>
          <cell r="CI77">
            <v>640</v>
          </cell>
          <cell r="CK77">
            <v>711</v>
          </cell>
          <cell r="CM77">
            <v>681</v>
          </cell>
          <cell r="CO77">
            <v>792</v>
          </cell>
          <cell r="CQ77">
            <v>712</v>
          </cell>
          <cell r="CS77">
            <v>857</v>
          </cell>
          <cell r="CU77">
            <v>450</v>
          </cell>
          <cell r="CW77">
            <v>431</v>
          </cell>
          <cell r="CY77">
            <v>439</v>
          </cell>
        </row>
        <row r="78">
          <cell r="BU78">
            <v>0</v>
          </cell>
          <cell r="BW78">
            <v>22</v>
          </cell>
          <cell r="CA78">
            <v>231</v>
          </cell>
          <cell r="CC78">
            <v>209</v>
          </cell>
          <cell r="CE78">
            <v>195</v>
          </cell>
          <cell r="CG78">
            <v>192</v>
          </cell>
          <cell r="CI78">
            <v>216</v>
          </cell>
          <cell r="CK78">
            <v>167</v>
          </cell>
          <cell r="CM78">
            <v>148</v>
          </cell>
          <cell r="CO78">
            <v>183</v>
          </cell>
          <cell r="CQ78">
            <v>168</v>
          </cell>
          <cell r="CS78">
            <v>203</v>
          </cell>
          <cell r="CU78">
            <v>115</v>
          </cell>
          <cell r="CW78">
            <v>119</v>
          </cell>
          <cell r="CY78">
            <v>147</v>
          </cell>
        </row>
        <row r="79">
          <cell r="BK79">
            <v>1439</v>
          </cell>
          <cell r="BU79">
            <v>0</v>
          </cell>
          <cell r="BW79">
            <v>38</v>
          </cell>
          <cell r="CA79">
            <v>241</v>
          </cell>
          <cell r="CC79">
            <v>262</v>
          </cell>
          <cell r="CE79">
            <v>271</v>
          </cell>
          <cell r="CG79">
            <v>247</v>
          </cell>
          <cell r="CI79">
            <v>283</v>
          </cell>
          <cell r="CK79">
            <v>259</v>
          </cell>
          <cell r="CM79">
            <v>278</v>
          </cell>
          <cell r="CO79">
            <v>275</v>
          </cell>
          <cell r="CQ79">
            <v>332</v>
          </cell>
          <cell r="CS79">
            <v>294</v>
          </cell>
          <cell r="CU79">
            <v>231</v>
          </cell>
          <cell r="CW79">
            <v>207</v>
          </cell>
          <cell r="CY79">
            <v>225</v>
          </cell>
        </row>
        <row r="80">
          <cell r="BK80">
            <v>1523</v>
          </cell>
          <cell r="BU80">
            <v>0</v>
          </cell>
          <cell r="BW80">
            <v>7</v>
          </cell>
          <cell r="CA80">
            <v>219</v>
          </cell>
          <cell r="CC80">
            <v>186</v>
          </cell>
          <cell r="CE80">
            <v>170</v>
          </cell>
          <cell r="CG80">
            <v>154</v>
          </cell>
          <cell r="CI80">
            <v>212</v>
          </cell>
          <cell r="CK80">
            <v>156</v>
          </cell>
          <cell r="CM80">
            <v>172</v>
          </cell>
          <cell r="CO80">
            <v>202</v>
          </cell>
          <cell r="CQ80">
            <v>197</v>
          </cell>
          <cell r="CS80">
            <v>122</v>
          </cell>
          <cell r="CU80">
            <v>136</v>
          </cell>
          <cell r="CW80">
            <v>141</v>
          </cell>
          <cell r="CY80">
            <v>108</v>
          </cell>
        </row>
        <row r="90">
          <cell r="E90">
            <v>1006</v>
          </cell>
        </row>
        <row r="91">
          <cell r="E91">
            <v>507</v>
          </cell>
        </row>
        <row r="107">
          <cell r="E107">
            <v>2221</v>
          </cell>
        </row>
      </sheetData>
      <sheetData sheetId="11">
        <row r="10">
          <cell r="F10">
            <v>7</v>
          </cell>
        </row>
        <row r="11">
          <cell r="F11">
            <v>0</v>
          </cell>
        </row>
        <row r="12">
          <cell r="F12">
            <v>38</v>
          </cell>
        </row>
        <row r="13">
          <cell r="F13">
            <v>17</v>
          </cell>
        </row>
        <row r="14">
          <cell r="F14">
            <v>2</v>
          </cell>
        </row>
        <row r="15">
          <cell r="F15">
            <v>1</v>
          </cell>
        </row>
        <row r="16">
          <cell r="F16">
            <v>2</v>
          </cell>
        </row>
        <row r="17">
          <cell r="F17">
            <v>68</v>
          </cell>
        </row>
        <row r="18">
          <cell r="F18">
            <v>83</v>
          </cell>
        </row>
        <row r="19">
          <cell r="F19">
            <v>9</v>
          </cell>
        </row>
        <row r="20">
          <cell r="F20">
            <v>1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1</v>
          </cell>
        </row>
        <row r="25">
          <cell r="F25">
            <v>1</v>
          </cell>
        </row>
        <row r="26">
          <cell r="F26">
            <v>206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1</v>
          </cell>
        </row>
        <row r="32">
          <cell r="F32">
            <v>9</v>
          </cell>
        </row>
        <row r="33">
          <cell r="F33">
            <v>4</v>
          </cell>
        </row>
        <row r="34">
          <cell r="F34">
            <v>0</v>
          </cell>
        </row>
        <row r="36">
          <cell r="F36">
            <v>4</v>
          </cell>
        </row>
        <row r="37">
          <cell r="F37">
            <v>171</v>
          </cell>
        </row>
        <row r="38">
          <cell r="F38">
            <v>13</v>
          </cell>
        </row>
        <row r="39">
          <cell r="F39">
            <v>0</v>
          </cell>
        </row>
        <row r="40">
          <cell r="F40">
            <v>4</v>
          </cell>
        </row>
        <row r="41">
          <cell r="F41">
            <v>22</v>
          </cell>
        </row>
        <row r="42">
          <cell r="F42">
            <v>0</v>
          </cell>
        </row>
        <row r="43">
          <cell r="F43">
            <v>3</v>
          </cell>
        </row>
        <row r="44">
          <cell r="F44">
            <v>2</v>
          </cell>
        </row>
        <row r="46">
          <cell r="F46">
            <v>68</v>
          </cell>
        </row>
        <row r="48">
          <cell r="F48">
            <v>2</v>
          </cell>
        </row>
        <row r="49">
          <cell r="F49">
            <v>25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6</v>
          </cell>
        </row>
        <row r="54">
          <cell r="F54">
            <v>11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12</v>
          </cell>
        </row>
        <row r="58">
          <cell r="F58">
            <v>12</v>
          </cell>
        </row>
        <row r="59">
          <cell r="F59">
            <v>11</v>
          </cell>
        </row>
        <row r="60">
          <cell r="F60">
            <v>75</v>
          </cell>
        </row>
        <row r="61">
          <cell r="F61">
            <v>170</v>
          </cell>
        </row>
        <row r="62">
          <cell r="F62">
            <v>6</v>
          </cell>
        </row>
        <row r="63">
          <cell r="F63">
            <v>2</v>
          </cell>
        </row>
        <row r="64">
          <cell r="F64">
            <v>52</v>
          </cell>
        </row>
        <row r="65">
          <cell r="F65">
            <v>70</v>
          </cell>
        </row>
        <row r="66">
          <cell r="F66">
            <v>10</v>
          </cell>
        </row>
        <row r="67">
          <cell r="F67">
            <v>13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4</v>
          </cell>
        </row>
        <row r="73">
          <cell r="F73">
            <v>0</v>
          </cell>
        </row>
        <row r="74">
          <cell r="F74">
            <v>13</v>
          </cell>
        </row>
        <row r="76">
          <cell r="F76">
            <v>2</v>
          </cell>
        </row>
        <row r="77">
          <cell r="F77">
            <v>0</v>
          </cell>
        </row>
      </sheetData>
      <sheetData sheetId="12">
        <row r="84">
          <cell r="D84">
            <v>0.4591780821917808</v>
          </cell>
          <cell r="F84">
            <v>0.43616438356164383</v>
          </cell>
          <cell r="H84">
            <v>0.1863013698630137</v>
          </cell>
          <cell r="J84">
            <v>0.052054794520547946</v>
          </cell>
        </row>
        <row r="85">
          <cell r="D85">
            <v>0.7047197343262555</v>
          </cell>
          <cell r="F85">
            <v>0.206702224011271</v>
          </cell>
          <cell r="H85">
            <v>0.14475193720438764</v>
          </cell>
          <cell r="J85">
            <v>0.05126295662674851</v>
          </cell>
        </row>
        <row r="86">
          <cell r="D86">
            <v>0.7666042956068384</v>
          </cell>
          <cell r="F86">
            <v>0.15968590573973676</v>
          </cell>
          <cell r="H86">
            <v>0.10892545858721553</v>
          </cell>
          <cell r="J86">
            <v>0.07019143117593436</v>
          </cell>
        </row>
        <row r="87">
          <cell r="D87">
            <v>0.6542309295539809</v>
          </cell>
          <cell r="F87">
            <v>0.20654439349729053</v>
          </cell>
          <cell r="H87">
            <v>0.13338891204668613</v>
          </cell>
          <cell r="J87">
            <v>0.02771988328470196</v>
          </cell>
        </row>
        <row r="88">
          <cell r="D88">
            <v>0.5709876543209876</v>
          </cell>
          <cell r="F88">
            <v>0.12132003798670465</v>
          </cell>
          <cell r="H88">
            <v>0.1469610636277303</v>
          </cell>
          <cell r="J88">
            <v>0.03905508072174739</v>
          </cell>
        </row>
        <row r="89">
          <cell r="D89">
            <v>0.8334537572254336</v>
          </cell>
          <cell r="F89">
            <v>0.2680635838150289</v>
          </cell>
          <cell r="H89">
            <v>0.23916184971098267</v>
          </cell>
          <cell r="J89">
            <v>0.07225433526011561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dit Adjustments"/>
      <sheetName val="Mo Pmt Amts"/>
      <sheetName val="Table 1 State Summary"/>
      <sheetName val="Table 2A Revised Monthly Paymts"/>
      <sheetName val="Org Table 2 Distribution &amp; Adj"/>
      <sheetName val="Table 3 Levels 1&amp;2"/>
      <sheetName val="Table 3A Cert Pay Req"/>
      <sheetName val="Table 4 Level 3"/>
      <sheetName val="Table 4A Post KatRita"/>
      <sheetName val="Table 5A Lab Schools"/>
      <sheetName val="Table 5B RSD"/>
      <sheetName val="Table 6 Local Wealth Factor"/>
      <sheetName val="Table 7 Local Revenue"/>
      <sheetName val="Table 8 Membership"/>
    </sheetNames>
    <sheetDataSet>
      <sheetData sheetId="2">
        <row r="9">
          <cell r="E9">
            <v>3554</v>
          </cell>
        </row>
        <row r="10">
          <cell r="E10">
            <v>966516</v>
          </cell>
        </row>
        <row r="11">
          <cell r="E11">
            <v>701767</v>
          </cell>
        </row>
        <row r="12">
          <cell r="E12">
            <v>73500</v>
          </cell>
        </row>
        <row r="13">
          <cell r="E13">
            <v>9974</v>
          </cell>
        </row>
        <row r="14">
          <cell r="E14">
            <v>152881</v>
          </cell>
        </row>
        <row r="15">
          <cell r="E15">
            <v>15459</v>
          </cell>
        </row>
        <row r="16">
          <cell r="E16">
            <v>12935</v>
          </cell>
        </row>
        <row r="18">
          <cell r="E18">
            <v>3434997864</v>
          </cell>
        </row>
        <row r="19">
          <cell r="E19">
            <v>2232750030</v>
          </cell>
        </row>
        <row r="20">
          <cell r="E20">
            <v>1202247834</v>
          </cell>
        </row>
        <row r="21">
          <cell r="E21">
            <v>2036534955</v>
          </cell>
        </row>
        <row r="22">
          <cell r="E22">
            <v>19493573895</v>
          </cell>
        </row>
        <row r="23">
          <cell r="E23">
            <v>60722738159.6</v>
          </cell>
        </row>
        <row r="24">
          <cell r="E24">
            <v>42.906821012155916</v>
          </cell>
        </row>
        <row r="25">
          <cell r="E25">
            <v>0.01912399136896567</v>
          </cell>
        </row>
        <row r="26">
          <cell r="E26">
            <v>836407286</v>
          </cell>
        </row>
        <row r="27">
          <cell r="E27">
            <v>1163909891</v>
          </cell>
        </row>
        <row r="28">
          <cell r="E28">
            <v>36217778</v>
          </cell>
        </row>
        <row r="29">
          <cell r="E29">
            <v>769120126.5</v>
          </cell>
        </row>
        <row r="30">
          <cell r="E30">
            <v>271614768</v>
          </cell>
        </row>
        <row r="31">
          <cell r="E31">
            <v>188573683</v>
          </cell>
        </row>
        <row r="32">
          <cell r="E32">
            <v>2504364798</v>
          </cell>
        </row>
        <row r="33">
          <cell r="E33">
            <v>206373433</v>
          </cell>
        </row>
        <row r="34">
          <cell r="E34">
            <v>63572646</v>
          </cell>
        </row>
        <row r="35">
          <cell r="E35">
            <v>19512717</v>
          </cell>
        </row>
        <row r="36">
          <cell r="E36">
            <v>4960000</v>
          </cell>
        </row>
        <row r="37">
          <cell r="E37">
            <v>0</v>
          </cell>
        </row>
        <row r="38">
          <cell r="E38">
            <v>37360568</v>
          </cell>
        </row>
        <row r="39">
          <cell r="E39">
            <v>80967502</v>
          </cell>
        </row>
        <row r="41">
          <cell r="E41">
            <v>2710738231</v>
          </cell>
        </row>
        <row r="42">
          <cell r="E42">
            <v>3862.7325465574754</v>
          </cell>
        </row>
        <row r="43">
          <cell r="E43">
            <v>321.8943788797896</v>
          </cell>
        </row>
        <row r="45">
          <cell r="E45">
            <v>5412063</v>
          </cell>
        </row>
        <row r="46">
          <cell r="E46">
            <v>3673713</v>
          </cell>
        </row>
        <row r="47">
          <cell r="E47">
            <v>1738350</v>
          </cell>
        </row>
        <row r="48">
          <cell r="E48">
            <v>5451120</v>
          </cell>
        </row>
        <row r="49">
          <cell r="E49">
            <v>5451120</v>
          </cell>
        </row>
        <row r="50">
          <cell r="E50">
            <v>2721601414</v>
          </cell>
        </row>
        <row r="51">
          <cell r="E51">
            <v>-11550207</v>
          </cell>
        </row>
        <row r="52">
          <cell r="E52">
            <v>-10052558</v>
          </cell>
        </row>
        <row r="53">
          <cell r="E53">
            <v>-18479</v>
          </cell>
        </row>
        <row r="54">
          <cell r="E54">
            <v>-1479170</v>
          </cell>
        </row>
        <row r="55">
          <cell r="E55">
            <v>2710051207</v>
          </cell>
        </row>
        <row r="57">
          <cell r="E57">
            <v>-154112712</v>
          </cell>
        </row>
        <row r="58">
          <cell r="E58">
            <v>41221875</v>
          </cell>
        </row>
        <row r="59">
          <cell r="E59">
            <v>65625</v>
          </cell>
        </row>
        <row r="60">
          <cell r="E60">
            <v>33671758</v>
          </cell>
        </row>
        <row r="61">
          <cell r="E61">
            <v>-14296818</v>
          </cell>
        </row>
        <row r="62">
          <cell r="E62">
            <v>5963061</v>
          </cell>
        </row>
        <row r="63">
          <cell r="E63">
            <v>142921.1042226266</v>
          </cell>
        </row>
        <row r="64">
          <cell r="E64">
            <v>-3297620</v>
          </cell>
        </row>
        <row r="65">
          <cell r="E65">
            <v>2457504</v>
          </cell>
        </row>
        <row r="66">
          <cell r="E66">
            <v>2621866801.104223</v>
          </cell>
        </row>
      </sheetData>
      <sheetData sheetId="3">
        <row r="7">
          <cell r="BF7">
            <v>39504242</v>
          </cell>
        </row>
        <row r="8">
          <cell r="BF8">
            <v>21148043</v>
          </cell>
        </row>
        <row r="9">
          <cell r="BF9">
            <v>63786720</v>
          </cell>
        </row>
        <row r="10">
          <cell r="BF10">
            <v>20733934</v>
          </cell>
        </row>
        <row r="11">
          <cell r="BF11">
            <v>28002177</v>
          </cell>
        </row>
        <row r="12">
          <cell r="BF12">
            <v>26472658</v>
          </cell>
        </row>
        <row r="13">
          <cell r="BF13">
            <v>9351655</v>
          </cell>
        </row>
        <row r="14">
          <cell r="BF14">
            <v>68409290</v>
          </cell>
        </row>
        <row r="15">
          <cell r="BF15">
            <v>178673602</v>
          </cell>
        </row>
        <row r="16">
          <cell r="BF16">
            <v>110643540</v>
          </cell>
        </row>
        <row r="17">
          <cell r="BF17">
            <v>8965089</v>
          </cell>
        </row>
        <row r="18">
          <cell r="BF18">
            <v>6755189</v>
          </cell>
        </row>
        <row r="19">
          <cell r="BF19">
            <v>8428029</v>
          </cell>
        </row>
        <row r="20">
          <cell r="BF20">
            <v>13856655</v>
          </cell>
        </row>
        <row r="21">
          <cell r="BF21">
            <v>17360202</v>
          </cell>
        </row>
        <row r="22">
          <cell r="BF22">
            <v>20499337</v>
          </cell>
        </row>
        <row r="23">
          <cell r="BF23">
            <v>143467678</v>
          </cell>
        </row>
        <row r="24">
          <cell r="BF24">
            <v>8037152</v>
          </cell>
        </row>
        <row r="25">
          <cell r="BF25">
            <v>10968175</v>
          </cell>
        </row>
        <row r="26">
          <cell r="BF26">
            <v>28520136</v>
          </cell>
        </row>
        <row r="27">
          <cell r="BF27">
            <v>15560541</v>
          </cell>
        </row>
        <row r="28">
          <cell r="BF28">
            <v>18152558</v>
          </cell>
        </row>
        <row r="29">
          <cell r="BF29">
            <v>60030315</v>
          </cell>
        </row>
        <row r="30">
          <cell r="BF30">
            <v>12304274</v>
          </cell>
        </row>
        <row r="31">
          <cell r="BF31">
            <v>9775512</v>
          </cell>
        </row>
        <row r="32">
          <cell r="BF32">
            <v>140456886</v>
          </cell>
        </row>
        <row r="33">
          <cell r="BF33">
            <v>28385684</v>
          </cell>
        </row>
        <row r="34">
          <cell r="BF34">
            <v>92028417</v>
          </cell>
        </row>
        <row r="35">
          <cell r="BF35">
            <v>59705222</v>
          </cell>
        </row>
        <row r="36">
          <cell r="BF36">
            <v>11966414</v>
          </cell>
        </row>
        <row r="37">
          <cell r="BF37">
            <v>24833603</v>
          </cell>
        </row>
        <row r="38">
          <cell r="BF38">
            <v>99906686</v>
          </cell>
        </row>
        <row r="39">
          <cell r="BF39">
            <v>10057407</v>
          </cell>
        </row>
        <row r="40">
          <cell r="BF40">
            <v>22964267</v>
          </cell>
        </row>
        <row r="41">
          <cell r="BF41">
            <v>27623891</v>
          </cell>
        </row>
        <row r="42">
          <cell r="BF42">
            <v>101252128.66666667</v>
          </cell>
        </row>
        <row r="43">
          <cell r="BF43">
            <v>83400312</v>
          </cell>
        </row>
        <row r="44">
          <cell r="BF44">
            <v>12655641.666666666</v>
          </cell>
        </row>
        <row r="45">
          <cell r="BF45">
            <v>10036954</v>
          </cell>
        </row>
        <row r="46">
          <cell r="BF46">
            <v>92109741</v>
          </cell>
        </row>
        <row r="47">
          <cell r="BF47">
            <v>8826805</v>
          </cell>
        </row>
        <row r="48">
          <cell r="BF48">
            <v>16636059</v>
          </cell>
        </row>
        <row r="49">
          <cell r="BF49">
            <v>19362842</v>
          </cell>
        </row>
        <row r="50">
          <cell r="BF50">
            <v>19561800.666666668</v>
          </cell>
        </row>
        <row r="51">
          <cell r="BF51">
            <v>26201585</v>
          </cell>
        </row>
        <row r="52">
          <cell r="BF52">
            <v>6760848</v>
          </cell>
        </row>
        <row r="53">
          <cell r="BF53">
            <v>13868257</v>
          </cell>
        </row>
        <row r="54">
          <cell r="BF54">
            <v>30201517</v>
          </cell>
        </row>
        <row r="55">
          <cell r="BF55">
            <v>65436525</v>
          </cell>
        </row>
        <row r="56">
          <cell r="BF56">
            <v>37321666</v>
          </cell>
        </row>
        <row r="57">
          <cell r="BF57">
            <v>39675075</v>
          </cell>
        </row>
        <row r="58">
          <cell r="BF58">
            <v>153592593</v>
          </cell>
        </row>
        <row r="59">
          <cell r="BF59">
            <v>77692277</v>
          </cell>
        </row>
        <row r="60">
          <cell r="BF60">
            <v>4201641</v>
          </cell>
        </row>
        <row r="61">
          <cell r="BF61">
            <v>74870357</v>
          </cell>
        </row>
        <row r="62">
          <cell r="BF62">
            <v>13296125</v>
          </cell>
        </row>
        <row r="63">
          <cell r="BF63">
            <v>33035327</v>
          </cell>
        </row>
        <row r="64">
          <cell r="BF64">
            <v>45952566</v>
          </cell>
        </row>
        <row r="65">
          <cell r="BF65">
            <v>24696099</v>
          </cell>
        </row>
        <row r="66">
          <cell r="BF66">
            <v>31294511</v>
          </cell>
        </row>
        <row r="67">
          <cell r="BF67">
            <v>10751677</v>
          </cell>
        </row>
        <row r="68">
          <cell r="BF68">
            <v>10633614</v>
          </cell>
        </row>
        <row r="69">
          <cell r="BF69">
            <v>9985862</v>
          </cell>
        </row>
        <row r="70">
          <cell r="BF70">
            <v>12930826</v>
          </cell>
        </row>
        <row r="71">
          <cell r="BF71">
            <v>31320985</v>
          </cell>
        </row>
        <row r="72">
          <cell r="BF72">
            <v>13640105</v>
          </cell>
        </row>
        <row r="73">
          <cell r="BF73">
            <v>13531661</v>
          </cell>
        </row>
        <row r="74">
          <cell r="BF74">
            <v>11116232</v>
          </cell>
        </row>
      </sheetData>
      <sheetData sheetId="5">
        <row r="8">
          <cell r="AI8">
            <v>36828041</v>
          </cell>
        </row>
        <row r="9">
          <cell r="AI9">
            <v>20022074</v>
          </cell>
        </row>
        <row r="10">
          <cell r="AI10">
            <v>57740371</v>
          </cell>
        </row>
        <row r="11">
          <cell r="AI11">
            <v>19861703</v>
          </cell>
        </row>
        <row r="12">
          <cell r="AI12">
            <v>26171975</v>
          </cell>
        </row>
        <row r="13">
          <cell r="AI13">
            <v>25532552</v>
          </cell>
        </row>
        <row r="14">
          <cell r="AI14">
            <v>9049539</v>
          </cell>
        </row>
        <row r="15">
          <cell r="AI15">
            <v>63239546</v>
          </cell>
        </row>
        <row r="16">
          <cell r="AI16">
            <v>169216656</v>
          </cell>
        </row>
        <row r="17">
          <cell r="AI17">
            <v>106229459</v>
          </cell>
        </row>
        <row r="18">
          <cell r="AI18">
            <v>8664293</v>
          </cell>
        </row>
        <row r="19">
          <cell r="AI19">
            <v>6765221</v>
          </cell>
        </row>
        <row r="20">
          <cell r="AI20">
            <v>8011503</v>
          </cell>
        </row>
        <row r="21">
          <cell r="AI21">
            <v>13259510</v>
          </cell>
        </row>
        <row r="22">
          <cell r="AI22">
            <v>15989304</v>
          </cell>
        </row>
        <row r="23">
          <cell r="AI23">
            <v>19922667</v>
          </cell>
        </row>
        <row r="24">
          <cell r="AI24">
            <v>98719958</v>
          </cell>
        </row>
        <row r="25">
          <cell r="AI25">
            <v>7712819</v>
          </cell>
        </row>
        <row r="26">
          <cell r="AI26">
            <v>10221539</v>
          </cell>
        </row>
        <row r="27">
          <cell r="AI27">
            <v>27570351</v>
          </cell>
        </row>
        <row r="28">
          <cell r="AI28">
            <v>14884686</v>
          </cell>
        </row>
        <row r="29">
          <cell r="AI29">
            <v>17681225</v>
          </cell>
        </row>
        <row r="30">
          <cell r="AI30">
            <v>57376025</v>
          </cell>
        </row>
        <row r="31">
          <cell r="AI31">
            <v>8334728</v>
          </cell>
        </row>
        <row r="32">
          <cell r="AI32">
            <v>9458602</v>
          </cell>
        </row>
        <row r="33">
          <cell r="AI33">
            <v>106222832</v>
          </cell>
        </row>
        <row r="34">
          <cell r="AI34">
            <v>27153236</v>
          </cell>
        </row>
        <row r="35">
          <cell r="AI35">
            <v>82538209</v>
          </cell>
        </row>
        <row r="36">
          <cell r="AI36">
            <v>55890455</v>
          </cell>
        </row>
        <row r="37">
          <cell r="AI37">
            <v>11485576</v>
          </cell>
        </row>
        <row r="38">
          <cell r="AI38">
            <v>23756148</v>
          </cell>
        </row>
        <row r="39">
          <cell r="AI39">
            <v>94980296</v>
          </cell>
        </row>
        <row r="40">
          <cell r="AI40">
            <v>9415874</v>
          </cell>
        </row>
        <row r="41">
          <cell r="AI41">
            <v>21935966</v>
          </cell>
        </row>
        <row r="42">
          <cell r="AI42">
            <v>26304632</v>
          </cell>
        </row>
        <row r="43">
          <cell r="AI43">
            <v>201678404</v>
          </cell>
        </row>
        <row r="44">
          <cell r="AI44">
            <v>81113754</v>
          </cell>
        </row>
        <row r="45">
          <cell r="AI45">
            <v>3661035</v>
          </cell>
        </row>
        <row r="46">
          <cell r="AI46">
            <v>8576934</v>
          </cell>
        </row>
        <row r="47">
          <cell r="AI47">
            <v>84244707</v>
          </cell>
        </row>
        <row r="48">
          <cell r="AI48">
            <v>8336082</v>
          </cell>
        </row>
        <row r="49">
          <cell r="AI49">
            <v>16243498</v>
          </cell>
        </row>
        <row r="50">
          <cell r="AI50">
            <v>18846837</v>
          </cell>
        </row>
        <row r="51">
          <cell r="AI51">
            <v>29304116</v>
          </cell>
        </row>
        <row r="52">
          <cell r="AI52">
            <v>15330072</v>
          </cell>
        </row>
        <row r="53">
          <cell r="AI53">
            <v>6287800</v>
          </cell>
        </row>
        <row r="54">
          <cell r="AI54">
            <v>10647975</v>
          </cell>
        </row>
        <row r="55">
          <cell r="AI55">
            <v>26991290</v>
          </cell>
        </row>
        <row r="56">
          <cell r="AI56">
            <v>62576753</v>
          </cell>
        </row>
        <row r="57">
          <cell r="AI57">
            <v>35664866</v>
          </cell>
        </row>
        <row r="58">
          <cell r="AI58">
            <v>37832236</v>
          </cell>
        </row>
        <row r="59">
          <cell r="AI59">
            <v>151032678</v>
          </cell>
        </row>
        <row r="60">
          <cell r="AI60">
            <v>73266755</v>
          </cell>
        </row>
        <row r="61">
          <cell r="AI61">
            <v>3773705</v>
          </cell>
        </row>
        <row r="62">
          <cell r="AI62">
            <v>69432875</v>
          </cell>
        </row>
        <row r="63">
          <cell r="AI63">
            <v>12917527</v>
          </cell>
        </row>
        <row r="64">
          <cell r="AI64">
            <v>31107547</v>
          </cell>
        </row>
        <row r="65">
          <cell r="AI65">
            <v>43136582</v>
          </cell>
        </row>
        <row r="66">
          <cell r="AI66">
            <v>23933743</v>
          </cell>
        </row>
        <row r="67">
          <cell r="AI67">
            <v>30366737</v>
          </cell>
        </row>
        <row r="68">
          <cell r="AI68">
            <v>9395456</v>
          </cell>
        </row>
        <row r="69">
          <cell r="AI69">
            <v>10371632</v>
          </cell>
        </row>
        <row r="70">
          <cell r="AI70">
            <v>3548127</v>
          </cell>
        </row>
        <row r="71">
          <cell r="AI71">
            <v>12464443</v>
          </cell>
        </row>
        <row r="72">
          <cell r="AI72">
            <v>28618570</v>
          </cell>
        </row>
        <row r="73">
          <cell r="AI73">
            <v>13826863</v>
          </cell>
        </row>
        <row r="74">
          <cell r="AI74">
            <v>11695082</v>
          </cell>
        </row>
        <row r="75">
          <cell r="AI75">
            <v>9992546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dit Adjustments"/>
      <sheetName val="Table 1 State Summary"/>
      <sheetName val="Table 2 Distribution &amp; Adjusts"/>
      <sheetName val="Table 3 Levels 1&amp;2"/>
      <sheetName val="Table 3A Cert Pay Req"/>
      <sheetName val="Table 4 Level 3"/>
      <sheetName val="Table 5A Lab Schools"/>
      <sheetName val="Table 5B RSD"/>
      <sheetName val="Table 6 Local Wealth Factor"/>
      <sheetName val="Table 7 Local Revenue"/>
      <sheetName val="Table 8 Membership"/>
    </sheetNames>
    <sheetDataSet>
      <sheetData sheetId="0">
        <row r="5">
          <cell r="F5">
            <v>0</v>
          </cell>
          <cell r="G5">
            <v>-92609</v>
          </cell>
        </row>
        <row r="6">
          <cell r="F6">
            <v>0</v>
          </cell>
          <cell r="G6">
            <v>-9105</v>
          </cell>
        </row>
        <row r="7">
          <cell r="F7">
            <v>223842</v>
          </cell>
          <cell r="G7">
            <v>0</v>
          </cell>
        </row>
        <row r="8">
          <cell r="F8">
            <v>0</v>
          </cell>
          <cell r="G8">
            <v>-13143</v>
          </cell>
        </row>
        <row r="9">
          <cell r="F9">
            <v>0</v>
          </cell>
          <cell r="G9">
            <v>-57884</v>
          </cell>
        </row>
        <row r="10">
          <cell r="F10">
            <v>0</v>
          </cell>
          <cell r="G10">
            <v>-10740</v>
          </cell>
        </row>
        <row r="11">
          <cell r="F11">
            <v>36517</v>
          </cell>
          <cell r="G11">
            <v>0</v>
          </cell>
        </row>
        <row r="12">
          <cell r="F12">
            <v>140379</v>
          </cell>
          <cell r="G12">
            <v>0</v>
          </cell>
        </row>
        <row r="13">
          <cell r="F13">
            <v>0</v>
          </cell>
          <cell r="G13">
            <v>-680531</v>
          </cell>
        </row>
        <row r="14">
          <cell r="F14">
            <v>0</v>
          </cell>
          <cell r="G14">
            <v>-283097</v>
          </cell>
        </row>
        <row r="15">
          <cell r="F15">
            <v>12750</v>
          </cell>
          <cell r="G15">
            <v>0</v>
          </cell>
        </row>
        <row r="16">
          <cell r="F16">
            <v>18911</v>
          </cell>
          <cell r="G16">
            <v>0</v>
          </cell>
        </row>
        <row r="17">
          <cell r="F17">
            <v>1623</v>
          </cell>
          <cell r="G17">
            <v>0</v>
          </cell>
        </row>
        <row r="18">
          <cell r="F18">
            <v>6936</v>
          </cell>
          <cell r="G18">
            <v>0</v>
          </cell>
        </row>
        <row r="19">
          <cell r="F19">
            <v>17001</v>
          </cell>
          <cell r="G19">
            <v>0</v>
          </cell>
        </row>
        <row r="20">
          <cell r="F20">
            <v>0</v>
          </cell>
          <cell r="G20">
            <v>-37634</v>
          </cell>
        </row>
        <row r="21">
          <cell r="F21">
            <v>0</v>
          </cell>
          <cell r="G21">
            <v>-2221851</v>
          </cell>
        </row>
        <row r="22">
          <cell r="F22">
            <v>18084</v>
          </cell>
          <cell r="G22">
            <v>0</v>
          </cell>
        </row>
        <row r="23">
          <cell r="F23">
            <v>14737</v>
          </cell>
          <cell r="G23">
            <v>0</v>
          </cell>
        </row>
        <row r="24">
          <cell r="F24">
            <v>42343</v>
          </cell>
          <cell r="G24">
            <v>0</v>
          </cell>
        </row>
        <row r="25">
          <cell r="F25">
            <v>0</v>
          </cell>
          <cell r="G25">
            <v>-93782</v>
          </cell>
        </row>
        <row r="26">
          <cell r="F26">
            <v>0</v>
          </cell>
          <cell r="G26">
            <v>-3174</v>
          </cell>
        </row>
        <row r="27">
          <cell r="F27">
            <v>19637</v>
          </cell>
          <cell r="G27">
            <v>0</v>
          </cell>
        </row>
        <row r="28">
          <cell r="F28">
            <v>33263</v>
          </cell>
          <cell r="G28">
            <v>0</v>
          </cell>
        </row>
        <row r="29">
          <cell r="F29">
            <v>0</v>
          </cell>
          <cell r="G29">
            <v>-5045</v>
          </cell>
        </row>
        <row r="30">
          <cell r="F30">
            <v>0</v>
          </cell>
          <cell r="G30">
            <v>-472038</v>
          </cell>
        </row>
        <row r="31">
          <cell r="F31">
            <v>16747</v>
          </cell>
          <cell r="G31">
            <v>0</v>
          </cell>
        </row>
        <row r="32">
          <cell r="F32">
            <v>69918</v>
          </cell>
          <cell r="G32">
            <v>0</v>
          </cell>
        </row>
        <row r="33">
          <cell r="F33">
            <v>52918</v>
          </cell>
          <cell r="G33">
            <v>0</v>
          </cell>
        </row>
        <row r="34">
          <cell r="F34">
            <v>0</v>
          </cell>
          <cell r="G34">
            <v>-45216</v>
          </cell>
        </row>
        <row r="35">
          <cell r="F35">
            <v>40826</v>
          </cell>
          <cell r="G35">
            <v>0</v>
          </cell>
        </row>
        <row r="36">
          <cell r="F36">
            <v>0</v>
          </cell>
          <cell r="G36">
            <v>-72098</v>
          </cell>
        </row>
        <row r="37">
          <cell r="F37">
            <v>0</v>
          </cell>
          <cell r="G37">
            <v>-95084</v>
          </cell>
        </row>
        <row r="38">
          <cell r="F38">
            <v>32932</v>
          </cell>
          <cell r="G38">
            <v>0</v>
          </cell>
        </row>
        <row r="39">
          <cell r="F39">
            <v>0</v>
          </cell>
          <cell r="G39">
            <v>-26432</v>
          </cell>
        </row>
        <row r="40">
          <cell r="F40">
            <v>0</v>
          </cell>
          <cell r="G40">
            <v>-885136</v>
          </cell>
        </row>
        <row r="41">
          <cell r="F41">
            <v>0</v>
          </cell>
          <cell r="G41">
            <v>-287207</v>
          </cell>
        </row>
        <row r="42">
          <cell r="F42">
            <v>9033</v>
          </cell>
          <cell r="G42">
            <v>0</v>
          </cell>
        </row>
        <row r="43">
          <cell r="F43">
            <v>26331</v>
          </cell>
          <cell r="G43">
            <v>0</v>
          </cell>
        </row>
        <row r="44">
          <cell r="F44">
            <v>0</v>
          </cell>
          <cell r="G44">
            <v>-31920</v>
          </cell>
        </row>
        <row r="45">
          <cell r="F45">
            <v>0</v>
          </cell>
          <cell r="G45">
            <v>-2616</v>
          </cell>
        </row>
        <row r="46">
          <cell r="F46">
            <v>18772</v>
          </cell>
          <cell r="G46">
            <v>0</v>
          </cell>
        </row>
        <row r="47">
          <cell r="F47">
            <v>13469</v>
          </cell>
          <cell r="G47">
            <v>0</v>
          </cell>
        </row>
        <row r="48">
          <cell r="F48">
            <v>0</v>
          </cell>
          <cell r="G48">
            <v>-25058</v>
          </cell>
        </row>
        <row r="49">
          <cell r="F49">
            <v>85741</v>
          </cell>
          <cell r="G49">
            <v>0</v>
          </cell>
        </row>
        <row r="50">
          <cell r="F50">
            <v>0</v>
          </cell>
          <cell r="G50">
            <v>-56037</v>
          </cell>
        </row>
        <row r="51">
          <cell r="F51">
            <v>24532</v>
          </cell>
          <cell r="G51">
            <v>0</v>
          </cell>
        </row>
        <row r="52">
          <cell r="F52">
            <v>17391</v>
          </cell>
          <cell r="G52">
            <v>0</v>
          </cell>
        </row>
        <row r="53">
          <cell r="F53">
            <v>357487</v>
          </cell>
          <cell r="G53">
            <v>0</v>
          </cell>
        </row>
        <row r="54">
          <cell r="F54">
            <v>21990</v>
          </cell>
          <cell r="G54">
            <v>0</v>
          </cell>
        </row>
        <row r="55">
          <cell r="F55">
            <v>115516</v>
          </cell>
          <cell r="G55">
            <v>0</v>
          </cell>
        </row>
        <row r="56">
          <cell r="F56">
            <v>0</v>
          </cell>
          <cell r="G56">
            <v>-472768</v>
          </cell>
        </row>
        <row r="57">
          <cell r="F57">
            <v>0</v>
          </cell>
          <cell r="G57">
            <v>-119757</v>
          </cell>
        </row>
        <row r="58">
          <cell r="F58">
            <v>0</v>
          </cell>
          <cell r="G58">
            <v>-15968</v>
          </cell>
        </row>
        <row r="59">
          <cell r="F59">
            <v>108046</v>
          </cell>
          <cell r="G59">
            <v>0</v>
          </cell>
        </row>
        <row r="60">
          <cell r="F60">
            <v>13348</v>
          </cell>
          <cell r="G60">
            <v>0</v>
          </cell>
        </row>
        <row r="61">
          <cell r="F61">
            <v>8887</v>
          </cell>
          <cell r="G61">
            <v>0</v>
          </cell>
        </row>
        <row r="62">
          <cell r="F62">
            <v>0</v>
          </cell>
          <cell r="G62">
            <v>-62790</v>
          </cell>
        </row>
        <row r="63">
          <cell r="F63">
            <v>0</v>
          </cell>
          <cell r="G63">
            <v>-26364</v>
          </cell>
        </row>
        <row r="64">
          <cell r="F64">
            <v>0</v>
          </cell>
          <cell r="G64">
            <v>-46919</v>
          </cell>
        </row>
        <row r="65">
          <cell r="F65">
            <v>0</v>
          </cell>
          <cell r="G65">
            <v>-49473</v>
          </cell>
        </row>
        <row r="66">
          <cell r="F66">
            <v>0</v>
          </cell>
          <cell r="G66">
            <v>-3511</v>
          </cell>
        </row>
        <row r="67">
          <cell r="F67">
            <v>24716</v>
          </cell>
          <cell r="G67">
            <v>0</v>
          </cell>
        </row>
        <row r="68">
          <cell r="F68">
            <v>0</v>
          </cell>
          <cell r="G68">
            <v>-8164</v>
          </cell>
        </row>
        <row r="69">
          <cell r="F69">
            <v>0</v>
          </cell>
          <cell r="G69">
            <v>-78540</v>
          </cell>
        </row>
        <row r="70">
          <cell r="F70">
            <v>0</v>
          </cell>
          <cell r="G70">
            <v>-49471</v>
          </cell>
        </row>
        <row r="71">
          <cell r="F71">
            <v>16887</v>
          </cell>
          <cell r="G71">
            <v>0</v>
          </cell>
        </row>
        <row r="72">
          <cell r="F72">
            <v>0</v>
          </cell>
          <cell r="G72">
            <v>-331627</v>
          </cell>
        </row>
      </sheetData>
      <sheetData sheetId="3">
        <row r="76">
          <cell r="AJ76">
            <v>3562.85</v>
          </cell>
        </row>
      </sheetData>
      <sheetData sheetId="6">
        <row r="9">
          <cell r="B9">
            <v>951</v>
          </cell>
        </row>
        <row r="11">
          <cell r="B11">
            <v>450</v>
          </cell>
        </row>
        <row r="23">
          <cell r="D23">
            <v>-1583</v>
          </cell>
        </row>
        <row r="24">
          <cell r="D24">
            <v>-749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fpLeaSums"/>
    </sheetNames>
    <sheetDataSet>
      <sheetData sheetId="0">
        <row r="4">
          <cell r="C4">
            <v>94</v>
          </cell>
          <cell r="G4">
            <v>1533</v>
          </cell>
        </row>
        <row r="5">
          <cell r="C5">
            <v>70</v>
          </cell>
          <cell r="G5">
            <v>529</v>
          </cell>
        </row>
        <row r="6">
          <cell r="C6">
            <v>341</v>
          </cell>
          <cell r="G6">
            <v>2592</v>
          </cell>
        </row>
        <row r="7">
          <cell r="C7">
            <v>80</v>
          </cell>
          <cell r="G7">
            <v>628</v>
          </cell>
        </row>
        <row r="8">
          <cell r="C8">
            <v>9</v>
          </cell>
          <cell r="G8">
            <v>719</v>
          </cell>
        </row>
        <row r="9">
          <cell r="C9">
            <v>99</v>
          </cell>
          <cell r="G9">
            <v>817</v>
          </cell>
        </row>
        <row r="10">
          <cell r="C10">
            <v>6</v>
          </cell>
          <cell r="G10">
            <v>259</v>
          </cell>
        </row>
        <row r="11">
          <cell r="C11">
            <v>518</v>
          </cell>
          <cell r="G11">
            <v>2291</v>
          </cell>
        </row>
        <row r="12">
          <cell r="C12">
            <v>1935</v>
          </cell>
          <cell r="G12">
            <v>5616</v>
          </cell>
        </row>
        <row r="13">
          <cell r="C13">
            <v>963</v>
          </cell>
          <cell r="G13">
            <v>4041</v>
          </cell>
        </row>
        <row r="14">
          <cell r="C14">
            <v>39</v>
          </cell>
          <cell r="G14">
            <v>251</v>
          </cell>
        </row>
        <row r="16">
          <cell r="C16">
            <v>44</v>
          </cell>
          <cell r="G16">
            <v>187</v>
          </cell>
        </row>
        <row r="17">
          <cell r="C17">
            <v>141</v>
          </cell>
          <cell r="G17">
            <v>485</v>
          </cell>
        </row>
        <row r="18">
          <cell r="C18">
            <v>51</v>
          </cell>
          <cell r="G18">
            <v>427</v>
          </cell>
        </row>
        <row r="19">
          <cell r="C19">
            <v>59</v>
          </cell>
          <cell r="G19">
            <v>685</v>
          </cell>
        </row>
        <row r="20">
          <cell r="C20">
            <v>1274</v>
          </cell>
          <cell r="G20">
            <v>6141</v>
          </cell>
        </row>
        <row r="21">
          <cell r="C21">
            <v>2</v>
          </cell>
          <cell r="G21">
            <v>207</v>
          </cell>
        </row>
        <row r="22">
          <cell r="C22">
            <v>8</v>
          </cell>
          <cell r="G22">
            <v>378</v>
          </cell>
        </row>
        <row r="23">
          <cell r="C23">
            <v>43</v>
          </cell>
          <cell r="G23">
            <v>1080</v>
          </cell>
        </row>
        <row r="24">
          <cell r="C24">
            <v>58</v>
          </cell>
          <cell r="G24">
            <v>368</v>
          </cell>
        </row>
        <row r="25">
          <cell r="C25">
            <v>50</v>
          </cell>
          <cell r="G25">
            <v>563</v>
          </cell>
        </row>
        <row r="26">
          <cell r="C26">
            <v>417</v>
          </cell>
          <cell r="G26">
            <v>2254</v>
          </cell>
        </row>
        <row r="27">
          <cell r="C27">
            <v>90</v>
          </cell>
          <cell r="G27">
            <v>579</v>
          </cell>
        </row>
        <row r="28">
          <cell r="C28">
            <v>43</v>
          </cell>
          <cell r="G28">
            <v>242</v>
          </cell>
        </row>
        <row r="30">
          <cell r="C30">
            <v>109</v>
          </cell>
          <cell r="G30">
            <v>976</v>
          </cell>
        </row>
        <row r="31">
          <cell r="C31">
            <v>1132</v>
          </cell>
          <cell r="G31">
            <v>2792</v>
          </cell>
        </row>
        <row r="32">
          <cell r="C32">
            <v>209</v>
          </cell>
          <cell r="G32">
            <v>1933</v>
          </cell>
        </row>
        <row r="33">
          <cell r="C33">
            <v>35</v>
          </cell>
          <cell r="G33">
            <v>270</v>
          </cell>
        </row>
        <row r="34">
          <cell r="C34">
            <v>210</v>
          </cell>
          <cell r="G34">
            <v>880</v>
          </cell>
        </row>
        <row r="35">
          <cell r="C35">
            <v>523</v>
          </cell>
          <cell r="G35">
            <v>2773</v>
          </cell>
        </row>
        <row r="36">
          <cell r="C36">
            <v>11</v>
          </cell>
          <cell r="G36">
            <v>245</v>
          </cell>
        </row>
        <row r="37">
          <cell r="C37">
            <v>45</v>
          </cell>
          <cell r="G37">
            <v>729</v>
          </cell>
        </row>
        <row r="38">
          <cell r="C38">
            <v>225</v>
          </cell>
          <cell r="G38">
            <v>763</v>
          </cell>
        </row>
        <row r="40">
          <cell r="C40">
            <v>1072</v>
          </cell>
          <cell r="G40">
            <v>2429</v>
          </cell>
        </row>
        <row r="42">
          <cell r="C42">
            <v>11</v>
          </cell>
          <cell r="G42">
            <v>575</v>
          </cell>
        </row>
        <row r="43">
          <cell r="C43">
            <v>411</v>
          </cell>
          <cell r="G43">
            <v>3440</v>
          </cell>
        </row>
        <row r="44">
          <cell r="C44">
            <v>5</v>
          </cell>
          <cell r="G44">
            <v>192</v>
          </cell>
        </row>
        <row r="45">
          <cell r="C45">
            <v>66</v>
          </cell>
          <cell r="G45">
            <v>471</v>
          </cell>
        </row>
        <row r="46">
          <cell r="C46">
            <v>85</v>
          </cell>
          <cell r="G46">
            <v>629</v>
          </cell>
        </row>
        <row r="48">
          <cell r="C48">
            <v>642</v>
          </cell>
          <cell r="G48">
            <v>1118</v>
          </cell>
        </row>
        <row r="49">
          <cell r="C49">
            <v>6</v>
          </cell>
          <cell r="G49">
            <v>229</v>
          </cell>
        </row>
        <row r="50">
          <cell r="C50">
            <v>96</v>
          </cell>
          <cell r="G50">
            <v>576</v>
          </cell>
        </row>
        <row r="51">
          <cell r="C51">
            <v>131</v>
          </cell>
          <cell r="G51">
            <v>1178</v>
          </cell>
        </row>
        <row r="52">
          <cell r="C52">
            <v>264</v>
          </cell>
          <cell r="G52">
            <v>2256</v>
          </cell>
        </row>
        <row r="53">
          <cell r="C53">
            <v>89</v>
          </cell>
          <cell r="G53">
            <v>1187</v>
          </cell>
        </row>
        <row r="54">
          <cell r="C54">
            <v>316</v>
          </cell>
          <cell r="G54">
            <v>1617</v>
          </cell>
        </row>
        <row r="55">
          <cell r="C55">
            <v>2955</v>
          </cell>
          <cell r="G55">
            <v>5664</v>
          </cell>
        </row>
        <row r="56">
          <cell r="C56">
            <v>345</v>
          </cell>
          <cell r="G56">
            <v>2654</v>
          </cell>
        </row>
        <row r="57">
          <cell r="C57">
            <v>19</v>
          </cell>
          <cell r="G57">
            <v>164</v>
          </cell>
        </row>
        <row r="58">
          <cell r="C58">
            <v>854</v>
          </cell>
          <cell r="G58">
            <v>3011</v>
          </cell>
        </row>
        <row r="59">
          <cell r="C59">
            <v>24</v>
          </cell>
          <cell r="G59">
            <v>441</v>
          </cell>
        </row>
        <row r="60">
          <cell r="C60">
            <v>85</v>
          </cell>
          <cell r="G60">
            <v>1328</v>
          </cell>
        </row>
        <row r="61">
          <cell r="C61">
            <v>336</v>
          </cell>
          <cell r="G61">
            <v>1337</v>
          </cell>
        </row>
        <row r="62">
          <cell r="C62">
            <v>98</v>
          </cell>
          <cell r="G62">
            <v>807</v>
          </cell>
        </row>
        <row r="63">
          <cell r="C63">
            <v>127</v>
          </cell>
          <cell r="G63">
            <v>1021</v>
          </cell>
        </row>
        <row r="64">
          <cell r="C64">
            <v>163</v>
          </cell>
          <cell r="G64">
            <v>451</v>
          </cell>
        </row>
        <row r="65">
          <cell r="C65">
            <v>31</v>
          </cell>
          <cell r="G65">
            <v>260</v>
          </cell>
        </row>
        <row r="66">
          <cell r="C66">
            <v>165</v>
          </cell>
          <cell r="G66">
            <v>320</v>
          </cell>
        </row>
        <row r="67">
          <cell r="C67">
            <v>96</v>
          </cell>
          <cell r="G67">
            <v>340</v>
          </cell>
        </row>
        <row r="68">
          <cell r="C68">
            <v>445</v>
          </cell>
          <cell r="G68">
            <v>1344</v>
          </cell>
        </row>
        <row r="70">
          <cell r="C70">
            <v>161</v>
          </cell>
          <cell r="G70">
            <v>372</v>
          </cell>
        </row>
        <row r="71">
          <cell r="C71">
            <v>8</v>
          </cell>
          <cell r="G71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2895</v>
          </cell>
        </row>
        <row r="4">
          <cell r="C4">
            <v>1503.5</v>
          </cell>
        </row>
        <row r="5">
          <cell r="C5">
            <v>4826</v>
          </cell>
        </row>
        <row r="6">
          <cell r="C6">
            <v>1400.5</v>
          </cell>
        </row>
        <row r="7">
          <cell r="C7">
            <v>2572</v>
          </cell>
        </row>
        <row r="8">
          <cell r="C8">
            <v>1987.5</v>
          </cell>
        </row>
        <row r="9">
          <cell r="C9">
            <v>1004</v>
          </cell>
        </row>
        <row r="10">
          <cell r="C10">
            <v>5493</v>
          </cell>
        </row>
        <row r="11">
          <cell r="C11">
            <v>10277</v>
          </cell>
        </row>
        <row r="12">
          <cell r="C12">
            <v>7614</v>
          </cell>
        </row>
        <row r="13">
          <cell r="C13">
            <v>636.5</v>
          </cell>
        </row>
        <row r="15">
          <cell r="C15">
            <v>538.5</v>
          </cell>
        </row>
        <row r="16">
          <cell r="C16">
            <v>652</v>
          </cell>
        </row>
        <row r="17">
          <cell r="C17">
            <v>1877</v>
          </cell>
        </row>
        <row r="18">
          <cell r="C18">
            <v>1478.5</v>
          </cell>
        </row>
        <row r="19">
          <cell r="C19">
            <v>13908</v>
          </cell>
        </row>
        <row r="20">
          <cell r="C20">
            <v>605.5</v>
          </cell>
        </row>
        <row r="21">
          <cell r="C21">
            <v>712.5</v>
          </cell>
        </row>
        <row r="22">
          <cell r="C22">
            <v>2155</v>
          </cell>
        </row>
        <row r="23">
          <cell r="C23">
            <v>867</v>
          </cell>
        </row>
        <row r="24">
          <cell r="C24">
            <v>1110</v>
          </cell>
        </row>
        <row r="25">
          <cell r="C25">
            <v>6675</v>
          </cell>
        </row>
        <row r="26">
          <cell r="C26">
            <v>1561.5</v>
          </cell>
        </row>
        <row r="27">
          <cell r="C27">
            <v>1025</v>
          </cell>
        </row>
        <row r="29">
          <cell r="C29">
            <v>2206.5</v>
          </cell>
        </row>
        <row r="30">
          <cell r="C30">
            <v>8172</v>
          </cell>
        </row>
        <row r="31">
          <cell r="C31">
            <v>6069.5</v>
          </cell>
        </row>
        <row r="32">
          <cell r="C32">
            <v>987</v>
          </cell>
        </row>
        <row r="33">
          <cell r="C33">
            <v>2249.5</v>
          </cell>
        </row>
        <row r="34">
          <cell r="C34">
            <v>5874.5</v>
          </cell>
        </row>
        <row r="35">
          <cell r="C35">
            <v>399</v>
          </cell>
        </row>
        <row r="36">
          <cell r="C36">
            <v>1584.5</v>
          </cell>
        </row>
        <row r="37">
          <cell r="C37">
            <v>1562</v>
          </cell>
        </row>
        <row r="39">
          <cell r="C39">
            <v>4483.5</v>
          </cell>
        </row>
        <row r="41">
          <cell r="C41">
            <v>958.5</v>
          </cell>
        </row>
        <row r="42">
          <cell r="C42">
            <v>6163.5</v>
          </cell>
        </row>
        <row r="43">
          <cell r="C43">
            <v>481</v>
          </cell>
        </row>
        <row r="44">
          <cell r="C44">
            <v>993</v>
          </cell>
        </row>
        <row r="45">
          <cell r="C45">
            <v>1513</v>
          </cell>
        </row>
        <row r="47">
          <cell r="C47">
            <v>2261.5</v>
          </cell>
        </row>
        <row r="48">
          <cell r="C48">
            <v>389.5</v>
          </cell>
        </row>
        <row r="49">
          <cell r="C49">
            <v>1004.5</v>
          </cell>
        </row>
        <row r="50">
          <cell r="C50">
            <v>1629.5</v>
          </cell>
        </row>
        <row r="51">
          <cell r="C51">
            <v>4799</v>
          </cell>
        </row>
        <row r="52">
          <cell r="C52">
            <v>3355.5</v>
          </cell>
        </row>
        <row r="53">
          <cell r="C53">
            <v>3825</v>
          </cell>
        </row>
        <row r="54">
          <cell r="C54">
            <v>18056</v>
          </cell>
        </row>
        <row r="55">
          <cell r="C55">
            <v>4987.5</v>
          </cell>
        </row>
        <row r="56">
          <cell r="C56">
            <v>290.5</v>
          </cell>
        </row>
        <row r="57">
          <cell r="C57">
            <v>7546.5</v>
          </cell>
        </row>
        <row r="58">
          <cell r="C58">
            <v>1388.5</v>
          </cell>
        </row>
        <row r="59">
          <cell r="C59">
            <v>3204</v>
          </cell>
        </row>
        <row r="60">
          <cell r="C60">
            <v>2383</v>
          </cell>
        </row>
        <row r="61">
          <cell r="C61">
            <v>1651.5</v>
          </cell>
        </row>
        <row r="62">
          <cell r="C62">
            <v>2263.5</v>
          </cell>
        </row>
        <row r="63">
          <cell r="C63">
            <v>864</v>
          </cell>
        </row>
        <row r="64">
          <cell r="C64">
            <v>1127</v>
          </cell>
        </row>
        <row r="65">
          <cell r="C65">
            <v>515.5</v>
          </cell>
        </row>
        <row r="66">
          <cell r="C66">
            <v>1397.5</v>
          </cell>
        </row>
        <row r="67">
          <cell r="C67">
            <v>2192</v>
          </cell>
        </row>
        <row r="69">
          <cell r="C69">
            <v>908.5</v>
          </cell>
        </row>
        <row r="70">
          <cell r="C70">
            <v>733.5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5A Lab Schools"/>
    </sheetNames>
    <sheetDataSet>
      <sheetData sheetId="0">
        <row r="18">
          <cell r="R18">
            <v>72500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etail Calculation"/>
      <sheetName val="Rev_Fees_FACSminusDS_CP"/>
      <sheetName val="AFR Queries"/>
      <sheetName val="FacilityAcq"/>
    </sheetNames>
    <sheetDataSet>
      <sheetData sheetId="1">
        <row r="44">
          <cell r="M44">
            <v>179993993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4-05 Property"/>
      <sheetName val="04-05 Sales"/>
      <sheetName val="04-05 Other Revenue"/>
    </sheetNames>
    <sheetDataSet>
      <sheetData sheetId="2">
        <row r="2">
          <cell r="O2">
            <v>373678</v>
          </cell>
        </row>
        <row r="3">
          <cell r="O3">
            <v>96519</v>
          </cell>
        </row>
        <row r="4">
          <cell r="O4">
            <v>162802</v>
          </cell>
        </row>
        <row r="5">
          <cell r="O5">
            <v>119548</v>
          </cell>
        </row>
        <row r="6">
          <cell r="O6">
            <v>848743</v>
          </cell>
        </row>
        <row r="7">
          <cell r="O7">
            <v>291162</v>
          </cell>
        </row>
        <row r="8">
          <cell r="O8">
            <v>495882</v>
          </cell>
        </row>
        <row r="9">
          <cell r="O9">
            <v>609192</v>
          </cell>
        </row>
        <row r="10">
          <cell r="O10">
            <v>2389330</v>
          </cell>
        </row>
        <row r="11">
          <cell r="O11">
            <v>1013045</v>
          </cell>
        </row>
        <row r="12">
          <cell r="O12">
            <v>460106</v>
          </cell>
        </row>
        <row r="13">
          <cell r="O13">
            <v>1184320</v>
          </cell>
        </row>
        <row r="14">
          <cell r="O14">
            <v>85058</v>
          </cell>
        </row>
        <row r="15">
          <cell r="O15">
            <v>192427</v>
          </cell>
        </row>
        <row r="16">
          <cell r="O16">
            <v>218856</v>
          </cell>
        </row>
        <row r="17">
          <cell r="O17">
            <v>445266</v>
          </cell>
        </row>
        <row r="18">
          <cell r="O18">
            <v>3745686</v>
          </cell>
        </row>
        <row r="19">
          <cell r="O19">
            <v>114525</v>
          </cell>
        </row>
        <row r="20">
          <cell r="O20">
            <v>123489</v>
          </cell>
        </row>
        <row r="21">
          <cell r="O21">
            <v>232202</v>
          </cell>
        </row>
        <row r="22">
          <cell r="O22">
            <v>109695</v>
          </cell>
        </row>
        <row r="23">
          <cell r="O23">
            <v>564262</v>
          </cell>
        </row>
        <row r="24">
          <cell r="O24">
            <v>548083</v>
          </cell>
        </row>
        <row r="25">
          <cell r="O25">
            <v>153646</v>
          </cell>
        </row>
        <row r="26">
          <cell r="O26">
            <v>161233</v>
          </cell>
        </row>
        <row r="27">
          <cell r="O27">
            <v>2240249</v>
          </cell>
        </row>
        <row r="28">
          <cell r="O28">
            <v>307626</v>
          </cell>
        </row>
        <row r="29">
          <cell r="O29">
            <v>2109558</v>
          </cell>
        </row>
        <row r="30">
          <cell r="O30">
            <v>1052746</v>
          </cell>
        </row>
        <row r="31">
          <cell r="O31">
            <v>65614</v>
          </cell>
        </row>
        <row r="32">
          <cell r="O32">
            <v>282590</v>
          </cell>
        </row>
        <row r="33">
          <cell r="O33">
            <v>724187</v>
          </cell>
        </row>
        <row r="34">
          <cell r="O34">
            <v>14617</v>
          </cell>
        </row>
        <row r="35">
          <cell r="O35">
            <v>311894</v>
          </cell>
        </row>
        <row r="36">
          <cell r="O36">
            <v>681572</v>
          </cell>
        </row>
        <row r="37">
          <cell r="O37">
            <v>2850361</v>
          </cell>
        </row>
        <row r="38">
          <cell r="O38">
            <v>1026336</v>
          </cell>
        </row>
        <row r="39">
          <cell r="O39">
            <v>1637187</v>
          </cell>
        </row>
        <row r="40">
          <cell r="O40">
            <v>153823</v>
          </cell>
        </row>
        <row r="41">
          <cell r="O41">
            <v>1222202</v>
          </cell>
        </row>
        <row r="42">
          <cell r="O42">
            <v>47140</v>
          </cell>
        </row>
        <row r="43">
          <cell r="O43">
            <v>234791</v>
          </cell>
        </row>
        <row r="44">
          <cell r="O44">
            <v>163248</v>
          </cell>
        </row>
        <row r="45">
          <cell r="O45">
            <v>538220</v>
          </cell>
        </row>
        <row r="46">
          <cell r="O46">
            <v>288432</v>
          </cell>
        </row>
        <row r="47">
          <cell r="O47">
            <v>78643</v>
          </cell>
        </row>
        <row r="48">
          <cell r="O48">
            <v>86478</v>
          </cell>
        </row>
        <row r="49">
          <cell r="O49">
            <v>211788</v>
          </cell>
        </row>
        <row r="50">
          <cell r="O50">
            <v>483200</v>
          </cell>
        </row>
        <row r="51">
          <cell r="O51">
            <v>601474</v>
          </cell>
        </row>
        <row r="52">
          <cell r="O52">
            <v>563459</v>
          </cell>
        </row>
        <row r="53">
          <cell r="O53">
            <v>1768679</v>
          </cell>
        </row>
        <row r="54">
          <cell r="O54">
            <v>220096</v>
          </cell>
        </row>
        <row r="55">
          <cell r="O55">
            <v>59175</v>
          </cell>
        </row>
        <row r="56">
          <cell r="O56">
            <v>840390</v>
          </cell>
        </row>
        <row r="57">
          <cell r="O57">
            <v>155612</v>
          </cell>
        </row>
        <row r="58">
          <cell r="O58">
            <v>2226835</v>
          </cell>
        </row>
        <row r="59">
          <cell r="O59">
            <v>648211</v>
          </cell>
        </row>
        <row r="60">
          <cell r="O60">
            <v>146504</v>
          </cell>
        </row>
        <row r="61">
          <cell r="O61">
            <v>478886</v>
          </cell>
        </row>
        <row r="62">
          <cell r="O62">
            <v>131527</v>
          </cell>
        </row>
        <row r="63">
          <cell r="O63">
            <v>100719</v>
          </cell>
        </row>
        <row r="64">
          <cell r="O64">
            <v>54368</v>
          </cell>
        </row>
        <row r="65">
          <cell r="O65">
            <v>449221</v>
          </cell>
        </row>
        <row r="66">
          <cell r="O66">
            <v>313001</v>
          </cell>
        </row>
        <row r="67">
          <cell r="O67">
            <v>211724</v>
          </cell>
        </row>
        <row r="68">
          <cell r="O68">
            <v>52586</v>
          </cell>
        </row>
        <row r="69">
          <cell r="O69">
            <v>35451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28125" style="0" customWidth="1"/>
    <col min="2" max="2" width="3.28125" style="0" customWidth="1"/>
    <col min="3" max="3" width="39.7109375" style="0" customWidth="1"/>
    <col min="4" max="5" width="18.7109375" style="0" customWidth="1"/>
    <col min="6" max="6" width="20.7109375" style="0" customWidth="1"/>
    <col min="7" max="7" width="12.421875" style="0" customWidth="1"/>
    <col min="8" max="8" width="1.1484375" style="0" customWidth="1"/>
  </cols>
  <sheetData>
    <row r="1" spans="1:7" ht="30">
      <c r="A1" s="1026" t="s">
        <v>0</v>
      </c>
      <c r="B1" s="1026"/>
      <c r="C1" s="1026"/>
      <c r="D1" s="1026"/>
      <c r="E1" s="1026"/>
      <c r="F1" s="1026"/>
      <c r="G1" s="1026"/>
    </row>
    <row r="2" spans="1:7" ht="25.5">
      <c r="A2" s="1027" t="s">
        <v>1</v>
      </c>
      <c r="B2" s="1027"/>
      <c r="C2" s="1027"/>
      <c r="D2" s="1027"/>
      <c r="E2" s="1027"/>
      <c r="F2" s="1027"/>
      <c r="G2" s="1027"/>
    </row>
    <row r="3" spans="1:7" s="1" customFormat="1" ht="12.75" customHeight="1" thickBot="1">
      <c r="A3" s="1033"/>
      <c r="B3" s="1034"/>
      <c r="C3" s="1034"/>
      <c r="D3" s="1034"/>
      <c r="E3" s="1034"/>
      <c r="F3" s="1034"/>
      <c r="G3" s="1034"/>
    </row>
    <row r="4" spans="1:8" ht="19.5" customHeight="1" thickTop="1">
      <c r="A4" s="2"/>
      <c r="B4" s="3"/>
      <c r="C4" s="4"/>
      <c r="D4" s="1028" t="s">
        <v>2</v>
      </c>
      <c r="E4" s="1028" t="s">
        <v>3</v>
      </c>
      <c r="F4" s="1035" t="s">
        <v>4</v>
      </c>
      <c r="G4" s="5"/>
      <c r="H4" s="6"/>
    </row>
    <row r="5" spans="1:8" s="1" customFormat="1" ht="19.5" customHeight="1">
      <c r="A5" s="7"/>
      <c r="B5" s="8"/>
      <c r="C5" s="9"/>
      <c r="D5" s="1029"/>
      <c r="E5" s="1029"/>
      <c r="F5" s="1036"/>
      <c r="G5" s="10" t="s">
        <v>5</v>
      </c>
      <c r="H5" s="11"/>
    </row>
    <row r="6" spans="1:8" s="1" customFormat="1" ht="19.5" customHeight="1">
      <c r="A6" s="7"/>
      <c r="B6" s="8"/>
      <c r="C6" s="12"/>
      <c r="D6" s="1029"/>
      <c r="E6" s="1029"/>
      <c r="F6" s="1036"/>
      <c r="G6" s="10" t="s">
        <v>6</v>
      </c>
      <c r="H6" s="11"/>
    </row>
    <row r="7" spans="1:8" s="1" customFormat="1" ht="19.5" customHeight="1" thickBot="1">
      <c r="A7" s="13"/>
      <c r="B7" s="14"/>
      <c r="C7" s="15" t="s">
        <v>7</v>
      </c>
      <c r="D7" s="1030"/>
      <c r="E7" s="1030"/>
      <c r="F7" s="1037"/>
      <c r="G7" s="16"/>
      <c r="H7" s="17"/>
    </row>
    <row r="8" spans="1:8" s="1" customFormat="1" ht="16.5" thickTop="1">
      <c r="A8" s="18"/>
      <c r="B8" s="19"/>
      <c r="C8" s="20"/>
      <c r="D8" s="21"/>
      <c r="E8" s="21"/>
      <c r="F8" s="22"/>
      <c r="G8" s="21"/>
      <c r="H8" s="23"/>
    </row>
    <row r="9" spans="1:8" s="1" customFormat="1" ht="24.75" customHeight="1" thickBot="1">
      <c r="A9" s="24" t="s">
        <v>8</v>
      </c>
      <c r="B9" s="25" t="s">
        <v>9</v>
      </c>
      <c r="C9" s="26"/>
      <c r="D9" s="27">
        <f>'[2]Table 1 State Summary'!E9</f>
        <v>3554</v>
      </c>
      <c r="E9" s="27">
        <f>'[1]Table 3 Levels 1&amp;2'!R76</f>
        <v>3652</v>
      </c>
      <c r="F9" s="27">
        <f aca="true" t="shared" si="0" ref="F9:F16">E9-D9</f>
        <v>98</v>
      </c>
      <c r="G9" s="28">
        <f aca="true" t="shared" si="1" ref="G9:G16">ROUND((E9/D9)-1,4)</f>
        <v>0.0276</v>
      </c>
      <c r="H9" s="29"/>
    </row>
    <row r="10" spans="1:8" s="1" customFormat="1" ht="25.5" customHeight="1">
      <c r="A10" s="30" t="s">
        <v>10</v>
      </c>
      <c r="B10" s="31" t="s">
        <v>11</v>
      </c>
      <c r="C10" s="32"/>
      <c r="D10" s="33">
        <f>'[2]Table 1 State Summary'!E10</f>
        <v>966516</v>
      </c>
      <c r="E10" s="34">
        <f>SUM(E11:E16)</f>
        <v>895370</v>
      </c>
      <c r="F10" s="34">
        <f t="shared" si="0"/>
        <v>-71146</v>
      </c>
      <c r="G10" s="35">
        <f t="shared" si="1"/>
        <v>-0.0736</v>
      </c>
      <c r="H10" s="36"/>
    </row>
    <row r="11" spans="1:8" s="1" customFormat="1" ht="18.75" customHeight="1">
      <c r="A11" s="37"/>
      <c r="B11" s="38" t="s">
        <v>12</v>
      </c>
      <c r="C11" s="39" t="s">
        <v>13</v>
      </c>
      <c r="D11" s="40">
        <f>'[2]Table 1 State Summary'!E11</f>
        <v>701767</v>
      </c>
      <c r="E11" s="41">
        <f>'[1]Table 3 Levels 1&amp;2'!D76</f>
        <v>645747</v>
      </c>
      <c r="F11" s="42">
        <f t="shared" si="0"/>
        <v>-56020</v>
      </c>
      <c r="G11" s="43">
        <f t="shared" si="1"/>
        <v>-0.0798</v>
      </c>
      <c r="H11" s="44"/>
    </row>
    <row r="12" spans="1:8" s="1" customFormat="1" ht="18.75" customHeight="1">
      <c r="A12" s="37"/>
      <c r="B12" s="38" t="s">
        <v>14</v>
      </c>
      <c r="C12" s="39" t="s">
        <v>15</v>
      </c>
      <c r="D12" s="45">
        <f>'[2]Table 1 State Summary'!E12</f>
        <v>73500</v>
      </c>
      <c r="E12" s="46">
        <f>'[1]Table 3 Levels 1&amp;2'!F76</f>
        <v>77133</v>
      </c>
      <c r="F12" s="47">
        <f t="shared" si="0"/>
        <v>3633</v>
      </c>
      <c r="G12" s="48">
        <f t="shared" si="1"/>
        <v>0.0494</v>
      </c>
      <c r="H12" s="44"/>
    </row>
    <row r="13" spans="1:8" s="1" customFormat="1" ht="18.75" customHeight="1">
      <c r="A13" s="37"/>
      <c r="B13" s="38" t="s">
        <v>16</v>
      </c>
      <c r="C13" s="39" t="s">
        <v>17</v>
      </c>
      <c r="D13" s="40">
        <f>'[2]Table 1 State Summary'!E13</f>
        <v>9974</v>
      </c>
      <c r="E13" s="41">
        <f>'[1]Table 3 Levels 1&amp;2'!H76</f>
        <v>9952</v>
      </c>
      <c r="F13" s="42">
        <f t="shared" si="0"/>
        <v>-22</v>
      </c>
      <c r="G13" s="43">
        <f t="shared" si="1"/>
        <v>-0.0022</v>
      </c>
      <c r="H13" s="44"/>
    </row>
    <row r="14" spans="1:8" s="1" customFormat="1" ht="18.75" customHeight="1">
      <c r="A14" s="37"/>
      <c r="B14" s="38" t="s">
        <v>18</v>
      </c>
      <c r="C14" s="39" t="s">
        <v>19</v>
      </c>
      <c r="D14" s="40">
        <f>'[2]Table 1 State Summary'!E14</f>
        <v>152881</v>
      </c>
      <c r="E14" s="41">
        <f>'[1]Table 3 Levels 1&amp;2'!J76</f>
        <v>135813</v>
      </c>
      <c r="F14" s="42">
        <f t="shared" si="0"/>
        <v>-17068</v>
      </c>
      <c r="G14" s="43">
        <f t="shared" si="1"/>
        <v>-0.1116</v>
      </c>
      <c r="H14" s="44"/>
    </row>
    <row r="15" spans="1:8" s="1" customFormat="1" ht="18.75" customHeight="1">
      <c r="A15" s="37"/>
      <c r="B15" s="38" t="s">
        <v>20</v>
      </c>
      <c r="C15" s="39" t="s">
        <v>21</v>
      </c>
      <c r="D15" s="40">
        <f>'[2]Table 1 State Summary'!E15</f>
        <v>15459</v>
      </c>
      <c r="E15" s="41">
        <f>'[1]Table 3 Levels 1&amp;2'!L76</f>
        <v>13411</v>
      </c>
      <c r="F15" s="42">
        <f t="shared" si="0"/>
        <v>-2048</v>
      </c>
      <c r="G15" s="43">
        <f t="shared" si="1"/>
        <v>-0.1325</v>
      </c>
      <c r="H15" s="44"/>
    </row>
    <row r="16" spans="1:8" s="1" customFormat="1" ht="18.75" customHeight="1">
      <c r="A16" s="37"/>
      <c r="B16" s="49" t="s">
        <v>22</v>
      </c>
      <c r="C16" s="50" t="s">
        <v>23</v>
      </c>
      <c r="D16" s="51">
        <f>'[2]Table 1 State Summary'!E16</f>
        <v>12935</v>
      </c>
      <c r="E16" s="52">
        <f>'[1]Table 3 Levels 1&amp;2'!O76</f>
        <v>13314</v>
      </c>
      <c r="F16" s="53">
        <f t="shared" si="0"/>
        <v>379</v>
      </c>
      <c r="G16" s="54">
        <f t="shared" si="1"/>
        <v>0.0293</v>
      </c>
      <c r="H16" s="55"/>
    </row>
    <row r="17" spans="1:8" s="1" customFormat="1" ht="16.5" thickBot="1">
      <c r="A17" s="56"/>
      <c r="B17" s="57"/>
      <c r="C17" s="58" t="s">
        <v>24</v>
      </c>
      <c r="D17" s="59"/>
      <c r="E17" s="60"/>
      <c r="F17" s="60"/>
      <c r="G17" s="61"/>
      <c r="H17" s="62"/>
    </row>
    <row r="18" spans="1:8" s="1" customFormat="1" ht="30.75" customHeight="1">
      <c r="A18" s="37" t="s">
        <v>25</v>
      </c>
      <c r="B18" s="63" t="s">
        <v>26</v>
      </c>
      <c r="C18" s="64"/>
      <c r="D18" s="65">
        <f>'[2]Table 1 State Summary'!E18</f>
        <v>3434997864</v>
      </c>
      <c r="E18" s="65">
        <f>'[1]Table 3 Levels 1&amp;2'!S76</f>
        <v>3269891240</v>
      </c>
      <c r="F18" s="65">
        <f aca="true" t="shared" si="2" ref="F18:F41">E18-D18</f>
        <v>-165106624</v>
      </c>
      <c r="G18" s="43">
        <f aca="true" t="shared" si="3" ref="G18:G38">ROUND((E18/D18)-1,4)</f>
        <v>-0.0481</v>
      </c>
      <c r="H18" s="36"/>
    </row>
    <row r="19" spans="1:8" s="1" customFormat="1" ht="18.75" customHeight="1">
      <c r="A19" s="37"/>
      <c r="B19" s="66" t="s">
        <v>12</v>
      </c>
      <c r="C19" s="67" t="s">
        <v>27</v>
      </c>
      <c r="D19" s="68">
        <f>'[2]Table 1 State Summary'!E19</f>
        <v>2232750030</v>
      </c>
      <c r="E19" s="68">
        <f>'[1]Table 3 Levels 1&amp;2'!Y76</f>
        <v>2125430543</v>
      </c>
      <c r="F19" s="68">
        <f t="shared" si="2"/>
        <v>-107319487</v>
      </c>
      <c r="G19" s="69">
        <f t="shared" si="3"/>
        <v>-0.0481</v>
      </c>
      <c r="H19" s="44"/>
    </row>
    <row r="20" spans="1:8" s="1" customFormat="1" ht="18.75" customHeight="1" thickBot="1">
      <c r="A20" s="56"/>
      <c r="B20" s="70" t="s">
        <v>14</v>
      </c>
      <c r="C20" s="71" t="s">
        <v>28</v>
      </c>
      <c r="D20" s="72">
        <f>'[2]Table 1 State Summary'!E20</f>
        <v>1202247834</v>
      </c>
      <c r="E20" s="72">
        <f>'[1]Table 3 Levels 1&amp;2'!W76</f>
        <v>1144460697</v>
      </c>
      <c r="F20" s="72">
        <f t="shared" si="2"/>
        <v>-57787137</v>
      </c>
      <c r="G20" s="61">
        <f t="shared" si="3"/>
        <v>-0.0481</v>
      </c>
      <c r="H20" s="73"/>
    </row>
    <row r="21" spans="1:8" s="1" customFormat="1" ht="29.25" customHeight="1">
      <c r="A21" s="74" t="s">
        <v>29</v>
      </c>
      <c r="B21" s="63" t="s">
        <v>30</v>
      </c>
      <c r="C21" s="75"/>
      <c r="D21" s="65">
        <f>'[2]Table 1 State Summary'!E21</f>
        <v>2036534955</v>
      </c>
      <c r="E21" s="65">
        <f>'[1]Table 7 Local Revenue'!AR76</f>
        <v>1998194617</v>
      </c>
      <c r="F21" s="65">
        <f t="shared" si="2"/>
        <v>-38340338</v>
      </c>
      <c r="G21" s="43">
        <f t="shared" si="3"/>
        <v>-0.0188</v>
      </c>
      <c r="H21" s="36"/>
    </row>
    <row r="22" spans="1:8" s="1" customFormat="1" ht="18.75" customHeight="1">
      <c r="A22" s="76"/>
      <c r="B22" s="77" t="s">
        <v>12</v>
      </c>
      <c r="C22" s="63" t="s">
        <v>31</v>
      </c>
      <c r="D22" s="65">
        <f>'[2]Table 1 State Summary'!E22</f>
        <v>19493573895</v>
      </c>
      <c r="E22" s="65">
        <f>'[1]Table 7 Local Revenue'!G76</f>
        <v>19503462207</v>
      </c>
      <c r="F22" s="65">
        <f t="shared" si="2"/>
        <v>9888312</v>
      </c>
      <c r="G22" s="43">
        <f t="shared" si="3"/>
        <v>0.0005</v>
      </c>
      <c r="H22" s="36"/>
    </row>
    <row r="23" spans="1:8" s="1" customFormat="1" ht="18.75" customHeight="1">
      <c r="A23" s="76"/>
      <c r="B23" s="77" t="s">
        <v>14</v>
      </c>
      <c r="C23" s="63" t="s">
        <v>32</v>
      </c>
      <c r="D23" s="65">
        <f>'[2]Table 1 State Summary'!E23</f>
        <v>60722738159.6</v>
      </c>
      <c r="E23" s="65">
        <f>'[1]Table 7 Local Revenue'!AN76</f>
        <v>58138979305.850006</v>
      </c>
      <c r="F23" s="65">
        <f t="shared" si="2"/>
        <v>-2583758853.7499924</v>
      </c>
      <c r="G23" s="43">
        <f t="shared" si="3"/>
        <v>-0.0426</v>
      </c>
      <c r="H23" s="36"/>
    </row>
    <row r="24" spans="1:8" s="1" customFormat="1" ht="15.75">
      <c r="A24" s="76"/>
      <c r="B24" s="77" t="s">
        <v>16</v>
      </c>
      <c r="C24" s="63" t="s">
        <v>33</v>
      </c>
      <c r="D24" s="78">
        <f>'[2]Table 1 State Summary'!E24</f>
        <v>42.906821012155916</v>
      </c>
      <c r="E24" s="79">
        <f>'[1]Table 7 Local Revenue'!AC76</f>
        <v>41.88</v>
      </c>
      <c r="F24" s="79">
        <f t="shared" si="2"/>
        <v>-1.0268210121559136</v>
      </c>
      <c r="G24" s="43">
        <f t="shared" si="3"/>
        <v>-0.0239</v>
      </c>
      <c r="H24" s="36"/>
    </row>
    <row r="25" spans="1:8" s="1" customFormat="1" ht="15.75">
      <c r="A25" s="76"/>
      <c r="B25" s="77" t="s">
        <v>18</v>
      </c>
      <c r="C25" s="63" t="s">
        <v>34</v>
      </c>
      <c r="D25" s="80">
        <f>'[2]Table 1 State Summary'!E25</f>
        <v>0.01912399136896567</v>
      </c>
      <c r="E25" s="81">
        <f>'[1]Table 7 Local Revenue'!AF76</f>
        <v>0.019583121186073867</v>
      </c>
      <c r="F25" s="81">
        <f t="shared" si="2"/>
        <v>0.00045912981710819617</v>
      </c>
      <c r="G25" s="43">
        <f t="shared" si="3"/>
        <v>0.024</v>
      </c>
      <c r="H25" s="36"/>
    </row>
    <row r="26" spans="1:8" s="1" customFormat="1" ht="18.75" customHeight="1">
      <c r="A26" s="76"/>
      <c r="B26" s="77" t="s">
        <v>20</v>
      </c>
      <c r="C26" s="63" t="s">
        <v>35</v>
      </c>
      <c r="D26" s="65">
        <f>'[2]Table 1 State Summary'!E26</f>
        <v>836407286</v>
      </c>
      <c r="E26" s="65">
        <f>'[1]Table 7 Local Revenue'!AD76</f>
        <v>905752509</v>
      </c>
      <c r="F26" s="65">
        <f t="shared" si="2"/>
        <v>69345223</v>
      </c>
      <c r="G26" s="43">
        <f t="shared" si="3"/>
        <v>0.0829</v>
      </c>
      <c r="H26" s="36"/>
    </row>
    <row r="27" spans="1:8" s="1" customFormat="1" ht="18.75" customHeight="1">
      <c r="A27" s="76"/>
      <c r="B27" s="77" t="s">
        <v>22</v>
      </c>
      <c r="C27" s="63" t="s">
        <v>36</v>
      </c>
      <c r="D27" s="65">
        <f>'[2]Table 1 State Summary'!E27</f>
        <v>1163909891</v>
      </c>
      <c r="E27" s="65">
        <f>'[1]Table 7 Local Revenue'!AJ76</f>
        <v>1140734645</v>
      </c>
      <c r="F27" s="65">
        <f t="shared" si="2"/>
        <v>-23175246</v>
      </c>
      <c r="G27" s="43">
        <f t="shared" si="3"/>
        <v>-0.0199</v>
      </c>
      <c r="H27" s="36"/>
    </row>
    <row r="28" spans="1:8" s="1" customFormat="1" ht="18.75" customHeight="1" thickBot="1">
      <c r="A28" s="82"/>
      <c r="B28" s="83" t="s">
        <v>37</v>
      </c>
      <c r="C28" s="84" t="s">
        <v>38</v>
      </c>
      <c r="D28" s="85">
        <f>'[2]Table 1 State Summary'!E28</f>
        <v>36217778</v>
      </c>
      <c r="E28" s="85">
        <f>'[1]Table 7 Local Revenue'!AQ76</f>
        <v>40609175</v>
      </c>
      <c r="F28" s="85">
        <f t="shared" si="2"/>
        <v>4391397</v>
      </c>
      <c r="G28" s="86">
        <f t="shared" si="3"/>
        <v>0.1212</v>
      </c>
      <c r="H28" s="73"/>
    </row>
    <row r="29" spans="1:8" s="1" customFormat="1" ht="30" customHeight="1">
      <c r="A29" s="37" t="s">
        <v>39</v>
      </c>
      <c r="B29" s="87" t="s">
        <v>40</v>
      </c>
      <c r="C29" s="63"/>
      <c r="D29" s="65">
        <f>'[2]Table 1 State Summary'!E29</f>
        <v>769120126.5</v>
      </c>
      <c r="E29" s="65">
        <f>'[1]Table 3 Levels 1&amp;2'!AE76</f>
        <v>767348703</v>
      </c>
      <c r="F29" s="65">
        <f t="shared" si="2"/>
        <v>-1771423.5</v>
      </c>
      <c r="G29" s="43">
        <f t="shared" si="3"/>
        <v>-0.0023</v>
      </c>
      <c r="H29" s="44"/>
    </row>
    <row r="30" spans="1:8" s="1" customFormat="1" ht="18.75" customHeight="1">
      <c r="A30" s="76"/>
      <c r="B30" s="66" t="s">
        <v>12</v>
      </c>
      <c r="C30" s="88" t="s">
        <v>41</v>
      </c>
      <c r="D30" s="68">
        <f>'[2]Table 1 State Summary'!E30</f>
        <v>271614768</v>
      </c>
      <c r="E30" s="68">
        <f>'[1]Table 3 Levels 1&amp;2'!AF76</f>
        <v>269072895</v>
      </c>
      <c r="F30" s="68">
        <f t="shared" si="2"/>
        <v>-2541873</v>
      </c>
      <c r="G30" s="69">
        <f t="shared" si="3"/>
        <v>-0.0094</v>
      </c>
      <c r="H30" s="44"/>
    </row>
    <row r="31" spans="1:8" s="1" customFormat="1" ht="18.75" customHeight="1" thickBot="1">
      <c r="A31" s="82"/>
      <c r="B31" s="83" t="s">
        <v>14</v>
      </c>
      <c r="C31" s="89" t="s">
        <v>42</v>
      </c>
      <c r="D31" s="85">
        <f>'[2]Table 1 State Summary'!E31</f>
        <v>188573683</v>
      </c>
      <c r="E31" s="85">
        <f>'[1]Table 3 Levels 1&amp;2'!AH76</f>
        <v>168595323</v>
      </c>
      <c r="F31" s="85">
        <f t="shared" si="2"/>
        <v>-19978360</v>
      </c>
      <c r="G31" s="86">
        <f t="shared" si="3"/>
        <v>-0.1059</v>
      </c>
      <c r="H31" s="90"/>
    </row>
    <row r="32" spans="1:8" s="1" customFormat="1" ht="31.5" customHeight="1" thickBot="1">
      <c r="A32" s="91" t="s">
        <v>43</v>
      </c>
      <c r="B32" s="92" t="s">
        <v>44</v>
      </c>
      <c r="C32" s="93"/>
      <c r="D32" s="94">
        <f>'[2]Table 1 State Summary'!E32</f>
        <v>2504364798</v>
      </c>
      <c r="E32" s="94">
        <f>E19+E30</f>
        <v>2394503438</v>
      </c>
      <c r="F32" s="94">
        <f t="shared" si="2"/>
        <v>-109861360</v>
      </c>
      <c r="G32" s="95">
        <f t="shared" si="3"/>
        <v>-0.0439</v>
      </c>
      <c r="H32" s="62"/>
    </row>
    <row r="33" spans="1:8" s="1" customFormat="1" ht="30.75" customHeight="1">
      <c r="A33" s="96" t="s">
        <v>45</v>
      </c>
      <c r="B33" s="1031" t="s">
        <v>46</v>
      </c>
      <c r="C33" s="1032"/>
      <c r="D33" s="97">
        <f>'[2]Table 1 State Summary'!E33</f>
        <v>206373433</v>
      </c>
      <c r="E33" s="97">
        <f>SUM(E34:E41)</f>
        <v>322649607</v>
      </c>
      <c r="F33" s="97">
        <f t="shared" si="2"/>
        <v>116276174</v>
      </c>
      <c r="G33" s="98">
        <f t="shared" si="3"/>
        <v>0.5634</v>
      </c>
      <c r="H33" s="99"/>
    </row>
    <row r="34" spans="1:8" s="1" customFormat="1" ht="18" customHeight="1">
      <c r="A34" s="100"/>
      <c r="B34" s="101" t="s">
        <v>12</v>
      </c>
      <c r="C34" s="102" t="s">
        <v>47</v>
      </c>
      <c r="D34" s="103">
        <f>'[2]Table 1 State Summary'!E34</f>
        <v>63572646</v>
      </c>
      <c r="E34" s="103">
        <f>+'[1]Table 4 Level 3'!F76</f>
        <v>56507216</v>
      </c>
      <c r="F34" s="103">
        <f t="shared" si="2"/>
        <v>-7065430</v>
      </c>
      <c r="G34" s="104">
        <f t="shared" si="3"/>
        <v>-0.1111</v>
      </c>
      <c r="H34" s="55"/>
    </row>
    <row r="35" spans="1:8" s="1" customFormat="1" ht="18" customHeight="1">
      <c r="A35" s="100"/>
      <c r="B35" s="105" t="s">
        <v>14</v>
      </c>
      <c r="C35" s="106" t="s">
        <v>48</v>
      </c>
      <c r="D35" s="103">
        <f>'[2]Table 1 State Summary'!E35</f>
        <v>19512717</v>
      </c>
      <c r="E35" s="103">
        <f>'[1]Table 4 Level 3'!J76</f>
        <v>18113128</v>
      </c>
      <c r="F35" s="103">
        <f t="shared" si="2"/>
        <v>-1399589</v>
      </c>
      <c r="G35" s="104">
        <f t="shared" si="3"/>
        <v>-0.0717</v>
      </c>
      <c r="H35" s="55"/>
    </row>
    <row r="36" spans="1:8" s="1" customFormat="1" ht="18" customHeight="1">
      <c r="A36" s="100"/>
      <c r="B36" s="105" t="s">
        <v>16</v>
      </c>
      <c r="C36" s="106" t="s">
        <v>49</v>
      </c>
      <c r="D36" s="103">
        <v>0</v>
      </c>
      <c r="E36" s="103">
        <f>'[1]Table 4 Level 3'!L76</f>
        <v>93719932</v>
      </c>
      <c r="F36" s="103">
        <f t="shared" si="2"/>
        <v>93719932</v>
      </c>
      <c r="G36" s="104" t="e">
        <f t="shared" si="3"/>
        <v>#DIV/0!</v>
      </c>
      <c r="H36" s="55"/>
    </row>
    <row r="37" spans="1:8" s="1" customFormat="1" ht="18" customHeight="1">
      <c r="A37" s="100"/>
      <c r="B37" s="105" t="s">
        <v>18</v>
      </c>
      <c r="C37" s="106" t="s">
        <v>50</v>
      </c>
      <c r="D37" s="103">
        <v>0</v>
      </c>
      <c r="E37" s="103">
        <f>'[1]Table 4 Level 3'!N76</f>
        <v>21716638</v>
      </c>
      <c r="F37" s="103">
        <f t="shared" si="2"/>
        <v>21716638</v>
      </c>
      <c r="G37" s="104" t="e">
        <f t="shared" si="3"/>
        <v>#DIV/0!</v>
      </c>
      <c r="H37" s="55"/>
    </row>
    <row r="38" spans="1:8" s="1" customFormat="1" ht="18" customHeight="1">
      <c r="A38" s="100"/>
      <c r="B38" s="105" t="s">
        <v>20</v>
      </c>
      <c r="C38" s="106" t="s">
        <v>51</v>
      </c>
      <c r="D38" s="103">
        <f>'[2]Table 1 State Summary'!E36</f>
        <v>4960000</v>
      </c>
      <c r="E38" s="103">
        <f>'[1]Table 4 Level 3'!P76</f>
        <v>4140000</v>
      </c>
      <c r="F38" s="103">
        <f t="shared" si="2"/>
        <v>-820000</v>
      </c>
      <c r="G38" s="104">
        <f t="shared" si="3"/>
        <v>-0.1653</v>
      </c>
      <c r="H38" s="55"/>
    </row>
    <row r="39" spans="1:8" s="1" customFormat="1" ht="18" customHeight="1">
      <c r="A39" s="100"/>
      <c r="B39" s="105" t="s">
        <v>22</v>
      </c>
      <c r="C39" s="106" t="s">
        <v>52</v>
      </c>
      <c r="D39" s="103">
        <f>'[2]Table 1 State Summary'!E37</f>
        <v>0</v>
      </c>
      <c r="E39" s="103">
        <f>'[1]Table 4 Level 3'!R76</f>
        <v>0</v>
      </c>
      <c r="F39" s="103">
        <f t="shared" si="2"/>
        <v>0</v>
      </c>
      <c r="G39" s="104">
        <v>0</v>
      </c>
      <c r="H39" s="55"/>
    </row>
    <row r="40" spans="1:8" s="1" customFormat="1" ht="18" customHeight="1">
      <c r="A40" s="100"/>
      <c r="B40" s="105" t="s">
        <v>37</v>
      </c>
      <c r="C40" s="107" t="s">
        <v>53</v>
      </c>
      <c r="D40" s="108">
        <f>'[2]Table 1 State Summary'!E38</f>
        <v>37360568</v>
      </c>
      <c r="E40" s="108">
        <f>'[1]Table 4 Level 3'!X76</f>
        <v>51659760</v>
      </c>
      <c r="F40" s="109">
        <f t="shared" si="2"/>
        <v>14299192</v>
      </c>
      <c r="G40" s="104">
        <f>ROUND((E40/D40)-1,4)</f>
        <v>0.3827</v>
      </c>
      <c r="H40" s="55"/>
    </row>
    <row r="41" spans="1:8" s="1" customFormat="1" ht="18.75" customHeight="1" thickBot="1">
      <c r="A41" s="100"/>
      <c r="B41" s="105" t="s">
        <v>54</v>
      </c>
      <c r="C41" s="110" t="s">
        <v>55</v>
      </c>
      <c r="D41" s="72">
        <f>'[2]Table 1 State Summary'!E39</f>
        <v>80967502</v>
      </c>
      <c r="E41" s="111">
        <f>'[1]Table 4 Level 3'!V76</f>
        <v>76792933</v>
      </c>
      <c r="F41" s="112">
        <f t="shared" si="2"/>
        <v>-4174569</v>
      </c>
      <c r="G41" s="113">
        <f>ROUND((E41/D41)-1,4)</f>
        <v>-0.0516</v>
      </c>
      <c r="H41" s="114"/>
    </row>
    <row r="42" spans="1:8" s="1" customFormat="1" ht="28.5" customHeight="1" thickTop="1">
      <c r="A42" s="115" t="s">
        <v>56</v>
      </c>
      <c r="B42" s="116" t="s">
        <v>57</v>
      </c>
      <c r="C42" s="117"/>
      <c r="D42" s="118"/>
      <c r="E42" s="118"/>
      <c r="F42" s="119"/>
      <c r="G42" s="120"/>
      <c r="H42" s="121"/>
    </row>
    <row r="43" spans="1:8" s="1" customFormat="1" ht="15.75">
      <c r="A43" s="122"/>
      <c r="B43" s="123" t="s">
        <v>58</v>
      </c>
      <c r="C43" s="124"/>
      <c r="D43" s="125">
        <f>'[2]Table 1 State Summary'!E41</f>
        <v>2710738231</v>
      </c>
      <c r="E43" s="125">
        <f>SUM(E32:E33)</f>
        <v>2717153045</v>
      </c>
      <c r="F43" s="125">
        <f>E43-D43</f>
        <v>6414814</v>
      </c>
      <c r="G43" s="126">
        <f>ROUND((E43/D43)-1,4)</f>
        <v>0.0024</v>
      </c>
      <c r="H43" s="127"/>
    </row>
    <row r="44" spans="1:8" s="1" customFormat="1" ht="15.75">
      <c r="A44" s="122"/>
      <c r="B44" s="123"/>
      <c r="C44" s="124" t="s">
        <v>59</v>
      </c>
      <c r="D44" s="128">
        <f>'[2]Table 1 State Summary'!E42</f>
        <v>3862.7325465574754</v>
      </c>
      <c r="E44" s="128">
        <f>'[1]Table 3 Levels 1&amp;2'!AO76</f>
        <v>4208</v>
      </c>
      <c r="F44" s="128">
        <f>E44-D44</f>
        <v>345.2674534425246</v>
      </c>
      <c r="G44" s="120">
        <f>ROUND((E44/D44)-1,4)</f>
        <v>0.0894</v>
      </c>
      <c r="H44" s="127"/>
    </row>
    <row r="45" spans="1:8" s="1" customFormat="1" ht="16.5" thickBot="1">
      <c r="A45" s="129"/>
      <c r="B45" s="130"/>
      <c r="C45" s="131" t="s">
        <v>60</v>
      </c>
      <c r="D45" s="132">
        <f>'[2]Table 1 State Summary'!E43</f>
        <v>321.8943788797896</v>
      </c>
      <c r="E45" s="132">
        <f>ROUND(E44/12,0)</f>
        <v>351</v>
      </c>
      <c r="F45" s="132">
        <f>E45-D45</f>
        <v>29.1056211202104</v>
      </c>
      <c r="G45" s="133"/>
      <c r="H45" s="134"/>
    </row>
    <row r="46" spans="1:8" s="1" customFormat="1" ht="15.75">
      <c r="A46" s="135" t="s">
        <v>61</v>
      </c>
      <c r="B46" s="1038" t="s">
        <v>62</v>
      </c>
      <c r="C46" s="1038"/>
      <c r="D46" s="136"/>
      <c r="E46" s="137"/>
      <c r="F46" s="138"/>
      <c r="G46" s="139"/>
      <c r="H46" s="55"/>
    </row>
    <row r="47" spans="1:8" s="1" customFormat="1" ht="19.5" customHeight="1">
      <c r="A47" s="140"/>
      <c r="B47" s="141" t="s">
        <v>63</v>
      </c>
      <c r="C47" s="67"/>
      <c r="D47" s="68">
        <f>'[2]Table 1 State Summary'!E45</f>
        <v>5412063</v>
      </c>
      <c r="E47" s="68">
        <f>E49+E48</f>
        <v>6366704</v>
      </c>
      <c r="F47" s="68">
        <f aca="true" t="shared" si="4" ref="F47:F54">E47-D47</f>
        <v>954641</v>
      </c>
      <c r="G47" s="69">
        <f aca="true" t="shared" si="5" ref="G47:G54">ROUND((E47/D47)-1,4)</f>
        <v>0.1764</v>
      </c>
      <c r="H47" s="142"/>
    </row>
    <row r="48" spans="1:8" s="1" customFormat="1" ht="15.75">
      <c r="A48" s="143"/>
      <c r="B48" s="144" t="s">
        <v>12</v>
      </c>
      <c r="C48" s="145" t="s">
        <v>64</v>
      </c>
      <c r="D48" s="146">
        <f>'[2]Table 1 State Summary'!E46</f>
        <v>3673713</v>
      </c>
      <c r="E48" s="146">
        <f>'Table 5A Lab Schools'!D6</f>
        <v>4233248</v>
      </c>
      <c r="F48" s="146">
        <f t="shared" si="4"/>
        <v>559535</v>
      </c>
      <c r="G48" s="147">
        <f t="shared" si="5"/>
        <v>0.1523</v>
      </c>
      <c r="H48" s="44"/>
    </row>
    <row r="49" spans="1:8" s="1" customFormat="1" ht="15.75">
      <c r="A49" s="143"/>
      <c r="B49" s="148" t="s">
        <v>14</v>
      </c>
      <c r="C49" s="149" t="s">
        <v>65</v>
      </c>
      <c r="D49" s="150">
        <f>'[2]Table 1 State Summary'!E47</f>
        <v>1738350</v>
      </c>
      <c r="E49" s="150">
        <f>'Table 5A Lab Schools'!D7</f>
        <v>2133456</v>
      </c>
      <c r="F49" s="150">
        <f t="shared" si="4"/>
        <v>395106</v>
      </c>
      <c r="G49" s="151">
        <f t="shared" si="5"/>
        <v>0.2273</v>
      </c>
      <c r="H49" s="152"/>
    </row>
    <row r="50" spans="1:8" s="1" customFormat="1" ht="15.75">
      <c r="A50" s="153" t="s">
        <v>66</v>
      </c>
      <c r="B50" s="154" t="s">
        <v>67</v>
      </c>
      <c r="C50" s="155"/>
      <c r="D50" s="68">
        <f>'[2]Table 1 State Summary'!E48</f>
        <v>5451120</v>
      </c>
      <c r="E50" s="68">
        <f>SUM(E51)</f>
        <v>50678814</v>
      </c>
      <c r="F50" s="68">
        <f t="shared" si="4"/>
        <v>45227694</v>
      </c>
      <c r="G50" s="69">
        <f t="shared" si="5"/>
        <v>8.297</v>
      </c>
      <c r="H50" s="156"/>
    </row>
    <row r="51" spans="1:8" s="1" customFormat="1" ht="16.5" thickBot="1">
      <c r="A51" s="157"/>
      <c r="B51" s="144" t="s">
        <v>12</v>
      </c>
      <c r="C51" s="71" t="s">
        <v>68</v>
      </c>
      <c r="D51" s="72">
        <f>'[2]Table 1 State Summary'!E49</f>
        <v>5451120</v>
      </c>
      <c r="E51" s="72">
        <f>'[1]Table 5B RSD'!C17</f>
        <v>50678814</v>
      </c>
      <c r="F51" s="72">
        <f t="shared" si="4"/>
        <v>45227694</v>
      </c>
      <c r="G51" s="61">
        <f t="shared" si="5"/>
        <v>8.297</v>
      </c>
      <c r="H51" s="158"/>
    </row>
    <row r="52" spans="1:8" s="1" customFormat="1" ht="36" customHeight="1" thickBot="1">
      <c r="A52" s="159" t="s">
        <v>69</v>
      </c>
      <c r="B52" s="160" t="s">
        <v>70</v>
      </c>
      <c r="C52" s="161"/>
      <c r="D52" s="162">
        <f>'[2]Table 1 State Summary'!E50</f>
        <v>2721601414</v>
      </c>
      <c r="E52" s="162">
        <f>E43+E47+E50</f>
        <v>2774198563</v>
      </c>
      <c r="F52" s="162">
        <f t="shared" si="4"/>
        <v>52597149</v>
      </c>
      <c r="G52" s="163">
        <f t="shared" si="5"/>
        <v>0.0193</v>
      </c>
      <c r="H52" s="164"/>
    </row>
    <row r="53" spans="1:8" s="1" customFormat="1" ht="28.5" customHeight="1">
      <c r="A53" s="165" t="s">
        <v>71</v>
      </c>
      <c r="B53" s="67" t="s">
        <v>72</v>
      </c>
      <c r="C53" s="67"/>
      <c r="D53" s="68">
        <f>'[2]Table 1 State Summary'!E51</f>
        <v>-11550207</v>
      </c>
      <c r="E53" s="68">
        <f>SUM(E54:E57)</f>
        <v>-55719925</v>
      </c>
      <c r="F53" s="68">
        <f t="shared" si="4"/>
        <v>-44169718</v>
      </c>
      <c r="G53" s="166">
        <f t="shared" si="5"/>
        <v>3.8241</v>
      </c>
      <c r="H53" s="44"/>
    </row>
    <row r="54" spans="1:8" s="1" customFormat="1" ht="15.75">
      <c r="A54" s="167"/>
      <c r="B54" s="77" t="s">
        <v>12</v>
      </c>
      <c r="C54" s="63" t="s">
        <v>73</v>
      </c>
      <c r="D54" s="65">
        <f>'[2]Table 1 State Summary'!$E$52+'[2]Table 1 State Summary'!$E$53</f>
        <v>-10071037</v>
      </c>
      <c r="E54" s="65">
        <f>'[1]Table 2 Distribution &amp; Adjusts'!E75</f>
        <v>-5111279</v>
      </c>
      <c r="F54" s="65">
        <f t="shared" si="4"/>
        <v>4959758</v>
      </c>
      <c r="G54" s="43">
        <f t="shared" si="5"/>
        <v>-0.4925</v>
      </c>
      <c r="H54" s="36"/>
    </row>
    <row r="55" spans="1:8" s="1" customFormat="1" ht="31.5">
      <c r="A55" s="37"/>
      <c r="B55" s="168" t="s">
        <v>14</v>
      </c>
      <c r="C55" s="169" t="s">
        <v>74</v>
      </c>
      <c r="D55" s="170"/>
      <c r="E55" s="65">
        <f>'Table 5A Lab Schools'!E8+'Table 5A Lab Schools'!F8</f>
        <v>70168</v>
      </c>
      <c r="F55" s="170"/>
      <c r="G55" s="171"/>
      <c r="H55" s="172"/>
    </row>
    <row r="56" spans="1:8" s="1" customFormat="1" ht="15.75">
      <c r="A56" s="37"/>
      <c r="B56" s="173" t="s">
        <v>16</v>
      </c>
      <c r="C56" s="50" t="s">
        <v>75</v>
      </c>
      <c r="D56" s="174"/>
      <c r="E56" s="174"/>
      <c r="F56" s="175">
        <f aca="true" t="shared" si="6" ref="F56:F62">E56-D56</f>
        <v>0</v>
      </c>
      <c r="G56" s="176" t="e">
        <f aca="true" t="shared" si="7" ref="G56:G62">ROUND((E56/D56)-1,4)</f>
        <v>#DIV/0!</v>
      </c>
      <c r="H56" s="177"/>
    </row>
    <row r="57" spans="1:8" s="1" customFormat="1" ht="16.5" thickBot="1">
      <c r="A57" s="37"/>
      <c r="B57" s="168" t="s">
        <v>18</v>
      </c>
      <c r="C57" s="178" t="s">
        <v>76</v>
      </c>
      <c r="D57" s="179">
        <f>'[2]Table 1 State Summary'!E54</f>
        <v>-1479170</v>
      </c>
      <c r="E57" s="179">
        <f>-'[1]Table 5B RSD'!C17</f>
        <v>-50678814</v>
      </c>
      <c r="F57" s="179">
        <f t="shared" si="6"/>
        <v>-49199644</v>
      </c>
      <c r="G57" s="54">
        <f t="shared" si="7"/>
        <v>33.2617</v>
      </c>
      <c r="H57" s="180"/>
    </row>
    <row r="58" spans="1:8" s="1" customFormat="1" ht="36.75" customHeight="1" thickBot="1">
      <c r="A58" s="181" t="s">
        <v>77</v>
      </c>
      <c r="B58" s="1039" t="s">
        <v>78</v>
      </c>
      <c r="C58" s="1040"/>
      <c r="D58" s="182">
        <f>'[2]Table 1 State Summary'!E55</f>
        <v>2710051207</v>
      </c>
      <c r="E58" s="182">
        <f>E52+E53</f>
        <v>2718478638</v>
      </c>
      <c r="F58" s="182">
        <f t="shared" si="6"/>
        <v>8427431</v>
      </c>
      <c r="G58" s="183">
        <f t="shared" si="7"/>
        <v>0.0031</v>
      </c>
      <c r="H58" s="184"/>
    </row>
    <row r="59" spans="1:8" s="1" customFormat="1" ht="36.75" customHeight="1">
      <c r="A59" s="96" t="s">
        <v>79</v>
      </c>
      <c r="B59" s="1031" t="s">
        <v>80</v>
      </c>
      <c r="C59" s="1032"/>
      <c r="D59" s="185">
        <f>SUM(D60:D66)</f>
        <v>-88184405.89577737</v>
      </c>
      <c r="E59" s="185">
        <f>SUM(E60:E67)</f>
        <v>0</v>
      </c>
      <c r="F59" s="185">
        <f t="shared" si="6"/>
        <v>88184405.89577737</v>
      </c>
      <c r="G59" s="186">
        <f t="shared" si="7"/>
        <v>-1</v>
      </c>
      <c r="H59" s="127"/>
    </row>
    <row r="60" spans="1:8" s="1" customFormat="1" ht="15.75">
      <c r="A60" s="100"/>
      <c r="B60" s="187" t="s">
        <v>12</v>
      </c>
      <c r="C60" s="188" t="s">
        <v>81</v>
      </c>
      <c r="D60" s="189">
        <f>'[2]Table 1 State Summary'!E57</f>
        <v>-154112712</v>
      </c>
      <c r="E60" s="189">
        <v>0</v>
      </c>
      <c r="F60" s="190">
        <f t="shared" si="6"/>
        <v>154112712</v>
      </c>
      <c r="G60" s="191">
        <f t="shared" si="7"/>
        <v>-1</v>
      </c>
      <c r="H60" s="127"/>
    </row>
    <row r="61" spans="1:8" s="1" customFormat="1" ht="36.75" customHeight="1">
      <c r="A61" s="100"/>
      <c r="B61" s="192" t="s">
        <v>14</v>
      </c>
      <c r="C61" s="193" t="s">
        <v>82</v>
      </c>
      <c r="D61" s="194">
        <f>'[2]Table 1 State Summary'!E58+'[2]Table 1 State Summary'!$E$59</f>
        <v>41287500</v>
      </c>
      <c r="E61" s="194">
        <v>0</v>
      </c>
      <c r="F61" s="190">
        <f t="shared" si="6"/>
        <v>-41287500</v>
      </c>
      <c r="G61" s="191">
        <f t="shared" si="7"/>
        <v>-1</v>
      </c>
      <c r="H61" s="127"/>
    </row>
    <row r="62" spans="1:8" s="1" customFormat="1" ht="24.75" customHeight="1">
      <c r="A62" s="100"/>
      <c r="B62" s="192" t="s">
        <v>16</v>
      </c>
      <c r="C62" s="195" t="s">
        <v>83</v>
      </c>
      <c r="D62" s="194">
        <f>'[2]Table 1 State Summary'!E60</f>
        <v>33671758</v>
      </c>
      <c r="E62" s="194">
        <v>0</v>
      </c>
      <c r="F62" s="190">
        <f t="shared" si="6"/>
        <v>-33671758</v>
      </c>
      <c r="G62" s="191">
        <f t="shared" si="7"/>
        <v>-1</v>
      </c>
      <c r="H62" s="127"/>
    </row>
    <row r="63" spans="1:8" s="1" customFormat="1" ht="24.75" customHeight="1">
      <c r="A63" s="100"/>
      <c r="B63" s="192" t="s">
        <v>18</v>
      </c>
      <c r="C63" s="195" t="s">
        <v>84</v>
      </c>
      <c r="D63" s="196">
        <f>'[2]Table 1 State Summary'!$E$61</f>
        <v>-14296818</v>
      </c>
      <c r="E63" s="197">
        <v>0</v>
      </c>
      <c r="F63" s="194">
        <f>E63-D62</f>
        <v>-33671758</v>
      </c>
      <c r="G63" s="198">
        <f>ROUND((E63/D62)-1,4)</f>
        <v>-1</v>
      </c>
      <c r="H63" s="127"/>
    </row>
    <row r="64" spans="1:8" s="1" customFormat="1" ht="36.75" customHeight="1">
      <c r="A64" s="100"/>
      <c r="B64" s="192" t="s">
        <v>20</v>
      </c>
      <c r="C64" s="193" t="s">
        <v>85</v>
      </c>
      <c r="D64" s="194">
        <f>'[2]Table 1 State Summary'!$E$62+'[2]Table 1 State Summary'!$E$63</f>
        <v>6105982.104222626</v>
      </c>
      <c r="E64" s="197">
        <v>0</v>
      </c>
      <c r="F64" s="174">
        <f>E64-D64</f>
        <v>-6105982.104222626</v>
      </c>
      <c r="G64" s="199">
        <f>ROUND((E64/D64)-1,4)</f>
        <v>-1</v>
      </c>
      <c r="H64" s="127"/>
    </row>
    <row r="65" spans="1:8" s="1" customFormat="1" ht="24" customHeight="1">
      <c r="A65" s="100"/>
      <c r="B65" s="192" t="s">
        <v>22</v>
      </c>
      <c r="C65" s="188" t="s">
        <v>86</v>
      </c>
      <c r="D65" s="189">
        <f>'[2]Table 1 State Summary'!$E$64</f>
        <v>-3297620</v>
      </c>
      <c r="E65" s="189">
        <v>0</v>
      </c>
      <c r="F65" s="189">
        <f>E65-D65</f>
        <v>3297620</v>
      </c>
      <c r="G65" s="198">
        <f>ROUND((E65/D65)-1,4)</f>
        <v>-1</v>
      </c>
      <c r="H65" s="127"/>
    </row>
    <row r="66" spans="1:8" s="1" customFormat="1" ht="24.75" customHeight="1">
      <c r="A66" s="100"/>
      <c r="B66" s="200" t="s">
        <v>37</v>
      </c>
      <c r="C66" s="201" t="s">
        <v>87</v>
      </c>
      <c r="D66" s="202">
        <f>'[2]Table 1 State Summary'!$E$65</f>
        <v>2457504</v>
      </c>
      <c r="E66" s="203">
        <v>0</v>
      </c>
      <c r="F66" s="202">
        <f>E66-D66</f>
        <v>-2457504</v>
      </c>
      <c r="G66" s="204">
        <f>ROUND((E66/D66)-1,4)</f>
        <v>-1</v>
      </c>
      <c r="H66" s="127"/>
    </row>
    <row r="67" spans="1:8" s="1" customFormat="1" ht="15" customHeight="1" thickBot="1">
      <c r="A67" s="100"/>
      <c r="B67" s="192"/>
      <c r="C67" s="188"/>
      <c r="D67" s="189"/>
      <c r="E67" s="189"/>
      <c r="F67" s="189"/>
      <c r="G67" s="198"/>
      <c r="H67" s="127"/>
    </row>
    <row r="68" spans="1:8" s="1" customFormat="1" ht="33" customHeight="1" thickBot="1">
      <c r="A68" s="205" t="s">
        <v>88</v>
      </c>
      <c r="B68" s="1041" t="s">
        <v>89</v>
      </c>
      <c r="C68" s="1042"/>
      <c r="D68" s="206">
        <f>'[2]Table 1 State Summary'!E66</f>
        <v>2621866801.104223</v>
      </c>
      <c r="E68" s="207">
        <f>E58+E59</f>
        <v>2718478638</v>
      </c>
      <c r="F68" s="206">
        <f>E68-D68</f>
        <v>96611836.89577723</v>
      </c>
      <c r="G68" s="208">
        <f>ROUND((E68/D68)-1,4)</f>
        <v>0.0368</v>
      </c>
      <c r="H68" s="209"/>
    </row>
    <row r="69" spans="1:8" s="1" customFormat="1" ht="33" customHeight="1" thickBot="1">
      <c r="A69" s="210" t="s">
        <v>90</v>
      </c>
      <c r="B69" s="1043" t="s">
        <v>91</v>
      </c>
      <c r="C69" s="1044"/>
      <c r="D69" s="211">
        <v>2621866801</v>
      </c>
      <c r="E69" s="212">
        <f>2677754390+25890000-1160327+4110000-1193423+21824520</f>
        <v>2727225160</v>
      </c>
      <c r="F69" s="211">
        <f>E69-D69</f>
        <v>105358359</v>
      </c>
      <c r="G69" s="213">
        <f>ROUND((E69/D69)-1,4)</f>
        <v>0.0402</v>
      </c>
      <c r="H69" s="214"/>
    </row>
    <row r="70" spans="1:8" s="1" customFormat="1" ht="24.75" customHeight="1">
      <c r="A70" s="215" t="s">
        <v>92</v>
      </c>
      <c r="B70" s="216" t="s">
        <v>93</v>
      </c>
      <c r="C70" s="217"/>
      <c r="D70" s="218"/>
      <c r="E70" s="219"/>
      <c r="F70" s="220"/>
      <c r="G70" s="147"/>
      <c r="H70" s="180"/>
    </row>
    <row r="71" spans="1:8" s="1" customFormat="1" ht="16.5" thickBot="1">
      <c r="A71" s="221"/>
      <c r="B71" s="222" t="s">
        <v>94</v>
      </c>
      <c r="C71" s="223"/>
      <c r="D71" s="224">
        <f>+D68-D69</f>
        <v>0.10422277450561523</v>
      </c>
      <c r="E71" s="224">
        <f>+E68-E69</f>
        <v>-8746522</v>
      </c>
      <c r="F71" s="224">
        <f>D71+E71</f>
        <v>-8746521.895777225</v>
      </c>
      <c r="G71" s="225">
        <f>ROUND((F71/E71)-1,4)</f>
        <v>0</v>
      </c>
      <c r="H71" s="226"/>
    </row>
    <row r="72" spans="4:5" ht="13.5" thickTop="1">
      <c r="D72" s="227"/>
      <c r="E72" s="227"/>
    </row>
    <row r="73" spans="3:6" ht="12.75">
      <c r="C73" s="227"/>
      <c r="D73" s="228"/>
      <c r="E73" s="229"/>
      <c r="F73" s="229"/>
    </row>
    <row r="74" spans="3:6" ht="12.75">
      <c r="C74" s="230"/>
      <c r="D74" s="231"/>
      <c r="E74" s="232"/>
      <c r="F74" s="229"/>
    </row>
    <row r="75" spans="3:6" ht="12.75">
      <c r="C75" s="230"/>
      <c r="D75" s="229"/>
      <c r="E75" s="232"/>
      <c r="F75" s="229"/>
    </row>
    <row r="76" spans="3:6" ht="15.75">
      <c r="C76" s="233"/>
      <c r="D76" s="234"/>
      <c r="E76" s="234"/>
      <c r="F76" s="229"/>
    </row>
    <row r="77" spans="3:6" ht="12.75">
      <c r="C77" s="230"/>
      <c r="D77" s="235"/>
      <c r="E77" s="235"/>
      <c r="F77" s="229"/>
    </row>
    <row r="78" spans="3:6" ht="12" customHeight="1">
      <c r="C78" s="236"/>
      <c r="D78" s="237"/>
      <c r="E78" s="237"/>
      <c r="F78" s="229"/>
    </row>
    <row r="79" spans="4:5" ht="12.75">
      <c r="D79" s="238"/>
      <c r="E79" s="229"/>
    </row>
    <row r="80" ht="12.75">
      <c r="E80" s="229"/>
    </row>
    <row r="81" ht="12.75">
      <c r="E81" s="234"/>
    </row>
    <row r="82" ht="12.75">
      <c r="E82" s="232"/>
    </row>
    <row r="83" ht="12.75">
      <c r="E83" s="232"/>
    </row>
    <row r="84" ht="12.75">
      <c r="E84" s="232"/>
    </row>
  </sheetData>
  <sheetProtection/>
  <mergeCells count="12">
    <mergeCell ref="B46:C46"/>
    <mergeCell ref="B58:C58"/>
    <mergeCell ref="B68:C68"/>
    <mergeCell ref="B69:C69"/>
    <mergeCell ref="B59:C59"/>
    <mergeCell ref="A1:G1"/>
    <mergeCell ref="A2:G2"/>
    <mergeCell ref="E4:E7"/>
    <mergeCell ref="B33:C33"/>
    <mergeCell ref="D4:D7"/>
    <mergeCell ref="A3:G3"/>
    <mergeCell ref="F4:F7"/>
  </mergeCells>
  <printOptions horizontalCentered="1"/>
  <pageMargins left="0.25" right="0.25" top="0.6" bottom="0.5" header="0.3" footer="0.26"/>
  <pageSetup firstPageNumber="1" useFirstPageNumber="1" fitToWidth="2" horizontalDpi="600" verticalDpi="600" orientation="portrait" paperSize="5" scale="55" r:id="rId1"/>
  <headerFooter alignWithMargins="0">
    <oddFooter xml:space="preserve">&amp;L&amp;Z&amp;F&amp;R&amp;P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961"/>
  <sheetViews>
    <sheetView zoomScalePageLayoutView="0" workbookViewId="0" topLeftCell="A1">
      <selection activeCell="T93" sqref="Q93:T95"/>
    </sheetView>
  </sheetViews>
  <sheetFormatPr defaultColWidth="7.7109375" defaultRowHeight="12.75"/>
  <cols>
    <col min="1" max="1" width="4.57421875" style="0" bestFit="1" customWidth="1"/>
    <col min="2" max="2" width="23.7109375" style="0" bestFit="1" customWidth="1"/>
    <col min="3" max="16" width="7.7109375" style="0" customWidth="1"/>
    <col min="17" max="17" width="9.28125" style="0" customWidth="1"/>
    <col min="18" max="18" width="11.8515625" style="0" customWidth="1"/>
    <col min="19" max="19" width="1.28515625" style="983" hidden="1" customWidth="1"/>
    <col min="20" max="20" width="12.28125" style="0" customWidth="1"/>
    <col min="21" max="21" width="8.57421875" style="0" customWidth="1"/>
    <col min="22" max="22" width="8.7109375" style="0" customWidth="1"/>
    <col min="23" max="23" width="10.28125" style="0" bestFit="1" customWidth="1"/>
    <col min="24" max="24" width="10.8515625" style="0" bestFit="1" customWidth="1"/>
    <col min="25" max="25" width="12.57421875" style="0" customWidth="1"/>
    <col min="26" max="26" width="11.00390625" style="0" customWidth="1"/>
    <col min="27" max="27" width="6.140625" style="0" customWidth="1"/>
  </cols>
  <sheetData>
    <row r="1" spans="1:23" ht="23.25" customHeight="1">
      <c r="A1" s="975"/>
      <c r="B1" s="976"/>
      <c r="C1" s="977" t="s">
        <v>612</v>
      </c>
      <c r="D1" s="978"/>
      <c r="E1" s="978"/>
      <c r="F1" s="978"/>
      <c r="G1" s="978"/>
      <c r="H1" s="979"/>
      <c r="I1" s="979"/>
      <c r="J1" s="979"/>
      <c r="K1" s="979"/>
      <c r="L1" s="979"/>
      <c r="M1" s="979"/>
      <c r="N1" s="980" t="s">
        <v>705</v>
      </c>
      <c r="O1" s="979"/>
      <c r="P1" s="979"/>
      <c r="Q1" s="979"/>
      <c r="R1" s="1163"/>
      <c r="S1" s="1164"/>
      <c r="T1" s="1164"/>
      <c r="U1" s="1164"/>
      <c r="V1" s="1164"/>
      <c r="W1" s="1164"/>
    </row>
    <row r="2" spans="2:20" ht="21" customHeight="1">
      <c r="B2" s="976"/>
      <c r="R2" s="981"/>
      <c r="S2" s="1"/>
      <c r="T2" s="982"/>
    </row>
    <row r="3" spans="1:26" ht="12.75">
      <c r="A3" s="822"/>
      <c r="B3" s="822"/>
      <c r="C3" s="1169" t="s">
        <v>613</v>
      </c>
      <c r="D3" s="1170"/>
      <c r="E3" s="1170"/>
      <c r="F3" s="1170"/>
      <c r="G3" s="1170"/>
      <c r="H3" s="1170"/>
      <c r="I3" s="1170"/>
      <c r="J3" s="1170"/>
      <c r="K3" s="1170"/>
      <c r="L3" s="1170"/>
      <c r="M3" s="1171"/>
      <c r="N3" s="1169" t="s">
        <v>614</v>
      </c>
      <c r="O3" s="1170"/>
      <c r="P3" s="1170"/>
      <c r="Q3" s="1170"/>
      <c r="R3" s="1160" t="s">
        <v>615</v>
      </c>
      <c r="T3" s="1166" t="s">
        <v>616</v>
      </c>
      <c r="U3" s="822"/>
      <c r="V3" s="822"/>
      <c r="W3" s="822"/>
      <c r="X3" s="822"/>
      <c r="Y3" s="1160" t="s">
        <v>617</v>
      </c>
      <c r="Z3" s="1160" t="s">
        <v>618</v>
      </c>
    </row>
    <row r="4" spans="1:26" ht="12.75">
      <c r="A4" s="984" t="s">
        <v>228</v>
      </c>
      <c r="B4" s="985" t="s">
        <v>103</v>
      </c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3"/>
      <c r="N4" s="1174"/>
      <c r="O4" s="1172"/>
      <c r="P4" s="1172"/>
      <c r="Q4" s="1172"/>
      <c r="R4" s="1161"/>
      <c r="T4" s="1167"/>
      <c r="U4" s="984"/>
      <c r="V4" s="984"/>
      <c r="W4" s="984"/>
      <c r="X4" s="984"/>
      <c r="Y4" s="1161"/>
      <c r="Z4" s="1161"/>
    </row>
    <row r="5" spans="1:26" s="806" customFormat="1" ht="30" customHeight="1">
      <c r="A5" s="986"/>
      <c r="B5" s="986"/>
      <c r="C5" s="987" t="s">
        <v>619</v>
      </c>
      <c r="D5" s="987" t="s">
        <v>620</v>
      </c>
      <c r="E5" s="988" t="s">
        <v>621</v>
      </c>
      <c r="F5" s="988" t="s">
        <v>622</v>
      </c>
      <c r="G5" s="988" t="s">
        <v>623</v>
      </c>
      <c r="H5" s="988" t="s">
        <v>624</v>
      </c>
      <c r="I5" s="988" t="s">
        <v>625</v>
      </c>
      <c r="J5" s="988" t="s">
        <v>626</v>
      </c>
      <c r="K5" s="988" t="s">
        <v>627</v>
      </c>
      <c r="L5" s="988" t="s">
        <v>628</v>
      </c>
      <c r="M5" s="988" t="s">
        <v>629</v>
      </c>
      <c r="N5" s="988" t="s">
        <v>630</v>
      </c>
      <c r="O5" s="988" t="s">
        <v>631</v>
      </c>
      <c r="P5" s="988" t="s">
        <v>632</v>
      </c>
      <c r="Q5" s="988" t="s">
        <v>633</v>
      </c>
      <c r="R5" s="1161"/>
      <c r="S5" s="983"/>
      <c r="T5" s="1167"/>
      <c r="U5" s="989" t="s">
        <v>6</v>
      </c>
      <c r="V5" s="990" t="s">
        <v>634</v>
      </c>
      <c r="W5" s="989" t="s">
        <v>706</v>
      </c>
      <c r="X5" s="989" t="s">
        <v>707</v>
      </c>
      <c r="Y5" s="1161"/>
      <c r="Z5" s="1161"/>
    </row>
    <row r="6" spans="1:26" s="806" customFormat="1" ht="7.5" customHeight="1">
      <c r="A6" s="986"/>
      <c r="B6" s="986"/>
      <c r="C6" s="991"/>
      <c r="D6" s="991"/>
      <c r="E6" s="986"/>
      <c r="F6" s="986"/>
      <c r="G6" s="986"/>
      <c r="H6" s="986"/>
      <c r="I6" s="986"/>
      <c r="J6" s="986"/>
      <c r="K6" s="986"/>
      <c r="L6" s="986"/>
      <c r="M6" s="986"/>
      <c r="N6" s="986"/>
      <c r="O6" s="986"/>
      <c r="P6" s="986"/>
      <c r="Q6" s="986"/>
      <c r="R6" s="1162"/>
      <c r="S6" s="983"/>
      <c r="T6" s="1168"/>
      <c r="U6" s="985"/>
      <c r="V6" s="985"/>
      <c r="W6" s="985"/>
      <c r="X6" s="985"/>
      <c r="Y6" s="1162"/>
      <c r="Z6" s="1162"/>
    </row>
    <row r="7" spans="1:26" ht="12.75">
      <c r="A7" s="729"/>
      <c r="B7" s="992"/>
      <c r="C7" s="993">
        <v>1</v>
      </c>
      <c r="D7" s="993">
        <f aca="true" t="shared" si="0" ref="D7:S7">C7+1</f>
        <v>2</v>
      </c>
      <c r="E7" s="993">
        <f t="shared" si="0"/>
        <v>3</v>
      </c>
      <c r="F7" s="993">
        <f t="shared" si="0"/>
        <v>4</v>
      </c>
      <c r="G7" s="993">
        <f t="shared" si="0"/>
        <v>5</v>
      </c>
      <c r="H7" s="993">
        <f t="shared" si="0"/>
        <v>6</v>
      </c>
      <c r="I7" s="993">
        <f t="shared" si="0"/>
        <v>7</v>
      </c>
      <c r="J7" s="993">
        <f t="shared" si="0"/>
        <v>8</v>
      </c>
      <c r="K7" s="993">
        <f t="shared" si="0"/>
        <v>9</v>
      </c>
      <c r="L7" s="993">
        <f t="shared" si="0"/>
        <v>10</v>
      </c>
      <c r="M7" s="993">
        <f t="shared" si="0"/>
        <v>11</v>
      </c>
      <c r="N7" s="993">
        <f t="shared" si="0"/>
        <v>12</v>
      </c>
      <c r="O7" s="993">
        <f t="shared" si="0"/>
        <v>13</v>
      </c>
      <c r="P7" s="993">
        <f t="shared" si="0"/>
        <v>14</v>
      </c>
      <c r="Q7" s="993">
        <f t="shared" si="0"/>
        <v>15</v>
      </c>
      <c r="R7" s="993">
        <f t="shared" si="0"/>
        <v>16</v>
      </c>
      <c r="S7" s="993">
        <f t="shared" si="0"/>
        <v>17</v>
      </c>
      <c r="T7" s="993">
        <v>17</v>
      </c>
      <c r="U7" s="993">
        <f aca="true" t="shared" si="1" ref="U7:Z7">T7+1</f>
        <v>18</v>
      </c>
      <c r="V7" s="993">
        <f t="shared" si="1"/>
        <v>19</v>
      </c>
      <c r="W7" s="993">
        <f t="shared" si="1"/>
        <v>20</v>
      </c>
      <c r="X7" s="993">
        <f t="shared" si="1"/>
        <v>21</v>
      </c>
      <c r="Y7" s="993">
        <f t="shared" si="1"/>
        <v>22</v>
      </c>
      <c r="Z7" s="993">
        <f t="shared" si="1"/>
        <v>23</v>
      </c>
    </row>
    <row r="8" spans="1:26" ht="12.75">
      <c r="A8" s="835">
        <v>1</v>
      </c>
      <c r="B8" s="994" t="s">
        <v>635</v>
      </c>
      <c r="C8" s="995">
        <f>'[1]4-MFP_&amp;_Other_Funded'!BU13</f>
        <v>31</v>
      </c>
      <c r="D8" s="995">
        <f>'[1]4-MFP_&amp;_Other_Funded'!BW13</f>
        <v>110</v>
      </c>
      <c r="E8" s="995">
        <f>'[1]4-MFP_&amp;_Other_Funded'!CA13</f>
        <v>811</v>
      </c>
      <c r="F8" s="995">
        <f>'[1]4-MFP_&amp;_Other_Funded'!CC13</f>
        <v>831</v>
      </c>
      <c r="G8" s="995">
        <f>'[1]4-MFP_&amp;_Other_Funded'!CE13</f>
        <v>742</v>
      </c>
      <c r="H8" s="995">
        <f>'[1]4-MFP_&amp;_Other_Funded'!CG13</f>
        <v>735</v>
      </c>
      <c r="I8" s="995">
        <f>'[1]4-MFP_&amp;_Other_Funded'!CI13</f>
        <v>799</v>
      </c>
      <c r="J8" s="995">
        <f>'[1]4-MFP_&amp;_Other_Funded'!CK13</f>
        <v>677</v>
      </c>
      <c r="K8" s="995">
        <f>'[1]4-MFP_&amp;_Other_Funded'!CM13</f>
        <v>691</v>
      </c>
      <c r="L8" s="995">
        <f>'[1]4-MFP_&amp;_Other_Funded'!CO13</f>
        <v>697</v>
      </c>
      <c r="M8" s="995">
        <f>'[1]4-MFP_&amp;_Other_Funded'!CQ13</f>
        <v>679</v>
      </c>
      <c r="N8" s="995">
        <f>'[1]4-MFP_&amp;_Other_Funded'!CS13</f>
        <v>743</v>
      </c>
      <c r="O8" s="995">
        <f>'[1]4-MFP_&amp;_Other_Funded'!CU13</f>
        <v>584</v>
      </c>
      <c r="P8" s="995">
        <f>'[1]4-MFP_&amp;_Other_Funded'!CW13</f>
        <v>532</v>
      </c>
      <c r="Q8" s="995">
        <f>'[1]4-MFP_&amp;_Other_Funded'!CY13</f>
        <v>451</v>
      </c>
      <c r="R8" s="996">
        <f aca="true" t="shared" si="2" ref="R8:R39">SUM(C8:Q8)</f>
        <v>9113</v>
      </c>
      <c r="S8" s="997"/>
      <c r="T8" s="998">
        <v>9295</v>
      </c>
      <c r="U8" s="998">
        <f aca="true" t="shared" si="3" ref="U8:U39">+R8-T8</f>
        <v>-182</v>
      </c>
      <c r="V8" s="999">
        <f aca="true" t="shared" si="4" ref="V8:V39">ROUND(U8/T8,4)</f>
        <v>-0.0196</v>
      </c>
      <c r="W8" s="998" t="str">
        <f aca="true" t="shared" si="5" ref="W8:W39">IF(U8&gt;0,U8," ")</f>
        <v> </v>
      </c>
      <c r="X8" s="998">
        <f aca="true" t="shared" si="6" ref="X8:X39">IF(U8&lt;0,U8," ")</f>
        <v>-182</v>
      </c>
      <c r="Y8" s="998">
        <f aca="true" t="shared" si="7" ref="Y8:Y39">IF(V8&gt;-10%,R8,IF(V8&lt;-70%,IF(ROUND(T8*0.35,0)&lt;3000,3000,ROUND(T8*0.35,0)),IF(V8&gt;-30%,ROUND(T8*0.9,0),ROUND(T8*0.75,0))))</f>
        <v>9113</v>
      </c>
      <c r="Z8" s="998">
        <f aca="true" t="shared" si="8" ref="Z8:Z39">Y8-R8</f>
        <v>0</v>
      </c>
    </row>
    <row r="9" spans="1:26" ht="12.75">
      <c r="A9" s="835">
        <v>2</v>
      </c>
      <c r="B9" s="994" t="s">
        <v>636</v>
      </c>
      <c r="C9" s="995">
        <f>'[1]4-MFP_&amp;_Other_Funded'!BU14</f>
        <v>0</v>
      </c>
      <c r="D9" s="995">
        <f>'[1]4-MFP_&amp;_Other_Funded'!BW14</f>
        <v>36</v>
      </c>
      <c r="E9" s="995">
        <f>'[1]4-MFP_&amp;_Other_Funded'!CA14</f>
        <v>347</v>
      </c>
      <c r="F9" s="995">
        <f>'[1]4-MFP_&amp;_Other_Funded'!CC14</f>
        <v>389</v>
      </c>
      <c r="G9" s="995">
        <f>'[1]4-MFP_&amp;_Other_Funded'!CE14</f>
        <v>305</v>
      </c>
      <c r="H9" s="995">
        <f>'[1]4-MFP_&amp;_Other_Funded'!CG14</f>
        <v>326</v>
      </c>
      <c r="I9" s="995">
        <f>'[1]4-MFP_&amp;_Other_Funded'!CI14</f>
        <v>358</v>
      </c>
      <c r="J9" s="995">
        <f>'[1]4-MFP_&amp;_Other_Funded'!CK14</f>
        <v>353</v>
      </c>
      <c r="K9" s="995">
        <f>'[1]4-MFP_&amp;_Other_Funded'!CM14</f>
        <v>313</v>
      </c>
      <c r="L9" s="995">
        <f>'[1]4-MFP_&amp;_Other_Funded'!CO14</f>
        <v>326</v>
      </c>
      <c r="M9" s="995">
        <f>'[1]4-MFP_&amp;_Other_Funded'!CQ14</f>
        <v>317</v>
      </c>
      <c r="N9" s="995">
        <f>'[1]4-MFP_&amp;_Other_Funded'!CS14</f>
        <v>304</v>
      </c>
      <c r="O9" s="995">
        <f>'[1]4-MFP_&amp;_Other_Funded'!CU14</f>
        <v>304</v>
      </c>
      <c r="P9" s="995">
        <f>'[1]4-MFP_&amp;_Other_Funded'!CW14</f>
        <v>232</v>
      </c>
      <c r="Q9" s="995">
        <f>'[1]4-MFP_&amp;_Other_Funded'!CY14</f>
        <v>248</v>
      </c>
      <c r="R9" s="996">
        <f t="shared" si="2"/>
        <v>4158</v>
      </c>
      <c r="S9" s="997"/>
      <c r="T9" s="998">
        <v>4119</v>
      </c>
      <c r="U9" s="998">
        <f t="shared" si="3"/>
        <v>39</v>
      </c>
      <c r="V9" s="999">
        <f t="shared" si="4"/>
        <v>0.0095</v>
      </c>
      <c r="W9" s="998">
        <f t="shared" si="5"/>
        <v>39</v>
      </c>
      <c r="X9" s="998" t="str">
        <f t="shared" si="6"/>
        <v> </v>
      </c>
      <c r="Y9" s="998">
        <f t="shared" si="7"/>
        <v>4158</v>
      </c>
      <c r="Z9" s="998">
        <f t="shared" si="8"/>
        <v>0</v>
      </c>
    </row>
    <row r="10" spans="1:26" ht="12.75">
      <c r="A10" s="835">
        <v>3</v>
      </c>
      <c r="B10" s="994" t="s">
        <v>637</v>
      </c>
      <c r="C10" s="995">
        <f>'[1]4-MFP_&amp;_Other_Funded'!BU15</f>
        <v>0</v>
      </c>
      <c r="D10" s="995">
        <f>'[1]4-MFP_&amp;_Other_Funded'!BW15</f>
        <v>276</v>
      </c>
      <c r="E10" s="995">
        <f>'[1]4-MFP_&amp;_Other_Funded'!CA15</f>
        <v>1383</v>
      </c>
      <c r="F10" s="995">
        <f>'[1]4-MFP_&amp;_Other_Funded'!CC15</f>
        <v>1528</v>
      </c>
      <c r="G10" s="995">
        <f>'[1]4-MFP_&amp;_Other_Funded'!CE15</f>
        <v>1355</v>
      </c>
      <c r="H10" s="995">
        <f>'[1]4-MFP_&amp;_Other_Funded'!CG15</f>
        <v>1439</v>
      </c>
      <c r="I10" s="995">
        <f>'[1]4-MFP_&amp;_Other_Funded'!CI15</f>
        <v>1491</v>
      </c>
      <c r="J10" s="995">
        <f>'[1]4-MFP_&amp;_Other_Funded'!CK15</f>
        <v>1375</v>
      </c>
      <c r="K10" s="995">
        <f>'[1]4-MFP_&amp;_Other_Funded'!CM15</f>
        <v>1427</v>
      </c>
      <c r="L10" s="995">
        <f>'[1]4-MFP_&amp;_Other_Funded'!CO15</f>
        <v>1359</v>
      </c>
      <c r="M10" s="995">
        <f>'[1]4-MFP_&amp;_Other_Funded'!CQ15</f>
        <v>1370</v>
      </c>
      <c r="N10" s="995">
        <f>'[1]4-MFP_&amp;_Other_Funded'!CS15</f>
        <v>1492</v>
      </c>
      <c r="O10" s="995">
        <f>'[1]4-MFP_&amp;_Other_Funded'!CU15</f>
        <v>1086</v>
      </c>
      <c r="P10" s="995">
        <f>'[1]4-MFP_&amp;_Other_Funded'!CW15</f>
        <v>953</v>
      </c>
      <c r="Q10" s="995">
        <f>'[1]4-MFP_&amp;_Other_Funded'!CY15</f>
        <v>917</v>
      </c>
      <c r="R10" s="996">
        <f t="shared" si="2"/>
        <v>17451</v>
      </c>
      <c r="S10" s="997"/>
      <c r="T10" s="998">
        <v>16046</v>
      </c>
      <c r="U10" s="998">
        <f t="shared" si="3"/>
        <v>1405</v>
      </c>
      <c r="V10" s="999">
        <f t="shared" si="4"/>
        <v>0.0876</v>
      </c>
      <c r="W10" s="998">
        <f t="shared" si="5"/>
        <v>1405</v>
      </c>
      <c r="X10" s="998" t="str">
        <f t="shared" si="6"/>
        <v> </v>
      </c>
      <c r="Y10" s="998">
        <f t="shared" si="7"/>
        <v>17451</v>
      </c>
      <c r="Z10" s="998">
        <f t="shared" si="8"/>
        <v>0</v>
      </c>
    </row>
    <row r="11" spans="1:26" ht="12.75">
      <c r="A11" s="835">
        <v>4</v>
      </c>
      <c r="B11" s="994" t="s">
        <v>638</v>
      </c>
      <c r="C11" s="995">
        <f>'[1]4-MFP_&amp;_Other_Funded'!BU16</f>
        <v>0</v>
      </c>
      <c r="D11" s="995">
        <f>'[1]4-MFP_&amp;_Other_Funded'!BW16</f>
        <v>78</v>
      </c>
      <c r="E11" s="995">
        <f>'[1]4-MFP_&amp;_Other_Funded'!CA16</f>
        <v>304</v>
      </c>
      <c r="F11" s="995">
        <f>'[1]4-MFP_&amp;_Other_Funded'!CC16</f>
        <v>301</v>
      </c>
      <c r="G11" s="995">
        <f>'[1]4-MFP_&amp;_Other_Funded'!CE16</f>
        <v>301</v>
      </c>
      <c r="H11" s="995">
        <f>'[1]4-MFP_&amp;_Other_Funded'!CG16</f>
        <v>299</v>
      </c>
      <c r="I11" s="995">
        <f>'[1]4-MFP_&amp;_Other_Funded'!CI16</f>
        <v>354</v>
      </c>
      <c r="J11" s="995">
        <f>'[1]4-MFP_&amp;_Other_Funded'!CK16</f>
        <v>327</v>
      </c>
      <c r="K11" s="995">
        <f>'[1]4-MFP_&amp;_Other_Funded'!CM16</f>
        <v>313</v>
      </c>
      <c r="L11" s="995">
        <f>'[1]4-MFP_&amp;_Other_Funded'!CO16</f>
        <v>372</v>
      </c>
      <c r="M11" s="995">
        <f>'[1]4-MFP_&amp;_Other_Funded'!CQ16</f>
        <v>314</v>
      </c>
      <c r="N11" s="995">
        <f>'[1]4-MFP_&amp;_Other_Funded'!CS16</f>
        <v>427</v>
      </c>
      <c r="O11" s="995">
        <f>'[1]4-MFP_&amp;_Other_Funded'!CU16</f>
        <v>276</v>
      </c>
      <c r="P11" s="995">
        <f>'[1]4-MFP_&amp;_Other_Funded'!CW16</f>
        <v>232</v>
      </c>
      <c r="Q11" s="995">
        <f>'[1]4-MFP_&amp;_Other_Funded'!CY16</f>
        <v>182</v>
      </c>
      <c r="R11" s="996">
        <f t="shared" si="2"/>
        <v>4080</v>
      </c>
      <c r="S11" s="997"/>
      <c r="T11" s="998">
        <v>4132</v>
      </c>
      <c r="U11" s="998">
        <f t="shared" si="3"/>
        <v>-52</v>
      </c>
      <c r="V11" s="999">
        <f t="shared" si="4"/>
        <v>-0.0126</v>
      </c>
      <c r="W11" s="998" t="str">
        <f t="shared" si="5"/>
        <v> </v>
      </c>
      <c r="X11" s="998">
        <f t="shared" si="6"/>
        <v>-52</v>
      </c>
      <c r="Y11" s="998">
        <f t="shared" si="7"/>
        <v>4080</v>
      </c>
      <c r="Z11" s="998">
        <f t="shared" si="8"/>
        <v>0</v>
      </c>
    </row>
    <row r="12" spans="1:26" ht="12.75">
      <c r="A12" s="838">
        <v>5</v>
      </c>
      <c r="B12" s="1000" t="s">
        <v>639</v>
      </c>
      <c r="C12" s="1001">
        <f>'[1]4-MFP_&amp;_Other_Funded'!BU17</f>
        <v>44</v>
      </c>
      <c r="D12" s="1001">
        <f>'[1]4-MFP_&amp;_Other_Funded'!BW17</f>
        <v>69</v>
      </c>
      <c r="E12" s="1001">
        <f>'[1]4-MFP_&amp;_Other_Funded'!CA17</f>
        <v>540</v>
      </c>
      <c r="F12" s="1001">
        <f>'[1]4-MFP_&amp;_Other_Funded'!CC17</f>
        <v>547</v>
      </c>
      <c r="G12" s="1001">
        <f>'[1]4-MFP_&amp;_Other_Funded'!CE17</f>
        <v>470</v>
      </c>
      <c r="H12" s="1001">
        <f>'[1]4-MFP_&amp;_Other_Funded'!CG17</f>
        <v>421</v>
      </c>
      <c r="I12" s="1001">
        <f>'[1]4-MFP_&amp;_Other_Funded'!CI17</f>
        <v>525</v>
      </c>
      <c r="J12" s="1001">
        <f>'[1]4-MFP_&amp;_Other_Funded'!CK17</f>
        <v>439</v>
      </c>
      <c r="K12" s="1001">
        <f>'[1]4-MFP_&amp;_Other_Funded'!CM17</f>
        <v>466</v>
      </c>
      <c r="L12" s="1001">
        <f>'[1]4-MFP_&amp;_Other_Funded'!CO17</f>
        <v>419</v>
      </c>
      <c r="M12" s="1001">
        <f>'[1]4-MFP_&amp;_Other_Funded'!CQ17</f>
        <v>460</v>
      </c>
      <c r="N12" s="1001">
        <f>'[1]4-MFP_&amp;_Other_Funded'!CS17</f>
        <v>561</v>
      </c>
      <c r="O12" s="1001">
        <f>'[1]4-MFP_&amp;_Other_Funded'!CU17</f>
        <v>379</v>
      </c>
      <c r="P12" s="1001">
        <f>'[1]4-MFP_&amp;_Other_Funded'!CW17</f>
        <v>366</v>
      </c>
      <c r="Q12" s="1001">
        <f>'[1]4-MFP_&amp;_Other_Funded'!CY17</f>
        <v>374</v>
      </c>
      <c r="R12" s="1002">
        <f t="shared" si="2"/>
        <v>6080</v>
      </c>
      <c r="S12" s="1003"/>
      <c r="T12" s="1004">
        <v>6331</v>
      </c>
      <c r="U12" s="1004">
        <f t="shared" si="3"/>
        <v>-251</v>
      </c>
      <c r="V12" s="1005">
        <f t="shared" si="4"/>
        <v>-0.0396</v>
      </c>
      <c r="W12" s="1004" t="str">
        <f t="shared" si="5"/>
        <v> </v>
      </c>
      <c r="X12" s="1004">
        <f t="shared" si="6"/>
        <v>-251</v>
      </c>
      <c r="Y12" s="1004">
        <f t="shared" si="7"/>
        <v>6080</v>
      </c>
      <c r="Z12" s="1004">
        <f t="shared" si="8"/>
        <v>0</v>
      </c>
    </row>
    <row r="13" spans="1:26" ht="12.75">
      <c r="A13" s="835">
        <v>6</v>
      </c>
      <c r="B13" s="994" t="s">
        <v>640</v>
      </c>
      <c r="C13" s="995">
        <f>'[1]4-MFP_&amp;_Other_Funded'!BU18</f>
        <v>0</v>
      </c>
      <c r="D13" s="995">
        <f>'[1]4-MFP_&amp;_Other_Funded'!BW18</f>
        <v>103</v>
      </c>
      <c r="E13" s="995">
        <f>'[1]4-MFP_&amp;_Other_Funded'!CA18</f>
        <v>514</v>
      </c>
      <c r="F13" s="995">
        <f>'[1]4-MFP_&amp;_Other_Funded'!CC18</f>
        <v>487</v>
      </c>
      <c r="G13" s="995">
        <f>'[1]4-MFP_&amp;_Other_Funded'!CE18</f>
        <v>442</v>
      </c>
      <c r="H13" s="995">
        <f>'[1]4-MFP_&amp;_Other_Funded'!CG18</f>
        <v>452</v>
      </c>
      <c r="I13" s="995">
        <f>'[1]4-MFP_&amp;_Other_Funded'!CI18</f>
        <v>486</v>
      </c>
      <c r="J13" s="995">
        <f>'[1]4-MFP_&amp;_Other_Funded'!CK18</f>
        <v>434</v>
      </c>
      <c r="K13" s="995">
        <f>'[1]4-MFP_&amp;_Other_Funded'!CM18</f>
        <v>488</v>
      </c>
      <c r="L13" s="995">
        <f>'[1]4-MFP_&amp;_Other_Funded'!CO18</f>
        <v>523</v>
      </c>
      <c r="M13" s="995">
        <f>'[1]4-MFP_&amp;_Other_Funded'!CQ18</f>
        <v>500</v>
      </c>
      <c r="N13" s="995">
        <f>'[1]4-MFP_&amp;_Other_Funded'!CS18</f>
        <v>457</v>
      </c>
      <c r="O13" s="995">
        <f>'[1]4-MFP_&amp;_Other_Funded'!CU18</f>
        <v>434</v>
      </c>
      <c r="P13" s="995">
        <f>'[1]4-MFP_&amp;_Other_Funded'!CW18</f>
        <v>361</v>
      </c>
      <c r="Q13" s="995">
        <f>'[1]4-MFP_&amp;_Other_Funded'!CY18</f>
        <v>380</v>
      </c>
      <c r="R13" s="996">
        <f t="shared" si="2"/>
        <v>6061</v>
      </c>
      <c r="S13" s="997"/>
      <c r="T13" s="998">
        <v>6117</v>
      </c>
      <c r="U13" s="998">
        <f t="shared" si="3"/>
        <v>-56</v>
      </c>
      <c r="V13" s="999">
        <f t="shared" si="4"/>
        <v>-0.0092</v>
      </c>
      <c r="W13" s="998" t="str">
        <f t="shared" si="5"/>
        <v> </v>
      </c>
      <c r="X13" s="998">
        <f t="shared" si="6"/>
        <v>-56</v>
      </c>
      <c r="Y13" s="998">
        <f t="shared" si="7"/>
        <v>6061</v>
      </c>
      <c r="Z13" s="998">
        <f t="shared" si="8"/>
        <v>0</v>
      </c>
    </row>
    <row r="14" spans="1:26" ht="12.75">
      <c r="A14" s="835">
        <v>7</v>
      </c>
      <c r="B14" s="994" t="s">
        <v>641</v>
      </c>
      <c r="C14" s="995">
        <f>'[1]4-MFP_&amp;_Other_Funded'!BU19</f>
        <v>0</v>
      </c>
      <c r="D14" s="995">
        <f>'[1]4-MFP_&amp;_Other_Funded'!BW19</f>
        <v>0</v>
      </c>
      <c r="E14" s="995">
        <f>'[1]4-MFP_&amp;_Other_Funded'!CA19</f>
        <v>169</v>
      </c>
      <c r="F14" s="995">
        <f>'[1]4-MFP_&amp;_Other_Funded'!CC19</f>
        <v>151</v>
      </c>
      <c r="G14" s="995">
        <f>'[1]4-MFP_&amp;_Other_Funded'!CE19</f>
        <v>192</v>
      </c>
      <c r="H14" s="995">
        <f>'[1]4-MFP_&amp;_Other_Funded'!CG19</f>
        <v>188</v>
      </c>
      <c r="I14" s="995">
        <f>'[1]4-MFP_&amp;_Other_Funded'!CI19</f>
        <v>207</v>
      </c>
      <c r="J14" s="995">
        <f>'[1]4-MFP_&amp;_Other_Funded'!CK19</f>
        <v>164</v>
      </c>
      <c r="K14" s="995">
        <f>'[1]4-MFP_&amp;_Other_Funded'!CM19</f>
        <v>158</v>
      </c>
      <c r="L14" s="995">
        <f>'[1]4-MFP_&amp;_Other_Funded'!CO19</f>
        <v>195</v>
      </c>
      <c r="M14" s="995">
        <f>'[1]4-MFP_&amp;_Other_Funded'!CQ19</f>
        <v>220</v>
      </c>
      <c r="N14" s="995">
        <f>'[1]4-MFP_&amp;_Other_Funded'!CS19</f>
        <v>173</v>
      </c>
      <c r="O14" s="995">
        <f>'[1]4-MFP_&amp;_Other_Funded'!CU19</f>
        <v>152</v>
      </c>
      <c r="P14" s="995">
        <f>'[1]4-MFP_&amp;_Other_Funded'!CW19</f>
        <v>132</v>
      </c>
      <c r="Q14" s="995">
        <f>'[1]4-MFP_&amp;_Other_Funded'!CY19</f>
        <v>159</v>
      </c>
      <c r="R14" s="996">
        <f t="shared" si="2"/>
        <v>2260</v>
      </c>
      <c r="S14" s="997"/>
      <c r="T14" s="998">
        <v>2358</v>
      </c>
      <c r="U14" s="998">
        <f t="shared" si="3"/>
        <v>-98</v>
      </c>
      <c r="V14" s="999">
        <f t="shared" si="4"/>
        <v>-0.0416</v>
      </c>
      <c r="W14" s="998" t="str">
        <f t="shared" si="5"/>
        <v> </v>
      </c>
      <c r="X14" s="998">
        <f t="shared" si="6"/>
        <v>-98</v>
      </c>
      <c r="Y14" s="998">
        <f t="shared" si="7"/>
        <v>2260</v>
      </c>
      <c r="Z14" s="998">
        <f t="shared" si="8"/>
        <v>0</v>
      </c>
    </row>
    <row r="15" spans="1:26" ht="12.75">
      <c r="A15" s="835">
        <v>8</v>
      </c>
      <c r="B15" s="994" t="s">
        <v>642</v>
      </c>
      <c r="C15" s="995">
        <f>'[1]4-MFP_&amp;_Other_Funded'!BU20</f>
        <v>0</v>
      </c>
      <c r="D15" s="995">
        <f>'[1]4-MFP_&amp;_Other_Funded'!BW20</f>
        <v>239</v>
      </c>
      <c r="E15" s="995">
        <f>'[1]4-MFP_&amp;_Other_Funded'!CA20</f>
        <v>1683</v>
      </c>
      <c r="F15" s="995">
        <f>'[1]4-MFP_&amp;_Other_Funded'!CC20</f>
        <v>1630</v>
      </c>
      <c r="G15" s="995">
        <f>'[1]4-MFP_&amp;_Other_Funded'!CE20</f>
        <v>1464</v>
      </c>
      <c r="H15" s="995">
        <f>'[1]4-MFP_&amp;_Other_Funded'!CG20</f>
        <v>1483</v>
      </c>
      <c r="I15" s="995">
        <f>'[1]4-MFP_&amp;_Other_Funded'!CI20</f>
        <v>1549</v>
      </c>
      <c r="J15" s="995">
        <f>'[1]4-MFP_&amp;_Other_Funded'!CK20</f>
        <v>1441</v>
      </c>
      <c r="K15" s="995">
        <f>'[1]4-MFP_&amp;_Other_Funded'!CM20</f>
        <v>1399</v>
      </c>
      <c r="L15" s="995">
        <f>'[1]4-MFP_&amp;_Other_Funded'!CO20</f>
        <v>1456</v>
      </c>
      <c r="M15" s="995">
        <f>'[1]4-MFP_&amp;_Other_Funded'!CQ20</f>
        <v>1671</v>
      </c>
      <c r="N15" s="995">
        <f>'[1]4-MFP_&amp;_Other_Funded'!CS20</f>
        <v>1393</v>
      </c>
      <c r="O15" s="995">
        <f>'[1]4-MFP_&amp;_Other_Funded'!CU20</f>
        <v>1265</v>
      </c>
      <c r="P15" s="995">
        <f>'[1]4-MFP_&amp;_Other_Funded'!CW20</f>
        <v>1134</v>
      </c>
      <c r="Q15" s="995">
        <f>'[1]4-MFP_&amp;_Other_Funded'!CY20</f>
        <v>1119</v>
      </c>
      <c r="R15" s="996">
        <f t="shared" si="2"/>
        <v>18926</v>
      </c>
      <c r="S15" s="997"/>
      <c r="T15" s="998">
        <v>18791</v>
      </c>
      <c r="U15" s="998">
        <f t="shared" si="3"/>
        <v>135</v>
      </c>
      <c r="V15" s="999">
        <f t="shared" si="4"/>
        <v>0.0072</v>
      </c>
      <c r="W15" s="998">
        <f t="shared" si="5"/>
        <v>135</v>
      </c>
      <c r="X15" s="998" t="str">
        <f t="shared" si="6"/>
        <v> </v>
      </c>
      <c r="Y15" s="998">
        <f t="shared" si="7"/>
        <v>18926</v>
      </c>
      <c r="Z15" s="998">
        <f t="shared" si="8"/>
        <v>0</v>
      </c>
    </row>
    <row r="16" spans="1:26" ht="12.75">
      <c r="A16" s="835">
        <v>9</v>
      </c>
      <c r="B16" s="994" t="s">
        <v>643</v>
      </c>
      <c r="C16" s="995">
        <f>'[1]4-MFP_&amp;_Other_Funded'!BU21</f>
        <v>31</v>
      </c>
      <c r="D16" s="995">
        <f>'[1]4-MFP_&amp;_Other_Funded'!BW21</f>
        <v>577</v>
      </c>
      <c r="E16" s="995">
        <f>'[1]4-MFP_&amp;_Other_Funded'!CA21</f>
        <v>3627</v>
      </c>
      <c r="F16" s="995">
        <f>'[1]4-MFP_&amp;_Other_Funded'!CC21</f>
        <v>3476</v>
      </c>
      <c r="G16" s="995">
        <f>'[1]4-MFP_&amp;_Other_Funded'!CE21</f>
        <v>3248</v>
      </c>
      <c r="H16" s="995">
        <f>'[1]4-MFP_&amp;_Other_Funded'!CG21</f>
        <v>3295</v>
      </c>
      <c r="I16" s="995">
        <f>'[1]4-MFP_&amp;_Other_Funded'!CI21</f>
        <v>3721</v>
      </c>
      <c r="J16" s="995">
        <f>'[1]4-MFP_&amp;_Other_Funded'!CK21</f>
        <v>2926</v>
      </c>
      <c r="K16" s="995">
        <f>'[1]4-MFP_&amp;_Other_Funded'!CM21</f>
        <v>3348</v>
      </c>
      <c r="L16" s="995">
        <f>'[1]4-MFP_&amp;_Other_Funded'!CO21</f>
        <v>3417</v>
      </c>
      <c r="M16" s="995">
        <f>'[1]4-MFP_&amp;_Other_Funded'!CQ21</f>
        <v>3885</v>
      </c>
      <c r="N16" s="995">
        <f>'[1]4-MFP_&amp;_Other_Funded'!CS21</f>
        <v>3387</v>
      </c>
      <c r="O16" s="995">
        <f>'[1]4-MFP_&amp;_Other_Funded'!CU21</f>
        <v>2638</v>
      </c>
      <c r="P16" s="995">
        <f>'[1]4-MFP_&amp;_Other_Funded'!CW21</f>
        <v>2247</v>
      </c>
      <c r="Q16" s="995">
        <f>'[1]4-MFP_&amp;_Other_Funded'!CY21</f>
        <v>2314</v>
      </c>
      <c r="R16" s="996">
        <f t="shared" si="2"/>
        <v>42137</v>
      </c>
      <c r="S16" s="997"/>
      <c r="T16" s="998">
        <v>42546</v>
      </c>
      <c r="U16" s="998">
        <f t="shared" si="3"/>
        <v>-409</v>
      </c>
      <c r="V16" s="999">
        <f t="shared" si="4"/>
        <v>-0.0096</v>
      </c>
      <c r="W16" s="998" t="str">
        <f t="shared" si="5"/>
        <v> </v>
      </c>
      <c r="X16" s="998">
        <f t="shared" si="6"/>
        <v>-409</v>
      </c>
      <c r="Y16" s="998">
        <f t="shared" si="7"/>
        <v>42137</v>
      </c>
      <c r="Z16" s="998">
        <f t="shared" si="8"/>
        <v>0</v>
      </c>
    </row>
    <row r="17" spans="1:26" ht="12.75">
      <c r="A17" s="838">
        <v>10</v>
      </c>
      <c r="B17" s="1000" t="s">
        <v>644</v>
      </c>
      <c r="C17" s="1001">
        <f>'[1]4-MFP_&amp;_Other_Funded'!BU22</f>
        <v>20</v>
      </c>
      <c r="D17" s="1001">
        <f>'[1]4-MFP_&amp;_Other_Funded'!BW22</f>
        <v>420</v>
      </c>
      <c r="E17" s="1001">
        <f>'[1]4-MFP_&amp;_Other_Funded'!CA22</f>
        <v>2639</v>
      </c>
      <c r="F17" s="1001">
        <f>'[1]4-MFP_&amp;_Other_Funded'!CC22</f>
        <v>2704</v>
      </c>
      <c r="G17" s="1001">
        <f>'[1]4-MFP_&amp;_Other_Funded'!CE22</f>
        <v>2339</v>
      </c>
      <c r="H17" s="1001">
        <f>'[1]4-MFP_&amp;_Other_Funded'!CG22</f>
        <v>2380</v>
      </c>
      <c r="I17" s="1001">
        <f>'[1]4-MFP_&amp;_Other_Funded'!CI22</f>
        <v>2546</v>
      </c>
      <c r="J17" s="1001">
        <f>'[1]4-MFP_&amp;_Other_Funded'!CK22</f>
        <v>2203</v>
      </c>
      <c r="K17" s="1001">
        <f>'[1]4-MFP_&amp;_Other_Funded'!CM22</f>
        <v>2421</v>
      </c>
      <c r="L17" s="1001">
        <f>'[1]4-MFP_&amp;_Other_Funded'!CO22</f>
        <v>2332</v>
      </c>
      <c r="M17" s="1001">
        <f>'[1]4-MFP_&amp;_Other_Funded'!CQ22</f>
        <v>2367</v>
      </c>
      <c r="N17" s="1001">
        <f>'[1]4-MFP_&amp;_Other_Funded'!CS22</f>
        <v>2403</v>
      </c>
      <c r="O17" s="1001">
        <f>'[1]4-MFP_&amp;_Other_Funded'!CU22</f>
        <v>2099</v>
      </c>
      <c r="P17" s="1001">
        <f>'[1]4-MFP_&amp;_Other_Funded'!CW22</f>
        <v>1866</v>
      </c>
      <c r="Q17" s="1001">
        <f>'[1]4-MFP_&amp;_Other_Funded'!CY22</f>
        <v>1752</v>
      </c>
      <c r="R17" s="1002">
        <f t="shared" si="2"/>
        <v>30491</v>
      </c>
      <c r="S17" s="1003"/>
      <c r="T17" s="1004">
        <v>31627</v>
      </c>
      <c r="U17" s="1004">
        <f t="shared" si="3"/>
        <v>-1136</v>
      </c>
      <c r="V17" s="1005">
        <f t="shared" si="4"/>
        <v>-0.0359</v>
      </c>
      <c r="W17" s="1004" t="str">
        <f t="shared" si="5"/>
        <v> </v>
      </c>
      <c r="X17" s="1004">
        <f t="shared" si="6"/>
        <v>-1136</v>
      </c>
      <c r="Y17" s="1004">
        <f t="shared" si="7"/>
        <v>30491</v>
      </c>
      <c r="Z17" s="1004">
        <f t="shared" si="8"/>
        <v>0</v>
      </c>
    </row>
    <row r="18" spans="1:26" ht="12.75">
      <c r="A18" s="835">
        <v>11</v>
      </c>
      <c r="B18" s="994" t="s">
        <v>645</v>
      </c>
      <c r="C18" s="995">
        <f>'[1]4-MFP_&amp;_Other_Funded'!BU23</f>
        <v>0</v>
      </c>
      <c r="D18" s="995">
        <f>'[1]4-MFP_&amp;_Other_Funded'!BW23</f>
        <v>31</v>
      </c>
      <c r="E18" s="995">
        <f>'[1]4-MFP_&amp;_Other_Funded'!CA23</f>
        <v>158</v>
      </c>
      <c r="F18" s="995">
        <f>'[1]4-MFP_&amp;_Other_Funded'!CC23</f>
        <v>146</v>
      </c>
      <c r="G18" s="995">
        <f>'[1]4-MFP_&amp;_Other_Funded'!CE23</f>
        <v>121</v>
      </c>
      <c r="H18" s="995">
        <f>'[1]4-MFP_&amp;_Other_Funded'!CG23</f>
        <v>140</v>
      </c>
      <c r="I18" s="995">
        <f>'[1]4-MFP_&amp;_Other_Funded'!CI23</f>
        <v>163</v>
      </c>
      <c r="J18" s="995">
        <f>'[1]4-MFP_&amp;_Other_Funded'!CK23</f>
        <v>117</v>
      </c>
      <c r="K18" s="995">
        <f>'[1]4-MFP_&amp;_Other_Funded'!CM23</f>
        <v>135</v>
      </c>
      <c r="L18" s="995">
        <f>'[1]4-MFP_&amp;_Other_Funded'!CO23</f>
        <v>138</v>
      </c>
      <c r="M18" s="995">
        <f>'[1]4-MFP_&amp;_Other_Funded'!CQ23</f>
        <v>143</v>
      </c>
      <c r="N18" s="995">
        <f>'[1]4-MFP_&amp;_Other_Funded'!CS23</f>
        <v>142</v>
      </c>
      <c r="O18" s="995">
        <f>'[1]4-MFP_&amp;_Other_Funded'!CU23</f>
        <v>103</v>
      </c>
      <c r="P18" s="995">
        <f>'[1]4-MFP_&amp;_Other_Funded'!CW23</f>
        <v>108</v>
      </c>
      <c r="Q18" s="995">
        <f>'[1]4-MFP_&amp;_Other_Funded'!CY23</f>
        <v>85</v>
      </c>
      <c r="R18" s="996">
        <f t="shared" si="2"/>
        <v>1730</v>
      </c>
      <c r="S18" s="997"/>
      <c r="T18" s="998">
        <v>1778</v>
      </c>
      <c r="U18" s="998">
        <f t="shared" si="3"/>
        <v>-48</v>
      </c>
      <c r="V18" s="999">
        <f t="shared" si="4"/>
        <v>-0.027</v>
      </c>
      <c r="W18" s="998" t="str">
        <f t="shared" si="5"/>
        <v> </v>
      </c>
      <c r="X18" s="998">
        <f t="shared" si="6"/>
        <v>-48</v>
      </c>
      <c r="Y18" s="998">
        <f t="shared" si="7"/>
        <v>1730</v>
      </c>
      <c r="Z18" s="998">
        <f t="shared" si="8"/>
        <v>0</v>
      </c>
    </row>
    <row r="19" spans="1:29" ht="12.75">
      <c r="A19" s="835">
        <v>12</v>
      </c>
      <c r="B19" s="994" t="s">
        <v>646</v>
      </c>
      <c r="C19" s="995">
        <f>'[1]4-MFP_&amp;_Other_Funded'!BU24</f>
        <v>0</v>
      </c>
      <c r="D19" s="995">
        <f>'[1]4-MFP_&amp;_Other_Funded'!BW24</f>
        <v>29</v>
      </c>
      <c r="E19" s="995">
        <f>'[1]4-MFP_&amp;_Other_Funded'!CA24</f>
        <v>114</v>
      </c>
      <c r="F19" s="995">
        <f>'[1]4-MFP_&amp;_Other_Funded'!CC24</f>
        <v>107</v>
      </c>
      <c r="G19" s="995">
        <f>'[1]4-MFP_&amp;_Other_Funded'!CE24</f>
        <v>103</v>
      </c>
      <c r="H19" s="995">
        <f>'[1]4-MFP_&amp;_Other_Funded'!CG24</f>
        <v>104</v>
      </c>
      <c r="I19" s="995">
        <f>'[1]4-MFP_&amp;_Other_Funded'!CI24</f>
        <v>101</v>
      </c>
      <c r="J19" s="995">
        <f>'[1]4-MFP_&amp;_Other_Funded'!CK24</f>
        <v>116</v>
      </c>
      <c r="K19" s="995">
        <f>'[1]4-MFP_&amp;_Other_Funded'!CM24</f>
        <v>101</v>
      </c>
      <c r="L19" s="995">
        <f>'[1]4-MFP_&amp;_Other_Funded'!CO24</f>
        <v>97</v>
      </c>
      <c r="M19" s="995">
        <f>'[1]4-MFP_&amp;_Other_Funded'!CQ24</f>
        <v>142</v>
      </c>
      <c r="N19" s="995">
        <f>'[1]4-MFP_&amp;_Other_Funded'!CS24</f>
        <v>110</v>
      </c>
      <c r="O19" s="995">
        <f>'[1]4-MFP_&amp;_Other_Funded'!CU24</f>
        <v>121</v>
      </c>
      <c r="P19" s="995">
        <f>'[1]4-MFP_&amp;_Other_Funded'!CW24</f>
        <v>124</v>
      </c>
      <c r="Q19" s="995">
        <f>'[1]4-MFP_&amp;_Other_Funded'!CY24</f>
        <v>112</v>
      </c>
      <c r="R19" s="996">
        <f t="shared" si="2"/>
        <v>1481</v>
      </c>
      <c r="S19" s="997"/>
      <c r="T19" s="998">
        <v>1825</v>
      </c>
      <c r="U19" s="998">
        <f t="shared" si="3"/>
        <v>-344</v>
      </c>
      <c r="V19" s="999">
        <f t="shared" si="4"/>
        <v>-0.1885</v>
      </c>
      <c r="W19" s="998" t="str">
        <f t="shared" si="5"/>
        <v> </v>
      </c>
      <c r="X19" s="998">
        <f t="shared" si="6"/>
        <v>-344</v>
      </c>
      <c r="Y19" s="998">
        <f t="shared" si="7"/>
        <v>1643</v>
      </c>
      <c r="Z19" s="998">
        <f t="shared" si="8"/>
        <v>162</v>
      </c>
      <c r="AA19" s="1006">
        <f>ROUND(Y19/T19,2)</f>
        <v>0.9</v>
      </c>
      <c r="AB19" s="1007"/>
      <c r="AC19" s="1007"/>
    </row>
    <row r="20" spans="1:26" ht="12.75">
      <c r="A20" s="835">
        <v>13</v>
      </c>
      <c r="B20" s="994" t="s">
        <v>647</v>
      </c>
      <c r="C20" s="995">
        <f>'[1]4-MFP_&amp;_Other_Funded'!BU25</f>
        <v>0</v>
      </c>
      <c r="D20" s="995">
        <f>'[1]4-MFP_&amp;_Other_Funded'!BW25</f>
        <v>10</v>
      </c>
      <c r="E20" s="995">
        <f>'[1]4-MFP_&amp;_Other_Funded'!CA25</f>
        <v>169</v>
      </c>
      <c r="F20" s="995">
        <f>'[1]4-MFP_&amp;_Other_Funded'!CC25</f>
        <v>160</v>
      </c>
      <c r="G20" s="995">
        <f>'[1]4-MFP_&amp;_Other_Funded'!CE25</f>
        <v>161</v>
      </c>
      <c r="H20" s="995">
        <f>'[1]4-MFP_&amp;_Other_Funded'!CG25</f>
        <v>136</v>
      </c>
      <c r="I20" s="995">
        <f>'[1]4-MFP_&amp;_Other_Funded'!CI25</f>
        <v>131</v>
      </c>
      <c r="J20" s="995">
        <f>'[1]4-MFP_&amp;_Other_Funded'!CK25</f>
        <v>146</v>
      </c>
      <c r="K20" s="995">
        <f>'[1]4-MFP_&amp;_Other_Funded'!CM25</f>
        <v>137</v>
      </c>
      <c r="L20" s="995">
        <f>'[1]4-MFP_&amp;_Other_Funded'!CO25</f>
        <v>123</v>
      </c>
      <c r="M20" s="995">
        <f>'[1]4-MFP_&amp;_Other_Funded'!CQ25</f>
        <v>149</v>
      </c>
      <c r="N20" s="995">
        <f>'[1]4-MFP_&amp;_Other_Funded'!CS25</f>
        <v>169</v>
      </c>
      <c r="O20" s="995">
        <f>'[1]4-MFP_&amp;_Other_Funded'!CU25</f>
        <v>96</v>
      </c>
      <c r="P20" s="995">
        <f>'[1]4-MFP_&amp;_Other_Funded'!CW25</f>
        <v>92</v>
      </c>
      <c r="Q20" s="995">
        <f>'[1]4-MFP_&amp;_Other_Funded'!CY25</f>
        <v>76</v>
      </c>
      <c r="R20" s="996">
        <f t="shared" si="2"/>
        <v>1755</v>
      </c>
      <c r="S20" s="997"/>
      <c r="T20" s="998">
        <v>1723</v>
      </c>
      <c r="U20" s="998">
        <f t="shared" si="3"/>
        <v>32</v>
      </c>
      <c r="V20" s="999">
        <f t="shared" si="4"/>
        <v>0.0186</v>
      </c>
      <c r="W20" s="998">
        <f t="shared" si="5"/>
        <v>32</v>
      </c>
      <c r="X20" s="998" t="str">
        <f t="shared" si="6"/>
        <v> </v>
      </c>
      <c r="Y20" s="998">
        <f t="shared" si="7"/>
        <v>1755</v>
      </c>
      <c r="Z20" s="998">
        <f t="shared" si="8"/>
        <v>0</v>
      </c>
    </row>
    <row r="21" spans="1:26" ht="12.75">
      <c r="A21" s="835">
        <v>14</v>
      </c>
      <c r="B21" s="994" t="s">
        <v>648</v>
      </c>
      <c r="C21" s="995">
        <f>'[1]4-MFP_&amp;_Other_Funded'!BU26</f>
        <v>0</v>
      </c>
      <c r="D21" s="995">
        <f>'[1]4-MFP_&amp;_Other_Funded'!BW26</f>
        <v>62</v>
      </c>
      <c r="E21" s="995">
        <f>'[1]4-MFP_&amp;_Other_Funded'!CA26</f>
        <v>192</v>
      </c>
      <c r="F21" s="995">
        <f>'[1]4-MFP_&amp;_Other_Funded'!CC26</f>
        <v>200</v>
      </c>
      <c r="G21" s="995">
        <f>'[1]4-MFP_&amp;_Other_Funded'!CE26</f>
        <v>177</v>
      </c>
      <c r="H21" s="995">
        <f>'[1]4-MFP_&amp;_Other_Funded'!CG26</f>
        <v>190</v>
      </c>
      <c r="I21" s="995">
        <f>'[1]4-MFP_&amp;_Other_Funded'!CI26</f>
        <v>214</v>
      </c>
      <c r="J21" s="995">
        <f>'[1]4-MFP_&amp;_Other_Funded'!CK26</f>
        <v>189</v>
      </c>
      <c r="K21" s="995">
        <f>'[1]4-MFP_&amp;_Other_Funded'!CM26</f>
        <v>190</v>
      </c>
      <c r="L21" s="995">
        <f>'[1]4-MFP_&amp;_Other_Funded'!CO26</f>
        <v>220</v>
      </c>
      <c r="M21" s="995">
        <f>'[1]4-MFP_&amp;_Other_Funded'!CQ26</f>
        <v>226</v>
      </c>
      <c r="N21" s="995">
        <f>'[1]4-MFP_&amp;_Other_Funded'!CS26</f>
        <v>229</v>
      </c>
      <c r="O21" s="995">
        <f>'[1]4-MFP_&amp;_Other_Funded'!CU26</f>
        <v>190</v>
      </c>
      <c r="P21" s="995">
        <f>'[1]4-MFP_&amp;_Other_Funded'!CW26</f>
        <v>144</v>
      </c>
      <c r="Q21" s="995">
        <f>'[1]4-MFP_&amp;_Other_Funded'!CY26</f>
        <v>143</v>
      </c>
      <c r="R21" s="996">
        <f t="shared" si="2"/>
        <v>2566</v>
      </c>
      <c r="S21" s="997"/>
      <c r="T21" s="998">
        <v>2671</v>
      </c>
      <c r="U21" s="998">
        <f t="shared" si="3"/>
        <v>-105</v>
      </c>
      <c r="V21" s="999">
        <f t="shared" si="4"/>
        <v>-0.0393</v>
      </c>
      <c r="W21" s="998" t="str">
        <f t="shared" si="5"/>
        <v> </v>
      </c>
      <c r="X21" s="998">
        <f t="shared" si="6"/>
        <v>-105</v>
      </c>
      <c r="Y21" s="998">
        <f t="shared" si="7"/>
        <v>2566</v>
      </c>
      <c r="Z21" s="998">
        <f t="shared" si="8"/>
        <v>0</v>
      </c>
    </row>
    <row r="22" spans="1:26" ht="12.75">
      <c r="A22" s="838">
        <v>15</v>
      </c>
      <c r="B22" s="1000" t="s">
        <v>649</v>
      </c>
      <c r="C22" s="1001">
        <f>'[1]4-MFP_&amp;_Other_Funded'!BU27</f>
        <v>0</v>
      </c>
      <c r="D22" s="1001">
        <f>'[1]4-MFP_&amp;_Other_Funded'!BW27</f>
        <v>28</v>
      </c>
      <c r="E22" s="1001">
        <f>'[1]4-MFP_&amp;_Other_Funded'!CA27</f>
        <v>356</v>
      </c>
      <c r="F22" s="1001">
        <f>'[1]4-MFP_&amp;_Other_Funded'!CC27</f>
        <v>401</v>
      </c>
      <c r="G22" s="1001">
        <f>'[1]4-MFP_&amp;_Other_Funded'!CE27</f>
        <v>300</v>
      </c>
      <c r="H22" s="1001">
        <f>'[1]4-MFP_&amp;_Other_Funded'!CG27</f>
        <v>321</v>
      </c>
      <c r="I22" s="1001">
        <f>'[1]4-MFP_&amp;_Other_Funded'!CI27</f>
        <v>368</v>
      </c>
      <c r="J22" s="1001">
        <f>'[1]4-MFP_&amp;_Other_Funded'!CK27</f>
        <v>317</v>
      </c>
      <c r="K22" s="1001">
        <f>'[1]4-MFP_&amp;_Other_Funded'!CM27</f>
        <v>278</v>
      </c>
      <c r="L22" s="1001">
        <f>'[1]4-MFP_&amp;_Other_Funded'!CO27</f>
        <v>331</v>
      </c>
      <c r="M22" s="1001">
        <f>'[1]4-MFP_&amp;_Other_Funded'!CQ27</f>
        <v>326</v>
      </c>
      <c r="N22" s="1001">
        <f>'[1]4-MFP_&amp;_Other_Funded'!CS27</f>
        <v>290</v>
      </c>
      <c r="O22" s="1001">
        <f>'[1]4-MFP_&amp;_Other_Funded'!CU27</f>
        <v>223</v>
      </c>
      <c r="P22" s="1001">
        <f>'[1]4-MFP_&amp;_Other_Funded'!CW27</f>
        <v>207</v>
      </c>
      <c r="Q22" s="1001">
        <f>'[1]4-MFP_&amp;_Other_Funded'!CY27</f>
        <v>184</v>
      </c>
      <c r="R22" s="1002">
        <f t="shared" si="2"/>
        <v>3930</v>
      </c>
      <c r="S22" s="1003"/>
      <c r="T22" s="1004">
        <v>3728</v>
      </c>
      <c r="U22" s="1004">
        <f t="shared" si="3"/>
        <v>202</v>
      </c>
      <c r="V22" s="1005">
        <f t="shared" si="4"/>
        <v>0.0542</v>
      </c>
      <c r="W22" s="1004">
        <f t="shared" si="5"/>
        <v>202</v>
      </c>
      <c r="X22" s="1004" t="str">
        <f t="shared" si="6"/>
        <v> </v>
      </c>
      <c r="Y22" s="1004">
        <f t="shared" si="7"/>
        <v>3930</v>
      </c>
      <c r="Z22" s="1004">
        <f t="shared" si="8"/>
        <v>0</v>
      </c>
    </row>
    <row r="23" spans="1:26" ht="12.75">
      <c r="A23" s="835">
        <v>16</v>
      </c>
      <c r="B23" s="994" t="s">
        <v>650</v>
      </c>
      <c r="C23" s="995">
        <f>'[1]4-MFP_&amp;_Other_Funded'!BU28</f>
        <v>0</v>
      </c>
      <c r="D23" s="995">
        <f>'[1]4-MFP_&amp;_Other_Funded'!BW28</f>
        <v>85</v>
      </c>
      <c r="E23" s="995">
        <f>'[1]4-MFP_&amp;_Other_Funded'!CA28</f>
        <v>398</v>
      </c>
      <c r="F23" s="995">
        <f>'[1]4-MFP_&amp;_Other_Funded'!CC28</f>
        <v>389</v>
      </c>
      <c r="G23" s="995">
        <f>'[1]4-MFP_&amp;_Other_Funded'!CE28</f>
        <v>338</v>
      </c>
      <c r="H23" s="995">
        <f>'[1]4-MFP_&amp;_Other_Funded'!CG28</f>
        <v>370</v>
      </c>
      <c r="I23" s="995">
        <f>'[1]4-MFP_&amp;_Other_Funded'!CI28</f>
        <v>376</v>
      </c>
      <c r="J23" s="995">
        <f>'[1]4-MFP_&amp;_Other_Funded'!CK28</f>
        <v>333</v>
      </c>
      <c r="K23" s="995">
        <f>'[1]4-MFP_&amp;_Other_Funded'!CM28</f>
        <v>371</v>
      </c>
      <c r="L23" s="995">
        <f>'[1]4-MFP_&amp;_Other_Funded'!CO28</f>
        <v>431</v>
      </c>
      <c r="M23" s="995">
        <f>'[1]4-MFP_&amp;_Other_Funded'!CQ28</f>
        <v>410</v>
      </c>
      <c r="N23" s="995">
        <f>'[1]4-MFP_&amp;_Other_Funded'!CS28</f>
        <v>379</v>
      </c>
      <c r="O23" s="995">
        <f>'[1]4-MFP_&amp;_Other_Funded'!CU28</f>
        <v>315</v>
      </c>
      <c r="P23" s="995">
        <f>'[1]4-MFP_&amp;_Other_Funded'!CW28</f>
        <v>288</v>
      </c>
      <c r="Q23" s="995">
        <f>'[1]4-MFP_&amp;_Other_Funded'!CY28</f>
        <v>256</v>
      </c>
      <c r="R23" s="996">
        <f t="shared" si="2"/>
        <v>4739</v>
      </c>
      <c r="S23" s="997"/>
      <c r="T23" s="998">
        <v>4773</v>
      </c>
      <c r="U23" s="998">
        <f t="shared" si="3"/>
        <v>-34</v>
      </c>
      <c r="V23" s="999">
        <f t="shared" si="4"/>
        <v>-0.0071</v>
      </c>
      <c r="W23" s="998" t="str">
        <f t="shared" si="5"/>
        <v> </v>
      </c>
      <c r="X23" s="998">
        <f t="shared" si="6"/>
        <v>-34</v>
      </c>
      <c r="Y23" s="998">
        <f t="shared" si="7"/>
        <v>4739</v>
      </c>
      <c r="Z23" s="998">
        <f t="shared" si="8"/>
        <v>0</v>
      </c>
    </row>
    <row r="24" spans="1:26" ht="12.75">
      <c r="A24" s="835">
        <v>17</v>
      </c>
      <c r="B24" s="994" t="s">
        <v>651</v>
      </c>
      <c r="C24" s="995">
        <f>'[1]4-MFP_&amp;_Other_Funded'!BU29</f>
        <v>0</v>
      </c>
      <c r="D24" s="995">
        <f>'[1]4-MFP_&amp;_Other_Funded'!BW29</f>
        <v>386</v>
      </c>
      <c r="E24" s="995">
        <f>'[1]4-MFP_&amp;_Other_Funded'!CA29</f>
        <v>4181</v>
      </c>
      <c r="F24" s="995">
        <f>'[1]4-MFP_&amp;_Other_Funded'!CC29</f>
        <v>4036</v>
      </c>
      <c r="G24" s="995">
        <f>'[1]4-MFP_&amp;_Other_Funded'!CE29</f>
        <v>3774</v>
      </c>
      <c r="H24" s="995">
        <f>'[1]4-MFP_&amp;_Other_Funded'!CG29</f>
        <v>3689</v>
      </c>
      <c r="I24" s="995">
        <f>'[1]4-MFP_&amp;_Other_Funded'!CI29</f>
        <v>4342</v>
      </c>
      <c r="J24" s="995">
        <f>'[1]4-MFP_&amp;_Other_Funded'!CK29</f>
        <v>3449</v>
      </c>
      <c r="K24" s="995">
        <f>'[1]4-MFP_&amp;_Other_Funded'!CM29</f>
        <v>3524</v>
      </c>
      <c r="L24" s="995">
        <f>'[1]4-MFP_&amp;_Other_Funded'!CO29</f>
        <v>3373</v>
      </c>
      <c r="M24" s="995">
        <f>'[1]4-MFP_&amp;_Other_Funded'!CQ29</f>
        <v>4357</v>
      </c>
      <c r="N24" s="995">
        <f>'[1]4-MFP_&amp;_Other_Funded'!CS29</f>
        <v>3275</v>
      </c>
      <c r="O24" s="995">
        <f>'[1]4-MFP_&amp;_Other_Funded'!CU29</f>
        <v>2871</v>
      </c>
      <c r="P24" s="995">
        <f>'[1]4-MFP_&amp;_Other_Funded'!CW29</f>
        <v>2483</v>
      </c>
      <c r="Q24" s="995">
        <f>'[1]4-MFP_&amp;_Other_Funded'!CY29</f>
        <v>2719</v>
      </c>
      <c r="R24" s="996">
        <f t="shared" si="2"/>
        <v>46459</v>
      </c>
      <c r="S24" s="997"/>
      <c r="T24" s="998">
        <v>45129</v>
      </c>
      <c r="U24" s="998">
        <f t="shared" si="3"/>
        <v>1330</v>
      </c>
      <c r="V24" s="999">
        <f t="shared" si="4"/>
        <v>0.0295</v>
      </c>
      <c r="W24" s="998">
        <f t="shared" si="5"/>
        <v>1330</v>
      </c>
      <c r="X24" s="998" t="str">
        <f t="shared" si="6"/>
        <v> </v>
      </c>
      <c r="Y24" s="998">
        <f t="shared" si="7"/>
        <v>46459</v>
      </c>
      <c r="Z24" s="998">
        <f t="shared" si="8"/>
        <v>0</v>
      </c>
    </row>
    <row r="25" spans="1:26" ht="12.75">
      <c r="A25" s="835">
        <v>18</v>
      </c>
      <c r="B25" s="994" t="s">
        <v>652</v>
      </c>
      <c r="C25" s="995">
        <f>'[1]4-MFP_&amp;_Other_Funded'!BU30</f>
        <v>0</v>
      </c>
      <c r="D25" s="995">
        <f>'[1]4-MFP_&amp;_Other_Funded'!BW30</f>
        <v>3</v>
      </c>
      <c r="E25" s="995">
        <f>'[1]4-MFP_&amp;_Other_Funded'!CA30</f>
        <v>130</v>
      </c>
      <c r="F25" s="995">
        <f>'[1]4-MFP_&amp;_Other_Funded'!CC30</f>
        <v>102</v>
      </c>
      <c r="G25" s="995">
        <f>'[1]4-MFP_&amp;_Other_Funded'!CE30</f>
        <v>127</v>
      </c>
      <c r="H25" s="995">
        <f>'[1]4-MFP_&amp;_Other_Funded'!CG30</f>
        <v>108</v>
      </c>
      <c r="I25" s="995">
        <f>'[1]4-MFP_&amp;_Other_Funded'!CI30</f>
        <v>118</v>
      </c>
      <c r="J25" s="995">
        <f>'[1]4-MFP_&amp;_Other_Funded'!CK30</f>
        <v>129</v>
      </c>
      <c r="K25" s="995">
        <f>'[1]4-MFP_&amp;_Other_Funded'!CM30</f>
        <v>114</v>
      </c>
      <c r="L25" s="995">
        <f>'[1]4-MFP_&amp;_Other_Funded'!CO30</f>
        <v>120</v>
      </c>
      <c r="M25" s="995">
        <f>'[1]4-MFP_&amp;_Other_Funded'!CQ30</f>
        <v>153</v>
      </c>
      <c r="N25" s="995">
        <f>'[1]4-MFP_&amp;_Other_Funded'!CS30</f>
        <v>96</v>
      </c>
      <c r="O25" s="995">
        <f>'[1]4-MFP_&amp;_Other_Funded'!CU30</f>
        <v>98</v>
      </c>
      <c r="P25" s="995">
        <f>'[1]4-MFP_&amp;_Other_Funded'!CW30</f>
        <v>89</v>
      </c>
      <c r="Q25" s="995">
        <f>'[1]4-MFP_&amp;_Other_Funded'!CY30</f>
        <v>82</v>
      </c>
      <c r="R25" s="996">
        <f t="shared" si="2"/>
        <v>1469</v>
      </c>
      <c r="S25" s="997"/>
      <c r="T25" s="998">
        <v>1548</v>
      </c>
      <c r="U25" s="998">
        <f t="shared" si="3"/>
        <v>-79</v>
      </c>
      <c r="V25" s="999">
        <f t="shared" si="4"/>
        <v>-0.051</v>
      </c>
      <c r="W25" s="998" t="str">
        <f t="shared" si="5"/>
        <v> </v>
      </c>
      <c r="X25" s="998">
        <f t="shared" si="6"/>
        <v>-79</v>
      </c>
      <c r="Y25" s="998">
        <f t="shared" si="7"/>
        <v>1469</v>
      </c>
      <c r="Z25" s="998">
        <f t="shared" si="8"/>
        <v>0</v>
      </c>
    </row>
    <row r="26" spans="1:26" ht="12.75">
      <c r="A26" s="835">
        <v>19</v>
      </c>
      <c r="B26" s="994" t="s">
        <v>653</v>
      </c>
      <c r="C26" s="995">
        <f>'[1]4-MFP_&amp;_Other_Funded'!BU31</f>
        <v>0</v>
      </c>
      <c r="D26" s="995">
        <f>'[1]4-MFP_&amp;_Other_Funded'!BW31</f>
        <v>10</v>
      </c>
      <c r="E26" s="995">
        <f>'[1]4-MFP_&amp;_Other_Funded'!CA31</f>
        <v>218</v>
      </c>
      <c r="F26" s="995">
        <f>'[1]4-MFP_&amp;_Other_Funded'!CC31</f>
        <v>186</v>
      </c>
      <c r="G26" s="995">
        <f>'[1]4-MFP_&amp;_Other_Funded'!CE31</f>
        <v>187</v>
      </c>
      <c r="H26" s="995">
        <f>'[1]4-MFP_&amp;_Other_Funded'!CG31</f>
        <v>185</v>
      </c>
      <c r="I26" s="995">
        <f>'[1]4-MFP_&amp;_Other_Funded'!CI31</f>
        <v>195</v>
      </c>
      <c r="J26" s="995">
        <f>'[1]4-MFP_&amp;_Other_Funded'!CK31</f>
        <v>171</v>
      </c>
      <c r="K26" s="995">
        <f>'[1]4-MFP_&amp;_Other_Funded'!CM31</f>
        <v>130</v>
      </c>
      <c r="L26" s="995">
        <f>'[1]4-MFP_&amp;_Other_Funded'!CO31</f>
        <v>180</v>
      </c>
      <c r="M26" s="995">
        <f>'[1]4-MFP_&amp;_Other_Funded'!CQ31</f>
        <v>204</v>
      </c>
      <c r="N26" s="995">
        <f>'[1]4-MFP_&amp;_Other_Funded'!CS31</f>
        <v>145</v>
      </c>
      <c r="O26" s="995">
        <f>'[1]4-MFP_&amp;_Other_Funded'!CU31</f>
        <v>164</v>
      </c>
      <c r="P26" s="995">
        <f>'[1]4-MFP_&amp;_Other_Funded'!CW31</f>
        <v>123</v>
      </c>
      <c r="Q26" s="995">
        <f>'[1]4-MFP_&amp;_Other_Funded'!CY31</f>
        <v>140</v>
      </c>
      <c r="R26" s="996">
        <f t="shared" si="2"/>
        <v>2238</v>
      </c>
      <c r="S26" s="997"/>
      <c r="T26" s="998">
        <v>2244</v>
      </c>
      <c r="U26" s="998">
        <f t="shared" si="3"/>
        <v>-6</v>
      </c>
      <c r="V26" s="999">
        <f t="shared" si="4"/>
        <v>-0.0027</v>
      </c>
      <c r="W26" s="998" t="str">
        <f t="shared" si="5"/>
        <v> </v>
      </c>
      <c r="X26" s="998">
        <f t="shared" si="6"/>
        <v>-6</v>
      </c>
      <c r="Y26" s="998">
        <f t="shared" si="7"/>
        <v>2238</v>
      </c>
      <c r="Z26" s="998">
        <f t="shared" si="8"/>
        <v>0</v>
      </c>
    </row>
    <row r="27" spans="1:26" ht="12.75">
      <c r="A27" s="838">
        <v>20</v>
      </c>
      <c r="B27" s="1000" t="s">
        <v>654</v>
      </c>
      <c r="C27" s="1001">
        <f>'[1]4-MFP_&amp;_Other_Funded'!BU32</f>
        <v>13</v>
      </c>
      <c r="D27" s="1001">
        <f>'[1]4-MFP_&amp;_Other_Funded'!BW32</f>
        <v>52</v>
      </c>
      <c r="E27" s="1001">
        <f>'[1]4-MFP_&amp;_Other_Funded'!CA32</f>
        <v>506</v>
      </c>
      <c r="F27" s="1001">
        <f>'[1]4-MFP_&amp;_Other_Funded'!CC32</f>
        <v>559</v>
      </c>
      <c r="G27" s="1001">
        <f>'[1]4-MFP_&amp;_Other_Funded'!CE32</f>
        <v>499</v>
      </c>
      <c r="H27" s="1001">
        <f>'[1]4-MFP_&amp;_Other_Funded'!CG32</f>
        <v>502</v>
      </c>
      <c r="I27" s="1001">
        <f>'[1]4-MFP_&amp;_Other_Funded'!CI32</f>
        <v>524</v>
      </c>
      <c r="J27" s="1001">
        <f>'[1]4-MFP_&amp;_Other_Funded'!CK32</f>
        <v>462</v>
      </c>
      <c r="K27" s="1001">
        <f>'[1]4-MFP_&amp;_Other_Funded'!CM32</f>
        <v>438</v>
      </c>
      <c r="L27" s="1001">
        <f>'[1]4-MFP_&amp;_Other_Funded'!CO32</f>
        <v>471</v>
      </c>
      <c r="M27" s="1001">
        <f>'[1]4-MFP_&amp;_Other_Funded'!CQ32</f>
        <v>517</v>
      </c>
      <c r="N27" s="1001">
        <f>'[1]4-MFP_&amp;_Other_Funded'!CS32</f>
        <v>468</v>
      </c>
      <c r="O27" s="1001">
        <f>'[1]4-MFP_&amp;_Other_Funded'!CU32</f>
        <v>355</v>
      </c>
      <c r="P27" s="1001">
        <f>'[1]4-MFP_&amp;_Other_Funded'!CW32</f>
        <v>209</v>
      </c>
      <c r="Q27" s="1001">
        <f>'[1]4-MFP_&amp;_Other_Funded'!CY32</f>
        <v>279</v>
      </c>
      <c r="R27" s="1002">
        <f t="shared" si="2"/>
        <v>5854</v>
      </c>
      <c r="S27" s="1003"/>
      <c r="T27" s="1004">
        <v>5914</v>
      </c>
      <c r="U27" s="1004">
        <f t="shared" si="3"/>
        <v>-60</v>
      </c>
      <c r="V27" s="1005">
        <f t="shared" si="4"/>
        <v>-0.0101</v>
      </c>
      <c r="W27" s="1004" t="str">
        <f t="shared" si="5"/>
        <v> </v>
      </c>
      <c r="X27" s="1004">
        <f t="shared" si="6"/>
        <v>-60</v>
      </c>
      <c r="Y27" s="1004">
        <f t="shared" si="7"/>
        <v>5854</v>
      </c>
      <c r="Z27" s="1004">
        <f t="shared" si="8"/>
        <v>0</v>
      </c>
    </row>
    <row r="28" spans="1:26" ht="12.75">
      <c r="A28" s="835">
        <v>21</v>
      </c>
      <c r="B28" s="994" t="s">
        <v>655</v>
      </c>
      <c r="C28" s="995">
        <f>'[1]4-MFP_&amp;_Other_Funded'!BU33</f>
        <v>0</v>
      </c>
      <c r="D28" s="995">
        <f>'[1]4-MFP_&amp;_Other_Funded'!BW33</f>
        <v>42</v>
      </c>
      <c r="E28" s="995">
        <f>'[1]4-MFP_&amp;_Other_Funded'!CA33</f>
        <v>242</v>
      </c>
      <c r="F28" s="995">
        <f>'[1]4-MFP_&amp;_Other_Funded'!CC33</f>
        <v>269</v>
      </c>
      <c r="G28" s="995">
        <f>'[1]4-MFP_&amp;_Other_Funded'!CE33</f>
        <v>292</v>
      </c>
      <c r="H28" s="995">
        <f>'[1]4-MFP_&amp;_Other_Funded'!CG33</f>
        <v>261</v>
      </c>
      <c r="I28" s="995">
        <f>'[1]4-MFP_&amp;_Other_Funded'!CI33</f>
        <v>300</v>
      </c>
      <c r="J28" s="995">
        <f>'[1]4-MFP_&amp;_Other_Funded'!CK33</f>
        <v>229</v>
      </c>
      <c r="K28" s="995">
        <f>'[1]4-MFP_&amp;_Other_Funded'!CM33</f>
        <v>260</v>
      </c>
      <c r="L28" s="995">
        <f>'[1]4-MFP_&amp;_Other_Funded'!CO33</f>
        <v>271</v>
      </c>
      <c r="M28" s="995">
        <f>'[1]4-MFP_&amp;_Other_Funded'!CQ33</f>
        <v>243</v>
      </c>
      <c r="N28" s="995">
        <f>'[1]4-MFP_&amp;_Other_Funded'!CS33</f>
        <v>230</v>
      </c>
      <c r="O28" s="995">
        <f>'[1]4-MFP_&amp;_Other_Funded'!CU33</f>
        <v>188</v>
      </c>
      <c r="P28" s="995">
        <f>'[1]4-MFP_&amp;_Other_Funded'!CW33</f>
        <v>150</v>
      </c>
      <c r="Q28" s="995">
        <f>'[1]4-MFP_&amp;_Other_Funded'!CY33</f>
        <v>182</v>
      </c>
      <c r="R28" s="996">
        <f t="shared" si="2"/>
        <v>3159</v>
      </c>
      <c r="S28" s="997"/>
      <c r="T28" s="998">
        <v>3416</v>
      </c>
      <c r="U28" s="998">
        <f t="shared" si="3"/>
        <v>-257</v>
      </c>
      <c r="V28" s="999">
        <f t="shared" si="4"/>
        <v>-0.0752</v>
      </c>
      <c r="W28" s="998" t="str">
        <f t="shared" si="5"/>
        <v> </v>
      </c>
      <c r="X28" s="998">
        <f t="shared" si="6"/>
        <v>-257</v>
      </c>
      <c r="Y28" s="998">
        <f t="shared" si="7"/>
        <v>3159</v>
      </c>
      <c r="Z28" s="998">
        <f t="shared" si="8"/>
        <v>0</v>
      </c>
    </row>
    <row r="29" spans="1:26" ht="12.75">
      <c r="A29" s="835">
        <v>22</v>
      </c>
      <c r="B29" s="994" t="s">
        <v>656</v>
      </c>
      <c r="C29" s="995">
        <f>'[1]4-MFP_&amp;_Other_Funded'!BU34</f>
        <v>4</v>
      </c>
      <c r="D29" s="995">
        <f>'[1]4-MFP_&amp;_Other_Funded'!BW34</f>
        <v>34</v>
      </c>
      <c r="E29" s="995">
        <f>'[1]4-MFP_&amp;_Other_Funded'!CA34</f>
        <v>275</v>
      </c>
      <c r="F29" s="995">
        <f>'[1]4-MFP_&amp;_Other_Funded'!CC34</f>
        <v>306</v>
      </c>
      <c r="G29" s="995">
        <f>'[1]4-MFP_&amp;_Other_Funded'!CE34</f>
        <v>266</v>
      </c>
      <c r="H29" s="995">
        <f>'[1]4-MFP_&amp;_Other_Funded'!CG34</f>
        <v>275</v>
      </c>
      <c r="I29" s="995">
        <f>'[1]4-MFP_&amp;_Other_Funded'!CI34</f>
        <v>302</v>
      </c>
      <c r="J29" s="995">
        <f>'[1]4-MFP_&amp;_Other_Funded'!CK34</f>
        <v>297</v>
      </c>
      <c r="K29" s="995">
        <f>'[1]4-MFP_&amp;_Other_Funded'!CM34</f>
        <v>267</v>
      </c>
      <c r="L29" s="995">
        <f>'[1]4-MFP_&amp;_Other_Funded'!CO34</f>
        <v>283</v>
      </c>
      <c r="M29" s="995">
        <f>'[1]4-MFP_&amp;_Other_Funded'!CQ34</f>
        <v>316</v>
      </c>
      <c r="N29" s="995">
        <f>'[1]4-MFP_&amp;_Other_Funded'!CS34</f>
        <v>287</v>
      </c>
      <c r="O29" s="995">
        <f>'[1]4-MFP_&amp;_Other_Funded'!CU34</f>
        <v>228</v>
      </c>
      <c r="P29" s="995">
        <f>'[1]4-MFP_&amp;_Other_Funded'!CW34</f>
        <v>213</v>
      </c>
      <c r="Q29" s="995">
        <f>'[1]4-MFP_&amp;_Other_Funded'!CY34</f>
        <v>192</v>
      </c>
      <c r="R29" s="996">
        <f t="shared" si="2"/>
        <v>3545</v>
      </c>
      <c r="S29" s="997"/>
      <c r="T29" s="998">
        <v>3616</v>
      </c>
      <c r="U29" s="998">
        <f t="shared" si="3"/>
        <v>-71</v>
      </c>
      <c r="V29" s="999">
        <f t="shared" si="4"/>
        <v>-0.0196</v>
      </c>
      <c r="W29" s="998" t="str">
        <f t="shared" si="5"/>
        <v> </v>
      </c>
      <c r="X29" s="998">
        <f t="shared" si="6"/>
        <v>-71</v>
      </c>
      <c r="Y29" s="998">
        <f t="shared" si="7"/>
        <v>3545</v>
      </c>
      <c r="Z29" s="998">
        <f t="shared" si="8"/>
        <v>0</v>
      </c>
    </row>
    <row r="30" spans="1:26" ht="12.75">
      <c r="A30" s="835">
        <v>23</v>
      </c>
      <c r="B30" s="994" t="s">
        <v>657</v>
      </c>
      <c r="C30" s="995">
        <f>'[1]4-MFP_&amp;_Other_Funded'!BU35</f>
        <v>50</v>
      </c>
      <c r="D30" s="995">
        <f>'[1]4-MFP_&amp;_Other_Funded'!BW35</f>
        <v>144</v>
      </c>
      <c r="E30" s="995">
        <f>'[1]4-MFP_&amp;_Other_Funded'!CA35</f>
        <v>1192</v>
      </c>
      <c r="F30" s="995">
        <f>'[1]4-MFP_&amp;_Other_Funded'!CC35</f>
        <v>1200</v>
      </c>
      <c r="G30" s="995">
        <f>'[1]4-MFP_&amp;_Other_Funded'!CE35</f>
        <v>1092</v>
      </c>
      <c r="H30" s="995">
        <f>'[1]4-MFP_&amp;_Other_Funded'!CG35</f>
        <v>1070</v>
      </c>
      <c r="I30" s="995">
        <f>'[1]4-MFP_&amp;_Other_Funded'!CI35</f>
        <v>1197</v>
      </c>
      <c r="J30" s="995">
        <f>'[1]4-MFP_&amp;_Other_Funded'!CK35</f>
        <v>1073</v>
      </c>
      <c r="K30" s="995">
        <f>'[1]4-MFP_&amp;_Other_Funded'!CM35</f>
        <v>963</v>
      </c>
      <c r="L30" s="995">
        <f>'[1]4-MFP_&amp;_Other_Funded'!CO35</f>
        <v>1163</v>
      </c>
      <c r="M30" s="995">
        <f>'[1]4-MFP_&amp;_Other_Funded'!CQ35</f>
        <v>1038</v>
      </c>
      <c r="N30" s="995">
        <f>'[1]4-MFP_&amp;_Other_Funded'!CS35</f>
        <v>947</v>
      </c>
      <c r="O30" s="995">
        <f>'[1]4-MFP_&amp;_Other_Funded'!CU35</f>
        <v>772</v>
      </c>
      <c r="P30" s="995">
        <f>'[1]4-MFP_&amp;_Other_Funded'!CW35</f>
        <v>958</v>
      </c>
      <c r="Q30" s="995">
        <f>'[1]4-MFP_&amp;_Other_Funded'!CY35</f>
        <v>779</v>
      </c>
      <c r="R30" s="996">
        <f t="shared" si="2"/>
        <v>13638</v>
      </c>
      <c r="S30" s="997"/>
      <c r="T30" s="998">
        <v>13827</v>
      </c>
      <c r="U30" s="998">
        <f t="shared" si="3"/>
        <v>-189</v>
      </c>
      <c r="V30" s="999">
        <f t="shared" si="4"/>
        <v>-0.0137</v>
      </c>
      <c r="W30" s="998" t="str">
        <f t="shared" si="5"/>
        <v> </v>
      </c>
      <c r="X30" s="998">
        <f t="shared" si="6"/>
        <v>-189</v>
      </c>
      <c r="Y30" s="998">
        <f t="shared" si="7"/>
        <v>13638</v>
      </c>
      <c r="Z30" s="998">
        <f t="shared" si="8"/>
        <v>0</v>
      </c>
    </row>
    <row r="31" spans="1:26" ht="12.75">
      <c r="A31" s="835">
        <v>24</v>
      </c>
      <c r="B31" s="994" t="s">
        <v>658</v>
      </c>
      <c r="C31" s="995">
        <f>'[1]4-MFP_&amp;_Other_Funded'!BU36</f>
        <v>0</v>
      </c>
      <c r="D31" s="995">
        <f>'[1]4-MFP_&amp;_Other_Funded'!BW36</f>
        <v>26</v>
      </c>
      <c r="E31" s="995">
        <f>'[1]4-MFP_&amp;_Other_Funded'!CA36</f>
        <v>355</v>
      </c>
      <c r="F31" s="995">
        <f>'[1]4-MFP_&amp;_Other_Funded'!CC36</f>
        <v>419</v>
      </c>
      <c r="G31" s="995">
        <f>'[1]4-MFP_&amp;_Other_Funded'!CE36</f>
        <v>330</v>
      </c>
      <c r="H31" s="995">
        <f>'[1]4-MFP_&amp;_Other_Funded'!CG36</f>
        <v>328</v>
      </c>
      <c r="I31" s="995">
        <f>'[1]4-MFP_&amp;_Other_Funded'!CI36</f>
        <v>370</v>
      </c>
      <c r="J31" s="995">
        <f>'[1]4-MFP_&amp;_Other_Funded'!CK36</f>
        <v>334</v>
      </c>
      <c r="K31" s="995">
        <f>'[1]4-MFP_&amp;_Other_Funded'!CM36</f>
        <v>312</v>
      </c>
      <c r="L31" s="995">
        <f>'[1]4-MFP_&amp;_Other_Funded'!CO36</f>
        <v>376</v>
      </c>
      <c r="M31" s="995">
        <f>'[1]4-MFP_&amp;_Other_Funded'!CQ36</f>
        <v>336</v>
      </c>
      <c r="N31" s="995">
        <f>'[1]4-MFP_&amp;_Other_Funded'!CS36</f>
        <v>306</v>
      </c>
      <c r="O31" s="995">
        <f>'[1]4-MFP_&amp;_Other_Funded'!CU36</f>
        <v>226</v>
      </c>
      <c r="P31" s="995">
        <f>'[1]4-MFP_&amp;_Other_Funded'!CW36</f>
        <v>176</v>
      </c>
      <c r="Q31" s="995">
        <f>'[1]4-MFP_&amp;_Other_Funded'!CY36</f>
        <v>239</v>
      </c>
      <c r="R31" s="996">
        <f t="shared" si="2"/>
        <v>4133</v>
      </c>
      <c r="S31" s="997"/>
      <c r="T31" s="998">
        <v>4175</v>
      </c>
      <c r="U31" s="998">
        <f t="shared" si="3"/>
        <v>-42</v>
      </c>
      <c r="V31" s="999">
        <f t="shared" si="4"/>
        <v>-0.0101</v>
      </c>
      <c r="W31" s="998" t="str">
        <f t="shared" si="5"/>
        <v> </v>
      </c>
      <c r="X31" s="998">
        <f t="shared" si="6"/>
        <v>-42</v>
      </c>
      <c r="Y31" s="998">
        <f t="shared" si="7"/>
        <v>4133</v>
      </c>
      <c r="Z31" s="998">
        <f t="shared" si="8"/>
        <v>0</v>
      </c>
    </row>
    <row r="32" spans="1:26" ht="12.75">
      <c r="A32" s="838">
        <v>25</v>
      </c>
      <c r="B32" s="1000" t="s">
        <v>659</v>
      </c>
      <c r="C32" s="1001">
        <f>'[1]4-MFP_&amp;_Other_Funded'!BU37</f>
        <v>0</v>
      </c>
      <c r="D32" s="1001">
        <f>'[1]4-MFP_&amp;_Other_Funded'!BW37</f>
        <v>21</v>
      </c>
      <c r="E32" s="1001">
        <f>'[1]4-MFP_&amp;_Other_Funded'!CA37</f>
        <v>185</v>
      </c>
      <c r="F32" s="1001">
        <f>'[1]4-MFP_&amp;_Other_Funded'!CC37</f>
        <v>174</v>
      </c>
      <c r="G32" s="1001">
        <f>'[1]4-MFP_&amp;_Other_Funded'!CE37</f>
        <v>184</v>
      </c>
      <c r="H32" s="1001">
        <f>'[1]4-MFP_&amp;_Other_Funded'!CG37</f>
        <v>168</v>
      </c>
      <c r="I32" s="1001">
        <f>'[1]4-MFP_&amp;_Other_Funded'!CI37</f>
        <v>193</v>
      </c>
      <c r="J32" s="1001">
        <f>'[1]4-MFP_&amp;_Other_Funded'!CK37</f>
        <v>151</v>
      </c>
      <c r="K32" s="1001">
        <f>'[1]4-MFP_&amp;_Other_Funded'!CM37</f>
        <v>174</v>
      </c>
      <c r="L32" s="1001">
        <f>'[1]4-MFP_&amp;_Other_Funded'!CO37</f>
        <v>175</v>
      </c>
      <c r="M32" s="1001">
        <f>'[1]4-MFP_&amp;_Other_Funded'!CQ37</f>
        <v>177</v>
      </c>
      <c r="N32" s="1001">
        <f>'[1]4-MFP_&amp;_Other_Funded'!CS37</f>
        <v>154</v>
      </c>
      <c r="O32" s="1001">
        <f>'[1]4-MFP_&amp;_Other_Funded'!CU37</f>
        <v>133</v>
      </c>
      <c r="P32" s="1001">
        <f>'[1]4-MFP_&amp;_Other_Funded'!CW37</f>
        <v>137</v>
      </c>
      <c r="Q32" s="1001">
        <f>'[1]4-MFP_&amp;_Other_Funded'!CY37</f>
        <v>160</v>
      </c>
      <c r="R32" s="1002">
        <f t="shared" si="2"/>
        <v>2186</v>
      </c>
      <c r="S32" s="1003"/>
      <c r="T32" s="1004">
        <v>2275</v>
      </c>
      <c r="U32" s="1004">
        <f t="shared" si="3"/>
        <v>-89</v>
      </c>
      <c r="V32" s="1005">
        <f t="shared" si="4"/>
        <v>-0.0391</v>
      </c>
      <c r="W32" s="1004" t="str">
        <f t="shared" si="5"/>
        <v> </v>
      </c>
      <c r="X32" s="1004">
        <f t="shared" si="6"/>
        <v>-89</v>
      </c>
      <c r="Y32" s="1004">
        <f t="shared" si="7"/>
        <v>2186</v>
      </c>
      <c r="Z32" s="1004">
        <f t="shared" si="8"/>
        <v>0</v>
      </c>
    </row>
    <row r="33" spans="1:29" ht="12.75">
      <c r="A33" s="835">
        <v>26</v>
      </c>
      <c r="B33" s="994" t="s">
        <v>660</v>
      </c>
      <c r="C33" s="995">
        <f>'[1]4-MFP_&amp;_Other_Funded'!BU38</f>
        <v>0</v>
      </c>
      <c r="D33" s="995">
        <f>'[1]4-MFP_&amp;_Other_Funded'!BW38</f>
        <v>146</v>
      </c>
      <c r="E33" s="995">
        <f>'[1]4-MFP_&amp;_Other_Funded'!CA38</f>
        <v>3295</v>
      </c>
      <c r="F33" s="995">
        <f>'[1]4-MFP_&amp;_Other_Funded'!CC38</f>
        <v>3427</v>
      </c>
      <c r="G33" s="995">
        <f>'[1]4-MFP_&amp;_Other_Funded'!CE38</f>
        <v>3242</v>
      </c>
      <c r="H33" s="995">
        <f>'[1]4-MFP_&amp;_Other_Funded'!CG38</f>
        <v>3167</v>
      </c>
      <c r="I33" s="995">
        <f>'[1]4-MFP_&amp;_Other_Funded'!CI38</f>
        <v>3429</v>
      </c>
      <c r="J33" s="995">
        <f>'[1]4-MFP_&amp;_Other_Funded'!CK38</f>
        <v>3265</v>
      </c>
      <c r="K33" s="995">
        <f>'[1]4-MFP_&amp;_Other_Funded'!CM38</f>
        <v>3310</v>
      </c>
      <c r="L33" s="995">
        <f>'[1]4-MFP_&amp;_Other_Funded'!CO38</f>
        <v>3177</v>
      </c>
      <c r="M33" s="995">
        <f>'[1]4-MFP_&amp;_Other_Funded'!CQ38</f>
        <v>3374</v>
      </c>
      <c r="N33" s="995">
        <f>'[1]4-MFP_&amp;_Other_Funded'!CS38</f>
        <v>3247</v>
      </c>
      <c r="O33" s="995">
        <f>'[1]4-MFP_&amp;_Other_Funded'!CU38</f>
        <v>2607</v>
      </c>
      <c r="P33" s="995">
        <f>'[1]4-MFP_&amp;_Other_Funded'!CW38</f>
        <v>2383</v>
      </c>
      <c r="Q33" s="995">
        <f>'[1]4-MFP_&amp;_Other_Funded'!CY38</f>
        <v>2229</v>
      </c>
      <c r="R33" s="996">
        <f t="shared" si="2"/>
        <v>40298</v>
      </c>
      <c r="S33" s="997"/>
      <c r="T33" s="998">
        <v>49685</v>
      </c>
      <c r="U33" s="998">
        <f t="shared" si="3"/>
        <v>-9387</v>
      </c>
      <c r="V33" s="999">
        <f t="shared" si="4"/>
        <v>-0.1889</v>
      </c>
      <c r="W33" s="998" t="str">
        <f t="shared" si="5"/>
        <v> </v>
      </c>
      <c r="X33" s="998">
        <f t="shared" si="6"/>
        <v>-9387</v>
      </c>
      <c r="Y33" s="998">
        <f t="shared" si="7"/>
        <v>44717</v>
      </c>
      <c r="Z33" s="998">
        <f t="shared" si="8"/>
        <v>4419</v>
      </c>
      <c r="AA33" s="1006">
        <f>ROUND(Y33/T33,2)</f>
        <v>0.9</v>
      </c>
      <c r="AB33" s="1007">
        <v>4796</v>
      </c>
      <c r="AC33" s="1007"/>
    </row>
    <row r="34" spans="1:29" ht="12.75">
      <c r="A34" s="835">
        <v>27</v>
      </c>
      <c r="B34" s="994" t="s">
        <v>661</v>
      </c>
      <c r="C34" s="995">
        <f>'[1]4-MFP_&amp;_Other_Funded'!BU39</f>
        <v>12</v>
      </c>
      <c r="D34" s="995">
        <f>'[1]4-MFP_&amp;_Other_Funded'!BW39</f>
        <v>92</v>
      </c>
      <c r="E34" s="995">
        <f>'[1]4-MFP_&amp;_Other_Funded'!CA39</f>
        <v>485</v>
      </c>
      <c r="F34" s="995">
        <f>'[1]4-MFP_&amp;_Other_Funded'!CC39</f>
        <v>476</v>
      </c>
      <c r="G34" s="995">
        <f>'[1]4-MFP_&amp;_Other_Funded'!CE39</f>
        <v>448</v>
      </c>
      <c r="H34" s="995">
        <f>'[1]4-MFP_&amp;_Other_Funded'!CG39</f>
        <v>419</v>
      </c>
      <c r="I34" s="995">
        <f>'[1]4-MFP_&amp;_Other_Funded'!CI39</f>
        <v>475</v>
      </c>
      <c r="J34" s="995">
        <f>'[1]4-MFP_&amp;_Other_Funded'!CK39</f>
        <v>428</v>
      </c>
      <c r="K34" s="995">
        <f>'[1]4-MFP_&amp;_Other_Funded'!CM39</f>
        <v>401</v>
      </c>
      <c r="L34" s="995">
        <f>'[1]4-MFP_&amp;_Other_Funded'!CO39</f>
        <v>438</v>
      </c>
      <c r="M34" s="995">
        <f>'[1]4-MFP_&amp;_Other_Funded'!CQ39</f>
        <v>450</v>
      </c>
      <c r="N34" s="995">
        <f>'[1]4-MFP_&amp;_Other_Funded'!CS39</f>
        <v>444</v>
      </c>
      <c r="O34" s="995">
        <f>'[1]4-MFP_&amp;_Other_Funded'!CU39</f>
        <v>405</v>
      </c>
      <c r="P34" s="995">
        <f>'[1]4-MFP_&amp;_Other_Funded'!CW39</f>
        <v>334</v>
      </c>
      <c r="Q34" s="995">
        <f>'[1]4-MFP_&amp;_Other_Funded'!CY39</f>
        <v>349</v>
      </c>
      <c r="R34" s="996">
        <f t="shared" si="2"/>
        <v>5656</v>
      </c>
      <c r="S34" s="997"/>
      <c r="T34" s="998">
        <v>5719</v>
      </c>
      <c r="U34" s="998">
        <f t="shared" si="3"/>
        <v>-63</v>
      </c>
      <c r="V34" s="999">
        <f t="shared" si="4"/>
        <v>-0.011</v>
      </c>
      <c r="W34" s="998" t="str">
        <f t="shared" si="5"/>
        <v> </v>
      </c>
      <c r="X34" s="998">
        <f t="shared" si="6"/>
        <v>-63</v>
      </c>
      <c r="Y34" s="998">
        <f t="shared" si="7"/>
        <v>5656</v>
      </c>
      <c r="Z34" s="998">
        <f t="shared" si="8"/>
        <v>0</v>
      </c>
      <c r="AC34" s="1007"/>
    </row>
    <row r="35" spans="1:29" ht="12.75">
      <c r="A35" s="835">
        <v>28</v>
      </c>
      <c r="B35" s="994" t="s">
        <v>662</v>
      </c>
      <c r="C35" s="995">
        <f>'[1]4-MFP_&amp;_Other_Funded'!BU40</f>
        <v>68</v>
      </c>
      <c r="D35" s="995">
        <f>'[1]4-MFP_&amp;_Other_Funded'!BW40</f>
        <v>177</v>
      </c>
      <c r="E35" s="995">
        <f>'[1]4-MFP_&amp;_Other_Funded'!CA40</f>
        <v>2369</v>
      </c>
      <c r="F35" s="995">
        <f>'[1]4-MFP_&amp;_Other_Funded'!CC40</f>
        <v>2432</v>
      </c>
      <c r="G35" s="995">
        <f>'[1]4-MFP_&amp;_Other_Funded'!CE40</f>
        <v>2362</v>
      </c>
      <c r="H35" s="995">
        <f>'[1]4-MFP_&amp;_Other_Funded'!CG40</f>
        <v>2316</v>
      </c>
      <c r="I35" s="995">
        <f>'[1]4-MFP_&amp;_Other_Funded'!CI40</f>
        <v>2427</v>
      </c>
      <c r="J35" s="995">
        <f>'[1]4-MFP_&amp;_Other_Funded'!CK40</f>
        <v>2197</v>
      </c>
      <c r="K35" s="995">
        <f>'[1]4-MFP_&amp;_Other_Funded'!CM40</f>
        <v>2327</v>
      </c>
      <c r="L35" s="995">
        <f>'[1]4-MFP_&amp;_Other_Funded'!CO40</f>
        <v>2198</v>
      </c>
      <c r="M35" s="995">
        <f>'[1]4-MFP_&amp;_Other_Funded'!CQ40</f>
        <v>2520</v>
      </c>
      <c r="N35" s="995">
        <f>'[1]4-MFP_&amp;_Other_Funded'!CS40</f>
        <v>2363</v>
      </c>
      <c r="O35" s="995">
        <f>'[1]4-MFP_&amp;_Other_Funded'!CU40</f>
        <v>2107</v>
      </c>
      <c r="P35" s="995">
        <f>'[1]4-MFP_&amp;_Other_Funded'!CW40</f>
        <v>1832</v>
      </c>
      <c r="Q35" s="995">
        <f>'[1]4-MFP_&amp;_Other_Funded'!CY40</f>
        <v>1615</v>
      </c>
      <c r="R35" s="996">
        <f t="shared" si="2"/>
        <v>29310</v>
      </c>
      <c r="S35" s="997"/>
      <c r="T35" s="998">
        <v>29087</v>
      </c>
      <c r="U35" s="998">
        <f t="shared" si="3"/>
        <v>223</v>
      </c>
      <c r="V35" s="999">
        <f t="shared" si="4"/>
        <v>0.0077</v>
      </c>
      <c r="W35" s="998">
        <f t="shared" si="5"/>
        <v>223</v>
      </c>
      <c r="X35" s="998" t="str">
        <f t="shared" si="6"/>
        <v> </v>
      </c>
      <c r="Y35" s="998">
        <f t="shared" si="7"/>
        <v>29310</v>
      </c>
      <c r="Z35" s="998">
        <f t="shared" si="8"/>
        <v>0</v>
      </c>
      <c r="AC35" s="1007"/>
    </row>
    <row r="36" spans="1:29" ht="12.75">
      <c r="A36" s="835">
        <v>29</v>
      </c>
      <c r="B36" s="994" t="s">
        <v>663</v>
      </c>
      <c r="C36" s="995">
        <f>'[1]4-MFP_&amp;_Other_Funded'!BU41</f>
        <v>60</v>
      </c>
      <c r="D36" s="995">
        <f>'[1]4-MFP_&amp;_Other_Funded'!BW41</f>
        <v>247</v>
      </c>
      <c r="E36" s="995">
        <f>'[1]4-MFP_&amp;_Other_Funded'!CA41</f>
        <v>1082</v>
      </c>
      <c r="F36" s="995">
        <f>'[1]4-MFP_&amp;_Other_Funded'!CC41</f>
        <v>1098</v>
      </c>
      <c r="G36" s="995">
        <f>'[1]4-MFP_&amp;_Other_Funded'!CE41</f>
        <v>1108</v>
      </c>
      <c r="H36" s="995">
        <f>'[1]4-MFP_&amp;_Other_Funded'!CG41</f>
        <v>1018</v>
      </c>
      <c r="I36" s="995">
        <f>'[1]4-MFP_&amp;_Other_Funded'!CI41</f>
        <v>1199</v>
      </c>
      <c r="J36" s="995">
        <f>'[1]4-MFP_&amp;_Other_Funded'!CK41</f>
        <v>1066</v>
      </c>
      <c r="K36" s="995">
        <f>'[1]4-MFP_&amp;_Other_Funded'!CM41</f>
        <v>996</v>
      </c>
      <c r="L36" s="995">
        <f>'[1]4-MFP_&amp;_Other_Funded'!CO41</f>
        <v>1167</v>
      </c>
      <c r="M36" s="995">
        <f>'[1]4-MFP_&amp;_Other_Funded'!CQ41</f>
        <v>1394</v>
      </c>
      <c r="N36" s="995">
        <f>'[1]4-MFP_&amp;_Other_Funded'!CS41</f>
        <v>1196</v>
      </c>
      <c r="O36" s="995">
        <f>'[1]4-MFP_&amp;_Other_Funded'!CU41</f>
        <v>918</v>
      </c>
      <c r="P36" s="995">
        <f>'[1]4-MFP_&amp;_Other_Funded'!CW41</f>
        <v>1014</v>
      </c>
      <c r="Q36" s="995">
        <f>'[1]4-MFP_&amp;_Other_Funded'!CY41</f>
        <v>751</v>
      </c>
      <c r="R36" s="996">
        <f t="shared" si="2"/>
        <v>14314</v>
      </c>
      <c r="S36" s="997"/>
      <c r="T36" s="998">
        <v>14670</v>
      </c>
      <c r="U36" s="998">
        <f t="shared" si="3"/>
        <v>-356</v>
      </c>
      <c r="V36" s="999">
        <f t="shared" si="4"/>
        <v>-0.0243</v>
      </c>
      <c r="W36" s="998" t="str">
        <f t="shared" si="5"/>
        <v> </v>
      </c>
      <c r="X36" s="998">
        <f t="shared" si="6"/>
        <v>-356</v>
      </c>
      <c r="Y36" s="998">
        <f t="shared" si="7"/>
        <v>14314</v>
      </c>
      <c r="Z36" s="998">
        <f t="shared" si="8"/>
        <v>0</v>
      </c>
      <c r="AC36" s="1007"/>
    </row>
    <row r="37" spans="1:29" ht="12.75">
      <c r="A37" s="838">
        <v>30</v>
      </c>
      <c r="B37" s="1000" t="s">
        <v>664</v>
      </c>
      <c r="C37" s="1001">
        <f>'[1]4-MFP_&amp;_Other_Funded'!BU42</f>
        <v>0</v>
      </c>
      <c r="D37" s="1001">
        <f>'[1]4-MFP_&amp;_Other_Funded'!BW42</f>
        <v>20</v>
      </c>
      <c r="E37" s="1001">
        <f>'[1]4-MFP_&amp;_Other_Funded'!CA42</f>
        <v>208</v>
      </c>
      <c r="F37" s="1001">
        <f>'[1]4-MFP_&amp;_Other_Funded'!CC42</f>
        <v>194</v>
      </c>
      <c r="G37" s="1001">
        <f>'[1]4-MFP_&amp;_Other_Funded'!CE42</f>
        <v>230</v>
      </c>
      <c r="H37" s="1001">
        <f>'[1]4-MFP_&amp;_Other_Funded'!CG42</f>
        <v>197</v>
      </c>
      <c r="I37" s="1001">
        <f>'[1]4-MFP_&amp;_Other_Funded'!CI42</f>
        <v>192</v>
      </c>
      <c r="J37" s="1001">
        <f>'[1]4-MFP_&amp;_Other_Funded'!CK42</f>
        <v>172</v>
      </c>
      <c r="K37" s="1001">
        <f>'[1]4-MFP_&amp;_Other_Funded'!CM42</f>
        <v>166</v>
      </c>
      <c r="L37" s="1001">
        <f>'[1]4-MFP_&amp;_Other_Funded'!CO42</f>
        <v>217</v>
      </c>
      <c r="M37" s="1001">
        <f>'[1]4-MFP_&amp;_Other_Funded'!CQ42</f>
        <v>221</v>
      </c>
      <c r="N37" s="1001">
        <f>'[1]4-MFP_&amp;_Other_Funded'!CS42</f>
        <v>207</v>
      </c>
      <c r="O37" s="1001">
        <f>'[1]4-MFP_&amp;_Other_Funded'!CU42</f>
        <v>182</v>
      </c>
      <c r="P37" s="1001">
        <f>'[1]4-MFP_&amp;_Other_Funded'!CW42</f>
        <v>149</v>
      </c>
      <c r="Q37" s="1001">
        <f>'[1]4-MFP_&amp;_Other_Funded'!CY42</f>
        <v>162</v>
      </c>
      <c r="R37" s="1002">
        <f t="shared" si="2"/>
        <v>2517</v>
      </c>
      <c r="S37" s="1003"/>
      <c r="T37" s="1004">
        <v>2508</v>
      </c>
      <c r="U37" s="1004">
        <f t="shared" si="3"/>
        <v>9</v>
      </c>
      <c r="V37" s="1005">
        <f t="shared" si="4"/>
        <v>0.0036</v>
      </c>
      <c r="W37" s="1004">
        <f t="shared" si="5"/>
        <v>9</v>
      </c>
      <c r="X37" s="1004" t="str">
        <f t="shared" si="6"/>
        <v> </v>
      </c>
      <c r="Y37" s="1004">
        <f t="shared" si="7"/>
        <v>2517</v>
      </c>
      <c r="Z37" s="1004">
        <f t="shared" si="8"/>
        <v>0</v>
      </c>
      <c r="AC37" s="1007"/>
    </row>
    <row r="38" spans="1:29" ht="12.75">
      <c r="A38" s="835">
        <v>31</v>
      </c>
      <c r="B38" s="994" t="s">
        <v>665</v>
      </c>
      <c r="C38" s="995">
        <f>'[1]4-MFP_&amp;_Other_Funded'!BU43</f>
        <v>0</v>
      </c>
      <c r="D38" s="995">
        <f>'[1]4-MFP_&amp;_Other_Funded'!BW43</f>
        <v>59</v>
      </c>
      <c r="E38" s="995">
        <f>'[1]4-MFP_&amp;_Other_Funded'!CA43</f>
        <v>553</v>
      </c>
      <c r="F38" s="995">
        <f>'[1]4-MFP_&amp;_Other_Funded'!CC43</f>
        <v>532</v>
      </c>
      <c r="G38" s="995">
        <f>'[1]4-MFP_&amp;_Other_Funded'!CE43</f>
        <v>499</v>
      </c>
      <c r="H38" s="995">
        <f>'[1]4-MFP_&amp;_Other_Funded'!CG43</f>
        <v>501</v>
      </c>
      <c r="I38" s="995">
        <f>'[1]4-MFP_&amp;_Other_Funded'!CI43</f>
        <v>573</v>
      </c>
      <c r="J38" s="995">
        <f>'[1]4-MFP_&amp;_Other_Funded'!CK43</f>
        <v>487</v>
      </c>
      <c r="K38" s="995">
        <f>'[1]4-MFP_&amp;_Other_Funded'!CM43</f>
        <v>512</v>
      </c>
      <c r="L38" s="995">
        <f>'[1]4-MFP_&amp;_Other_Funded'!CO43</f>
        <v>530</v>
      </c>
      <c r="M38" s="995">
        <f>'[1]4-MFP_&amp;_Other_Funded'!CQ43</f>
        <v>537</v>
      </c>
      <c r="N38" s="995">
        <f>'[1]4-MFP_&amp;_Other_Funded'!CS43</f>
        <v>576</v>
      </c>
      <c r="O38" s="995">
        <f>'[1]4-MFP_&amp;_Other_Funded'!CU43</f>
        <v>388</v>
      </c>
      <c r="P38" s="995">
        <f>'[1]4-MFP_&amp;_Other_Funded'!CW43</f>
        <v>450</v>
      </c>
      <c r="Q38" s="995">
        <f>'[1]4-MFP_&amp;_Other_Funded'!CY43</f>
        <v>412</v>
      </c>
      <c r="R38" s="996">
        <f t="shared" si="2"/>
        <v>6609</v>
      </c>
      <c r="S38" s="997"/>
      <c r="T38" s="998">
        <v>6546</v>
      </c>
      <c r="U38" s="998">
        <f t="shared" si="3"/>
        <v>63</v>
      </c>
      <c r="V38" s="999">
        <f t="shared" si="4"/>
        <v>0.0096</v>
      </c>
      <c r="W38" s="998">
        <f t="shared" si="5"/>
        <v>63</v>
      </c>
      <c r="X38" s="998" t="str">
        <f t="shared" si="6"/>
        <v> </v>
      </c>
      <c r="Y38" s="998">
        <f t="shared" si="7"/>
        <v>6609</v>
      </c>
      <c r="Z38" s="998">
        <f t="shared" si="8"/>
        <v>0</v>
      </c>
      <c r="AC38" s="1007"/>
    </row>
    <row r="39" spans="1:29" ht="12.75">
      <c r="A39" s="835">
        <v>32</v>
      </c>
      <c r="B39" s="994" t="s">
        <v>666</v>
      </c>
      <c r="C39" s="995">
        <f>'[1]4-MFP_&amp;_Other_Funded'!BU44</f>
        <v>0</v>
      </c>
      <c r="D39" s="995">
        <f>'[1]4-MFP_&amp;_Other_Funded'!BW44</f>
        <v>244</v>
      </c>
      <c r="E39" s="995">
        <f>'[1]4-MFP_&amp;_Other_Funded'!CA44</f>
        <v>1926</v>
      </c>
      <c r="F39" s="995">
        <f>'[1]4-MFP_&amp;_Other_Funded'!CC44</f>
        <v>2050</v>
      </c>
      <c r="G39" s="995">
        <f>'[1]4-MFP_&amp;_Other_Funded'!CE44</f>
        <v>1785</v>
      </c>
      <c r="H39" s="995">
        <f>'[1]4-MFP_&amp;_Other_Funded'!CG44</f>
        <v>1685</v>
      </c>
      <c r="I39" s="995">
        <f>'[1]4-MFP_&amp;_Other_Funded'!CI44</f>
        <v>1877</v>
      </c>
      <c r="J39" s="995">
        <f>'[1]4-MFP_&amp;_Other_Funded'!CK44</f>
        <v>1675</v>
      </c>
      <c r="K39" s="995">
        <f>'[1]4-MFP_&amp;_Other_Funded'!CM44</f>
        <v>1824</v>
      </c>
      <c r="L39" s="995">
        <f>'[1]4-MFP_&amp;_Other_Funded'!CO44</f>
        <v>1893</v>
      </c>
      <c r="M39" s="995">
        <f>'[1]4-MFP_&amp;_Other_Funded'!CQ44</f>
        <v>1846</v>
      </c>
      <c r="N39" s="995">
        <f>'[1]4-MFP_&amp;_Other_Funded'!CS44</f>
        <v>1608</v>
      </c>
      <c r="O39" s="995">
        <f>'[1]4-MFP_&amp;_Other_Funded'!CU44</f>
        <v>1455</v>
      </c>
      <c r="P39" s="995">
        <f>'[1]4-MFP_&amp;_Other_Funded'!CW44</f>
        <v>1251</v>
      </c>
      <c r="Q39" s="995">
        <f>'[1]4-MFP_&amp;_Other_Funded'!CY44</f>
        <v>1101</v>
      </c>
      <c r="R39" s="996">
        <f t="shared" si="2"/>
        <v>22220</v>
      </c>
      <c r="S39" s="997"/>
      <c r="T39" s="998">
        <v>21431</v>
      </c>
      <c r="U39" s="998">
        <f t="shared" si="3"/>
        <v>789</v>
      </c>
      <c r="V39" s="999">
        <f t="shared" si="4"/>
        <v>0.0368</v>
      </c>
      <c r="W39" s="998">
        <f t="shared" si="5"/>
        <v>789</v>
      </c>
      <c r="X39" s="998" t="str">
        <f t="shared" si="6"/>
        <v> </v>
      </c>
      <c r="Y39" s="998">
        <f t="shared" si="7"/>
        <v>22220</v>
      </c>
      <c r="Z39" s="998">
        <f t="shared" si="8"/>
        <v>0</v>
      </c>
      <c r="AC39" s="1007"/>
    </row>
    <row r="40" spans="1:29" ht="12.75">
      <c r="A40" s="835">
        <v>33</v>
      </c>
      <c r="B40" s="994" t="s">
        <v>667</v>
      </c>
      <c r="C40" s="995">
        <f>'[1]4-MFP_&amp;_Other_Funded'!BU45</f>
        <v>0</v>
      </c>
      <c r="D40" s="995">
        <f>'[1]4-MFP_&amp;_Other_Funded'!BW45</f>
        <v>3</v>
      </c>
      <c r="E40" s="995">
        <f>'[1]4-MFP_&amp;_Other_Funded'!CA45</f>
        <v>191</v>
      </c>
      <c r="F40" s="995">
        <f>'[1]4-MFP_&amp;_Other_Funded'!CC45</f>
        <v>182</v>
      </c>
      <c r="G40" s="995">
        <f>'[1]4-MFP_&amp;_Other_Funded'!CE45</f>
        <v>165</v>
      </c>
      <c r="H40" s="995">
        <f>'[1]4-MFP_&amp;_Other_Funded'!CG45</f>
        <v>183</v>
      </c>
      <c r="I40" s="995">
        <f>'[1]4-MFP_&amp;_Other_Funded'!CI45</f>
        <v>184</v>
      </c>
      <c r="J40" s="995">
        <f>'[1]4-MFP_&amp;_Other_Funded'!CK45</f>
        <v>160</v>
      </c>
      <c r="K40" s="995">
        <f>'[1]4-MFP_&amp;_Other_Funded'!CM45</f>
        <v>221</v>
      </c>
      <c r="L40" s="995">
        <f>'[1]4-MFP_&amp;_Other_Funded'!CO45</f>
        <v>213</v>
      </c>
      <c r="M40" s="995">
        <f>'[1]4-MFP_&amp;_Other_Funded'!CQ45</f>
        <v>243</v>
      </c>
      <c r="N40" s="995">
        <f>'[1]4-MFP_&amp;_Other_Funded'!CS45</f>
        <v>128</v>
      </c>
      <c r="O40" s="995">
        <f>'[1]4-MFP_&amp;_Other_Funded'!CU45</f>
        <v>106</v>
      </c>
      <c r="P40" s="995">
        <f>'[1]4-MFP_&amp;_Other_Funded'!CW45</f>
        <v>105</v>
      </c>
      <c r="Q40" s="995">
        <f>'[1]4-MFP_&amp;_Other_Funded'!CY45</f>
        <v>80</v>
      </c>
      <c r="R40" s="996">
        <f aca="true" t="shared" si="9" ref="R40:R71">SUM(C40:Q40)</f>
        <v>2164</v>
      </c>
      <c r="S40" s="997"/>
      <c r="T40" s="998">
        <v>2180</v>
      </c>
      <c r="U40" s="998">
        <f aca="true" t="shared" si="10" ref="U40:U71">+R40-T40</f>
        <v>-16</v>
      </c>
      <c r="V40" s="999">
        <f aca="true" t="shared" si="11" ref="V40:V71">ROUND(U40/T40,4)</f>
        <v>-0.0073</v>
      </c>
      <c r="W40" s="998" t="str">
        <f aca="true" t="shared" si="12" ref="W40:W75">IF(U40&gt;0,U40," ")</f>
        <v> </v>
      </c>
      <c r="X40" s="998">
        <f aca="true" t="shared" si="13" ref="X40:X75">IF(U40&lt;0,U40," ")</f>
        <v>-16</v>
      </c>
      <c r="Y40" s="998">
        <f aca="true" t="shared" si="14" ref="Y40:Y75">IF(V40&gt;-10%,R40,IF(V40&lt;-70%,IF(ROUND(T40*0.35,0)&lt;3000,3000,ROUND(T40*0.35,0)),IF(V40&gt;-30%,ROUND(T40*0.9,0),ROUND(T40*0.75,0))))</f>
        <v>2164</v>
      </c>
      <c r="Z40" s="998">
        <f aca="true" t="shared" si="15" ref="Z40:Z71">Y40-R40</f>
        <v>0</v>
      </c>
      <c r="AC40" s="1007"/>
    </row>
    <row r="41" spans="1:29" ht="12.75">
      <c r="A41" s="835">
        <v>34</v>
      </c>
      <c r="B41" s="994" t="s">
        <v>668</v>
      </c>
      <c r="C41" s="995">
        <f>'[1]4-MFP_&amp;_Other_Funded'!BU46</f>
        <v>0</v>
      </c>
      <c r="D41" s="995">
        <f>'[1]4-MFP_&amp;_Other_Funded'!BW46</f>
        <v>101</v>
      </c>
      <c r="E41" s="995">
        <f>'[1]4-MFP_&amp;_Other_Funded'!CA46</f>
        <v>461</v>
      </c>
      <c r="F41" s="995">
        <f>'[1]4-MFP_&amp;_Other_Funded'!CC46</f>
        <v>466</v>
      </c>
      <c r="G41" s="995">
        <f>'[1]4-MFP_&amp;_Other_Funded'!CE46</f>
        <v>423</v>
      </c>
      <c r="H41" s="995">
        <f>'[1]4-MFP_&amp;_Other_Funded'!CG46</f>
        <v>437</v>
      </c>
      <c r="I41" s="995">
        <f>'[1]4-MFP_&amp;_Other_Funded'!CI46</f>
        <v>417</v>
      </c>
      <c r="J41" s="995">
        <f>'[1]4-MFP_&amp;_Other_Funded'!CK46</f>
        <v>400</v>
      </c>
      <c r="K41" s="995">
        <f>'[1]4-MFP_&amp;_Other_Funded'!CM46</f>
        <v>301</v>
      </c>
      <c r="L41" s="995">
        <f>'[1]4-MFP_&amp;_Other_Funded'!CO46</f>
        <v>434</v>
      </c>
      <c r="M41" s="995">
        <f>'[1]4-MFP_&amp;_Other_Funded'!CQ46</f>
        <v>332</v>
      </c>
      <c r="N41" s="995">
        <f>'[1]4-MFP_&amp;_Other_Funded'!CS46</f>
        <v>414</v>
      </c>
      <c r="O41" s="995">
        <f>'[1]4-MFP_&amp;_Other_Funded'!CU46</f>
        <v>242</v>
      </c>
      <c r="P41" s="995">
        <f>'[1]4-MFP_&amp;_Other_Funded'!CW46</f>
        <v>201</v>
      </c>
      <c r="Q41" s="995">
        <f>'[1]4-MFP_&amp;_Other_Funded'!CY46</f>
        <v>239</v>
      </c>
      <c r="R41" s="996">
        <f t="shared" si="9"/>
        <v>4868</v>
      </c>
      <c r="S41" s="997"/>
      <c r="T41" s="998">
        <v>5030</v>
      </c>
      <c r="U41" s="998">
        <f t="shared" si="10"/>
        <v>-162</v>
      </c>
      <c r="V41" s="999">
        <f t="shared" si="11"/>
        <v>-0.0322</v>
      </c>
      <c r="W41" s="998" t="str">
        <f t="shared" si="12"/>
        <v> </v>
      </c>
      <c r="X41" s="998">
        <f t="shared" si="13"/>
        <v>-162</v>
      </c>
      <c r="Y41" s="998">
        <f t="shared" si="14"/>
        <v>4868</v>
      </c>
      <c r="Z41" s="998">
        <f t="shared" si="15"/>
        <v>0</v>
      </c>
      <c r="AC41" s="1007"/>
    </row>
    <row r="42" spans="1:29" ht="12.75">
      <c r="A42" s="838">
        <v>35</v>
      </c>
      <c r="B42" s="1000" t="s">
        <v>669</v>
      </c>
      <c r="C42" s="1001">
        <f>'[1]4-MFP_&amp;_Other_Funded'!BU47</f>
        <v>27</v>
      </c>
      <c r="D42" s="1001">
        <f>'[1]4-MFP_&amp;_Other_Funded'!BW47</f>
        <v>96</v>
      </c>
      <c r="E42" s="1001">
        <f>'[1]4-MFP_&amp;_Other_Funded'!CA47</f>
        <v>610</v>
      </c>
      <c r="F42" s="1001">
        <f>'[1]4-MFP_&amp;_Other_Funded'!CC47</f>
        <v>548</v>
      </c>
      <c r="G42" s="1001">
        <f>'[1]4-MFP_&amp;_Other_Funded'!CE47</f>
        <v>535</v>
      </c>
      <c r="H42" s="1001">
        <f>'[1]4-MFP_&amp;_Other_Funded'!CG47</f>
        <v>537</v>
      </c>
      <c r="I42" s="1001">
        <f>'[1]4-MFP_&amp;_Other_Funded'!CI47</f>
        <v>607</v>
      </c>
      <c r="J42" s="1001">
        <f>'[1]4-MFP_&amp;_Other_Funded'!CK47</f>
        <v>457</v>
      </c>
      <c r="K42" s="1001">
        <f>'[1]4-MFP_&amp;_Other_Funded'!CM47</f>
        <v>465</v>
      </c>
      <c r="L42" s="1001">
        <f>'[1]4-MFP_&amp;_Other_Funded'!CO47</f>
        <v>517</v>
      </c>
      <c r="M42" s="1001">
        <f>'[1]4-MFP_&amp;_Other_Funded'!CQ47</f>
        <v>508</v>
      </c>
      <c r="N42" s="1001">
        <f>'[1]4-MFP_&amp;_Other_Funded'!CS47</f>
        <v>531</v>
      </c>
      <c r="O42" s="1001">
        <f>'[1]4-MFP_&amp;_Other_Funded'!CU47</f>
        <v>425</v>
      </c>
      <c r="P42" s="1001">
        <f>'[1]4-MFP_&amp;_Other_Funded'!CW47</f>
        <v>331</v>
      </c>
      <c r="Q42" s="1001">
        <f>'[1]4-MFP_&amp;_Other_Funded'!CY47</f>
        <v>350</v>
      </c>
      <c r="R42" s="1002">
        <f t="shared" si="9"/>
        <v>6544</v>
      </c>
      <c r="S42" s="1003"/>
      <c r="T42" s="1004">
        <v>6539</v>
      </c>
      <c r="U42" s="1004">
        <f t="shared" si="10"/>
        <v>5</v>
      </c>
      <c r="V42" s="1005">
        <f t="shared" si="11"/>
        <v>0.0008</v>
      </c>
      <c r="W42" s="1004">
        <f t="shared" si="12"/>
        <v>5</v>
      </c>
      <c r="X42" s="1004" t="str">
        <f t="shared" si="13"/>
        <v> </v>
      </c>
      <c r="Y42" s="1004">
        <f t="shared" si="14"/>
        <v>6544</v>
      </c>
      <c r="Z42" s="1004">
        <f t="shared" si="15"/>
        <v>0</v>
      </c>
      <c r="AC42" s="1007"/>
    </row>
    <row r="43" spans="1:29" ht="12.75">
      <c r="A43" s="835">
        <v>36</v>
      </c>
      <c r="B43" s="1008" t="s">
        <v>670</v>
      </c>
      <c r="C43" s="995">
        <f>'[1]4-MFP_&amp;_Other_Funded'!BU48</f>
        <v>0</v>
      </c>
      <c r="D43" s="995">
        <f>'[1]4-MFP_&amp;_Other_Funded'!BW48</f>
        <v>61</v>
      </c>
      <c r="E43" s="1009">
        <f>'[1]4-MFP_&amp;_Other_Funded'!CA48</f>
        <v>538</v>
      </c>
      <c r="F43" s="1009">
        <f>'[1]4-MFP_&amp;_Other_Funded'!CC48</f>
        <v>595</v>
      </c>
      <c r="G43" s="1009">
        <f>'[1]4-MFP_&amp;_Other_Funded'!CE48</f>
        <v>558</v>
      </c>
      <c r="H43" s="1009">
        <f>'[1]4-MFP_&amp;_Other_Funded'!CG48</f>
        <v>535</v>
      </c>
      <c r="I43" s="995">
        <f>'[1]4-MFP_&amp;_Other_Funded'!CI48</f>
        <v>521</v>
      </c>
      <c r="J43" s="995">
        <f>'[1]4-MFP_&amp;_Other_Funded'!CK48</f>
        <v>563</v>
      </c>
      <c r="K43" s="995">
        <f>'[1]4-MFP_&amp;_Other_Funded'!CM48</f>
        <v>522</v>
      </c>
      <c r="L43" s="1009">
        <f>'[1]4-MFP_&amp;_Other_Funded'!CO48</f>
        <v>573</v>
      </c>
      <c r="M43" s="1009">
        <f>'[1]4-MFP_&amp;_Other_Funded'!CQ48</f>
        <v>706</v>
      </c>
      <c r="N43" s="995">
        <f>'[1]4-MFP_&amp;_Other_Funded'!CS48</f>
        <v>1036</v>
      </c>
      <c r="O43" s="995">
        <f>'[1]4-MFP_&amp;_Other_Funded'!CU48</f>
        <v>997</v>
      </c>
      <c r="P43" s="995">
        <f>'[1]4-MFP_&amp;_Other_Funded'!CW48</f>
        <v>935</v>
      </c>
      <c r="Q43" s="995">
        <f>'[1]4-MFP_&amp;_Other_Funded'!CY48</f>
        <v>888</v>
      </c>
      <c r="R43" s="1010">
        <f t="shared" si="9"/>
        <v>9028</v>
      </c>
      <c r="S43" s="997"/>
      <c r="T43" s="1011">
        <v>62529</v>
      </c>
      <c r="U43" s="998">
        <f t="shared" si="10"/>
        <v>-53501</v>
      </c>
      <c r="V43" s="999">
        <f t="shared" si="11"/>
        <v>-0.8556</v>
      </c>
      <c r="W43" s="998" t="str">
        <f t="shared" si="12"/>
        <v> </v>
      </c>
      <c r="X43" s="998">
        <f t="shared" si="13"/>
        <v>-53501</v>
      </c>
      <c r="Y43" s="998">
        <f t="shared" si="14"/>
        <v>21885</v>
      </c>
      <c r="Z43" s="998">
        <f t="shared" si="15"/>
        <v>12857</v>
      </c>
      <c r="AA43" s="1006">
        <f>ROUND(Y43/T43,2)</f>
        <v>0.35</v>
      </c>
      <c r="AB43" s="1007">
        <v>13965</v>
      </c>
      <c r="AC43" s="1007"/>
    </row>
    <row r="44" spans="1:29" ht="12.75">
      <c r="A44" s="835">
        <v>37</v>
      </c>
      <c r="B44" s="994" t="s">
        <v>671</v>
      </c>
      <c r="C44" s="995">
        <f>'[1]4-MFP_&amp;_Other_Funded'!BU49</f>
        <v>34</v>
      </c>
      <c r="D44" s="995">
        <f>'[1]4-MFP_&amp;_Other_Funded'!BW49</f>
        <v>172</v>
      </c>
      <c r="E44" s="995">
        <f>'[1]4-MFP_&amp;_Other_Funded'!CA49</f>
        <v>1512</v>
      </c>
      <c r="F44" s="995">
        <f>'[1]4-MFP_&amp;_Other_Funded'!CC49</f>
        <v>1580</v>
      </c>
      <c r="G44" s="995">
        <f>'[1]4-MFP_&amp;_Other_Funded'!CE49</f>
        <v>1431</v>
      </c>
      <c r="H44" s="995">
        <f>'[1]4-MFP_&amp;_Other_Funded'!CG49</f>
        <v>1451</v>
      </c>
      <c r="I44" s="995">
        <f>'[1]4-MFP_&amp;_Other_Funded'!CI49</f>
        <v>1395</v>
      </c>
      <c r="J44" s="995">
        <f>'[1]4-MFP_&amp;_Other_Funded'!CK49</f>
        <v>1293</v>
      </c>
      <c r="K44" s="995">
        <f>'[1]4-MFP_&amp;_Other_Funded'!CM49</f>
        <v>1372</v>
      </c>
      <c r="L44" s="995">
        <f>'[1]4-MFP_&amp;_Other_Funded'!CO49</f>
        <v>1511</v>
      </c>
      <c r="M44" s="995">
        <f>'[1]4-MFP_&amp;_Other_Funded'!CQ49</f>
        <v>1399</v>
      </c>
      <c r="N44" s="995">
        <f>'[1]4-MFP_&amp;_Other_Funded'!CS49</f>
        <v>1651</v>
      </c>
      <c r="O44" s="995">
        <f>'[1]4-MFP_&amp;_Other_Funded'!CU49</f>
        <v>1245</v>
      </c>
      <c r="P44" s="995">
        <f>'[1]4-MFP_&amp;_Other_Funded'!CW49</f>
        <v>966</v>
      </c>
      <c r="Q44" s="995">
        <f>'[1]4-MFP_&amp;_Other_Funded'!CY49</f>
        <v>1001</v>
      </c>
      <c r="R44" s="996">
        <f t="shared" si="9"/>
        <v>18013</v>
      </c>
      <c r="S44" s="997"/>
      <c r="T44" s="998">
        <v>18067</v>
      </c>
      <c r="U44" s="998">
        <f t="shared" si="10"/>
        <v>-54</v>
      </c>
      <c r="V44" s="999">
        <f t="shared" si="11"/>
        <v>-0.003</v>
      </c>
      <c r="W44" s="998" t="str">
        <f t="shared" si="12"/>
        <v> </v>
      </c>
      <c r="X44" s="998">
        <f t="shared" si="13"/>
        <v>-54</v>
      </c>
      <c r="Y44" s="998">
        <f t="shared" si="14"/>
        <v>18013</v>
      </c>
      <c r="Z44" s="998">
        <f t="shared" si="15"/>
        <v>0</v>
      </c>
      <c r="AC44" s="1007"/>
    </row>
    <row r="45" spans="1:29" ht="12.75">
      <c r="A45" s="835">
        <v>38</v>
      </c>
      <c r="B45" s="994" t="s">
        <v>672</v>
      </c>
      <c r="C45" s="995">
        <f>'[1]4-MFP_&amp;_Other_Funded'!BU50</f>
        <v>0</v>
      </c>
      <c r="D45" s="995">
        <f>'[1]4-MFP_&amp;_Other_Funded'!BW50</f>
        <v>8</v>
      </c>
      <c r="E45" s="995">
        <f>'[1]4-MFP_&amp;_Other_Funded'!CA50</f>
        <v>236</v>
      </c>
      <c r="F45" s="995">
        <f>'[1]4-MFP_&amp;_Other_Funded'!CC50</f>
        <v>226</v>
      </c>
      <c r="G45" s="995">
        <f>'[1]4-MFP_&amp;_Other_Funded'!CE50</f>
        <v>207</v>
      </c>
      <c r="H45" s="995">
        <f>'[1]4-MFP_&amp;_Other_Funded'!CG50</f>
        <v>212</v>
      </c>
      <c r="I45" s="995">
        <f>'[1]4-MFP_&amp;_Other_Funded'!CI50</f>
        <v>209</v>
      </c>
      <c r="J45" s="995">
        <f>'[1]4-MFP_&amp;_Other_Funded'!CK50</f>
        <v>224</v>
      </c>
      <c r="K45" s="995">
        <f>'[1]4-MFP_&amp;_Other_Funded'!CM50</f>
        <v>218</v>
      </c>
      <c r="L45" s="995">
        <f>'[1]4-MFP_&amp;_Other_Funded'!CO50</f>
        <v>253</v>
      </c>
      <c r="M45" s="995">
        <f>'[1]4-MFP_&amp;_Other_Funded'!CQ50</f>
        <v>228</v>
      </c>
      <c r="N45" s="995">
        <f>'[1]4-MFP_&amp;_Other_Funded'!CS50</f>
        <v>291</v>
      </c>
      <c r="O45" s="995">
        <f>'[1]4-MFP_&amp;_Other_Funded'!CU50</f>
        <v>245</v>
      </c>
      <c r="P45" s="995">
        <f>'[1]4-MFP_&amp;_Other_Funded'!CW50</f>
        <v>229</v>
      </c>
      <c r="Q45" s="995">
        <f>'[1]4-MFP_&amp;_Other_Funded'!CY50</f>
        <v>209</v>
      </c>
      <c r="R45" s="996">
        <f t="shared" si="9"/>
        <v>2995</v>
      </c>
      <c r="S45" s="997"/>
      <c r="T45" s="998">
        <v>4798</v>
      </c>
      <c r="U45" s="998">
        <f t="shared" si="10"/>
        <v>-1803</v>
      </c>
      <c r="V45" s="999">
        <f t="shared" si="11"/>
        <v>-0.3758</v>
      </c>
      <c r="W45" s="998" t="str">
        <f t="shared" si="12"/>
        <v> </v>
      </c>
      <c r="X45" s="998">
        <f t="shared" si="13"/>
        <v>-1803</v>
      </c>
      <c r="Y45" s="998">
        <f t="shared" si="14"/>
        <v>3599</v>
      </c>
      <c r="Z45" s="998">
        <f t="shared" si="15"/>
        <v>604</v>
      </c>
      <c r="AA45" s="1006">
        <f>ROUND(Y45/T45,2)</f>
        <v>0.75</v>
      </c>
      <c r="AB45" s="1007">
        <v>721</v>
      </c>
      <c r="AC45" s="1007"/>
    </row>
    <row r="46" spans="1:29" ht="12.75">
      <c r="A46" s="835">
        <v>39</v>
      </c>
      <c r="B46" s="994" t="s">
        <v>673</v>
      </c>
      <c r="C46" s="995">
        <f>'[1]4-MFP_&amp;_Other_Funded'!BU51</f>
        <v>0</v>
      </c>
      <c r="D46" s="995">
        <f>'[1]4-MFP_&amp;_Other_Funded'!BW51</f>
        <v>30</v>
      </c>
      <c r="E46" s="995">
        <f>'[1]4-MFP_&amp;_Other_Funded'!CA51</f>
        <v>263</v>
      </c>
      <c r="F46" s="995">
        <f>'[1]4-MFP_&amp;_Other_Funded'!CC51</f>
        <v>254</v>
      </c>
      <c r="G46" s="995">
        <f>'[1]4-MFP_&amp;_Other_Funded'!CE51</f>
        <v>243</v>
      </c>
      <c r="H46" s="995">
        <f>'[1]4-MFP_&amp;_Other_Funded'!CG51</f>
        <v>223</v>
      </c>
      <c r="I46" s="995">
        <f>'[1]4-MFP_&amp;_Other_Funded'!CI51</f>
        <v>269</v>
      </c>
      <c r="J46" s="995">
        <f>'[1]4-MFP_&amp;_Other_Funded'!CK51</f>
        <v>249</v>
      </c>
      <c r="K46" s="995">
        <f>'[1]4-MFP_&amp;_Other_Funded'!CM51</f>
        <v>196</v>
      </c>
      <c r="L46" s="995">
        <f>'[1]4-MFP_&amp;_Other_Funded'!CO51</f>
        <v>257</v>
      </c>
      <c r="M46" s="995">
        <f>'[1]4-MFP_&amp;_Other_Funded'!CQ51</f>
        <v>283</v>
      </c>
      <c r="N46" s="995">
        <f>'[1]4-MFP_&amp;_Other_Funded'!CS51</f>
        <v>204</v>
      </c>
      <c r="O46" s="995">
        <f>'[1]4-MFP_&amp;_Other_Funded'!CU51</f>
        <v>132</v>
      </c>
      <c r="P46" s="995">
        <f>'[1]4-MFP_&amp;_Other_Funded'!CW51</f>
        <v>151</v>
      </c>
      <c r="Q46" s="995">
        <f>'[1]4-MFP_&amp;_Other_Funded'!CY51</f>
        <v>145</v>
      </c>
      <c r="R46" s="996">
        <f t="shared" si="9"/>
        <v>2899</v>
      </c>
      <c r="S46" s="997"/>
      <c r="T46" s="998">
        <v>2970</v>
      </c>
      <c r="U46" s="998">
        <f t="shared" si="10"/>
        <v>-71</v>
      </c>
      <c r="V46" s="999">
        <f t="shared" si="11"/>
        <v>-0.0239</v>
      </c>
      <c r="W46" s="998" t="str">
        <f t="shared" si="12"/>
        <v> </v>
      </c>
      <c r="X46" s="998">
        <f t="shared" si="13"/>
        <v>-71</v>
      </c>
      <c r="Y46" s="998">
        <f t="shared" si="14"/>
        <v>2899</v>
      </c>
      <c r="Z46" s="998">
        <f t="shared" si="15"/>
        <v>0</v>
      </c>
      <c r="AC46" s="1007"/>
    </row>
    <row r="47" spans="1:29" ht="12.75">
      <c r="A47" s="838">
        <v>40</v>
      </c>
      <c r="B47" s="1000" t="s">
        <v>674</v>
      </c>
      <c r="C47" s="1001">
        <f>'[1]4-MFP_&amp;_Other_Funded'!BU52</f>
        <v>70</v>
      </c>
      <c r="D47" s="1001">
        <f>'[1]4-MFP_&amp;_Other_Funded'!BW52</f>
        <v>273</v>
      </c>
      <c r="E47" s="1001">
        <f>'[1]4-MFP_&amp;_Other_Funded'!CA52</f>
        <v>2057</v>
      </c>
      <c r="F47" s="1001">
        <f>'[1]4-MFP_&amp;_Other_Funded'!CC52</f>
        <v>2003</v>
      </c>
      <c r="G47" s="1001">
        <f>'[1]4-MFP_&amp;_Other_Funded'!CE52</f>
        <v>1762</v>
      </c>
      <c r="H47" s="1001">
        <f>'[1]4-MFP_&amp;_Other_Funded'!CG52</f>
        <v>1734</v>
      </c>
      <c r="I47" s="1001">
        <f>'[1]4-MFP_&amp;_Other_Funded'!CI52</f>
        <v>1900</v>
      </c>
      <c r="J47" s="1001">
        <f>'[1]4-MFP_&amp;_Other_Funded'!CK52</f>
        <v>1736</v>
      </c>
      <c r="K47" s="1001">
        <f>'[1]4-MFP_&amp;_Other_Funded'!CM52</f>
        <v>1594</v>
      </c>
      <c r="L47" s="1001">
        <f>'[1]4-MFP_&amp;_Other_Funded'!CO52</f>
        <v>1728</v>
      </c>
      <c r="M47" s="1001">
        <f>'[1]4-MFP_&amp;_Other_Funded'!CQ52</f>
        <v>1710</v>
      </c>
      <c r="N47" s="1001">
        <f>'[1]4-MFP_&amp;_Other_Funded'!CS52</f>
        <v>1892</v>
      </c>
      <c r="O47" s="1001">
        <f>'[1]4-MFP_&amp;_Other_Funded'!CU52</f>
        <v>1478</v>
      </c>
      <c r="P47" s="1001">
        <f>'[1]4-MFP_&amp;_Other_Funded'!CW52</f>
        <v>1296</v>
      </c>
      <c r="Q47" s="1001">
        <f>'[1]4-MFP_&amp;_Other_Funded'!CY52</f>
        <v>1394</v>
      </c>
      <c r="R47" s="1002">
        <f t="shared" si="9"/>
        <v>22627</v>
      </c>
      <c r="S47" s="1003"/>
      <c r="T47" s="1004">
        <v>22221</v>
      </c>
      <c r="U47" s="1004">
        <f t="shared" si="10"/>
        <v>406</v>
      </c>
      <c r="V47" s="1005">
        <f t="shared" si="11"/>
        <v>0.0183</v>
      </c>
      <c r="W47" s="1004">
        <f t="shared" si="12"/>
        <v>406</v>
      </c>
      <c r="X47" s="1004" t="str">
        <f t="shared" si="13"/>
        <v> </v>
      </c>
      <c r="Y47" s="1004">
        <f t="shared" si="14"/>
        <v>22627</v>
      </c>
      <c r="Z47" s="1004">
        <f t="shared" si="15"/>
        <v>0</v>
      </c>
      <c r="AC47" s="1007"/>
    </row>
    <row r="48" spans="1:29" ht="12.75">
      <c r="A48" s="835">
        <v>41</v>
      </c>
      <c r="B48" s="994" t="s">
        <v>675</v>
      </c>
      <c r="C48" s="995">
        <f>'[1]4-MFP_&amp;_Other_Funded'!BU53</f>
        <v>0</v>
      </c>
      <c r="D48" s="995">
        <f>'[1]4-MFP_&amp;_Other_Funded'!BW53</f>
        <v>9</v>
      </c>
      <c r="E48" s="995">
        <f>'[1]4-MFP_&amp;_Other_Funded'!CA53</f>
        <v>128</v>
      </c>
      <c r="F48" s="995">
        <f>'[1]4-MFP_&amp;_Other_Funded'!CC53</f>
        <v>110</v>
      </c>
      <c r="G48" s="995">
        <f>'[1]4-MFP_&amp;_Other_Funded'!CE53</f>
        <v>106</v>
      </c>
      <c r="H48" s="995">
        <f>'[1]4-MFP_&amp;_Other_Funded'!CG53</f>
        <v>104</v>
      </c>
      <c r="I48" s="995">
        <f>'[1]4-MFP_&amp;_Other_Funded'!CI53</f>
        <v>116</v>
      </c>
      <c r="J48" s="995">
        <f>'[1]4-MFP_&amp;_Other_Funded'!CK53</f>
        <v>133</v>
      </c>
      <c r="K48" s="995">
        <f>'[1]4-MFP_&amp;_Other_Funded'!CM53</f>
        <v>99</v>
      </c>
      <c r="L48" s="995">
        <f>'[1]4-MFP_&amp;_Other_Funded'!CO53</f>
        <v>131</v>
      </c>
      <c r="M48" s="995">
        <f>'[1]4-MFP_&amp;_Other_Funded'!CQ53</f>
        <v>168</v>
      </c>
      <c r="N48" s="995">
        <f>'[1]4-MFP_&amp;_Other_Funded'!CS53</f>
        <v>120</v>
      </c>
      <c r="O48" s="995">
        <f>'[1]4-MFP_&amp;_Other_Funded'!CU53</f>
        <v>85</v>
      </c>
      <c r="P48" s="995">
        <f>'[1]4-MFP_&amp;_Other_Funded'!CW53</f>
        <v>69</v>
      </c>
      <c r="Q48" s="995">
        <f>'[1]4-MFP_&amp;_Other_Funded'!CY53</f>
        <v>74</v>
      </c>
      <c r="R48" s="996">
        <f t="shared" si="9"/>
        <v>1452</v>
      </c>
      <c r="S48" s="997"/>
      <c r="T48" s="998">
        <v>1519</v>
      </c>
      <c r="U48" s="998">
        <f t="shared" si="10"/>
        <v>-67</v>
      </c>
      <c r="V48" s="999">
        <f t="shared" si="11"/>
        <v>-0.0441</v>
      </c>
      <c r="W48" s="998" t="str">
        <f t="shared" si="12"/>
        <v> </v>
      </c>
      <c r="X48" s="998">
        <f t="shared" si="13"/>
        <v>-67</v>
      </c>
      <c r="Y48" s="998">
        <f t="shared" si="14"/>
        <v>1452</v>
      </c>
      <c r="Z48" s="998">
        <f t="shared" si="15"/>
        <v>0</v>
      </c>
      <c r="AC48" s="1007"/>
    </row>
    <row r="49" spans="1:29" ht="12.75">
      <c r="A49" s="835">
        <v>42</v>
      </c>
      <c r="B49" s="994" t="s">
        <v>676</v>
      </c>
      <c r="C49" s="995">
        <f>'[1]4-MFP_&amp;_Other_Funded'!BU54</f>
        <v>0</v>
      </c>
      <c r="D49" s="995">
        <f>'[1]4-MFP_&amp;_Other_Funded'!BW54</f>
        <v>25</v>
      </c>
      <c r="E49" s="995">
        <f>'[1]4-MFP_&amp;_Other_Funded'!CA54</f>
        <v>316</v>
      </c>
      <c r="F49" s="995">
        <f>'[1]4-MFP_&amp;_Other_Funded'!CC54</f>
        <v>330</v>
      </c>
      <c r="G49" s="995">
        <f>'[1]4-MFP_&amp;_Other_Funded'!CE54</f>
        <v>263</v>
      </c>
      <c r="H49" s="995">
        <f>'[1]4-MFP_&amp;_Other_Funded'!CG54</f>
        <v>246</v>
      </c>
      <c r="I49" s="995">
        <f>'[1]4-MFP_&amp;_Other_Funded'!CI54</f>
        <v>275</v>
      </c>
      <c r="J49" s="995">
        <f>'[1]4-MFP_&amp;_Other_Funded'!CK54</f>
        <v>247</v>
      </c>
      <c r="K49" s="995">
        <f>'[1]4-MFP_&amp;_Other_Funded'!CM54</f>
        <v>275</v>
      </c>
      <c r="L49" s="995">
        <f>'[1]4-MFP_&amp;_Other_Funded'!CO54</f>
        <v>256</v>
      </c>
      <c r="M49" s="995">
        <f>'[1]4-MFP_&amp;_Other_Funded'!CQ54</f>
        <v>294</v>
      </c>
      <c r="N49" s="995">
        <f>'[1]4-MFP_&amp;_Other_Funded'!CS54</f>
        <v>280</v>
      </c>
      <c r="O49" s="995">
        <f>'[1]4-MFP_&amp;_Other_Funded'!CU54</f>
        <v>185</v>
      </c>
      <c r="P49" s="995">
        <f>'[1]4-MFP_&amp;_Other_Funded'!CW54</f>
        <v>177</v>
      </c>
      <c r="Q49" s="995">
        <f>'[1]4-MFP_&amp;_Other_Funded'!CY54</f>
        <v>158</v>
      </c>
      <c r="R49" s="996">
        <f t="shared" si="9"/>
        <v>3327</v>
      </c>
      <c r="S49" s="997"/>
      <c r="T49" s="998">
        <v>3442</v>
      </c>
      <c r="U49" s="998">
        <f t="shared" si="10"/>
        <v>-115</v>
      </c>
      <c r="V49" s="999">
        <f t="shared" si="11"/>
        <v>-0.0334</v>
      </c>
      <c r="W49" s="998" t="str">
        <f t="shared" si="12"/>
        <v> </v>
      </c>
      <c r="X49" s="998">
        <f t="shared" si="13"/>
        <v>-115</v>
      </c>
      <c r="Y49" s="998">
        <f t="shared" si="14"/>
        <v>3327</v>
      </c>
      <c r="Z49" s="998">
        <f t="shared" si="15"/>
        <v>0</v>
      </c>
      <c r="AC49" s="1007"/>
    </row>
    <row r="50" spans="1:29" ht="12.75">
      <c r="A50" s="835">
        <v>43</v>
      </c>
      <c r="B50" s="994" t="s">
        <v>677</v>
      </c>
      <c r="C50" s="995">
        <f>'[1]4-MFP_&amp;_Other_Funded'!BU55</f>
        <v>1</v>
      </c>
      <c r="D50" s="995">
        <f>'[1]4-MFP_&amp;_Other_Funded'!BW55</f>
        <v>52</v>
      </c>
      <c r="E50" s="995">
        <f>'[1]4-MFP_&amp;_Other_Funded'!CA55</f>
        <v>374</v>
      </c>
      <c r="F50" s="995">
        <f>'[1]4-MFP_&amp;_Other_Funded'!CC55</f>
        <v>305</v>
      </c>
      <c r="G50" s="995">
        <f>'[1]4-MFP_&amp;_Other_Funded'!CE55</f>
        <v>318</v>
      </c>
      <c r="H50" s="995">
        <f>'[1]4-MFP_&amp;_Other_Funded'!CG55</f>
        <v>294</v>
      </c>
      <c r="I50" s="995">
        <f>'[1]4-MFP_&amp;_Other_Funded'!CI55</f>
        <v>320</v>
      </c>
      <c r="J50" s="995">
        <f>'[1]4-MFP_&amp;_Other_Funded'!CK55</f>
        <v>278</v>
      </c>
      <c r="K50" s="995">
        <f>'[1]4-MFP_&amp;_Other_Funded'!CM55</f>
        <v>294</v>
      </c>
      <c r="L50" s="995">
        <f>'[1]4-MFP_&amp;_Other_Funded'!CO55</f>
        <v>314</v>
      </c>
      <c r="M50" s="995">
        <f>'[1]4-MFP_&amp;_Other_Funded'!CQ55</f>
        <v>358</v>
      </c>
      <c r="N50" s="995">
        <f>'[1]4-MFP_&amp;_Other_Funded'!CS55</f>
        <v>328</v>
      </c>
      <c r="O50" s="995">
        <f>'[1]4-MFP_&amp;_Other_Funded'!CU55</f>
        <v>281</v>
      </c>
      <c r="P50" s="995">
        <f>'[1]4-MFP_&amp;_Other_Funded'!CW55</f>
        <v>255</v>
      </c>
      <c r="Q50" s="995">
        <f>'[1]4-MFP_&amp;_Other_Funded'!CY55</f>
        <v>256</v>
      </c>
      <c r="R50" s="996">
        <f t="shared" si="9"/>
        <v>4028</v>
      </c>
      <c r="S50" s="997"/>
      <c r="T50" s="998">
        <v>4021</v>
      </c>
      <c r="U50" s="998">
        <f t="shared" si="10"/>
        <v>7</v>
      </c>
      <c r="V50" s="999">
        <f t="shared" si="11"/>
        <v>0.0017</v>
      </c>
      <c r="W50" s="998">
        <f t="shared" si="12"/>
        <v>7</v>
      </c>
      <c r="X50" s="998" t="str">
        <f t="shared" si="13"/>
        <v> </v>
      </c>
      <c r="Y50" s="998">
        <f t="shared" si="14"/>
        <v>4028</v>
      </c>
      <c r="Z50" s="998">
        <f t="shared" si="15"/>
        <v>0</v>
      </c>
      <c r="AC50" s="1007"/>
    </row>
    <row r="51" spans="1:29" ht="12.75">
      <c r="A51" s="835">
        <v>44</v>
      </c>
      <c r="B51" s="994" t="s">
        <v>678</v>
      </c>
      <c r="C51" s="995">
        <f>'[1]4-MFP_&amp;_Other_Funded'!BU56</f>
        <v>0</v>
      </c>
      <c r="D51" s="995">
        <f>'[1]4-MFP_&amp;_Other_Funded'!BW56</f>
        <v>8</v>
      </c>
      <c r="E51" s="995">
        <f>'[1]4-MFP_&amp;_Other_Funded'!CA56</f>
        <v>143</v>
      </c>
      <c r="F51" s="995">
        <f>'[1]4-MFP_&amp;_Other_Funded'!CC56</f>
        <v>108</v>
      </c>
      <c r="G51" s="995">
        <f>'[1]4-MFP_&amp;_Other_Funded'!CE56</f>
        <v>132</v>
      </c>
      <c r="H51" s="995">
        <f>'[1]4-MFP_&amp;_Other_Funded'!CG56</f>
        <v>169</v>
      </c>
      <c r="I51" s="995">
        <f>'[1]4-MFP_&amp;_Other_Funded'!CI56</f>
        <v>157</v>
      </c>
      <c r="J51" s="995">
        <f>'[1]4-MFP_&amp;_Other_Funded'!CK56</f>
        <v>124</v>
      </c>
      <c r="K51" s="995">
        <f>'[1]4-MFP_&amp;_Other_Funded'!CM56</f>
        <v>170</v>
      </c>
      <c r="L51" s="995">
        <f>'[1]4-MFP_&amp;_Other_Funded'!CO56</f>
        <v>187</v>
      </c>
      <c r="M51" s="995">
        <f>'[1]4-MFP_&amp;_Other_Funded'!CQ56</f>
        <v>180</v>
      </c>
      <c r="N51" s="995">
        <f>'[1]4-MFP_&amp;_Other_Funded'!CS56</f>
        <v>204</v>
      </c>
      <c r="O51" s="995">
        <f>'[1]4-MFP_&amp;_Other_Funded'!CU56</f>
        <v>197</v>
      </c>
      <c r="P51" s="995">
        <f>'[1]4-MFP_&amp;_Other_Funded'!CW56</f>
        <v>159</v>
      </c>
      <c r="Q51" s="995">
        <f>'[1]4-MFP_&amp;_Other_Funded'!CY56</f>
        <v>176</v>
      </c>
      <c r="R51" s="996">
        <f t="shared" si="9"/>
        <v>2114</v>
      </c>
      <c r="S51" s="997"/>
      <c r="T51" s="998">
        <v>8424</v>
      </c>
      <c r="U51" s="998">
        <f t="shared" si="10"/>
        <v>-6310</v>
      </c>
      <c r="V51" s="999">
        <f t="shared" si="11"/>
        <v>-0.7491</v>
      </c>
      <c r="W51" s="998" t="str">
        <f t="shared" si="12"/>
        <v> </v>
      </c>
      <c r="X51" s="998">
        <f t="shared" si="13"/>
        <v>-6310</v>
      </c>
      <c r="Y51" s="998">
        <f t="shared" si="14"/>
        <v>3000</v>
      </c>
      <c r="Z51" s="998">
        <f t="shared" si="15"/>
        <v>886</v>
      </c>
      <c r="AA51" s="1006">
        <v>0.35</v>
      </c>
      <c r="AB51" s="1007">
        <v>1485</v>
      </c>
      <c r="AC51" s="1012" t="s">
        <v>679</v>
      </c>
    </row>
    <row r="52" spans="1:29" ht="12.75">
      <c r="A52" s="838">
        <v>45</v>
      </c>
      <c r="B52" s="1000" t="s">
        <v>680</v>
      </c>
      <c r="C52" s="1001">
        <f>'[1]4-MFP_&amp;_Other_Funded'!BU57</f>
        <v>15</v>
      </c>
      <c r="D52" s="1001">
        <f>'[1]4-MFP_&amp;_Other_Funded'!BW57</f>
        <v>67</v>
      </c>
      <c r="E52" s="1001">
        <f>'[1]4-MFP_&amp;_Other_Funded'!CA57</f>
        <v>737</v>
      </c>
      <c r="F52" s="1001">
        <f>'[1]4-MFP_&amp;_Other_Funded'!CC57</f>
        <v>784</v>
      </c>
      <c r="G52" s="1001">
        <f>'[1]4-MFP_&amp;_Other_Funded'!CE57</f>
        <v>707</v>
      </c>
      <c r="H52" s="1001">
        <f>'[1]4-MFP_&amp;_Other_Funded'!CG57</f>
        <v>709</v>
      </c>
      <c r="I52" s="1001">
        <f>'[1]4-MFP_&amp;_Other_Funded'!CI57</f>
        <v>809</v>
      </c>
      <c r="J52" s="1001">
        <f>'[1]4-MFP_&amp;_Other_Funded'!CK57</f>
        <v>706</v>
      </c>
      <c r="K52" s="1001">
        <f>'[1]4-MFP_&amp;_Other_Funded'!CM57</f>
        <v>726</v>
      </c>
      <c r="L52" s="1001">
        <f>'[1]4-MFP_&amp;_Other_Funded'!CO57</f>
        <v>765</v>
      </c>
      <c r="M52" s="1001">
        <f>'[1]4-MFP_&amp;_Other_Funded'!CQ57</f>
        <v>751</v>
      </c>
      <c r="N52" s="1001">
        <f>'[1]4-MFP_&amp;_Other_Funded'!CS57</f>
        <v>826</v>
      </c>
      <c r="O52" s="1001">
        <f>'[1]4-MFP_&amp;_Other_Funded'!CU57</f>
        <v>724</v>
      </c>
      <c r="P52" s="1001">
        <f>'[1]4-MFP_&amp;_Other_Funded'!CW57</f>
        <v>561</v>
      </c>
      <c r="Q52" s="1001">
        <f>'[1]4-MFP_&amp;_Other_Funded'!CY57</f>
        <v>584</v>
      </c>
      <c r="R52" s="1002">
        <f t="shared" si="9"/>
        <v>9471</v>
      </c>
      <c r="S52" s="1003"/>
      <c r="T52" s="1004">
        <v>9509</v>
      </c>
      <c r="U52" s="1004">
        <f t="shared" si="10"/>
        <v>-38</v>
      </c>
      <c r="V52" s="1005">
        <f t="shared" si="11"/>
        <v>-0.004</v>
      </c>
      <c r="W52" s="1004" t="str">
        <f t="shared" si="12"/>
        <v> </v>
      </c>
      <c r="X52" s="1004">
        <f t="shared" si="13"/>
        <v>-38</v>
      </c>
      <c r="Y52" s="1004">
        <f t="shared" si="14"/>
        <v>9471</v>
      </c>
      <c r="Z52" s="1004">
        <f t="shared" si="15"/>
        <v>0</v>
      </c>
      <c r="AC52" s="1012" t="s">
        <v>681</v>
      </c>
    </row>
    <row r="53" spans="1:29" ht="12.75">
      <c r="A53" s="835">
        <v>46</v>
      </c>
      <c r="B53" s="994" t="s">
        <v>682</v>
      </c>
      <c r="C53" s="995">
        <f>'[1]4-MFP_&amp;_Other_Funded'!BU58</f>
        <v>0</v>
      </c>
      <c r="D53" s="995">
        <f>'[1]4-MFP_&amp;_Other_Funded'!BW58</f>
        <v>71</v>
      </c>
      <c r="E53" s="995">
        <f>'[1]4-MFP_&amp;_Other_Funded'!CA58</f>
        <v>111</v>
      </c>
      <c r="F53" s="995">
        <f>'[1]4-MFP_&amp;_Other_Funded'!CC58</f>
        <v>119</v>
      </c>
      <c r="G53" s="995">
        <f>'[1]4-MFP_&amp;_Other_Funded'!CE58</f>
        <v>99</v>
      </c>
      <c r="H53" s="995">
        <f>'[1]4-MFP_&amp;_Other_Funded'!CG58</f>
        <v>100</v>
      </c>
      <c r="I53" s="995">
        <f>'[1]4-MFP_&amp;_Other_Funded'!CI58</f>
        <v>119</v>
      </c>
      <c r="J53" s="995">
        <f>'[1]4-MFP_&amp;_Other_Funded'!CK58</f>
        <v>101</v>
      </c>
      <c r="K53" s="995">
        <f>'[1]4-MFP_&amp;_Other_Funded'!CM58</f>
        <v>107</v>
      </c>
      <c r="L53" s="995">
        <f>'[1]4-MFP_&amp;_Other_Funded'!CO58</f>
        <v>101</v>
      </c>
      <c r="M53" s="995">
        <f>'[1]4-MFP_&amp;_Other_Funded'!CQ58</f>
        <v>124</v>
      </c>
      <c r="N53" s="995">
        <f>'[1]4-MFP_&amp;_Other_Funded'!CS58</f>
        <v>118</v>
      </c>
      <c r="O53" s="995">
        <f>'[1]4-MFP_&amp;_Other_Funded'!CU58</f>
        <v>97</v>
      </c>
      <c r="P53" s="995">
        <f>'[1]4-MFP_&amp;_Other_Funded'!CW58</f>
        <v>79</v>
      </c>
      <c r="Q53" s="995">
        <f>'[1]4-MFP_&amp;_Other_Funded'!CY58</f>
        <v>92</v>
      </c>
      <c r="R53" s="996">
        <f t="shared" si="9"/>
        <v>1438</v>
      </c>
      <c r="S53" s="997"/>
      <c r="T53" s="998">
        <v>1299</v>
      </c>
      <c r="U53" s="998">
        <f t="shared" si="10"/>
        <v>139</v>
      </c>
      <c r="V53" s="999">
        <f t="shared" si="11"/>
        <v>0.107</v>
      </c>
      <c r="W53" s="998">
        <f t="shared" si="12"/>
        <v>139</v>
      </c>
      <c r="X53" s="998" t="str">
        <f t="shared" si="13"/>
        <v> </v>
      </c>
      <c r="Y53" s="998">
        <f t="shared" si="14"/>
        <v>1438</v>
      </c>
      <c r="Z53" s="998">
        <f t="shared" si="15"/>
        <v>0</v>
      </c>
      <c r="AC53" s="1007"/>
    </row>
    <row r="54" spans="1:29" ht="12.75">
      <c r="A54" s="835">
        <v>47</v>
      </c>
      <c r="B54" s="994" t="s">
        <v>683</v>
      </c>
      <c r="C54" s="995">
        <f>'[1]4-MFP_&amp;_Other_Funded'!BU59</f>
        <v>12</v>
      </c>
      <c r="D54" s="995">
        <f>'[1]4-MFP_&amp;_Other_Funded'!BW59</f>
        <v>91</v>
      </c>
      <c r="E54" s="995">
        <f>'[1]4-MFP_&amp;_Other_Funded'!CA59</f>
        <v>321</v>
      </c>
      <c r="F54" s="995">
        <f>'[1]4-MFP_&amp;_Other_Funded'!CC59</f>
        <v>291</v>
      </c>
      <c r="G54" s="995">
        <f>'[1]4-MFP_&amp;_Other_Funded'!CE59</f>
        <v>262</v>
      </c>
      <c r="H54" s="995">
        <f>'[1]4-MFP_&amp;_Other_Funded'!CG59</f>
        <v>258</v>
      </c>
      <c r="I54" s="995">
        <f>'[1]4-MFP_&amp;_Other_Funded'!CI59</f>
        <v>304</v>
      </c>
      <c r="J54" s="995">
        <f>'[1]4-MFP_&amp;_Other_Funded'!CK59</f>
        <v>287</v>
      </c>
      <c r="K54" s="995">
        <f>'[1]4-MFP_&amp;_Other_Funded'!CM59</f>
        <v>257</v>
      </c>
      <c r="L54" s="995">
        <f>'[1]4-MFP_&amp;_Other_Funded'!CO59</f>
        <v>373</v>
      </c>
      <c r="M54" s="995">
        <f>'[1]4-MFP_&amp;_Other_Funded'!CQ59</f>
        <v>296</v>
      </c>
      <c r="N54" s="995">
        <f>'[1]4-MFP_&amp;_Other_Funded'!CS59</f>
        <v>303</v>
      </c>
      <c r="O54" s="995">
        <f>'[1]4-MFP_&amp;_Other_Funded'!CU59</f>
        <v>259</v>
      </c>
      <c r="P54" s="995">
        <f>'[1]4-MFP_&amp;_Other_Funded'!CW59</f>
        <v>264</v>
      </c>
      <c r="Q54" s="995">
        <f>'[1]4-MFP_&amp;_Other_Funded'!CY59</f>
        <v>233</v>
      </c>
      <c r="R54" s="996">
        <f t="shared" si="9"/>
        <v>3811</v>
      </c>
      <c r="S54" s="997"/>
      <c r="T54" s="998">
        <v>3715</v>
      </c>
      <c r="U54" s="998">
        <f t="shared" si="10"/>
        <v>96</v>
      </c>
      <c r="V54" s="999">
        <f t="shared" si="11"/>
        <v>0.0258</v>
      </c>
      <c r="W54" s="998">
        <f t="shared" si="12"/>
        <v>96</v>
      </c>
      <c r="X54" s="998" t="str">
        <f t="shared" si="13"/>
        <v> </v>
      </c>
      <c r="Y54" s="998">
        <f t="shared" si="14"/>
        <v>3811</v>
      </c>
      <c r="Z54" s="998">
        <f t="shared" si="15"/>
        <v>0</v>
      </c>
      <c r="AC54" s="1007"/>
    </row>
    <row r="55" spans="1:29" ht="12.75">
      <c r="A55" s="835">
        <v>48</v>
      </c>
      <c r="B55" s="994" t="s">
        <v>684</v>
      </c>
      <c r="C55" s="995">
        <f>'[1]4-MFP_&amp;_Other_Funded'!BU60</f>
        <v>0</v>
      </c>
      <c r="D55" s="995">
        <f>'[1]4-MFP_&amp;_Other_Funded'!BW60</f>
        <v>83</v>
      </c>
      <c r="E55" s="995">
        <f>'[1]4-MFP_&amp;_Other_Funded'!CA60</f>
        <v>559</v>
      </c>
      <c r="F55" s="995">
        <f>'[1]4-MFP_&amp;_Other_Funded'!CC60</f>
        <v>551</v>
      </c>
      <c r="G55" s="995">
        <f>'[1]4-MFP_&amp;_Other_Funded'!CE60</f>
        <v>521</v>
      </c>
      <c r="H55" s="995">
        <f>'[1]4-MFP_&amp;_Other_Funded'!CG60</f>
        <v>495</v>
      </c>
      <c r="I55" s="995">
        <f>'[1]4-MFP_&amp;_Other_Funded'!CI60</f>
        <v>553</v>
      </c>
      <c r="J55" s="995">
        <f>'[1]4-MFP_&amp;_Other_Funded'!CK60</f>
        <v>506</v>
      </c>
      <c r="K55" s="995">
        <f>'[1]4-MFP_&amp;_Other_Funded'!CM60</f>
        <v>544</v>
      </c>
      <c r="L55" s="995">
        <f>'[1]4-MFP_&amp;_Other_Funded'!CO60</f>
        <v>522</v>
      </c>
      <c r="M55" s="995">
        <f>'[1]4-MFP_&amp;_Other_Funded'!CQ60</f>
        <v>596</v>
      </c>
      <c r="N55" s="995">
        <f>'[1]4-MFP_&amp;_Other_Funded'!CS60</f>
        <v>484</v>
      </c>
      <c r="O55" s="995">
        <f>'[1]4-MFP_&amp;_Other_Funded'!CU60</f>
        <v>479</v>
      </c>
      <c r="P55" s="995">
        <f>'[1]4-MFP_&amp;_Other_Funded'!CW60</f>
        <v>331</v>
      </c>
      <c r="Q55" s="995">
        <f>'[1]4-MFP_&amp;_Other_Funded'!CY60</f>
        <v>331</v>
      </c>
      <c r="R55" s="996">
        <f t="shared" si="9"/>
        <v>6555</v>
      </c>
      <c r="S55" s="997"/>
      <c r="T55" s="998">
        <v>6351</v>
      </c>
      <c r="U55" s="998">
        <f t="shared" si="10"/>
        <v>204</v>
      </c>
      <c r="V55" s="999">
        <f t="shared" si="11"/>
        <v>0.0321</v>
      </c>
      <c r="W55" s="998">
        <f t="shared" si="12"/>
        <v>204</v>
      </c>
      <c r="X55" s="998" t="str">
        <f t="shared" si="13"/>
        <v> </v>
      </c>
      <c r="Y55" s="998">
        <f t="shared" si="14"/>
        <v>6555</v>
      </c>
      <c r="Z55" s="998">
        <f t="shared" si="15"/>
        <v>0</v>
      </c>
      <c r="AC55" s="1007"/>
    </row>
    <row r="56" spans="1:29" ht="12.75">
      <c r="A56" s="835">
        <v>49</v>
      </c>
      <c r="B56" s="994" t="s">
        <v>685</v>
      </c>
      <c r="C56" s="995">
        <f>'[1]4-MFP_&amp;_Other_Funded'!BU61</f>
        <v>50</v>
      </c>
      <c r="D56" s="995">
        <f>'[1]4-MFP_&amp;_Other_Funded'!BW61</f>
        <v>120</v>
      </c>
      <c r="E56" s="995">
        <f>'[1]4-MFP_&amp;_Other_Funded'!CA61</f>
        <v>1361</v>
      </c>
      <c r="F56" s="995">
        <f>'[1]4-MFP_&amp;_Other_Funded'!CC61</f>
        <v>1399</v>
      </c>
      <c r="G56" s="995">
        <f>'[1]4-MFP_&amp;_Other_Funded'!CE61</f>
        <v>1227</v>
      </c>
      <c r="H56" s="995">
        <f>'[1]4-MFP_&amp;_Other_Funded'!CG61</f>
        <v>1200</v>
      </c>
      <c r="I56" s="995">
        <f>'[1]4-MFP_&amp;_Other_Funded'!CI61</f>
        <v>1271</v>
      </c>
      <c r="J56" s="995">
        <f>'[1]4-MFP_&amp;_Other_Funded'!CK61</f>
        <v>1162</v>
      </c>
      <c r="K56" s="995">
        <f>'[1]4-MFP_&amp;_Other_Funded'!CM61</f>
        <v>1070</v>
      </c>
      <c r="L56" s="995">
        <f>'[1]4-MFP_&amp;_Other_Funded'!CO61</f>
        <v>1202</v>
      </c>
      <c r="M56" s="995">
        <f>'[1]4-MFP_&amp;_Other_Funded'!CQ61</f>
        <v>1167</v>
      </c>
      <c r="N56" s="995">
        <f>'[1]4-MFP_&amp;_Other_Funded'!CS61</f>
        <v>1185</v>
      </c>
      <c r="O56" s="995">
        <f>'[1]4-MFP_&amp;_Other_Funded'!CU61</f>
        <v>879</v>
      </c>
      <c r="P56" s="995">
        <f>'[1]4-MFP_&amp;_Other_Funded'!CW61</f>
        <v>813</v>
      </c>
      <c r="Q56" s="995">
        <f>'[1]4-MFP_&amp;_Other_Funded'!CY61</f>
        <v>774</v>
      </c>
      <c r="R56" s="996">
        <f t="shared" si="9"/>
        <v>14880</v>
      </c>
      <c r="S56" s="997"/>
      <c r="T56" s="998">
        <v>15052</v>
      </c>
      <c r="U56" s="998">
        <f t="shared" si="10"/>
        <v>-172</v>
      </c>
      <c r="V56" s="999">
        <f t="shared" si="11"/>
        <v>-0.0114</v>
      </c>
      <c r="W56" s="998" t="str">
        <f t="shared" si="12"/>
        <v> </v>
      </c>
      <c r="X56" s="998">
        <f t="shared" si="13"/>
        <v>-172</v>
      </c>
      <c r="Y56" s="998">
        <f t="shared" si="14"/>
        <v>14880</v>
      </c>
      <c r="Z56" s="998">
        <f t="shared" si="15"/>
        <v>0</v>
      </c>
      <c r="AC56" s="1007"/>
    </row>
    <row r="57" spans="1:29" ht="12.75">
      <c r="A57" s="838">
        <v>50</v>
      </c>
      <c r="B57" s="1000" t="s">
        <v>686</v>
      </c>
      <c r="C57" s="1001">
        <f>'[1]4-MFP_&amp;_Other_Funded'!BU62</f>
        <v>6</v>
      </c>
      <c r="D57" s="1001">
        <f>'[1]4-MFP_&amp;_Other_Funded'!BW62</f>
        <v>125</v>
      </c>
      <c r="E57" s="1001">
        <f>'[1]4-MFP_&amp;_Other_Funded'!CA62</f>
        <v>711</v>
      </c>
      <c r="F57" s="1001">
        <f>'[1]4-MFP_&amp;_Other_Funded'!CC62</f>
        <v>662</v>
      </c>
      <c r="G57" s="1001">
        <f>'[1]4-MFP_&amp;_Other_Funded'!CE62</f>
        <v>620</v>
      </c>
      <c r="H57" s="1001">
        <f>'[1]4-MFP_&amp;_Other_Funded'!CG62</f>
        <v>639</v>
      </c>
      <c r="I57" s="1001">
        <f>'[1]4-MFP_&amp;_Other_Funded'!CI62</f>
        <v>684</v>
      </c>
      <c r="J57" s="1001">
        <f>'[1]4-MFP_&amp;_Other_Funded'!CK62</f>
        <v>592</v>
      </c>
      <c r="K57" s="1001">
        <f>'[1]4-MFP_&amp;_Other_Funded'!CM62</f>
        <v>576</v>
      </c>
      <c r="L57" s="1001">
        <f>'[1]4-MFP_&amp;_Other_Funded'!CO62</f>
        <v>625</v>
      </c>
      <c r="M57" s="1001">
        <f>'[1]4-MFP_&amp;_Other_Funded'!CQ62</f>
        <v>680</v>
      </c>
      <c r="N57" s="1001">
        <f>'[1]4-MFP_&amp;_Other_Funded'!CS62</f>
        <v>679</v>
      </c>
      <c r="O57" s="1001">
        <f>'[1]4-MFP_&amp;_Other_Funded'!CU62</f>
        <v>573</v>
      </c>
      <c r="P57" s="1001">
        <f>'[1]4-MFP_&amp;_Other_Funded'!CW62</f>
        <v>500</v>
      </c>
      <c r="Q57" s="1001">
        <f>'[1]4-MFP_&amp;_Other_Funded'!CY62</f>
        <v>461</v>
      </c>
      <c r="R57" s="1002">
        <f t="shared" si="9"/>
        <v>8133</v>
      </c>
      <c r="S57" s="1003"/>
      <c r="T57" s="1004">
        <v>8189</v>
      </c>
      <c r="U57" s="1004">
        <f t="shared" si="10"/>
        <v>-56</v>
      </c>
      <c r="V57" s="1005">
        <f t="shared" si="11"/>
        <v>-0.0068</v>
      </c>
      <c r="W57" s="1004" t="str">
        <f t="shared" si="12"/>
        <v> </v>
      </c>
      <c r="X57" s="1004">
        <f t="shared" si="13"/>
        <v>-56</v>
      </c>
      <c r="Y57" s="1004">
        <f t="shared" si="14"/>
        <v>8133</v>
      </c>
      <c r="Z57" s="1004">
        <f t="shared" si="15"/>
        <v>0</v>
      </c>
      <c r="AC57" s="1007"/>
    </row>
    <row r="58" spans="1:29" ht="12.75">
      <c r="A58" s="835">
        <v>51</v>
      </c>
      <c r="B58" s="994" t="s">
        <v>687</v>
      </c>
      <c r="C58" s="995">
        <f>'[1]4-MFP_&amp;_Other_Funded'!BU63</f>
        <v>30</v>
      </c>
      <c r="D58" s="995">
        <f>'[1]4-MFP_&amp;_Other_Funded'!BW63</f>
        <v>124</v>
      </c>
      <c r="E58" s="995">
        <f>'[1]4-MFP_&amp;_Other_Funded'!CA63</f>
        <v>706</v>
      </c>
      <c r="F58" s="995">
        <f>'[1]4-MFP_&amp;_Other_Funded'!CC63</f>
        <v>758</v>
      </c>
      <c r="G58" s="995">
        <f>'[1]4-MFP_&amp;_Other_Funded'!CE63</f>
        <v>751</v>
      </c>
      <c r="H58" s="995">
        <f>'[1]4-MFP_&amp;_Other_Funded'!CG63</f>
        <v>734</v>
      </c>
      <c r="I58" s="995">
        <f>'[1]4-MFP_&amp;_Other_Funded'!CI63</f>
        <v>714</v>
      </c>
      <c r="J58" s="995">
        <f>'[1]4-MFP_&amp;_Other_Funded'!CK63</f>
        <v>734</v>
      </c>
      <c r="K58" s="995">
        <f>'[1]4-MFP_&amp;_Other_Funded'!CM63</f>
        <v>751</v>
      </c>
      <c r="L58" s="995">
        <f>'[1]4-MFP_&amp;_Other_Funded'!CO63</f>
        <v>819</v>
      </c>
      <c r="M58" s="995">
        <f>'[1]4-MFP_&amp;_Other_Funded'!CQ63</f>
        <v>838</v>
      </c>
      <c r="N58" s="995">
        <f>'[1]4-MFP_&amp;_Other_Funded'!CS63</f>
        <v>828</v>
      </c>
      <c r="O58" s="995">
        <f>'[1]4-MFP_&amp;_Other_Funded'!CU63</f>
        <v>687</v>
      </c>
      <c r="P58" s="995">
        <f>'[1]4-MFP_&amp;_Other_Funded'!CW63</f>
        <v>671</v>
      </c>
      <c r="Q58" s="995">
        <f>'[1]4-MFP_&amp;_Other_Funded'!CY63</f>
        <v>498</v>
      </c>
      <c r="R58" s="996">
        <f t="shared" si="9"/>
        <v>9643</v>
      </c>
      <c r="S58" s="997"/>
      <c r="T58" s="998">
        <v>9891</v>
      </c>
      <c r="U58" s="998">
        <f t="shared" si="10"/>
        <v>-248</v>
      </c>
      <c r="V58" s="999">
        <f t="shared" si="11"/>
        <v>-0.0251</v>
      </c>
      <c r="W58" s="998" t="str">
        <f t="shared" si="12"/>
        <v> </v>
      </c>
      <c r="X58" s="998">
        <f t="shared" si="13"/>
        <v>-248</v>
      </c>
      <c r="Y58" s="998">
        <f t="shared" si="14"/>
        <v>9643</v>
      </c>
      <c r="Z58" s="998">
        <f t="shared" si="15"/>
        <v>0</v>
      </c>
      <c r="AC58" s="1007"/>
    </row>
    <row r="59" spans="1:29" ht="12.75">
      <c r="A59" s="835">
        <v>52</v>
      </c>
      <c r="B59" s="994" t="s">
        <v>688</v>
      </c>
      <c r="C59" s="995">
        <f>'[1]4-MFP_&amp;_Other_Funded'!BU64</f>
        <v>0</v>
      </c>
      <c r="D59" s="995">
        <f>'[1]4-MFP_&amp;_Other_Funded'!BW64</f>
        <v>567</v>
      </c>
      <c r="E59" s="995">
        <f>'[1]4-MFP_&amp;_Other_Funded'!CA64</f>
        <v>2593</v>
      </c>
      <c r="F59" s="995">
        <f>'[1]4-MFP_&amp;_Other_Funded'!CC64</f>
        <v>3120</v>
      </c>
      <c r="G59" s="995">
        <f>'[1]4-MFP_&amp;_Other_Funded'!CE64</f>
        <v>2543</v>
      </c>
      <c r="H59" s="995">
        <f>'[1]4-MFP_&amp;_Other_Funded'!CG64</f>
        <v>2486</v>
      </c>
      <c r="I59" s="995">
        <f>'[1]4-MFP_&amp;_Other_Funded'!CI64</f>
        <v>2622</v>
      </c>
      <c r="J59" s="995">
        <f>'[1]4-MFP_&amp;_Other_Funded'!CK64</f>
        <v>2547</v>
      </c>
      <c r="K59" s="995">
        <f>'[1]4-MFP_&amp;_Other_Funded'!CM64</f>
        <v>2467</v>
      </c>
      <c r="L59" s="995">
        <f>'[1]4-MFP_&amp;_Other_Funded'!CO64</f>
        <v>2763</v>
      </c>
      <c r="M59" s="995">
        <f>'[1]4-MFP_&amp;_Other_Funded'!CQ64</f>
        <v>2712</v>
      </c>
      <c r="N59" s="995">
        <f>'[1]4-MFP_&amp;_Other_Funded'!CS64</f>
        <v>2820</v>
      </c>
      <c r="O59" s="995">
        <f>'[1]4-MFP_&amp;_Other_Funded'!CU64</f>
        <v>2529</v>
      </c>
      <c r="P59" s="995">
        <f>'[1]4-MFP_&amp;_Other_Funded'!CW64</f>
        <v>2313</v>
      </c>
      <c r="Q59" s="995">
        <f>'[1]4-MFP_&amp;_Other_Funded'!CY64</f>
        <v>2158</v>
      </c>
      <c r="R59" s="996">
        <f t="shared" si="9"/>
        <v>34240</v>
      </c>
      <c r="S59" s="997"/>
      <c r="T59" s="998">
        <v>35603</v>
      </c>
      <c r="U59" s="998">
        <f t="shared" si="10"/>
        <v>-1363</v>
      </c>
      <c r="V59" s="999">
        <f t="shared" si="11"/>
        <v>-0.0383</v>
      </c>
      <c r="W59" s="998" t="str">
        <f t="shared" si="12"/>
        <v> </v>
      </c>
      <c r="X59" s="998">
        <f t="shared" si="13"/>
        <v>-1363</v>
      </c>
      <c r="Y59" s="998">
        <f t="shared" si="14"/>
        <v>34240</v>
      </c>
      <c r="Z59" s="998">
        <f t="shared" si="15"/>
        <v>0</v>
      </c>
      <c r="AC59" s="1007"/>
    </row>
    <row r="60" spans="1:29" ht="12.75">
      <c r="A60" s="835">
        <v>53</v>
      </c>
      <c r="B60" s="994" t="s">
        <v>689</v>
      </c>
      <c r="C60" s="995">
        <f>'[1]4-MFP_&amp;_Other_Funded'!BU65</f>
        <v>0</v>
      </c>
      <c r="D60" s="995">
        <f>'[1]4-MFP_&amp;_Other_Funded'!BW65</f>
        <v>110</v>
      </c>
      <c r="E60" s="995">
        <f>'[1]4-MFP_&amp;_Other_Funded'!CA65</f>
        <v>1554</v>
      </c>
      <c r="F60" s="995">
        <f>'[1]4-MFP_&amp;_Other_Funded'!CC65</f>
        <v>1562</v>
      </c>
      <c r="G60" s="995">
        <f>'[1]4-MFP_&amp;_Other_Funded'!CE65</f>
        <v>1500</v>
      </c>
      <c r="H60" s="995">
        <f>'[1]4-MFP_&amp;_Other_Funded'!CG65</f>
        <v>1453</v>
      </c>
      <c r="I60" s="995">
        <f>'[1]4-MFP_&amp;_Other_Funded'!CI65</f>
        <v>1553</v>
      </c>
      <c r="J60" s="995">
        <f>'[1]4-MFP_&amp;_Other_Funded'!CK65</f>
        <v>1410</v>
      </c>
      <c r="K60" s="995">
        <f>'[1]4-MFP_&amp;_Other_Funded'!CM65</f>
        <v>1399</v>
      </c>
      <c r="L60" s="995">
        <f>'[1]4-MFP_&amp;_Other_Funded'!CO65</f>
        <v>1430</v>
      </c>
      <c r="M60" s="995">
        <f>'[1]4-MFP_&amp;_Other_Funded'!CQ65</f>
        <v>1662</v>
      </c>
      <c r="N60" s="995">
        <f>'[1]4-MFP_&amp;_Other_Funded'!CS65</f>
        <v>1466</v>
      </c>
      <c r="O60" s="995">
        <f>'[1]4-MFP_&amp;_Other_Funded'!CU65</f>
        <v>1302</v>
      </c>
      <c r="P60" s="995">
        <f>'[1]4-MFP_&amp;_Other_Funded'!CW65</f>
        <v>1087</v>
      </c>
      <c r="Q60" s="995">
        <f>'[1]4-MFP_&amp;_Other_Funded'!CY65</f>
        <v>1046</v>
      </c>
      <c r="R60" s="996">
        <f t="shared" si="9"/>
        <v>18534</v>
      </c>
      <c r="S60" s="997"/>
      <c r="T60" s="998">
        <v>18292</v>
      </c>
      <c r="U60" s="998">
        <f t="shared" si="10"/>
        <v>242</v>
      </c>
      <c r="V60" s="999">
        <f t="shared" si="11"/>
        <v>0.0132</v>
      </c>
      <c r="W60" s="998">
        <f t="shared" si="12"/>
        <v>242</v>
      </c>
      <c r="X60" s="998" t="str">
        <f t="shared" si="13"/>
        <v> </v>
      </c>
      <c r="Y60" s="998">
        <f t="shared" si="14"/>
        <v>18534</v>
      </c>
      <c r="Z60" s="998">
        <f t="shared" si="15"/>
        <v>0</v>
      </c>
      <c r="AC60" s="1007"/>
    </row>
    <row r="61" spans="1:29" ht="12.75">
      <c r="A61" s="835">
        <v>54</v>
      </c>
      <c r="B61" s="994" t="s">
        <v>690</v>
      </c>
      <c r="C61" s="995">
        <f>'[1]4-MFP_&amp;_Other_Funded'!BU66</f>
        <v>0</v>
      </c>
      <c r="D61" s="995">
        <f>'[1]4-MFP_&amp;_Other_Funded'!BW66</f>
        <v>19</v>
      </c>
      <c r="E61" s="995">
        <f>'[1]4-MFP_&amp;_Other_Funded'!CA66</f>
        <v>92</v>
      </c>
      <c r="F61" s="995">
        <f>'[1]4-MFP_&amp;_Other_Funded'!CC66</f>
        <v>65</v>
      </c>
      <c r="G61" s="995">
        <f>'[1]4-MFP_&amp;_Other_Funded'!CE66</f>
        <v>82</v>
      </c>
      <c r="H61" s="995">
        <f>'[1]4-MFP_&amp;_Other_Funded'!CG66</f>
        <v>48</v>
      </c>
      <c r="I61" s="995">
        <f>'[1]4-MFP_&amp;_Other_Funded'!CI66</f>
        <v>67</v>
      </c>
      <c r="J61" s="995">
        <f>'[1]4-MFP_&amp;_Other_Funded'!CK66</f>
        <v>53</v>
      </c>
      <c r="K61" s="995">
        <f>'[1]4-MFP_&amp;_Other_Funded'!CM66</f>
        <v>59</v>
      </c>
      <c r="L61" s="995">
        <f>'[1]4-MFP_&amp;_Other_Funded'!CO66</f>
        <v>59</v>
      </c>
      <c r="M61" s="995">
        <f>'[1]4-MFP_&amp;_Other_Funded'!CQ66</f>
        <v>62</v>
      </c>
      <c r="N61" s="995">
        <f>'[1]4-MFP_&amp;_Other_Funded'!CS66</f>
        <v>39</v>
      </c>
      <c r="O61" s="995">
        <f>'[1]4-MFP_&amp;_Other_Funded'!CU66</f>
        <v>60</v>
      </c>
      <c r="P61" s="995">
        <f>'[1]4-MFP_&amp;_Other_Funded'!CW66</f>
        <v>41</v>
      </c>
      <c r="Q61" s="995">
        <f>'[1]4-MFP_&amp;_Other_Funded'!CY66</f>
        <v>45</v>
      </c>
      <c r="R61" s="996">
        <f t="shared" si="9"/>
        <v>791</v>
      </c>
      <c r="S61" s="997"/>
      <c r="T61" s="998">
        <v>840</v>
      </c>
      <c r="U61" s="998">
        <f t="shared" si="10"/>
        <v>-49</v>
      </c>
      <c r="V61" s="999">
        <f t="shared" si="11"/>
        <v>-0.0583</v>
      </c>
      <c r="W61" s="998" t="str">
        <f t="shared" si="12"/>
        <v> </v>
      </c>
      <c r="X61" s="998">
        <f t="shared" si="13"/>
        <v>-49</v>
      </c>
      <c r="Y61" s="998">
        <f t="shared" si="14"/>
        <v>791</v>
      </c>
      <c r="Z61" s="998">
        <f t="shared" si="15"/>
        <v>0</v>
      </c>
      <c r="AC61" s="1007"/>
    </row>
    <row r="62" spans="1:29" ht="12.75">
      <c r="A62" s="838">
        <v>55</v>
      </c>
      <c r="B62" s="1000" t="s">
        <v>691</v>
      </c>
      <c r="C62" s="1001">
        <f>'[1]4-MFP_&amp;_Other_Funded'!BU67</f>
        <v>27</v>
      </c>
      <c r="D62" s="1001">
        <f>'[1]4-MFP_&amp;_Other_Funded'!BW67</f>
        <v>379</v>
      </c>
      <c r="E62" s="1001">
        <f>'[1]4-MFP_&amp;_Other_Funded'!CA67</f>
        <v>1475</v>
      </c>
      <c r="F62" s="1001">
        <f>'[1]4-MFP_&amp;_Other_Funded'!CC67</f>
        <v>1677</v>
      </c>
      <c r="G62" s="1001">
        <f>'[1]4-MFP_&amp;_Other_Funded'!CE67</f>
        <v>1434</v>
      </c>
      <c r="H62" s="1001">
        <f>'[1]4-MFP_&amp;_Other_Funded'!CG67</f>
        <v>1421</v>
      </c>
      <c r="I62" s="1001">
        <f>'[1]4-MFP_&amp;_Other_Funded'!CI67</f>
        <v>1636</v>
      </c>
      <c r="J62" s="1001">
        <f>'[1]4-MFP_&amp;_Other_Funded'!CK67</f>
        <v>1414</v>
      </c>
      <c r="K62" s="1001">
        <f>'[1]4-MFP_&amp;_Other_Funded'!CM67</f>
        <v>1483</v>
      </c>
      <c r="L62" s="1001">
        <f>'[1]4-MFP_&amp;_Other_Funded'!CO67</f>
        <v>1423</v>
      </c>
      <c r="M62" s="1001">
        <f>'[1]4-MFP_&amp;_Other_Funded'!CQ67</f>
        <v>1499</v>
      </c>
      <c r="N62" s="1001">
        <f>'[1]4-MFP_&amp;_Other_Funded'!CS67</f>
        <v>1355</v>
      </c>
      <c r="O62" s="1001">
        <f>'[1]4-MFP_&amp;_Other_Funded'!CU67</f>
        <v>1147</v>
      </c>
      <c r="P62" s="1001">
        <f>'[1]4-MFP_&amp;_Other_Funded'!CW67</f>
        <v>1383</v>
      </c>
      <c r="Q62" s="1001">
        <f>'[1]4-MFP_&amp;_Other_Funded'!CY67</f>
        <v>1069</v>
      </c>
      <c r="R62" s="1002">
        <f t="shared" si="9"/>
        <v>18822</v>
      </c>
      <c r="S62" s="1003"/>
      <c r="T62" s="1004">
        <v>19145</v>
      </c>
      <c r="U62" s="1004">
        <f t="shared" si="10"/>
        <v>-323</v>
      </c>
      <c r="V62" s="1005">
        <f t="shared" si="11"/>
        <v>-0.0169</v>
      </c>
      <c r="W62" s="1004" t="str">
        <f t="shared" si="12"/>
        <v> </v>
      </c>
      <c r="X62" s="1004">
        <f t="shared" si="13"/>
        <v>-323</v>
      </c>
      <c r="Y62" s="1004">
        <f t="shared" si="14"/>
        <v>18822</v>
      </c>
      <c r="Z62" s="1004">
        <f t="shared" si="15"/>
        <v>0</v>
      </c>
      <c r="AC62" s="1007"/>
    </row>
    <row r="63" spans="1:29" ht="12.75">
      <c r="A63" s="835">
        <v>56</v>
      </c>
      <c r="B63" s="994" t="s">
        <v>692</v>
      </c>
      <c r="C63" s="995">
        <f>'[1]4-MFP_&amp;_Other_Funded'!BU68</f>
        <v>0</v>
      </c>
      <c r="D63" s="995">
        <f>'[1]4-MFP_&amp;_Other_Funded'!BW68</f>
        <v>30</v>
      </c>
      <c r="E63" s="995">
        <f>'[1]4-MFP_&amp;_Other_Funded'!CA68</f>
        <v>299</v>
      </c>
      <c r="F63" s="995">
        <f>'[1]4-MFP_&amp;_Other_Funded'!CC68</f>
        <v>225</v>
      </c>
      <c r="G63" s="995">
        <f>'[1]4-MFP_&amp;_Other_Funded'!CE68</f>
        <v>244</v>
      </c>
      <c r="H63" s="995">
        <f>'[1]4-MFP_&amp;_Other_Funded'!CG68</f>
        <v>217</v>
      </c>
      <c r="I63" s="995">
        <f>'[1]4-MFP_&amp;_Other_Funded'!CI68</f>
        <v>264</v>
      </c>
      <c r="J63" s="995">
        <f>'[1]4-MFP_&amp;_Other_Funded'!CK68</f>
        <v>206</v>
      </c>
      <c r="K63" s="995">
        <f>'[1]4-MFP_&amp;_Other_Funded'!CM68</f>
        <v>227</v>
      </c>
      <c r="L63" s="995">
        <f>'[1]4-MFP_&amp;_Other_Funded'!CO68</f>
        <v>221</v>
      </c>
      <c r="M63" s="995">
        <f>'[1]4-MFP_&amp;_Other_Funded'!CQ68</f>
        <v>327</v>
      </c>
      <c r="N63" s="995">
        <f>'[1]4-MFP_&amp;_Other_Funded'!CS68</f>
        <v>243</v>
      </c>
      <c r="O63" s="995">
        <f>'[1]4-MFP_&amp;_Other_Funded'!CU68</f>
        <v>187</v>
      </c>
      <c r="P63" s="995">
        <f>'[1]4-MFP_&amp;_Other_Funded'!CW68</f>
        <v>166</v>
      </c>
      <c r="Q63" s="995">
        <f>'[1]4-MFP_&amp;_Other_Funded'!CY68</f>
        <v>184</v>
      </c>
      <c r="R63" s="996">
        <f t="shared" si="9"/>
        <v>3040</v>
      </c>
      <c r="S63" s="997"/>
      <c r="T63" s="998">
        <v>3321</v>
      </c>
      <c r="U63" s="998">
        <f t="shared" si="10"/>
        <v>-281</v>
      </c>
      <c r="V63" s="999">
        <f t="shared" si="11"/>
        <v>-0.0846</v>
      </c>
      <c r="W63" s="998" t="str">
        <f t="shared" si="12"/>
        <v> </v>
      </c>
      <c r="X63" s="998">
        <f t="shared" si="13"/>
        <v>-281</v>
      </c>
      <c r="Y63" s="998">
        <f t="shared" si="14"/>
        <v>3040</v>
      </c>
      <c r="Z63" s="998">
        <f t="shared" si="15"/>
        <v>0</v>
      </c>
      <c r="AC63" s="1007"/>
    </row>
    <row r="64" spans="1:29" ht="12.75">
      <c r="A64" s="835">
        <v>57</v>
      </c>
      <c r="B64" s="994" t="s">
        <v>693</v>
      </c>
      <c r="C64" s="995">
        <f>'[1]4-MFP_&amp;_Other_Funded'!BU69</f>
        <v>20</v>
      </c>
      <c r="D64" s="995">
        <f>'[1]4-MFP_&amp;_Other_Funded'!BW69</f>
        <v>156</v>
      </c>
      <c r="E64" s="995">
        <f>'[1]4-MFP_&amp;_Other_Funded'!CA69</f>
        <v>735</v>
      </c>
      <c r="F64" s="995">
        <f>'[1]4-MFP_&amp;_Other_Funded'!CC69</f>
        <v>766</v>
      </c>
      <c r="G64" s="995">
        <f>'[1]4-MFP_&amp;_Other_Funded'!CE69</f>
        <v>643</v>
      </c>
      <c r="H64" s="995">
        <f>'[1]4-MFP_&amp;_Other_Funded'!CG69</f>
        <v>639</v>
      </c>
      <c r="I64" s="995">
        <f>'[1]4-MFP_&amp;_Other_Funded'!CI69</f>
        <v>661</v>
      </c>
      <c r="J64" s="995">
        <f>'[1]4-MFP_&amp;_Other_Funded'!CK69</f>
        <v>675</v>
      </c>
      <c r="K64" s="995">
        <f>'[1]4-MFP_&amp;_Other_Funded'!CM69</f>
        <v>627</v>
      </c>
      <c r="L64" s="995">
        <f>'[1]4-MFP_&amp;_Other_Funded'!CO69</f>
        <v>689</v>
      </c>
      <c r="M64" s="995">
        <f>'[1]4-MFP_&amp;_Other_Funded'!CQ69</f>
        <v>637</v>
      </c>
      <c r="N64" s="995">
        <f>'[1]4-MFP_&amp;_Other_Funded'!CS69</f>
        <v>649</v>
      </c>
      <c r="O64" s="995">
        <f>'[1]4-MFP_&amp;_Other_Funded'!CU69</f>
        <v>635</v>
      </c>
      <c r="P64" s="995">
        <f>'[1]4-MFP_&amp;_Other_Funded'!CW69</f>
        <v>493</v>
      </c>
      <c r="Q64" s="995">
        <f>'[1]4-MFP_&amp;_Other_Funded'!CY69</f>
        <v>515</v>
      </c>
      <c r="R64" s="996">
        <f t="shared" si="9"/>
        <v>8540</v>
      </c>
      <c r="S64" s="997"/>
      <c r="T64" s="998">
        <v>8689</v>
      </c>
      <c r="U64" s="998">
        <f t="shared" si="10"/>
        <v>-149</v>
      </c>
      <c r="V64" s="999">
        <f t="shared" si="11"/>
        <v>-0.0171</v>
      </c>
      <c r="W64" s="998" t="str">
        <f t="shared" si="12"/>
        <v> </v>
      </c>
      <c r="X64" s="998">
        <f t="shared" si="13"/>
        <v>-149</v>
      </c>
      <c r="Y64" s="998">
        <f t="shared" si="14"/>
        <v>8540</v>
      </c>
      <c r="Z64" s="998">
        <f t="shared" si="15"/>
        <v>0</v>
      </c>
      <c r="AC64" s="1007"/>
    </row>
    <row r="65" spans="1:29" ht="12.75">
      <c r="A65" s="835">
        <v>58</v>
      </c>
      <c r="B65" s="994" t="s">
        <v>694</v>
      </c>
      <c r="C65" s="995">
        <f>'[1]4-MFP_&amp;_Other_Funded'!BU70</f>
        <v>37</v>
      </c>
      <c r="D65" s="995">
        <f>'[1]4-MFP_&amp;_Other_Funded'!BW70</f>
        <v>189</v>
      </c>
      <c r="E65" s="995">
        <f>'[1]4-MFP_&amp;_Other_Funded'!CA70</f>
        <v>910</v>
      </c>
      <c r="F65" s="995">
        <f>'[1]4-MFP_&amp;_Other_Funded'!CC70</f>
        <v>812</v>
      </c>
      <c r="G65" s="995">
        <f>'[1]4-MFP_&amp;_Other_Funded'!CE70</f>
        <v>810</v>
      </c>
      <c r="H65" s="995">
        <f>'[1]4-MFP_&amp;_Other_Funded'!CG70</f>
        <v>742</v>
      </c>
      <c r="I65" s="995">
        <f>'[1]4-MFP_&amp;_Other_Funded'!CI70</f>
        <v>735</v>
      </c>
      <c r="J65" s="995">
        <f>'[1]4-MFP_&amp;_Other_Funded'!CK70</f>
        <v>678</v>
      </c>
      <c r="K65" s="995">
        <f>'[1]4-MFP_&amp;_Other_Funded'!CM70</f>
        <v>684</v>
      </c>
      <c r="L65" s="995">
        <f>'[1]4-MFP_&amp;_Other_Funded'!CO70</f>
        <v>734</v>
      </c>
      <c r="M65" s="995">
        <f>'[1]4-MFP_&amp;_Other_Funded'!CQ70</f>
        <v>676</v>
      </c>
      <c r="N65" s="995">
        <f>'[1]4-MFP_&amp;_Other_Funded'!CS70</f>
        <v>689</v>
      </c>
      <c r="O65" s="995">
        <f>'[1]4-MFP_&amp;_Other_Funded'!CU70</f>
        <v>603</v>
      </c>
      <c r="P65" s="995">
        <f>'[1]4-MFP_&amp;_Other_Funded'!CW70</f>
        <v>481</v>
      </c>
      <c r="Q65" s="995">
        <f>'[1]4-MFP_&amp;_Other_Funded'!CY70</f>
        <v>452</v>
      </c>
      <c r="R65" s="996">
        <f t="shared" si="9"/>
        <v>9232</v>
      </c>
      <c r="S65" s="997"/>
      <c r="T65" s="998">
        <v>9698</v>
      </c>
      <c r="U65" s="998">
        <f t="shared" si="10"/>
        <v>-466</v>
      </c>
      <c r="V65" s="999">
        <f t="shared" si="11"/>
        <v>-0.0481</v>
      </c>
      <c r="W65" s="998" t="str">
        <f t="shared" si="12"/>
        <v> </v>
      </c>
      <c r="X65" s="998">
        <f t="shared" si="13"/>
        <v>-466</v>
      </c>
      <c r="Y65" s="998">
        <f t="shared" si="14"/>
        <v>9232</v>
      </c>
      <c r="Z65" s="998">
        <f t="shared" si="15"/>
        <v>0</v>
      </c>
      <c r="AC65" s="1007"/>
    </row>
    <row r="66" spans="1:29" ht="12.75">
      <c r="A66" s="835">
        <v>59</v>
      </c>
      <c r="B66" s="994" t="s">
        <v>695</v>
      </c>
      <c r="C66" s="995">
        <f>'[1]4-MFP_&amp;_Other_Funded'!BU71</f>
        <v>0</v>
      </c>
      <c r="D66" s="995">
        <f>'[1]4-MFP_&amp;_Other_Funded'!BW71</f>
        <v>78</v>
      </c>
      <c r="E66" s="995">
        <f>'[1]4-MFP_&amp;_Other_Funded'!CA71</f>
        <v>383</v>
      </c>
      <c r="F66" s="995">
        <f>'[1]4-MFP_&amp;_Other_Funded'!CC71</f>
        <v>378</v>
      </c>
      <c r="G66" s="995">
        <f>'[1]4-MFP_&amp;_Other_Funded'!CE71</f>
        <v>441</v>
      </c>
      <c r="H66" s="995">
        <f>'[1]4-MFP_&amp;_Other_Funded'!CG71</f>
        <v>351</v>
      </c>
      <c r="I66" s="995">
        <f>'[1]4-MFP_&amp;_Other_Funded'!CI71</f>
        <v>378</v>
      </c>
      <c r="J66" s="995">
        <f>'[1]4-MFP_&amp;_Other_Funded'!CK71</f>
        <v>369</v>
      </c>
      <c r="K66" s="995">
        <f>'[1]4-MFP_&amp;_Other_Funded'!CM71</f>
        <v>351</v>
      </c>
      <c r="L66" s="995">
        <f>'[1]4-MFP_&amp;_Other_Funded'!CO71</f>
        <v>345</v>
      </c>
      <c r="M66" s="995">
        <f>'[1]4-MFP_&amp;_Other_Funded'!CQ71</f>
        <v>400</v>
      </c>
      <c r="N66" s="995">
        <f>'[1]4-MFP_&amp;_Other_Funded'!CS71</f>
        <v>349</v>
      </c>
      <c r="O66" s="995">
        <f>'[1]4-MFP_&amp;_Other_Funded'!CU71</f>
        <v>343</v>
      </c>
      <c r="P66" s="995">
        <f>'[1]4-MFP_&amp;_Other_Funded'!CW71</f>
        <v>267</v>
      </c>
      <c r="Q66" s="995">
        <f>'[1]4-MFP_&amp;_Other_Funded'!CY71</f>
        <v>277</v>
      </c>
      <c r="R66" s="996">
        <f t="shared" si="9"/>
        <v>4710</v>
      </c>
      <c r="S66" s="997"/>
      <c r="T66" s="998">
        <v>4559</v>
      </c>
      <c r="U66" s="998">
        <f t="shared" si="10"/>
        <v>151</v>
      </c>
      <c r="V66" s="999">
        <f t="shared" si="11"/>
        <v>0.0331</v>
      </c>
      <c r="W66" s="998">
        <f t="shared" si="12"/>
        <v>151</v>
      </c>
      <c r="X66" s="998" t="str">
        <f t="shared" si="13"/>
        <v> </v>
      </c>
      <c r="Y66" s="998">
        <f t="shared" si="14"/>
        <v>4710</v>
      </c>
      <c r="Z66" s="998">
        <f t="shared" si="15"/>
        <v>0</v>
      </c>
      <c r="AC66" s="1007"/>
    </row>
    <row r="67" spans="1:29" ht="12.75">
      <c r="A67" s="838">
        <v>60</v>
      </c>
      <c r="B67" s="1000" t="s">
        <v>696</v>
      </c>
      <c r="C67" s="1001">
        <f>'[1]4-MFP_&amp;_Other_Funded'!BU72</f>
        <v>0</v>
      </c>
      <c r="D67" s="1001">
        <f>'[1]4-MFP_&amp;_Other_Funded'!BW72</f>
        <v>77</v>
      </c>
      <c r="E67" s="1001">
        <f>'[1]4-MFP_&amp;_Other_Funded'!CA72</f>
        <v>603</v>
      </c>
      <c r="F67" s="1001">
        <f>'[1]4-MFP_&amp;_Other_Funded'!CC72</f>
        <v>574</v>
      </c>
      <c r="G67" s="1001">
        <f>'[1]4-MFP_&amp;_Other_Funded'!CE72</f>
        <v>574</v>
      </c>
      <c r="H67" s="1001">
        <f>'[1]4-MFP_&amp;_Other_Funded'!CG72</f>
        <v>566</v>
      </c>
      <c r="I67" s="1001">
        <f>'[1]4-MFP_&amp;_Other_Funded'!CI72</f>
        <v>619</v>
      </c>
      <c r="J67" s="1001">
        <f>'[1]4-MFP_&amp;_Other_Funded'!CK72</f>
        <v>569</v>
      </c>
      <c r="K67" s="1001">
        <f>'[1]4-MFP_&amp;_Other_Funded'!CM72</f>
        <v>540</v>
      </c>
      <c r="L67" s="1001">
        <f>'[1]4-MFP_&amp;_Other_Funded'!CO72</f>
        <v>533</v>
      </c>
      <c r="M67" s="1001">
        <f>'[1]4-MFP_&amp;_Other_Funded'!CQ72</f>
        <v>587</v>
      </c>
      <c r="N67" s="1001">
        <f>'[1]4-MFP_&amp;_Other_Funded'!CS72</f>
        <v>515</v>
      </c>
      <c r="O67" s="1001">
        <f>'[1]4-MFP_&amp;_Other_Funded'!CU72</f>
        <v>443</v>
      </c>
      <c r="P67" s="1001">
        <f>'[1]4-MFP_&amp;_Other_Funded'!CW72</f>
        <v>462</v>
      </c>
      <c r="Q67" s="1001">
        <f>'[1]4-MFP_&amp;_Other_Funded'!CY72</f>
        <v>403</v>
      </c>
      <c r="R67" s="1002">
        <f t="shared" si="9"/>
        <v>7065</v>
      </c>
      <c r="S67" s="1003"/>
      <c r="T67" s="1004">
        <v>7406</v>
      </c>
      <c r="U67" s="1004">
        <f t="shared" si="10"/>
        <v>-341</v>
      </c>
      <c r="V67" s="1005">
        <f t="shared" si="11"/>
        <v>-0.046</v>
      </c>
      <c r="W67" s="1004" t="str">
        <f t="shared" si="12"/>
        <v> </v>
      </c>
      <c r="X67" s="1004">
        <f t="shared" si="13"/>
        <v>-341</v>
      </c>
      <c r="Y67" s="1004">
        <f t="shared" si="14"/>
        <v>7065</v>
      </c>
      <c r="Z67" s="1004">
        <f t="shared" si="15"/>
        <v>0</v>
      </c>
      <c r="AC67" s="1007"/>
    </row>
    <row r="68" spans="1:29" ht="12.75">
      <c r="A68" s="835">
        <v>61</v>
      </c>
      <c r="B68" s="994" t="s">
        <v>697</v>
      </c>
      <c r="C68" s="995">
        <f>'[1]4-MFP_&amp;_Other_Funded'!BU73</f>
        <v>0</v>
      </c>
      <c r="D68" s="995">
        <f>'[1]4-MFP_&amp;_Other_Funded'!BW73</f>
        <v>37</v>
      </c>
      <c r="E68" s="995">
        <f>'[1]4-MFP_&amp;_Other_Funded'!CA73</f>
        <v>256</v>
      </c>
      <c r="F68" s="995">
        <f>'[1]4-MFP_&amp;_Other_Funded'!CC73</f>
        <v>254</v>
      </c>
      <c r="G68" s="995">
        <f>'[1]4-MFP_&amp;_Other_Funded'!CE73</f>
        <v>305</v>
      </c>
      <c r="H68" s="995">
        <f>'[1]4-MFP_&amp;_Other_Funded'!CG73</f>
        <v>235</v>
      </c>
      <c r="I68" s="995">
        <f>'[1]4-MFP_&amp;_Other_Funded'!CI73</f>
        <v>279</v>
      </c>
      <c r="J68" s="995">
        <f>'[1]4-MFP_&amp;_Other_Funded'!CK73</f>
        <v>280</v>
      </c>
      <c r="K68" s="995">
        <f>'[1]4-MFP_&amp;_Other_Funded'!CM73</f>
        <v>242</v>
      </c>
      <c r="L68" s="995">
        <f>'[1]4-MFP_&amp;_Other_Funded'!CO73</f>
        <v>235</v>
      </c>
      <c r="M68" s="995">
        <f>'[1]4-MFP_&amp;_Other_Funded'!CQ73</f>
        <v>304</v>
      </c>
      <c r="N68" s="995">
        <f>'[1]4-MFP_&amp;_Other_Funded'!CS73</f>
        <v>263</v>
      </c>
      <c r="O68" s="995">
        <f>'[1]4-MFP_&amp;_Other_Funded'!CU73</f>
        <v>270</v>
      </c>
      <c r="P68" s="995">
        <f>'[1]4-MFP_&amp;_Other_Funded'!CW73</f>
        <v>218</v>
      </c>
      <c r="Q68" s="995">
        <f>'[1]4-MFP_&amp;_Other_Funded'!CY73</f>
        <v>179</v>
      </c>
      <c r="R68" s="996">
        <f t="shared" si="9"/>
        <v>3357</v>
      </c>
      <c r="S68" s="997"/>
      <c r="T68" s="998">
        <v>3357</v>
      </c>
      <c r="U68" s="998">
        <f t="shared" si="10"/>
        <v>0</v>
      </c>
      <c r="V68" s="999">
        <f t="shared" si="11"/>
        <v>0</v>
      </c>
      <c r="W68" s="998" t="str">
        <f t="shared" si="12"/>
        <v> </v>
      </c>
      <c r="X68" s="998" t="str">
        <f t="shared" si="13"/>
        <v> </v>
      </c>
      <c r="Y68" s="998">
        <f t="shared" si="14"/>
        <v>3357</v>
      </c>
      <c r="Z68" s="998">
        <f t="shared" si="15"/>
        <v>0</v>
      </c>
      <c r="AC68" s="1007"/>
    </row>
    <row r="69" spans="1:29" ht="12.75">
      <c r="A69" s="835">
        <v>62</v>
      </c>
      <c r="B69" s="994" t="s">
        <v>698</v>
      </c>
      <c r="C69" s="995">
        <f>'[1]4-MFP_&amp;_Other_Funded'!BU74</f>
        <v>0</v>
      </c>
      <c r="D69" s="995">
        <f>'[1]4-MFP_&amp;_Other_Funded'!BW74</f>
        <v>39</v>
      </c>
      <c r="E69" s="995">
        <f>'[1]4-MFP_&amp;_Other_Funded'!CA74</f>
        <v>164</v>
      </c>
      <c r="F69" s="995">
        <f>'[1]4-MFP_&amp;_Other_Funded'!CC74</f>
        <v>195</v>
      </c>
      <c r="G69" s="995">
        <f>'[1]4-MFP_&amp;_Other_Funded'!CE74</f>
        <v>155</v>
      </c>
      <c r="H69" s="995">
        <f>'[1]4-MFP_&amp;_Other_Funded'!CG74</f>
        <v>155</v>
      </c>
      <c r="I69" s="995">
        <f>'[1]4-MFP_&amp;_Other_Funded'!CI74</f>
        <v>169</v>
      </c>
      <c r="J69" s="995">
        <f>'[1]4-MFP_&amp;_Other_Funded'!CK74</f>
        <v>161</v>
      </c>
      <c r="K69" s="995">
        <f>'[1]4-MFP_&amp;_Other_Funded'!CM74</f>
        <v>169</v>
      </c>
      <c r="L69" s="995">
        <f>'[1]4-MFP_&amp;_Other_Funded'!CO74</f>
        <v>196</v>
      </c>
      <c r="M69" s="995">
        <f>'[1]4-MFP_&amp;_Other_Funded'!CQ74</f>
        <v>200</v>
      </c>
      <c r="N69" s="995">
        <f>'[1]4-MFP_&amp;_Other_Funded'!CS74</f>
        <v>208</v>
      </c>
      <c r="O69" s="995">
        <f>'[1]4-MFP_&amp;_Other_Funded'!CU74</f>
        <v>133</v>
      </c>
      <c r="P69" s="995">
        <f>'[1]4-MFP_&amp;_Other_Funded'!CW74</f>
        <v>117</v>
      </c>
      <c r="Q69" s="995">
        <f>'[1]4-MFP_&amp;_Other_Funded'!CY74</f>
        <v>116</v>
      </c>
      <c r="R69" s="996">
        <f t="shared" si="9"/>
        <v>2177</v>
      </c>
      <c r="S69" s="997"/>
      <c r="T69" s="998">
        <v>2337</v>
      </c>
      <c r="U69" s="998">
        <f t="shared" si="10"/>
        <v>-160</v>
      </c>
      <c r="V69" s="999">
        <f t="shared" si="11"/>
        <v>-0.0685</v>
      </c>
      <c r="W69" s="998" t="str">
        <f t="shared" si="12"/>
        <v> </v>
      </c>
      <c r="X69" s="998">
        <f t="shared" si="13"/>
        <v>-160</v>
      </c>
      <c r="Y69" s="998">
        <f t="shared" si="14"/>
        <v>2177</v>
      </c>
      <c r="Z69" s="998">
        <f t="shared" si="15"/>
        <v>0</v>
      </c>
      <c r="AC69" s="1007"/>
    </row>
    <row r="70" spans="1:29" ht="12.75">
      <c r="A70" s="835">
        <v>63</v>
      </c>
      <c r="B70" s="994" t="s">
        <v>699</v>
      </c>
      <c r="C70" s="995">
        <f>'[1]4-MFP_&amp;_Other_Funded'!BU75</f>
        <v>0</v>
      </c>
      <c r="D70" s="995">
        <f>'[1]4-MFP_&amp;_Other_Funded'!BW75</f>
        <v>28</v>
      </c>
      <c r="E70" s="995">
        <f>'[1]4-MFP_&amp;_Other_Funded'!CA75</f>
        <v>170</v>
      </c>
      <c r="F70" s="995">
        <f>'[1]4-MFP_&amp;_Other_Funded'!CC75</f>
        <v>188</v>
      </c>
      <c r="G70" s="995">
        <f>'[1]4-MFP_&amp;_Other_Funded'!CE75</f>
        <v>163</v>
      </c>
      <c r="H70" s="995">
        <f>'[1]4-MFP_&amp;_Other_Funded'!CG75</f>
        <v>156</v>
      </c>
      <c r="I70" s="995">
        <f>'[1]4-MFP_&amp;_Other_Funded'!CI75</f>
        <v>179</v>
      </c>
      <c r="J70" s="995">
        <f>'[1]4-MFP_&amp;_Other_Funded'!CK75</f>
        <v>186</v>
      </c>
      <c r="K70" s="995">
        <f>'[1]4-MFP_&amp;_Other_Funded'!CM75</f>
        <v>174</v>
      </c>
      <c r="L70" s="995">
        <f>'[1]4-MFP_&amp;_Other_Funded'!CO75</f>
        <v>205</v>
      </c>
      <c r="M70" s="995">
        <f>'[1]4-MFP_&amp;_Other_Funded'!CQ75</f>
        <v>184</v>
      </c>
      <c r="N70" s="995">
        <f>'[1]4-MFP_&amp;_Other_Funded'!CS75</f>
        <v>178</v>
      </c>
      <c r="O70" s="995">
        <f>'[1]4-MFP_&amp;_Other_Funded'!CU75</f>
        <v>165</v>
      </c>
      <c r="P70" s="995">
        <f>'[1]4-MFP_&amp;_Other_Funded'!CW75</f>
        <v>151</v>
      </c>
      <c r="Q70" s="995">
        <f>'[1]4-MFP_&amp;_Other_Funded'!CY75</f>
        <v>154</v>
      </c>
      <c r="R70" s="996">
        <f t="shared" si="9"/>
        <v>2281</v>
      </c>
      <c r="S70" s="997"/>
      <c r="T70" s="998">
        <v>2269</v>
      </c>
      <c r="U70" s="998">
        <f t="shared" si="10"/>
        <v>12</v>
      </c>
      <c r="V70" s="999">
        <f t="shared" si="11"/>
        <v>0.0053</v>
      </c>
      <c r="W70" s="998">
        <f t="shared" si="12"/>
        <v>12</v>
      </c>
      <c r="X70" s="998" t="str">
        <f t="shared" si="13"/>
        <v> </v>
      </c>
      <c r="Y70" s="998">
        <f t="shared" si="14"/>
        <v>2281</v>
      </c>
      <c r="Z70" s="998">
        <f t="shared" si="15"/>
        <v>0</v>
      </c>
      <c r="AC70" s="1007"/>
    </row>
    <row r="71" spans="1:29" ht="12.75">
      <c r="A71" s="835">
        <v>64</v>
      </c>
      <c r="B71" s="994" t="s">
        <v>700</v>
      </c>
      <c r="C71" s="995">
        <f>'[1]4-MFP_&amp;_Other_Funded'!BU76</f>
        <v>4</v>
      </c>
      <c r="D71" s="995">
        <f>'[1]4-MFP_&amp;_Other_Funded'!BW76</f>
        <v>36</v>
      </c>
      <c r="E71" s="995">
        <f>'[1]4-MFP_&amp;_Other_Funded'!CA76</f>
        <v>219</v>
      </c>
      <c r="F71" s="995">
        <f>'[1]4-MFP_&amp;_Other_Funded'!CC76</f>
        <v>251</v>
      </c>
      <c r="G71" s="995">
        <f>'[1]4-MFP_&amp;_Other_Funded'!CE76</f>
        <v>211</v>
      </c>
      <c r="H71" s="995">
        <f>'[1]4-MFP_&amp;_Other_Funded'!CG76</f>
        <v>196</v>
      </c>
      <c r="I71" s="995">
        <f>'[1]4-MFP_&amp;_Other_Funded'!CI76</f>
        <v>226</v>
      </c>
      <c r="J71" s="995">
        <f>'[1]4-MFP_&amp;_Other_Funded'!CK76</f>
        <v>201</v>
      </c>
      <c r="K71" s="995">
        <f>'[1]4-MFP_&amp;_Other_Funded'!CM76</f>
        <v>183</v>
      </c>
      <c r="L71" s="995">
        <f>'[1]4-MFP_&amp;_Other_Funded'!CO76</f>
        <v>218</v>
      </c>
      <c r="M71" s="995">
        <f>'[1]4-MFP_&amp;_Other_Funded'!CQ76</f>
        <v>194</v>
      </c>
      <c r="N71" s="995">
        <f>'[1]4-MFP_&amp;_Other_Funded'!CS76</f>
        <v>234</v>
      </c>
      <c r="O71" s="995">
        <f>'[1]4-MFP_&amp;_Other_Funded'!CU76</f>
        <v>146</v>
      </c>
      <c r="P71" s="995">
        <f>'[1]4-MFP_&amp;_Other_Funded'!CW76</f>
        <v>131</v>
      </c>
      <c r="Q71" s="995">
        <f>'[1]4-MFP_&amp;_Other_Funded'!CY76</f>
        <v>144</v>
      </c>
      <c r="R71" s="996">
        <f t="shared" si="9"/>
        <v>2594</v>
      </c>
      <c r="S71" s="997"/>
      <c r="T71" s="998">
        <v>2689</v>
      </c>
      <c r="U71" s="998">
        <f t="shared" si="10"/>
        <v>-95</v>
      </c>
      <c r="V71" s="999">
        <f t="shared" si="11"/>
        <v>-0.0353</v>
      </c>
      <c r="W71" s="998" t="str">
        <f t="shared" si="12"/>
        <v> </v>
      </c>
      <c r="X71" s="998">
        <f t="shared" si="13"/>
        <v>-95</v>
      </c>
      <c r="Y71" s="998">
        <f t="shared" si="14"/>
        <v>2594</v>
      </c>
      <c r="Z71" s="998">
        <f t="shared" si="15"/>
        <v>0</v>
      </c>
      <c r="AC71" s="1007"/>
    </row>
    <row r="72" spans="1:29" ht="12.75">
      <c r="A72" s="838">
        <v>65</v>
      </c>
      <c r="B72" s="1000" t="s">
        <v>179</v>
      </c>
      <c r="C72" s="1001">
        <f>'[1]4-MFP_&amp;_Other_Funded'!BU77</f>
        <v>1</v>
      </c>
      <c r="D72" s="1001">
        <f>'[1]4-MFP_&amp;_Other_Funded'!BW77</f>
        <v>78</v>
      </c>
      <c r="E72" s="1001">
        <f>'[1]4-MFP_&amp;_Other_Funded'!CA77</f>
        <v>856</v>
      </c>
      <c r="F72" s="1001">
        <f>'[1]4-MFP_&amp;_Other_Funded'!CC77</f>
        <v>764</v>
      </c>
      <c r="G72" s="1001">
        <f>'[1]4-MFP_&amp;_Other_Funded'!CE77</f>
        <v>721</v>
      </c>
      <c r="H72" s="1001">
        <f>'[1]4-MFP_&amp;_Other_Funded'!CG77</f>
        <v>634</v>
      </c>
      <c r="I72" s="1001">
        <f>'[1]4-MFP_&amp;_Other_Funded'!CI77</f>
        <v>640</v>
      </c>
      <c r="J72" s="1001">
        <f>'[1]4-MFP_&amp;_Other_Funded'!CK77</f>
        <v>711</v>
      </c>
      <c r="K72" s="1001">
        <f>'[1]4-MFP_&amp;_Other_Funded'!CM77</f>
        <v>681</v>
      </c>
      <c r="L72" s="1001">
        <f>'[1]4-MFP_&amp;_Other_Funded'!CO77</f>
        <v>792</v>
      </c>
      <c r="M72" s="1001">
        <f>'[1]4-MFP_&amp;_Other_Funded'!CQ77</f>
        <v>712</v>
      </c>
      <c r="N72" s="1001">
        <f>'[1]4-MFP_&amp;_Other_Funded'!CS77</f>
        <v>857</v>
      </c>
      <c r="O72" s="1001">
        <f>'[1]4-MFP_&amp;_Other_Funded'!CU77</f>
        <v>450</v>
      </c>
      <c r="P72" s="1001">
        <f>'[1]4-MFP_&amp;_Other_Funded'!CW77</f>
        <v>431</v>
      </c>
      <c r="Q72" s="1001">
        <f>'[1]4-MFP_&amp;_Other_Funded'!CY77</f>
        <v>439</v>
      </c>
      <c r="R72" s="1002">
        <f>SUM(C72:Q72)</f>
        <v>8767</v>
      </c>
      <c r="S72" s="1003"/>
      <c r="T72" s="1004">
        <v>9046</v>
      </c>
      <c r="U72" s="1004">
        <f>+R72-T72</f>
        <v>-279</v>
      </c>
      <c r="V72" s="1005">
        <f>ROUND(U72/T72,4)</f>
        <v>-0.0308</v>
      </c>
      <c r="W72" s="1004" t="str">
        <f t="shared" si="12"/>
        <v> </v>
      </c>
      <c r="X72" s="1004">
        <f t="shared" si="13"/>
        <v>-279</v>
      </c>
      <c r="Y72" s="1004">
        <f t="shared" si="14"/>
        <v>8767</v>
      </c>
      <c r="Z72" s="1004">
        <f>Y72-R72</f>
        <v>0</v>
      </c>
      <c r="AC72" s="1007"/>
    </row>
    <row r="73" spans="1:29" ht="12.75">
      <c r="A73" s="835">
        <v>66</v>
      </c>
      <c r="B73" s="994" t="s">
        <v>180</v>
      </c>
      <c r="C73" s="995">
        <f>'[1]4-MFP_&amp;_Other_Funded'!BU78</f>
        <v>0</v>
      </c>
      <c r="D73" s="995">
        <f>'[1]4-MFP_&amp;_Other_Funded'!BW78</f>
        <v>22</v>
      </c>
      <c r="E73" s="995">
        <f>'[1]4-MFP_&amp;_Other_Funded'!CA78</f>
        <v>231</v>
      </c>
      <c r="F73" s="995">
        <f>'[1]4-MFP_&amp;_Other_Funded'!CC78</f>
        <v>209</v>
      </c>
      <c r="G73" s="995">
        <f>'[1]4-MFP_&amp;_Other_Funded'!CE78</f>
        <v>195</v>
      </c>
      <c r="H73" s="995">
        <f>'[1]4-MFP_&amp;_Other_Funded'!CG78</f>
        <v>192</v>
      </c>
      <c r="I73" s="995">
        <f>'[1]4-MFP_&amp;_Other_Funded'!CI78</f>
        <v>216</v>
      </c>
      <c r="J73" s="995">
        <f>'[1]4-MFP_&amp;_Other_Funded'!CK78</f>
        <v>167</v>
      </c>
      <c r="K73" s="995">
        <f>'[1]4-MFP_&amp;_Other_Funded'!CM78</f>
        <v>148</v>
      </c>
      <c r="L73" s="995">
        <f>'[1]4-MFP_&amp;_Other_Funded'!CO78</f>
        <v>183</v>
      </c>
      <c r="M73" s="995">
        <f>'[1]4-MFP_&amp;_Other_Funded'!CQ78</f>
        <v>168</v>
      </c>
      <c r="N73" s="995">
        <f>'[1]4-MFP_&amp;_Other_Funded'!CS78</f>
        <v>203</v>
      </c>
      <c r="O73" s="995">
        <f>'[1]4-MFP_&amp;_Other_Funded'!CU78</f>
        <v>115</v>
      </c>
      <c r="P73" s="995">
        <f>'[1]4-MFP_&amp;_Other_Funded'!CW78</f>
        <v>119</v>
      </c>
      <c r="Q73" s="995">
        <f>'[1]4-MFP_&amp;_Other_Funded'!CY78</f>
        <v>147</v>
      </c>
      <c r="R73" s="996">
        <f>SUM(C73:Q73)</f>
        <v>2315</v>
      </c>
      <c r="S73" s="997"/>
      <c r="T73" s="998">
        <v>2768</v>
      </c>
      <c r="U73" s="998">
        <f>+R73-T73</f>
        <v>-453</v>
      </c>
      <c r="V73" s="999">
        <f>ROUND(U73/T73,4)</f>
        <v>-0.1637</v>
      </c>
      <c r="W73" s="998" t="str">
        <f t="shared" si="12"/>
        <v> </v>
      </c>
      <c r="X73" s="998">
        <f t="shared" si="13"/>
        <v>-453</v>
      </c>
      <c r="Y73" s="998">
        <f t="shared" si="14"/>
        <v>2491</v>
      </c>
      <c r="Z73" s="998">
        <f>Y73-R73</f>
        <v>176</v>
      </c>
      <c r="AA73" s="1006">
        <f>ROUND(Y73/T73,2)</f>
        <v>0.9</v>
      </c>
      <c r="AB73" s="1007">
        <v>161</v>
      </c>
      <c r="AC73" s="1007"/>
    </row>
    <row r="74" spans="1:26" ht="12.75">
      <c r="A74" s="1013">
        <v>67</v>
      </c>
      <c r="B74" s="994" t="s">
        <v>181</v>
      </c>
      <c r="C74" s="995">
        <f>'[1]4-MFP_&amp;_Other_Funded'!BU79</f>
        <v>0</v>
      </c>
      <c r="D74" s="995">
        <f>'[1]4-MFP_&amp;_Other_Funded'!BW79</f>
        <v>38</v>
      </c>
      <c r="E74" s="995">
        <f>'[1]4-MFP_&amp;_Other_Funded'!CA79</f>
        <v>241</v>
      </c>
      <c r="F74" s="995">
        <f>'[1]4-MFP_&amp;_Other_Funded'!CC79</f>
        <v>262</v>
      </c>
      <c r="G74" s="995">
        <f>'[1]4-MFP_&amp;_Other_Funded'!CE79</f>
        <v>271</v>
      </c>
      <c r="H74" s="995">
        <f>'[1]4-MFP_&amp;_Other_Funded'!CG79</f>
        <v>247</v>
      </c>
      <c r="I74" s="995">
        <f>'[1]4-MFP_&amp;_Other_Funded'!CI79</f>
        <v>283</v>
      </c>
      <c r="J74" s="995">
        <f>'[1]4-MFP_&amp;_Other_Funded'!CK79</f>
        <v>259</v>
      </c>
      <c r="K74" s="995">
        <f>'[1]4-MFP_&amp;_Other_Funded'!CM79</f>
        <v>278</v>
      </c>
      <c r="L74" s="995">
        <f>'[1]4-MFP_&amp;_Other_Funded'!CO79</f>
        <v>275</v>
      </c>
      <c r="M74" s="995">
        <f>'[1]4-MFP_&amp;_Other_Funded'!CQ79</f>
        <v>332</v>
      </c>
      <c r="N74" s="995">
        <f>'[1]4-MFP_&amp;_Other_Funded'!CS79</f>
        <v>294</v>
      </c>
      <c r="O74" s="995">
        <f>'[1]4-MFP_&amp;_Other_Funded'!CU79</f>
        <v>231</v>
      </c>
      <c r="P74" s="995">
        <f>'[1]4-MFP_&amp;_Other_Funded'!CW79</f>
        <v>207</v>
      </c>
      <c r="Q74" s="995">
        <f>'[1]4-MFP_&amp;_Other_Funded'!CY79</f>
        <v>225</v>
      </c>
      <c r="R74" s="996">
        <f>SUM(C74:Q74)</f>
        <v>3443</v>
      </c>
      <c r="S74" s="997"/>
      <c r="T74" s="1014">
        <v>3200</v>
      </c>
      <c r="U74" s="998">
        <f>+R74-T74</f>
        <v>243</v>
      </c>
      <c r="V74" s="999">
        <f>ROUND(U74/T74,4)</f>
        <v>0.0759</v>
      </c>
      <c r="W74" s="998">
        <f t="shared" si="12"/>
        <v>243</v>
      </c>
      <c r="X74" s="998" t="str">
        <f t="shared" si="13"/>
        <v> </v>
      </c>
      <c r="Y74" s="998">
        <f t="shared" si="14"/>
        <v>3443</v>
      </c>
      <c r="Z74" s="998">
        <f>Y74-R74</f>
        <v>0</v>
      </c>
    </row>
    <row r="75" spans="1:26" ht="12.75">
      <c r="A75" s="1013">
        <v>68</v>
      </c>
      <c r="B75" s="994" t="s">
        <v>182</v>
      </c>
      <c r="C75" s="995">
        <f>'[1]4-MFP_&amp;_Other_Funded'!BU80</f>
        <v>0</v>
      </c>
      <c r="D75" s="995">
        <f>'[1]4-MFP_&amp;_Other_Funded'!BW80</f>
        <v>7</v>
      </c>
      <c r="E75" s="995">
        <f>'[1]4-MFP_&amp;_Other_Funded'!CA80</f>
        <v>219</v>
      </c>
      <c r="F75" s="995">
        <f>'[1]4-MFP_&amp;_Other_Funded'!CC80</f>
        <v>186</v>
      </c>
      <c r="G75" s="995">
        <f>'[1]4-MFP_&amp;_Other_Funded'!CE80</f>
        <v>170</v>
      </c>
      <c r="H75" s="995">
        <f>'[1]4-MFP_&amp;_Other_Funded'!CG80</f>
        <v>154</v>
      </c>
      <c r="I75" s="995">
        <f>'[1]4-MFP_&amp;_Other_Funded'!CI80</f>
        <v>212</v>
      </c>
      <c r="J75" s="995">
        <f>'[1]4-MFP_&amp;_Other_Funded'!CK80</f>
        <v>156</v>
      </c>
      <c r="K75" s="995">
        <f>'[1]4-MFP_&amp;_Other_Funded'!CM80</f>
        <v>172</v>
      </c>
      <c r="L75" s="995">
        <f>'[1]4-MFP_&amp;_Other_Funded'!CO80</f>
        <v>202</v>
      </c>
      <c r="M75" s="995">
        <f>'[1]4-MFP_&amp;_Other_Funded'!CQ80</f>
        <v>197</v>
      </c>
      <c r="N75" s="995">
        <f>'[1]4-MFP_&amp;_Other_Funded'!CS80</f>
        <v>122</v>
      </c>
      <c r="O75" s="995">
        <f>'[1]4-MFP_&amp;_Other_Funded'!CU80</f>
        <v>136</v>
      </c>
      <c r="P75" s="995">
        <f>'[1]4-MFP_&amp;_Other_Funded'!CW80</f>
        <v>141</v>
      </c>
      <c r="Q75" s="995">
        <f>'[1]4-MFP_&amp;_Other_Funded'!CY80</f>
        <v>108</v>
      </c>
      <c r="R75" s="996">
        <f>SUM(C75:Q75)</f>
        <v>2182</v>
      </c>
      <c r="S75" s="997"/>
      <c r="T75" s="1014">
        <v>2096</v>
      </c>
      <c r="U75" s="998">
        <f>+R75-T75</f>
        <v>86</v>
      </c>
      <c r="V75" s="999">
        <f>ROUND(U75/T75,4)</f>
        <v>0.041</v>
      </c>
      <c r="W75" s="998">
        <f t="shared" si="12"/>
        <v>86</v>
      </c>
      <c r="X75" s="998" t="str">
        <f t="shared" si="13"/>
        <v> </v>
      </c>
      <c r="Y75" s="998">
        <f t="shared" si="14"/>
        <v>2182</v>
      </c>
      <c r="Z75" s="998">
        <f>Y75-R75</f>
        <v>0</v>
      </c>
    </row>
    <row r="76" spans="1:29" ht="13.5" thickBot="1">
      <c r="A76" s="1015"/>
      <c r="B76" s="1016" t="s">
        <v>701</v>
      </c>
      <c r="C76" s="1017">
        <f aca="true" t="shared" si="16" ref="C76:R76">SUM(C8:C75)</f>
        <v>667</v>
      </c>
      <c r="D76" s="1018">
        <f t="shared" si="16"/>
        <v>7265</v>
      </c>
      <c r="E76" s="1018">
        <f t="shared" si="16"/>
        <v>52941</v>
      </c>
      <c r="F76" s="1018">
        <f t="shared" si="16"/>
        <v>53666</v>
      </c>
      <c r="G76" s="1018">
        <f t="shared" si="16"/>
        <v>49275</v>
      </c>
      <c r="H76" s="1018">
        <f t="shared" si="16"/>
        <v>48320</v>
      </c>
      <c r="I76" s="1018">
        <f t="shared" si="16"/>
        <v>52665</v>
      </c>
      <c r="J76" s="1018">
        <f t="shared" si="16"/>
        <v>47136</v>
      </c>
      <c r="K76" s="1018">
        <f t="shared" si="16"/>
        <v>47596</v>
      </c>
      <c r="L76" s="1018">
        <f t="shared" si="16"/>
        <v>49752</v>
      </c>
      <c r="M76" s="1018">
        <f t="shared" si="16"/>
        <v>52576</v>
      </c>
      <c r="N76" s="1018">
        <f t="shared" si="16"/>
        <v>50194</v>
      </c>
      <c r="O76" s="1018">
        <f t="shared" si="16"/>
        <v>41573</v>
      </c>
      <c r="P76" s="1018">
        <f t="shared" si="16"/>
        <v>37270</v>
      </c>
      <c r="Q76" s="1018">
        <f t="shared" si="16"/>
        <v>35747</v>
      </c>
      <c r="R76" s="1018">
        <f t="shared" si="16"/>
        <v>626643</v>
      </c>
      <c r="S76" s="1017"/>
      <c r="T76" s="1019">
        <f>SUM(T8:T75)</f>
        <v>700711</v>
      </c>
      <c r="U76" s="1018">
        <f>SUM(U8:U75)</f>
        <v>-74068</v>
      </c>
      <c r="V76" s="1020">
        <f>ROUND(U76/T76,4)</f>
        <v>-0.1057</v>
      </c>
      <c r="W76" s="1018">
        <f>SUM(W8:W75)</f>
        <v>5818</v>
      </c>
      <c r="X76" s="1018">
        <f>SUM(X8:X75)</f>
        <v>-79886</v>
      </c>
      <c r="Y76" s="1018">
        <f>SUM(Y8:Y75)</f>
        <v>645747</v>
      </c>
      <c r="Z76" s="1018">
        <f>SUM(Z8:Z75)</f>
        <v>19104</v>
      </c>
      <c r="AC76" s="1018">
        <f>SUM(AC8:AC75)</f>
        <v>0</v>
      </c>
    </row>
    <row r="77" spans="2:36" ht="28.5" customHeight="1" thickTop="1">
      <c r="B77" s="1175"/>
      <c r="C77" s="1176"/>
      <c r="D77" s="1176"/>
      <c r="E77" s="1176"/>
      <c r="F77" s="1176"/>
      <c r="G77" s="1176"/>
      <c r="H77" s="1176"/>
      <c r="I77" s="1176"/>
      <c r="J77" s="1176"/>
      <c r="K77" s="1176"/>
      <c r="L77" s="1176"/>
      <c r="M77" s="1176"/>
      <c r="N77" s="1165"/>
      <c r="O77" s="1165"/>
      <c r="P77" s="1165"/>
      <c r="Q77" s="1165"/>
      <c r="R77" s="1021"/>
      <c r="S77" s="1021"/>
      <c r="T77" s="1022"/>
      <c r="U77" s="1022"/>
      <c r="V77" s="1021"/>
      <c r="W77" s="759"/>
      <c r="X77" s="759"/>
      <c r="Y77" s="759"/>
      <c r="Z77" s="759"/>
      <c r="AA77" s="759"/>
      <c r="AB77" s="759"/>
      <c r="AC77" s="759"/>
      <c r="AD77" s="759"/>
      <c r="AE77" s="759"/>
      <c r="AF77" s="759"/>
      <c r="AG77" s="759"/>
      <c r="AH77" s="759"/>
      <c r="AI77" s="759"/>
      <c r="AJ77" s="759"/>
    </row>
    <row r="78" spans="19:20" ht="12.75">
      <c r="S78"/>
      <c r="T78" s="1023"/>
    </row>
    <row r="79" ht="12.75">
      <c r="S79"/>
    </row>
    <row r="80" spans="3:21" ht="12.75">
      <c r="C80" s="1024"/>
      <c r="T80">
        <f>65219-219-1+2</f>
        <v>65001</v>
      </c>
      <c r="U80" t="s">
        <v>702</v>
      </c>
    </row>
    <row r="81" spans="13:25" ht="60.75" customHeight="1">
      <c r="M81" s="1025"/>
      <c r="Y81" s="300"/>
    </row>
    <row r="82" ht="12.75">
      <c r="S82"/>
    </row>
    <row r="83" spans="18:20" ht="12.75">
      <c r="R83" t="s">
        <v>703</v>
      </c>
      <c r="S83"/>
      <c r="T83">
        <v>3014</v>
      </c>
    </row>
    <row r="84" spans="18:20" ht="12.75">
      <c r="R84" t="s">
        <v>704</v>
      </c>
      <c r="S84"/>
      <c r="T84">
        <v>2224</v>
      </c>
    </row>
    <row r="85" ht="12.75">
      <c r="S85"/>
    </row>
    <row r="86" ht="12.75">
      <c r="S86"/>
    </row>
    <row r="87" ht="12.75">
      <c r="S87"/>
    </row>
    <row r="88" ht="12.75">
      <c r="S88"/>
    </row>
    <row r="89" ht="12.75">
      <c r="S89"/>
    </row>
    <row r="90" ht="12.75">
      <c r="S90"/>
    </row>
    <row r="91" ht="12.75">
      <c r="S91"/>
    </row>
    <row r="92" ht="12.75">
      <c r="S92"/>
    </row>
    <row r="93" ht="12.75">
      <c r="S93"/>
    </row>
    <row r="94" ht="12.75">
      <c r="S94"/>
    </row>
    <row r="95" ht="12.75">
      <c r="S95"/>
    </row>
    <row r="96" ht="12.75">
      <c r="S96"/>
    </row>
    <row r="97" ht="12.75">
      <c r="S97"/>
    </row>
    <row r="98" ht="12.75">
      <c r="S98"/>
    </row>
    <row r="99" ht="12.75">
      <c r="S99"/>
    </row>
    <row r="100" ht="12.75">
      <c r="S100"/>
    </row>
    <row r="101" ht="12.75">
      <c r="S101"/>
    </row>
    <row r="102" ht="12.75">
      <c r="S102"/>
    </row>
    <row r="103" ht="12.75">
      <c r="S103"/>
    </row>
    <row r="104" ht="12.75">
      <c r="S104"/>
    </row>
    <row r="105" ht="12.75">
      <c r="S105"/>
    </row>
    <row r="106" ht="12.75">
      <c r="S106"/>
    </row>
    <row r="107" ht="12.75">
      <c r="S107"/>
    </row>
    <row r="108" ht="12.75">
      <c r="S108"/>
    </row>
    <row r="109" ht="12.75">
      <c r="S109"/>
    </row>
    <row r="110" ht="12.75">
      <c r="S110"/>
    </row>
    <row r="111" ht="12.75">
      <c r="S111"/>
    </row>
    <row r="112" ht="12.75">
      <c r="S112"/>
    </row>
    <row r="113" ht="12.75">
      <c r="S113"/>
    </row>
    <row r="114" ht="12.75">
      <c r="S114"/>
    </row>
    <row r="115" ht="12.75">
      <c r="S115"/>
    </row>
    <row r="116" ht="12.75">
      <c r="S116"/>
    </row>
    <row r="117" ht="12.75">
      <c r="S117"/>
    </row>
    <row r="118" ht="12.75">
      <c r="S118"/>
    </row>
    <row r="119" ht="12.75">
      <c r="S119"/>
    </row>
    <row r="120" ht="12.75">
      <c r="S120"/>
    </row>
    <row r="121" ht="12.75">
      <c r="S121"/>
    </row>
    <row r="122" ht="12.75">
      <c r="S122"/>
    </row>
    <row r="123" ht="12.75">
      <c r="S123"/>
    </row>
    <row r="124" ht="12.75">
      <c r="S124"/>
    </row>
    <row r="125" ht="12.75">
      <c r="S125"/>
    </row>
    <row r="126" ht="12.75">
      <c r="S126"/>
    </row>
    <row r="127" ht="12.75">
      <c r="S127"/>
    </row>
    <row r="128" ht="12.75">
      <c r="S128"/>
    </row>
    <row r="129" ht="12.75">
      <c r="S129"/>
    </row>
    <row r="130" ht="12.75">
      <c r="S130"/>
    </row>
    <row r="131" ht="12.75">
      <c r="S131"/>
    </row>
    <row r="132" ht="12.75">
      <c r="S132"/>
    </row>
    <row r="133" ht="12.75">
      <c r="S133"/>
    </row>
    <row r="134" ht="12.75">
      <c r="S134"/>
    </row>
    <row r="135" ht="12.75">
      <c r="S135"/>
    </row>
    <row r="136" ht="12.75">
      <c r="S136"/>
    </row>
    <row r="137" ht="12.75">
      <c r="S137"/>
    </row>
    <row r="138" ht="12.75">
      <c r="S138"/>
    </row>
    <row r="139" ht="12.75">
      <c r="S139"/>
    </row>
    <row r="140" ht="12.75">
      <c r="S140"/>
    </row>
    <row r="141" ht="12.75">
      <c r="S141"/>
    </row>
    <row r="142" ht="12.75">
      <c r="S142"/>
    </row>
    <row r="143" ht="12.75">
      <c r="S143"/>
    </row>
    <row r="144" ht="12.75">
      <c r="S144"/>
    </row>
    <row r="145" ht="12.75">
      <c r="S145"/>
    </row>
    <row r="146" ht="12.75">
      <c r="S146"/>
    </row>
    <row r="147" ht="12.75">
      <c r="S147"/>
    </row>
    <row r="148" ht="12.75">
      <c r="S148"/>
    </row>
    <row r="149" ht="12.75">
      <c r="S149"/>
    </row>
    <row r="150" ht="12.75">
      <c r="S150"/>
    </row>
    <row r="151" ht="12.75">
      <c r="S151"/>
    </row>
    <row r="152" ht="12.75">
      <c r="S152"/>
    </row>
    <row r="153" ht="12.75">
      <c r="S153"/>
    </row>
    <row r="154" ht="12.75">
      <c r="S154"/>
    </row>
    <row r="155" ht="12.75">
      <c r="S155"/>
    </row>
    <row r="156" ht="12.75">
      <c r="S156"/>
    </row>
    <row r="157" ht="12.75">
      <c r="S157"/>
    </row>
    <row r="158" ht="12.75">
      <c r="S158"/>
    </row>
    <row r="159" ht="12.75">
      <c r="S159"/>
    </row>
    <row r="160" ht="12.75">
      <c r="S160"/>
    </row>
    <row r="161" ht="12.75">
      <c r="S161"/>
    </row>
    <row r="162" ht="12.75">
      <c r="S162"/>
    </row>
    <row r="163" ht="12.75">
      <c r="S163"/>
    </row>
    <row r="164" ht="12.75">
      <c r="S164"/>
    </row>
    <row r="165" ht="12.75">
      <c r="S165"/>
    </row>
    <row r="166" ht="12.75">
      <c r="S166"/>
    </row>
    <row r="167" ht="12.75">
      <c r="S167"/>
    </row>
    <row r="168" ht="12.75">
      <c r="S168"/>
    </row>
    <row r="169" ht="12.75">
      <c r="S169"/>
    </row>
    <row r="170" ht="12.75">
      <c r="S170"/>
    </row>
    <row r="171" ht="12.75">
      <c r="S171"/>
    </row>
    <row r="172" ht="12.75">
      <c r="S172"/>
    </row>
    <row r="173" ht="12.75">
      <c r="S173"/>
    </row>
    <row r="174" ht="12.75">
      <c r="S174"/>
    </row>
    <row r="175" ht="12.75">
      <c r="S175"/>
    </row>
    <row r="176" ht="12.75">
      <c r="S176"/>
    </row>
    <row r="177" ht="12.75">
      <c r="S177"/>
    </row>
    <row r="178" ht="12.75">
      <c r="S178"/>
    </row>
    <row r="179" ht="12.75">
      <c r="S179"/>
    </row>
    <row r="180" ht="12.75">
      <c r="S180"/>
    </row>
    <row r="181" ht="12.75">
      <c r="S181"/>
    </row>
    <row r="182" ht="12.75">
      <c r="S182"/>
    </row>
    <row r="183" ht="12.75">
      <c r="S183"/>
    </row>
    <row r="184" ht="12.75">
      <c r="S184"/>
    </row>
    <row r="185" ht="12.75">
      <c r="S185"/>
    </row>
    <row r="186" ht="12.75">
      <c r="S186"/>
    </row>
    <row r="187" ht="12.75">
      <c r="S187"/>
    </row>
    <row r="188" ht="12.75">
      <c r="S188"/>
    </row>
    <row r="189" ht="12.75">
      <c r="S189"/>
    </row>
    <row r="190" ht="12.75">
      <c r="S190"/>
    </row>
    <row r="191" ht="12.75">
      <c r="S191"/>
    </row>
    <row r="192" ht="12.75">
      <c r="S192"/>
    </row>
    <row r="193" ht="12.75">
      <c r="S193"/>
    </row>
    <row r="194" ht="12.75">
      <c r="S194"/>
    </row>
    <row r="195" ht="12.75">
      <c r="S195"/>
    </row>
    <row r="196" ht="12.75">
      <c r="S196"/>
    </row>
    <row r="197" ht="12.75">
      <c r="S197"/>
    </row>
    <row r="198" ht="12.75">
      <c r="S198"/>
    </row>
    <row r="199" ht="12.75">
      <c r="S199"/>
    </row>
    <row r="200" ht="12.75">
      <c r="S200"/>
    </row>
    <row r="201" ht="12.75">
      <c r="S201"/>
    </row>
    <row r="202" ht="12.75">
      <c r="S202"/>
    </row>
    <row r="203" ht="12.75">
      <c r="S203"/>
    </row>
    <row r="204" ht="12.75">
      <c r="S204"/>
    </row>
    <row r="205" ht="12.75">
      <c r="S205"/>
    </row>
    <row r="206" ht="12.75">
      <c r="S206"/>
    </row>
    <row r="207" ht="12.75">
      <c r="S207"/>
    </row>
    <row r="208" ht="12.75">
      <c r="S208"/>
    </row>
    <row r="209" ht="12.75">
      <c r="S209"/>
    </row>
    <row r="210" ht="12.75">
      <c r="S210"/>
    </row>
    <row r="211" ht="12.75">
      <c r="S211"/>
    </row>
    <row r="212" ht="12.75">
      <c r="S212"/>
    </row>
    <row r="213" ht="12.75">
      <c r="S213"/>
    </row>
    <row r="214" ht="12.75">
      <c r="S214"/>
    </row>
    <row r="215" ht="12.75">
      <c r="S215"/>
    </row>
    <row r="216" ht="12.75">
      <c r="S216"/>
    </row>
    <row r="217" ht="12.75">
      <c r="S217"/>
    </row>
    <row r="218" ht="12.75">
      <c r="S218"/>
    </row>
    <row r="219" ht="12.75">
      <c r="S219"/>
    </row>
    <row r="220" ht="12.75">
      <c r="S220"/>
    </row>
    <row r="221" ht="12.75">
      <c r="S221"/>
    </row>
    <row r="222" ht="12.75">
      <c r="S222"/>
    </row>
    <row r="223" ht="12.75">
      <c r="S223"/>
    </row>
    <row r="224" ht="12.75">
      <c r="S224"/>
    </row>
    <row r="225" ht="12.75">
      <c r="S225"/>
    </row>
    <row r="226" ht="12.75">
      <c r="S226"/>
    </row>
    <row r="227" ht="12.75">
      <c r="S227"/>
    </row>
    <row r="228" ht="12.75">
      <c r="S228"/>
    </row>
    <row r="229" ht="12.75">
      <c r="S229"/>
    </row>
    <row r="230" ht="12.75">
      <c r="S230"/>
    </row>
    <row r="231" ht="12.75">
      <c r="S231"/>
    </row>
    <row r="232" ht="12.75">
      <c r="S232"/>
    </row>
    <row r="233" ht="12.75">
      <c r="S233"/>
    </row>
    <row r="234" ht="12.75">
      <c r="S234"/>
    </row>
    <row r="235" ht="12.75">
      <c r="S235"/>
    </row>
    <row r="236" ht="12.75">
      <c r="S236"/>
    </row>
    <row r="237" ht="12.75">
      <c r="S237"/>
    </row>
    <row r="238" ht="12.75">
      <c r="S238"/>
    </row>
    <row r="239" ht="12.75">
      <c r="S239"/>
    </row>
    <row r="240" ht="12.75">
      <c r="S240"/>
    </row>
    <row r="241" ht="12.75">
      <c r="S241"/>
    </row>
    <row r="242" ht="12.75">
      <c r="S242"/>
    </row>
    <row r="243" ht="12.75">
      <c r="S243"/>
    </row>
    <row r="244" ht="12.75">
      <c r="S244"/>
    </row>
    <row r="245" ht="12.75">
      <c r="S245"/>
    </row>
    <row r="246" ht="12.75">
      <c r="S246"/>
    </row>
    <row r="247" ht="12.75">
      <c r="S247"/>
    </row>
    <row r="248" ht="12.75">
      <c r="S248"/>
    </row>
    <row r="249" ht="12.75">
      <c r="S249"/>
    </row>
    <row r="250" ht="12.75">
      <c r="S250"/>
    </row>
    <row r="251" ht="12.75">
      <c r="S251"/>
    </row>
    <row r="252" ht="12.75">
      <c r="S252"/>
    </row>
    <row r="253" ht="12.75">
      <c r="S253"/>
    </row>
    <row r="254" ht="12.75">
      <c r="S254"/>
    </row>
    <row r="255" ht="12.75">
      <c r="S255"/>
    </row>
    <row r="256" ht="12.75">
      <c r="S256"/>
    </row>
    <row r="257" ht="12.75">
      <c r="S257"/>
    </row>
    <row r="258" ht="12.75">
      <c r="S258"/>
    </row>
    <row r="259" ht="12.75">
      <c r="S259"/>
    </row>
    <row r="260" ht="12.75">
      <c r="S260"/>
    </row>
    <row r="261" ht="12.75">
      <c r="S261"/>
    </row>
    <row r="262" ht="12.75">
      <c r="S262"/>
    </row>
    <row r="263" ht="12.75">
      <c r="S263"/>
    </row>
    <row r="264" ht="12.75">
      <c r="S264"/>
    </row>
    <row r="265" ht="12.75">
      <c r="S265"/>
    </row>
    <row r="266" ht="12.75">
      <c r="S266"/>
    </row>
    <row r="267" ht="12.75">
      <c r="S267"/>
    </row>
    <row r="268" ht="12.75">
      <c r="S268"/>
    </row>
    <row r="269" ht="12.75">
      <c r="S269"/>
    </row>
    <row r="270" ht="12.75">
      <c r="S270"/>
    </row>
    <row r="271" ht="12.75">
      <c r="S271"/>
    </row>
    <row r="272" ht="12.75">
      <c r="S272"/>
    </row>
    <row r="273" ht="12.75">
      <c r="S273"/>
    </row>
    <row r="274" ht="12.75">
      <c r="S274"/>
    </row>
    <row r="275" ht="12.75">
      <c r="S275"/>
    </row>
    <row r="276" ht="12.75">
      <c r="S276"/>
    </row>
    <row r="277" ht="12.75">
      <c r="S277"/>
    </row>
    <row r="278" ht="12.75">
      <c r="S278"/>
    </row>
    <row r="279" ht="12.75">
      <c r="S279"/>
    </row>
    <row r="280" ht="12.75">
      <c r="S280"/>
    </row>
    <row r="281" ht="12.75">
      <c r="S281"/>
    </row>
    <row r="282" ht="12.75">
      <c r="S282"/>
    </row>
    <row r="283" ht="12.75">
      <c r="S283"/>
    </row>
    <row r="284" ht="12.75">
      <c r="S284"/>
    </row>
    <row r="285" ht="12.75">
      <c r="S285"/>
    </row>
    <row r="286" ht="12.75">
      <c r="S286"/>
    </row>
    <row r="287" ht="12.75">
      <c r="S287"/>
    </row>
    <row r="288" ht="12.75">
      <c r="S288"/>
    </row>
    <row r="289" ht="12.75">
      <c r="S289"/>
    </row>
    <row r="290" ht="12.75">
      <c r="S290"/>
    </row>
    <row r="291" ht="12.75">
      <c r="S291"/>
    </row>
    <row r="292" ht="12.75">
      <c r="S292"/>
    </row>
    <row r="293" ht="12.75">
      <c r="S293"/>
    </row>
    <row r="294" ht="12.75">
      <c r="S294"/>
    </row>
    <row r="295" ht="12.75">
      <c r="S295"/>
    </row>
    <row r="296" ht="12.75">
      <c r="S296"/>
    </row>
    <row r="297" ht="12.75">
      <c r="S297"/>
    </row>
    <row r="298" ht="12.75">
      <c r="S298"/>
    </row>
    <row r="299" ht="12.75">
      <c r="S299"/>
    </row>
    <row r="300" ht="12.75">
      <c r="S300"/>
    </row>
    <row r="301" ht="12.75">
      <c r="S301"/>
    </row>
    <row r="302" ht="12.75">
      <c r="S302"/>
    </row>
    <row r="303" ht="12.75">
      <c r="S303"/>
    </row>
    <row r="304" ht="12.75">
      <c r="S304"/>
    </row>
    <row r="305" ht="12.75">
      <c r="S305"/>
    </row>
    <row r="306" ht="12.75">
      <c r="S306"/>
    </row>
    <row r="307" ht="12.75">
      <c r="S307"/>
    </row>
    <row r="308" ht="12.75">
      <c r="S308"/>
    </row>
    <row r="309" ht="12.75">
      <c r="S309"/>
    </row>
    <row r="310" ht="12.75">
      <c r="S310"/>
    </row>
    <row r="311" ht="12.75">
      <c r="S311"/>
    </row>
    <row r="312" ht="12.75">
      <c r="S312"/>
    </row>
    <row r="313" ht="12.75">
      <c r="S313"/>
    </row>
    <row r="314" ht="12.75">
      <c r="S314"/>
    </row>
    <row r="315" ht="12.75">
      <c r="S315"/>
    </row>
    <row r="316" ht="12.75">
      <c r="S316"/>
    </row>
    <row r="317" ht="12.75">
      <c r="S317"/>
    </row>
    <row r="318" ht="12.75">
      <c r="S318"/>
    </row>
    <row r="319" ht="12.75">
      <c r="S319"/>
    </row>
    <row r="320" ht="12.75">
      <c r="S320"/>
    </row>
    <row r="321" ht="12.75">
      <c r="S321"/>
    </row>
    <row r="322" ht="12.75">
      <c r="S322"/>
    </row>
    <row r="323" ht="12.75">
      <c r="S323"/>
    </row>
    <row r="324" ht="12.75">
      <c r="S324"/>
    </row>
    <row r="325" ht="12.75">
      <c r="S325"/>
    </row>
    <row r="326" ht="12.75">
      <c r="S326"/>
    </row>
    <row r="327" ht="12.75">
      <c r="S327"/>
    </row>
    <row r="328" ht="12.75">
      <c r="S328"/>
    </row>
    <row r="329" ht="12.75">
      <c r="S329"/>
    </row>
    <row r="330" ht="12.75">
      <c r="S330"/>
    </row>
    <row r="331" ht="12.75">
      <c r="S331"/>
    </row>
    <row r="332" ht="12.75">
      <c r="S332"/>
    </row>
    <row r="333" ht="12.75">
      <c r="S333"/>
    </row>
    <row r="334" ht="12.75">
      <c r="S334"/>
    </row>
    <row r="335" ht="12.75">
      <c r="S335"/>
    </row>
    <row r="336" ht="12.75">
      <c r="S336"/>
    </row>
    <row r="337" ht="12.75">
      <c r="S337"/>
    </row>
    <row r="338" ht="12.75">
      <c r="S338"/>
    </row>
    <row r="339" ht="12.75">
      <c r="S339"/>
    </row>
    <row r="340" ht="12.75">
      <c r="S340"/>
    </row>
    <row r="341" ht="12.75">
      <c r="S341"/>
    </row>
    <row r="342" ht="12.75">
      <c r="S342"/>
    </row>
    <row r="343" ht="12.75">
      <c r="S343"/>
    </row>
    <row r="344" ht="12.75">
      <c r="S344"/>
    </row>
    <row r="345" ht="12.75">
      <c r="S345"/>
    </row>
    <row r="346" ht="12.75">
      <c r="S346"/>
    </row>
    <row r="347" ht="12.75">
      <c r="S347"/>
    </row>
    <row r="348" ht="12.75">
      <c r="S348"/>
    </row>
    <row r="349" ht="12.75">
      <c r="S349"/>
    </row>
    <row r="350" ht="12.75">
      <c r="S350"/>
    </row>
    <row r="351" ht="12.75">
      <c r="S351"/>
    </row>
    <row r="352" ht="12.75">
      <c r="S352"/>
    </row>
    <row r="353" ht="12.75">
      <c r="S353"/>
    </row>
    <row r="354" ht="12.75">
      <c r="S354"/>
    </row>
    <row r="355" ht="12.75">
      <c r="S355"/>
    </row>
    <row r="356" ht="12.75">
      <c r="S356"/>
    </row>
    <row r="357" ht="12.75">
      <c r="S357"/>
    </row>
    <row r="358" ht="12.75">
      <c r="S358"/>
    </row>
    <row r="359" ht="12.75">
      <c r="S359"/>
    </row>
    <row r="360" ht="12.75">
      <c r="S360"/>
    </row>
    <row r="361" ht="12.75">
      <c r="S361"/>
    </row>
    <row r="362" ht="12.75">
      <c r="S362"/>
    </row>
    <row r="363" ht="12.75">
      <c r="S363"/>
    </row>
    <row r="364" ht="12.75">
      <c r="S364"/>
    </row>
    <row r="365" ht="12.75">
      <c r="S365"/>
    </row>
    <row r="366" ht="12.75">
      <c r="S366"/>
    </row>
    <row r="367" ht="12.75">
      <c r="S367"/>
    </row>
    <row r="368" ht="12.75">
      <c r="S368"/>
    </row>
    <row r="369" ht="12.75">
      <c r="S369"/>
    </row>
    <row r="370" ht="12.75">
      <c r="S370"/>
    </row>
    <row r="371" ht="12.75">
      <c r="S371"/>
    </row>
    <row r="372" ht="12.75">
      <c r="S372"/>
    </row>
    <row r="373" ht="12.75">
      <c r="S373"/>
    </row>
    <row r="374" ht="12.75">
      <c r="S374"/>
    </row>
    <row r="375" ht="12.75">
      <c r="S375"/>
    </row>
    <row r="376" ht="12.75">
      <c r="S376"/>
    </row>
    <row r="377" ht="12.75">
      <c r="S377"/>
    </row>
    <row r="378" ht="12.75">
      <c r="S378"/>
    </row>
    <row r="379" ht="12.75">
      <c r="S379"/>
    </row>
    <row r="380" ht="12.75">
      <c r="S380"/>
    </row>
    <row r="381" ht="12.75">
      <c r="S381"/>
    </row>
    <row r="382" ht="12.75">
      <c r="S382"/>
    </row>
    <row r="383" ht="12.75">
      <c r="S383"/>
    </row>
    <row r="384" ht="12.75">
      <c r="S384"/>
    </row>
    <row r="385" ht="12.75">
      <c r="S385"/>
    </row>
    <row r="386" ht="12.75">
      <c r="S386"/>
    </row>
    <row r="387" ht="12.75">
      <c r="S387"/>
    </row>
    <row r="388" ht="12.75">
      <c r="S388"/>
    </row>
    <row r="389" ht="12.75">
      <c r="S389"/>
    </row>
    <row r="390" ht="12.75">
      <c r="S390"/>
    </row>
    <row r="391" ht="12.75">
      <c r="S391"/>
    </row>
    <row r="392" ht="12.75">
      <c r="S392"/>
    </row>
    <row r="393" ht="12.75">
      <c r="S393"/>
    </row>
    <row r="394" ht="12.75">
      <c r="S394"/>
    </row>
    <row r="395" ht="12.75">
      <c r="S395"/>
    </row>
    <row r="396" ht="12.75">
      <c r="S396"/>
    </row>
    <row r="397" ht="12.75">
      <c r="S397"/>
    </row>
    <row r="398" ht="12.75">
      <c r="S398"/>
    </row>
    <row r="399" ht="12.75">
      <c r="S399"/>
    </row>
    <row r="400" ht="12.75">
      <c r="S400"/>
    </row>
    <row r="401" ht="12.75">
      <c r="S401"/>
    </row>
    <row r="402" ht="12.75">
      <c r="S402"/>
    </row>
    <row r="403" ht="12.75">
      <c r="S403"/>
    </row>
    <row r="404" ht="12.75">
      <c r="S404"/>
    </row>
    <row r="405" ht="12.75">
      <c r="S405"/>
    </row>
    <row r="406" ht="12.75">
      <c r="S406"/>
    </row>
    <row r="407" ht="12.75">
      <c r="S407"/>
    </row>
    <row r="408" ht="12.75">
      <c r="S408"/>
    </row>
    <row r="409" ht="12.75">
      <c r="S409"/>
    </row>
    <row r="410" ht="12.75">
      <c r="S410"/>
    </row>
    <row r="411" ht="12.75">
      <c r="S411"/>
    </row>
    <row r="412" ht="12.75">
      <c r="S412"/>
    </row>
    <row r="413" ht="12.75">
      <c r="S413"/>
    </row>
    <row r="414" ht="12.75">
      <c r="S414"/>
    </row>
    <row r="415" ht="12.75">
      <c r="S415"/>
    </row>
    <row r="416" ht="12.75">
      <c r="S416"/>
    </row>
    <row r="417" ht="12.75">
      <c r="S417"/>
    </row>
    <row r="418" ht="12.75">
      <c r="S418"/>
    </row>
    <row r="419" ht="12.75">
      <c r="S419"/>
    </row>
    <row r="420" ht="12.75">
      <c r="S420"/>
    </row>
    <row r="421" ht="12.75">
      <c r="S421"/>
    </row>
    <row r="422" ht="12.75">
      <c r="S422"/>
    </row>
    <row r="423" ht="12.75">
      <c r="S423"/>
    </row>
    <row r="424" ht="12.75">
      <c r="S424"/>
    </row>
    <row r="425" ht="12.75">
      <c r="S425"/>
    </row>
    <row r="426" ht="12.75">
      <c r="S426"/>
    </row>
    <row r="427" ht="12.75">
      <c r="S427"/>
    </row>
    <row r="428" ht="12.75">
      <c r="S428"/>
    </row>
    <row r="429" ht="12.75">
      <c r="S429"/>
    </row>
    <row r="430" ht="12.75">
      <c r="S430"/>
    </row>
    <row r="431" ht="12.75">
      <c r="S431"/>
    </row>
    <row r="432" ht="12.75">
      <c r="S432"/>
    </row>
    <row r="433" ht="12.75">
      <c r="S433"/>
    </row>
    <row r="434" ht="12.75">
      <c r="S434"/>
    </row>
    <row r="435" ht="12.75">
      <c r="S435"/>
    </row>
    <row r="436" ht="12.75">
      <c r="S436"/>
    </row>
    <row r="437" ht="12.75">
      <c r="S437"/>
    </row>
    <row r="438" ht="12.75">
      <c r="S438"/>
    </row>
    <row r="439" ht="12.75">
      <c r="S439"/>
    </row>
    <row r="440" ht="12.75">
      <c r="S440"/>
    </row>
    <row r="441" ht="12.75">
      <c r="S441"/>
    </row>
    <row r="442" ht="12.75">
      <c r="S442"/>
    </row>
    <row r="443" ht="12.75">
      <c r="S443"/>
    </row>
    <row r="444" ht="12.75">
      <c r="S444"/>
    </row>
    <row r="445" ht="12.75">
      <c r="S445"/>
    </row>
    <row r="446" ht="12.75">
      <c r="S446"/>
    </row>
    <row r="447" ht="12.75">
      <c r="S447"/>
    </row>
    <row r="448" ht="12.75">
      <c r="S448"/>
    </row>
    <row r="449" ht="12.75">
      <c r="S449"/>
    </row>
    <row r="450" ht="12.75">
      <c r="S450"/>
    </row>
    <row r="451" ht="12.75">
      <c r="S451"/>
    </row>
    <row r="452" ht="12.75">
      <c r="S452"/>
    </row>
    <row r="453" ht="12.75">
      <c r="S453"/>
    </row>
    <row r="454" ht="12.75">
      <c r="S454"/>
    </row>
    <row r="455" ht="12.75">
      <c r="S455"/>
    </row>
    <row r="456" ht="12.75">
      <c r="S456"/>
    </row>
    <row r="457" ht="12.75">
      <c r="S457"/>
    </row>
    <row r="458" ht="12.75">
      <c r="S458"/>
    </row>
    <row r="459" ht="12.75">
      <c r="S459"/>
    </row>
    <row r="460" ht="12.75">
      <c r="S460"/>
    </row>
    <row r="461" ht="12.75">
      <c r="S461"/>
    </row>
    <row r="462" ht="12.75">
      <c r="S462"/>
    </row>
    <row r="463" ht="12.75">
      <c r="S463"/>
    </row>
    <row r="464" ht="12.75">
      <c r="S464"/>
    </row>
    <row r="465" ht="12.75">
      <c r="S465"/>
    </row>
    <row r="466" ht="12.75">
      <c r="S466"/>
    </row>
    <row r="467" ht="12.75">
      <c r="S467"/>
    </row>
    <row r="468" ht="12.75">
      <c r="S468"/>
    </row>
    <row r="469" ht="12.75">
      <c r="S469"/>
    </row>
    <row r="470" ht="12.75">
      <c r="S470"/>
    </row>
    <row r="471" ht="12.75">
      <c r="S471"/>
    </row>
    <row r="472" ht="12.75">
      <c r="S472"/>
    </row>
    <row r="473" ht="12.75">
      <c r="S473"/>
    </row>
    <row r="474" ht="12.75">
      <c r="S474"/>
    </row>
    <row r="475" ht="12.75">
      <c r="S475"/>
    </row>
    <row r="476" ht="12.75">
      <c r="S476"/>
    </row>
    <row r="477" ht="12.75">
      <c r="S477"/>
    </row>
    <row r="478" ht="12.75">
      <c r="S478"/>
    </row>
    <row r="479" ht="12.75">
      <c r="S479"/>
    </row>
    <row r="480" ht="12.75">
      <c r="S480"/>
    </row>
    <row r="481" ht="12.75">
      <c r="S481"/>
    </row>
    <row r="482" ht="12.75">
      <c r="S482"/>
    </row>
    <row r="483" ht="12.75">
      <c r="S483"/>
    </row>
    <row r="484" ht="12.75">
      <c r="S484"/>
    </row>
    <row r="485" ht="12.75">
      <c r="S485"/>
    </row>
    <row r="486" ht="12.75">
      <c r="S486"/>
    </row>
    <row r="487" ht="12.75">
      <c r="S487"/>
    </row>
    <row r="488" ht="12.75">
      <c r="S488"/>
    </row>
    <row r="489" ht="12.75">
      <c r="S489"/>
    </row>
    <row r="490" ht="12.75">
      <c r="S490"/>
    </row>
    <row r="491" ht="12.75">
      <c r="S491"/>
    </row>
    <row r="492" ht="12.75">
      <c r="S492"/>
    </row>
    <row r="493" ht="12.75">
      <c r="S493"/>
    </row>
    <row r="494" ht="12.75">
      <c r="S494"/>
    </row>
    <row r="495" ht="12.75">
      <c r="S495"/>
    </row>
    <row r="496" ht="12.75">
      <c r="S496"/>
    </row>
    <row r="497" ht="12.75">
      <c r="S497"/>
    </row>
    <row r="498" ht="12.75">
      <c r="S498"/>
    </row>
    <row r="499" ht="12.75">
      <c r="S499"/>
    </row>
    <row r="500" ht="12.75">
      <c r="S500"/>
    </row>
    <row r="501" ht="12.75">
      <c r="S501"/>
    </row>
    <row r="502" ht="12.75">
      <c r="S502"/>
    </row>
    <row r="503" ht="12.75">
      <c r="S503"/>
    </row>
    <row r="504" ht="12.75">
      <c r="S504"/>
    </row>
    <row r="505" ht="12.75">
      <c r="S505"/>
    </row>
    <row r="506" ht="12.75">
      <c r="S506"/>
    </row>
    <row r="507" ht="12.75">
      <c r="S507"/>
    </row>
    <row r="508" ht="12.75">
      <c r="S508"/>
    </row>
    <row r="509" ht="12.75">
      <c r="S509"/>
    </row>
    <row r="510" ht="12.75">
      <c r="S510"/>
    </row>
    <row r="511" ht="12.75">
      <c r="S511"/>
    </row>
    <row r="512" ht="12.75">
      <c r="S512"/>
    </row>
    <row r="513" ht="12.75">
      <c r="S513"/>
    </row>
    <row r="514" ht="12.75">
      <c r="S514"/>
    </row>
    <row r="515" ht="12.75">
      <c r="S515"/>
    </row>
    <row r="516" ht="12.75">
      <c r="S516"/>
    </row>
    <row r="517" ht="12.75">
      <c r="S517"/>
    </row>
    <row r="518" ht="12.75">
      <c r="S518"/>
    </row>
    <row r="519" ht="12.75">
      <c r="S519"/>
    </row>
    <row r="520" ht="12.75">
      <c r="S520"/>
    </row>
    <row r="521" ht="12.75">
      <c r="S521"/>
    </row>
    <row r="522" ht="12.75">
      <c r="S522"/>
    </row>
    <row r="523" ht="12.75">
      <c r="S523"/>
    </row>
    <row r="524" ht="12.75">
      <c r="S524"/>
    </row>
    <row r="525" ht="12.75">
      <c r="S525"/>
    </row>
    <row r="526" ht="12.75">
      <c r="S526"/>
    </row>
    <row r="527" ht="12.75">
      <c r="S527"/>
    </row>
    <row r="528" ht="12.75">
      <c r="S528"/>
    </row>
    <row r="529" ht="12.75">
      <c r="S529"/>
    </row>
    <row r="530" ht="12.75">
      <c r="S530"/>
    </row>
    <row r="531" ht="12.75">
      <c r="S531"/>
    </row>
    <row r="532" ht="12.75">
      <c r="S532"/>
    </row>
    <row r="533" ht="12.75">
      <c r="S533"/>
    </row>
    <row r="534" ht="12.75">
      <c r="S534"/>
    </row>
    <row r="535" ht="12.75">
      <c r="S535"/>
    </row>
    <row r="536" ht="12.75">
      <c r="S536"/>
    </row>
    <row r="537" ht="12.75">
      <c r="S537"/>
    </row>
    <row r="538" ht="12.75">
      <c r="S538"/>
    </row>
    <row r="539" ht="12.75">
      <c r="S539"/>
    </row>
    <row r="540" ht="12.75">
      <c r="S540"/>
    </row>
    <row r="541" ht="12.75">
      <c r="S541"/>
    </row>
    <row r="542" ht="12.75">
      <c r="S542"/>
    </row>
    <row r="543" ht="12.75">
      <c r="S543"/>
    </row>
    <row r="544" ht="12.75">
      <c r="S544"/>
    </row>
    <row r="545" ht="12.75">
      <c r="S545"/>
    </row>
    <row r="546" ht="12.75">
      <c r="S546"/>
    </row>
    <row r="547" ht="12.75">
      <c r="S547"/>
    </row>
    <row r="548" ht="12.75">
      <c r="S548"/>
    </row>
    <row r="549" ht="12.75">
      <c r="S549"/>
    </row>
    <row r="550" ht="12.75">
      <c r="S550"/>
    </row>
    <row r="551" ht="12.75">
      <c r="S551"/>
    </row>
    <row r="552" ht="12.75">
      <c r="S552"/>
    </row>
    <row r="553" ht="12.75">
      <c r="S553"/>
    </row>
    <row r="554" ht="12.75">
      <c r="S554"/>
    </row>
    <row r="555" ht="12.75">
      <c r="S555"/>
    </row>
    <row r="556" ht="12.75">
      <c r="S556"/>
    </row>
    <row r="557" ht="12.75">
      <c r="S557"/>
    </row>
    <row r="558" ht="12.75">
      <c r="S558"/>
    </row>
    <row r="559" ht="12.75">
      <c r="S559"/>
    </row>
    <row r="560" ht="12.75">
      <c r="S560"/>
    </row>
    <row r="561" ht="12.75">
      <c r="S561"/>
    </row>
    <row r="562" ht="12.75">
      <c r="S562"/>
    </row>
    <row r="563" ht="12.75">
      <c r="S563"/>
    </row>
    <row r="564" ht="12.75">
      <c r="S564"/>
    </row>
    <row r="565" ht="12.75">
      <c r="S565"/>
    </row>
    <row r="566" ht="12.75">
      <c r="S566"/>
    </row>
    <row r="567" ht="12.75">
      <c r="S567"/>
    </row>
    <row r="568" ht="12.75">
      <c r="S568"/>
    </row>
    <row r="569" ht="12.75">
      <c r="S569"/>
    </row>
    <row r="570" ht="12.75">
      <c r="S570"/>
    </row>
    <row r="571" ht="12.75">
      <c r="S571"/>
    </row>
    <row r="572" ht="12.75">
      <c r="S572"/>
    </row>
    <row r="573" ht="12.75">
      <c r="S573"/>
    </row>
    <row r="574" ht="12.75">
      <c r="S574"/>
    </row>
    <row r="575" ht="12.75">
      <c r="S575"/>
    </row>
    <row r="576" ht="12.75">
      <c r="S576"/>
    </row>
    <row r="577" ht="12.75">
      <c r="S577"/>
    </row>
    <row r="578" ht="12.75">
      <c r="S578"/>
    </row>
    <row r="579" ht="12.75">
      <c r="S579"/>
    </row>
    <row r="580" ht="12.75">
      <c r="S580"/>
    </row>
    <row r="581" ht="12.75">
      <c r="S581"/>
    </row>
    <row r="582" ht="12.75">
      <c r="S582"/>
    </row>
    <row r="583" ht="12.75">
      <c r="S583"/>
    </row>
    <row r="584" ht="12.75">
      <c r="S584"/>
    </row>
    <row r="585" ht="12.75">
      <c r="S585"/>
    </row>
    <row r="586" ht="12.75">
      <c r="S586"/>
    </row>
    <row r="587" ht="12.75">
      <c r="S587"/>
    </row>
    <row r="588" ht="12.75">
      <c r="S588"/>
    </row>
    <row r="589" ht="12.75">
      <c r="S589"/>
    </row>
    <row r="590" ht="12.75">
      <c r="S590"/>
    </row>
    <row r="591" ht="12.75">
      <c r="S591"/>
    </row>
    <row r="592" ht="12.75">
      <c r="S592"/>
    </row>
    <row r="593" ht="12.75">
      <c r="S593"/>
    </row>
    <row r="594" ht="12.75">
      <c r="S594"/>
    </row>
    <row r="595" ht="12.75">
      <c r="S595"/>
    </row>
    <row r="596" ht="12.75">
      <c r="S596"/>
    </row>
    <row r="597" ht="12.75">
      <c r="S597"/>
    </row>
    <row r="598" ht="12.75">
      <c r="S598"/>
    </row>
    <row r="599" ht="12.75">
      <c r="S599"/>
    </row>
    <row r="600" ht="12.75">
      <c r="S600"/>
    </row>
    <row r="601" ht="12.75">
      <c r="S601"/>
    </row>
    <row r="602" ht="12.75">
      <c r="S602"/>
    </row>
    <row r="603" ht="12.75">
      <c r="S603"/>
    </row>
    <row r="604" ht="12.75">
      <c r="S604"/>
    </row>
    <row r="605" ht="12.75">
      <c r="S605"/>
    </row>
    <row r="606" ht="12.75">
      <c r="S606"/>
    </row>
    <row r="607" ht="12.75">
      <c r="S607"/>
    </row>
    <row r="608" ht="12.75">
      <c r="S608"/>
    </row>
    <row r="609" ht="12.75">
      <c r="S609"/>
    </row>
    <row r="610" ht="12.75">
      <c r="S610"/>
    </row>
    <row r="611" ht="12.75">
      <c r="S611"/>
    </row>
    <row r="612" ht="12.75">
      <c r="S612"/>
    </row>
    <row r="613" ht="12.75">
      <c r="S613"/>
    </row>
    <row r="614" ht="12.75">
      <c r="S614"/>
    </row>
    <row r="615" ht="12.75">
      <c r="S615"/>
    </row>
    <row r="616" ht="12.75">
      <c r="S616"/>
    </row>
    <row r="617" ht="12.75">
      <c r="S617"/>
    </row>
    <row r="618" ht="12.75">
      <c r="S618"/>
    </row>
    <row r="619" ht="12.75">
      <c r="S619"/>
    </row>
    <row r="620" ht="12.75">
      <c r="S620"/>
    </row>
    <row r="621" ht="12.75">
      <c r="S621"/>
    </row>
    <row r="622" ht="12.75">
      <c r="S622"/>
    </row>
    <row r="623" ht="12.75">
      <c r="S623"/>
    </row>
    <row r="624" ht="12.75">
      <c r="S624"/>
    </row>
    <row r="625" ht="12.75">
      <c r="S625"/>
    </row>
    <row r="626" ht="12.75">
      <c r="S626"/>
    </row>
    <row r="627" ht="12.75">
      <c r="S627"/>
    </row>
    <row r="628" ht="12.75">
      <c r="S628"/>
    </row>
    <row r="629" ht="12.75">
      <c r="S629"/>
    </row>
    <row r="630" ht="12.75">
      <c r="S630"/>
    </row>
    <row r="631" ht="12.75">
      <c r="S631"/>
    </row>
    <row r="632" ht="12.75">
      <c r="S632"/>
    </row>
    <row r="633" ht="12.75">
      <c r="S633"/>
    </row>
    <row r="634" ht="12.75">
      <c r="S634"/>
    </row>
    <row r="635" ht="12.75">
      <c r="S635"/>
    </row>
    <row r="636" ht="12.75">
      <c r="S636"/>
    </row>
    <row r="637" ht="12.75">
      <c r="S637"/>
    </row>
    <row r="638" ht="12.75">
      <c r="S638"/>
    </row>
    <row r="639" ht="12.75">
      <c r="S639"/>
    </row>
    <row r="640" ht="12.75">
      <c r="S640"/>
    </row>
    <row r="641" ht="12.75">
      <c r="S641"/>
    </row>
    <row r="642" ht="12.75">
      <c r="S642"/>
    </row>
    <row r="643" ht="12.75">
      <c r="S643"/>
    </row>
    <row r="644" ht="12.75">
      <c r="S644"/>
    </row>
    <row r="645" ht="12.75">
      <c r="S645"/>
    </row>
    <row r="646" ht="12.75">
      <c r="S646"/>
    </row>
    <row r="647" ht="12.75">
      <c r="S647"/>
    </row>
    <row r="648" ht="12.75">
      <c r="S648"/>
    </row>
    <row r="649" ht="12.75">
      <c r="S649"/>
    </row>
    <row r="650" ht="12.75">
      <c r="S650"/>
    </row>
    <row r="651" ht="12.75">
      <c r="S651"/>
    </row>
    <row r="652" ht="12.75">
      <c r="S652"/>
    </row>
    <row r="653" ht="12.75">
      <c r="S653"/>
    </row>
    <row r="654" ht="12.75">
      <c r="S654"/>
    </row>
    <row r="655" ht="12.75">
      <c r="S655"/>
    </row>
    <row r="656" ht="12.75">
      <c r="S656"/>
    </row>
    <row r="657" ht="12.75">
      <c r="S657"/>
    </row>
    <row r="658" ht="12.75">
      <c r="S658"/>
    </row>
    <row r="659" ht="12.75">
      <c r="S659"/>
    </row>
    <row r="660" ht="12.75">
      <c r="S660"/>
    </row>
    <row r="661" ht="12.75">
      <c r="S661"/>
    </row>
    <row r="662" ht="12.75">
      <c r="S662"/>
    </row>
    <row r="663" ht="12.75">
      <c r="S663"/>
    </row>
    <row r="664" ht="12.75">
      <c r="S664"/>
    </row>
    <row r="665" ht="12.75">
      <c r="S665"/>
    </row>
    <row r="666" ht="12.75">
      <c r="S666"/>
    </row>
    <row r="667" ht="12.75">
      <c r="S667"/>
    </row>
    <row r="668" ht="12.75">
      <c r="S668"/>
    </row>
    <row r="669" ht="12.75">
      <c r="S669"/>
    </row>
    <row r="670" ht="12.75">
      <c r="S670"/>
    </row>
    <row r="671" ht="12.75">
      <c r="S671"/>
    </row>
    <row r="672" ht="12.75">
      <c r="S672"/>
    </row>
    <row r="673" ht="12.75">
      <c r="S673"/>
    </row>
    <row r="674" ht="12.75">
      <c r="S674"/>
    </row>
    <row r="675" ht="12.75">
      <c r="S675"/>
    </row>
    <row r="676" ht="12.75">
      <c r="S676"/>
    </row>
    <row r="677" ht="12.75">
      <c r="S677"/>
    </row>
    <row r="678" ht="12.75">
      <c r="S678"/>
    </row>
    <row r="679" ht="12.75">
      <c r="S679"/>
    </row>
    <row r="680" ht="12.75">
      <c r="S680"/>
    </row>
    <row r="681" ht="12.75">
      <c r="S681"/>
    </row>
    <row r="682" ht="12.75">
      <c r="S682"/>
    </row>
    <row r="683" ht="12.75">
      <c r="S683"/>
    </row>
    <row r="684" ht="12.75">
      <c r="S684"/>
    </row>
    <row r="685" ht="12.75">
      <c r="S685"/>
    </row>
    <row r="686" ht="12.75">
      <c r="S686"/>
    </row>
    <row r="687" ht="12.75">
      <c r="S687"/>
    </row>
    <row r="688" ht="12.75">
      <c r="S688"/>
    </row>
    <row r="689" ht="12.75">
      <c r="S689"/>
    </row>
    <row r="690" ht="12.75">
      <c r="S690"/>
    </row>
    <row r="691" ht="12.75">
      <c r="S691"/>
    </row>
    <row r="692" ht="12.75">
      <c r="S692"/>
    </row>
    <row r="693" ht="12.75">
      <c r="S693"/>
    </row>
    <row r="694" ht="12.75">
      <c r="S694"/>
    </row>
    <row r="695" ht="12.75">
      <c r="S695"/>
    </row>
    <row r="696" ht="12.75">
      <c r="S696"/>
    </row>
    <row r="697" ht="12.75">
      <c r="S697"/>
    </row>
    <row r="698" ht="12.75">
      <c r="S698"/>
    </row>
    <row r="699" ht="12.75">
      <c r="S699"/>
    </row>
    <row r="700" ht="12.75">
      <c r="S700"/>
    </row>
    <row r="701" ht="12.75">
      <c r="S701"/>
    </row>
    <row r="702" ht="12.75">
      <c r="S702"/>
    </row>
    <row r="703" ht="12.75">
      <c r="S703"/>
    </row>
    <row r="704" ht="12.75">
      <c r="S704"/>
    </row>
    <row r="705" ht="12.75">
      <c r="S705"/>
    </row>
    <row r="706" ht="12.75">
      <c r="S706"/>
    </row>
    <row r="707" ht="12.75">
      <c r="S707"/>
    </row>
    <row r="708" ht="12.75">
      <c r="S708"/>
    </row>
    <row r="709" ht="12.75">
      <c r="S709"/>
    </row>
    <row r="710" ht="12.75">
      <c r="S710"/>
    </row>
    <row r="711" ht="12.75">
      <c r="S711"/>
    </row>
    <row r="712" ht="12.75">
      <c r="S712"/>
    </row>
    <row r="713" ht="12.75">
      <c r="S713"/>
    </row>
    <row r="714" ht="12.75">
      <c r="S714"/>
    </row>
    <row r="715" ht="12.75">
      <c r="S715"/>
    </row>
    <row r="716" ht="12.75">
      <c r="S716"/>
    </row>
    <row r="717" ht="12.75">
      <c r="S717"/>
    </row>
    <row r="718" ht="12.75">
      <c r="S718"/>
    </row>
    <row r="719" ht="12.75">
      <c r="S719"/>
    </row>
    <row r="720" ht="12.75">
      <c r="S720"/>
    </row>
    <row r="721" ht="12.75">
      <c r="S721"/>
    </row>
    <row r="722" ht="12.75">
      <c r="S722"/>
    </row>
    <row r="723" ht="12.75">
      <c r="S723"/>
    </row>
    <row r="724" ht="12.75">
      <c r="S724"/>
    </row>
    <row r="725" ht="12.75">
      <c r="S725"/>
    </row>
    <row r="726" ht="12.75">
      <c r="S726"/>
    </row>
    <row r="727" ht="12.75">
      <c r="S727"/>
    </row>
    <row r="728" ht="12.75">
      <c r="S728"/>
    </row>
    <row r="729" ht="12.75">
      <c r="S729"/>
    </row>
    <row r="730" ht="12.75">
      <c r="S730"/>
    </row>
    <row r="731" ht="12.75">
      <c r="S731"/>
    </row>
    <row r="732" ht="12.75">
      <c r="S732"/>
    </row>
    <row r="733" ht="12.75">
      <c r="S733"/>
    </row>
    <row r="734" ht="12.75">
      <c r="S734"/>
    </row>
    <row r="735" ht="12.75">
      <c r="S735"/>
    </row>
    <row r="736" ht="12.75">
      <c r="S736"/>
    </row>
    <row r="737" ht="12.75">
      <c r="S737"/>
    </row>
    <row r="738" ht="12.75">
      <c r="S738"/>
    </row>
    <row r="739" ht="12.75">
      <c r="S739"/>
    </row>
    <row r="740" ht="12.75">
      <c r="S740"/>
    </row>
    <row r="741" ht="12.75">
      <c r="S741"/>
    </row>
    <row r="742" ht="12.75">
      <c r="S742"/>
    </row>
    <row r="743" ht="12.75">
      <c r="S743"/>
    </row>
    <row r="744" ht="12.75">
      <c r="S744"/>
    </row>
    <row r="745" ht="12.75">
      <c r="S745"/>
    </row>
    <row r="746" ht="12.75">
      <c r="S746"/>
    </row>
    <row r="747" ht="12.75">
      <c r="S747"/>
    </row>
    <row r="748" ht="12.75">
      <c r="S748"/>
    </row>
    <row r="749" ht="12.75">
      <c r="S749"/>
    </row>
    <row r="750" ht="12.75">
      <c r="S750"/>
    </row>
    <row r="751" ht="12.75">
      <c r="S751"/>
    </row>
    <row r="752" ht="12.75">
      <c r="S752"/>
    </row>
    <row r="753" ht="12.75">
      <c r="S753"/>
    </row>
    <row r="754" ht="12.75">
      <c r="S754"/>
    </row>
    <row r="755" ht="12.75">
      <c r="S755"/>
    </row>
    <row r="756" ht="12.75">
      <c r="S756"/>
    </row>
    <row r="757" ht="12.75">
      <c r="S757"/>
    </row>
    <row r="758" ht="12.75">
      <c r="S758"/>
    </row>
    <row r="759" ht="12.75">
      <c r="S759"/>
    </row>
    <row r="760" ht="12.75">
      <c r="S760"/>
    </row>
    <row r="761" ht="12.75">
      <c r="S761"/>
    </row>
    <row r="762" ht="12.75">
      <c r="S762"/>
    </row>
    <row r="763" ht="12.75">
      <c r="S763"/>
    </row>
    <row r="764" ht="12.75">
      <c r="S764"/>
    </row>
    <row r="765" ht="12.75">
      <c r="S765"/>
    </row>
    <row r="766" ht="12.75">
      <c r="S766"/>
    </row>
    <row r="767" ht="12.75">
      <c r="S767"/>
    </row>
    <row r="768" ht="12.75">
      <c r="S768"/>
    </row>
    <row r="769" ht="12.75">
      <c r="S769"/>
    </row>
    <row r="770" ht="12.75">
      <c r="S770"/>
    </row>
    <row r="771" ht="12.75">
      <c r="S771"/>
    </row>
    <row r="772" ht="12.75">
      <c r="S772"/>
    </row>
    <row r="773" ht="12.75">
      <c r="S773"/>
    </row>
    <row r="774" ht="12.75">
      <c r="S774"/>
    </row>
    <row r="775" ht="12.75">
      <c r="S775"/>
    </row>
    <row r="776" ht="12.75">
      <c r="S776"/>
    </row>
    <row r="777" ht="12.75">
      <c r="S777"/>
    </row>
    <row r="778" ht="12.75">
      <c r="S778"/>
    </row>
    <row r="779" ht="12.75">
      <c r="S779"/>
    </row>
    <row r="780" ht="12.75">
      <c r="S780"/>
    </row>
    <row r="781" ht="12.75">
      <c r="S781"/>
    </row>
    <row r="782" ht="12.75">
      <c r="S782"/>
    </row>
    <row r="783" ht="12.75">
      <c r="S783"/>
    </row>
    <row r="784" ht="12.75">
      <c r="S784"/>
    </row>
    <row r="785" ht="12.75">
      <c r="S785"/>
    </row>
    <row r="786" ht="12.75">
      <c r="S786"/>
    </row>
    <row r="787" ht="12.75">
      <c r="S787"/>
    </row>
    <row r="788" ht="12.75">
      <c r="S788"/>
    </row>
    <row r="789" ht="12.75">
      <c r="S789"/>
    </row>
    <row r="790" ht="12.75">
      <c r="S790"/>
    </row>
    <row r="791" ht="12.75">
      <c r="S791"/>
    </row>
    <row r="792" ht="12.75">
      <c r="S792"/>
    </row>
    <row r="793" ht="12.75">
      <c r="S793"/>
    </row>
    <row r="794" ht="12.75">
      <c r="S794"/>
    </row>
    <row r="795" ht="12.75">
      <c r="S795"/>
    </row>
    <row r="796" ht="12.75">
      <c r="S796"/>
    </row>
    <row r="797" ht="12.75">
      <c r="S797"/>
    </row>
    <row r="798" ht="12.75">
      <c r="S798"/>
    </row>
    <row r="799" ht="12.75">
      <c r="S799"/>
    </row>
    <row r="800" ht="12.75">
      <c r="S800"/>
    </row>
    <row r="801" ht="12.75">
      <c r="S801"/>
    </row>
    <row r="802" ht="12.75">
      <c r="S802"/>
    </row>
    <row r="803" ht="12.75">
      <c r="S803"/>
    </row>
    <row r="804" ht="12.75">
      <c r="S804"/>
    </row>
    <row r="805" ht="12.75">
      <c r="S805"/>
    </row>
    <row r="806" ht="12.75">
      <c r="S806"/>
    </row>
    <row r="807" ht="12.75">
      <c r="S807"/>
    </row>
    <row r="808" ht="12.75">
      <c r="S808"/>
    </row>
    <row r="809" ht="12.75">
      <c r="S809"/>
    </row>
    <row r="810" ht="12.75">
      <c r="S810"/>
    </row>
    <row r="811" ht="12.75">
      <c r="S811"/>
    </row>
    <row r="812" ht="12.75">
      <c r="S812"/>
    </row>
    <row r="813" ht="12.75">
      <c r="S813"/>
    </row>
    <row r="814" ht="12.75">
      <c r="S814"/>
    </row>
    <row r="815" ht="12.75">
      <c r="S815"/>
    </row>
    <row r="816" ht="12.75">
      <c r="S816"/>
    </row>
    <row r="817" ht="12.75">
      <c r="S817"/>
    </row>
    <row r="818" ht="12.75">
      <c r="S818"/>
    </row>
    <row r="819" ht="12.75">
      <c r="S819"/>
    </row>
    <row r="820" ht="12.75">
      <c r="S820"/>
    </row>
    <row r="821" ht="12.75">
      <c r="S821"/>
    </row>
    <row r="822" ht="12.75">
      <c r="S822"/>
    </row>
    <row r="823" ht="12.75">
      <c r="S823"/>
    </row>
    <row r="824" ht="12.75">
      <c r="S824"/>
    </row>
    <row r="825" ht="12.75">
      <c r="S825"/>
    </row>
    <row r="826" ht="12.75">
      <c r="S826"/>
    </row>
    <row r="827" ht="12.75">
      <c r="S827"/>
    </row>
    <row r="828" ht="12.75">
      <c r="S828"/>
    </row>
    <row r="829" ht="12.75">
      <c r="S829"/>
    </row>
    <row r="830" ht="12.75">
      <c r="S830"/>
    </row>
    <row r="831" ht="12.75">
      <c r="S831"/>
    </row>
    <row r="832" ht="12.75">
      <c r="S832"/>
    </row>
    <row r="833" ht="12.75">
      <c r="S833"/>
    </row>
    <row r="834" ht="12.75">
      <c r="S834"/>
    </row>
    <row r="835" ht="12.75">
      <c r="S835"/>
    </row>
    <row r="836" ht="12.75">
      <c r="S836"/>
    </row>
    <row r="837" ht="12.75">
      <c r="S837"/>
    </row>
    <row r="838" ht="12.75">
      <c r="S838"/>
    </row>
    <row r="839" ht="12.75">
      <c r="S839"/>
    </row>
    <row r="840" ht="12.75">
      <c r="S840"/>
    </row>
    <row r="841" ht="12.75">
      <c r="S841"/>
    </row>
    <row r="842" ht="12.75">
      <c r="S842"/>
    </row>
    <row r="843" ht="12.75">
      <c r="S843"/>
    </row>
    <row r="844" ht="12.75">
      <c r="S844"/>
    </row>
    <row r="845" ht="12.75">
      <c r="S845"/>
    </row>
    <row r="846" ht="12.75">
      <c r="S846"/>
    </row>
    <row r="847" ht="12.75">
      <c r="S847"/>
    </row>
    <row r="848" ht="12.75">
      <c r="S848"/>
    </row>
    <row r="849" ht="12.75">
      <c r="S849"/>
    </row>
    <row r="850" ht="12.75">
      <c r="S850"/>
    </row>
    <row r="851" ht="12.75">
      <c r="S851"/>
    </row>
    <row r="852" ht="12.75">
      <c r="S852"/>
    </row>
    <row r="853" ht="12.75">
      <c r="S853"/>
    </row>
    <row r="854" ht="12.75">
      <c r="S854"/>
    </row>
    <row r="855" ht="12.75">
      <c r="S855"/>
    </row>
    <row r="856" ht="12.75">
      <c r="S856"/>
    </row>
    <row r="857" ht="12.75">
      <c r="S857"/>
    </row>
    <row r="858" ht="12.75">
      <c r="S858"/>
    </row>
    <row r="859" ht="12.75">
      <c r="S859"/>
    </row>
    <row r="860" ht="12.75">
      <c r="S860"/>
    </row>
    <row r="861" ht="12.75">
      <c r="S861"/>
    </row>
    <row r="862" ht="12.75">
      <c r="S862"/>
    </row>
    <row r="863" ht="12.75">
      <c r="S863"/>
    </row>
    <row r="864" ht="12.75">
      <c r="S864"/>
    </row>
    <row r="865" ht="12.75">
      <c r="S865"/>
    </row>
    <row r="866" ht="12.75">
      <c r="S866"/>
    </row>
    <row r="867" ht="12.75">
      <c r="S867"/>
    </row>
    <row r="868" ht="12.75">
      <c r="S868"/>
    </row>
    <row r="869" ht="12.75">
      <c r="S869"/>
    </row>
    <row r="870" ht="12.75">
      <c r="S870"/>
    </row>
    <row r="871" ht="12.75">
      <c r="S871"/>
    </row>
    <row r="872" ht="12.75">
      <c r="S872"/>
    </row>
    <row r="873" ht="12.75">
      <c r="S873"/>
    </row>
    <row r="874" ht="12.75">
      <c r="S874"/>
    </row>
    <row r="875" ht="12.75">
      <c r="S875"/>
    </row>
    <row r="876" ht="12.75">
      <c r="S876"/>
    </row>
    <row r="877" ht="12.75">
      <c r="S877"/>
    </row>
    <row r="878" ht="12.75">
      <c r="S878"/>
    </row>
    <row r="879" ht="12.75">
      <c r="S879"/>
    </row>
    <row r="880" ht="12.75">
      <c r="S880"/>
    </row>
    <row r="881" ht="12.75">
      <c r="S881"/>
    </row>
    <row r="882" ht="12.75">
      <c r="S882"/>
    </row>
    <row r="883" ht="12.75">
      <c r="S883"/>
    </row>
    <row r="884" ht="12.75">
      <c r="S884"/>
    </row>
    <row r="885" ht="12.75">
      <c r="S885"/>
    </row>
    <row r="886" ht="12.75">
      <c r="S886"/>
    </row>
    <row r="887" ht="12.75">
      <c r="S887"/>
    </row>
    <row r="888" ht="12.75">
      <c r="S888"/>
    </row>
    <row r="889" ht="12.75">
      <c r="S889"/>
    </row>
    <row r="890" ht="12.75">
      <c r="S890"/>
    </row>
    <row r="891" ht="12.75">
      <c r="S891"/>
    </row>
    <row r="892" ht="12.75">
      <c r="S892"/>
    </row>
    <row r="893" ht="12.75">
      <c r="S893"/>
    </row>
    <row r="894" ht="12.75">
      <c r="S894"/>
    </row>
    <row r="895" ht="12.75">
      <c r="S895"/>
    </row>
    <row r="896" ht="12.75">
      <c r="S896"/>
    </row>
    <row r="897" ht="12.75">
      <c r="S897"/>
    </row>
    <row r="898" ht="12.75">
      <c r="S898"/>
    </row>
    <row r="899" ht="12.75">
      <c r="S899"/>
    </row>
    <row r="900" ht="12.75">
      <c r="S900"/>
    </row>
    <row r="901" ht="12.75">
      <c r="S901"/>
    </row>
    <row r="902" ht="12.75">
      <c r="S902"/>
    </row>
    <row r="903" ht="12.75">
      <c r="S903"/>
    </row>
    <row r="904" ht="12.75">
      <c r="S904"/>
    </row>
    <row r="905" ht="12.75">
      <c r="S905"/>
    </row>
    <row r="906" ht="12.75">
      <c r="S906"/>
    </row>
    <row r="907" ht="12.75">
      <c r="S907"/>
    </row>
    <row r="908" ht="12.75">
      <c r="S908"/>
    </row>
    <row r="909" ht="12.75">
      <c r="S909"/>
    </row>
    <row r="910" ht="12.75">
      <c r="S910"/>
    </row>
    <row r="911" ht="12.75">
      <c r="S911"/>
    </row>
    <row r="912" ht="12.75">
      <c r="S912"/>
    </row>
    <row r="913" ht="12.75">
      <c r="S913"/>
    </row>
    <row r="914" ht="12.75">
      <c r="S914"/>
    </row>
    <row r="915" ht="12.75">
      <c r="S915"/>
    </row>
    <row r="916" ht="12.75">
      <c r="S916"/>
    </row>
    <row r="917" ht="12.75">
      <c r="S917"/>
    </row>
    <row r="918" ht="12.75">
      <c r="S918"/>
    </row>
    <row r="919" ht="12.75">
      <c r="S919"/>
    </row>
    <row r="920" ht="12.75">
      <c r="S920"/>
    </row>
    <row r="921" ht="12.75">
      <c r="S921"/>
    </row>
    <row r="922" ht="12.75">
      <c r="S922"/>
    </row>
    <row r="923" ht="12.75">
      <c r="S923"/>
    </row>
    <row r="924" ht="12.75">
      <c r="S924"/>
    </row>
    <row r="925" ht="12.75">
      <c r="S925"/>
    </row>
    <row r="926" ht="12.75">
      <c r="S926"/>
    </row>
    <row r="927" ht="12.75">
      <c r="S927"/>
    </row>
    <row r="928" ht="12.75">
      <c r="S928"/>
    </row>
    <row r="929" ht="12.75">
      <c r="S929"/>
    </row>
    <row r="930" ht="12.75">
      <c r="S930"/>
    </row>
    <row r="931" ht="12.75">
      <c r="S931"/>
    </row>
    <row r="932" ht="12.75">
      <c r="S932"/>
    </row>
    <row r="933" ht="12.75">
      <c r="S933"/>
    </row>
    <row r="934" ht="12.75">
      <c r="S934"/>
    </row>
    <row r="935" ht="12.75">
      <c r="S935"/>
    </row>
    <row r="936" ht="12.75">
      <c r="S936"/>
    </row>
    <row r="937" ht="12.75">
      <c r="S937"/>
    </row>
    <row r="938" ht="12.75">
      <c r="S938"/>
    </row>
    <row r="939" ht="12.75">
      <c r="S939"/>
    </row>
    <row r="940" ht="12.75">
      <c r="S940"/>
    </row>
    <row r="941" ht="12.75">
      <c r="S941"/>
    </row>
    <row r="942" ht="12.75">
      <c r="S942"/>
    </row>
    <row r="943" ht="12.75">
      <c r="S943"/>
    </row>
    <row r="944" ht="12.75">
      <c r="S944"/>
    </row>
    <row r="945" ht="12.75">
      <c r="S945"/>
    </row>
    <row r="946" ht="12.75">
      <c r="S946"/>
    </row>
    <row r="947" ht="12.75">
      <c r="S947"/>
    </row>
    <row r="948" ht="12.75">
      <c r="S948"/>
    </row>
    <row r="949" ht="12.75">
      <c r="S949"/>
    </row>
    <row r="950" ht="12.75">
      <c r="S950"/>
    </row>
    <row r="951" ht="12.75">
      <c r="S951"/>
    </row>
    <row r="952" ht="12.75">
      <c r="S952"/>
    </row>
    <row r="953" ht="12.75">
      <c r="S953"/>
    </row>
    <row r="954" ht="12.75">
      <c r="S954"/>
    </row>
    <row r="955" ht="12.75">
      <c r="S955"/>
    </row>
    <row r="956" ht="12.75">
      <c r="S956"/>
    </row>
    <row r="957" ht="12.75">
      <c r="S957"/>
    </row>
    <row r="958" ht="12.75">
      <c r="S958"/>
    </row>
    <row r="959" ht="12.75">
      <c r="S959"/>
    </row>
    <row r="960" ht="12.75">
      <c r="S960"/>
    </row>
    <row r="961" ht="12.75">
      <c r="S961"/>
    </row>
    <row r="962" ht="12.75">
      <c r="S962"/>
    </row>
    <row r="963" ht="12.75">
      <c r="S963"/>
    </row>
    <row r="964" ht="12.75">
      <c r="S964"/>
    </row>
    <row r="965" ht="12.75">
      <c r="S965"/>
    </row>
    <row r="966" ht="12.75">
      <c r="S966"/>
    </row>
    <row r="967" ht="12.75">
      <c r="S967"/>
    </row>
    <row r="968" ht="12.75">
      <c r="S968"/>
    </row>
    <row r="969" ht="12.75">
      <c r="S969"/>
    </row>
    <row r="970" ht="12.75">
      <c r="S970"/>
    </row>
    <row r="971" ht="12.75">
      <c r="S971"/>
    </row>
    <row r="972" ht="12.75">
      <c r="S972"/>
    </row>
    <row r="973" ht="12.75">
      <c r="S973"/>
    </row>
    <row r="974" ht="12.75">
      <c r="S974"/>
    </row>
    <row r="975" ht="12.75">
      <c r="S975"/>
    </row>
    <row r="976" ht="12.75">
      <c r="S976"/>
    </row>
    <row r="977" ht="12.75">
      <c r="S977"/>
    </row>
    <row r="978" ht="12.75">
      <c r="S978"/>
    </row>
    <row r="979" ht="12.75">
      <c r="S979"/>
    </row>
    <row r="980" ht="12.75">
      <c r="S980"/>
    </row>
    <row r="981" ht="12.75">
      <c r="S981"/>
    </row>
    <row r="982" ht="12.75">
      <c r="S982"/>
    </row>
    <row r="983" ht="12.75">
      <c r="S983"/>
    </row>
    <row r="984" ht="12.75">
      <c r="S984"/>
    </row>
    <row r="985" ht="12.75">
      <c r="S985"/>
    </row>
    <row r="986" ht="12.75">
      <c r="S986"/>
    </row>
    <row r="987" ht="12.75">
      <c r="S987"/>
    </row>
    <row r="988" ht="12.75">
      <c r="S988"/>
    </row>
    <row r="989" ht="12.75">
      <c r="S989"/>
    </row>
    <row r="990" ht="12.75">
      <c r="S990"/>
    </row>
    <row r="991" ht="12.75">
      <c r="S991"/>
    </row>
    <row r="992" ht="12.75">
      <c r="S992"/>
    </row>
    <row r="993" ht="12.75">
      <c r="S993"/>
    </row>
    <row r="994" ht="12.75">
      <c r="S994"/>
    </row>
    <row r="995" ht="12.75">
      <c r="S995"/>
    </row>
    <row r="996" ht="12.75">
      <c r="S996"/>
    </row>
    <row r="997" ht="12.75">
      <c r="S997"/>
    </row>
    <row r="998" ht="12.75">
      <c r="S998"/>
    </row>
    <row r="999" ht="12.75">
      <c r="S999"/>
    </row>
    <row r="1000" ht="12.75">
      <c r="S1000"/>
    </row>
    <row r="1001" ht="12.75">
      <c r="S1001"/>
    </row>
    <row r="1002" ht="12.75">
      <c r="S1002"/>
    </row>
    <row r="1003" ht="12.75">
      <c r="S1003"/>
    </row>
    <row r="1004" ht="12.75">
      <c r="S1004"/>
    </row>
    <row r="1005" ht="12.75">
      <c r="S1005"/>
    </row>
    <row r="1006" ht="12.75">
      <c r="S1006"/>
    </row>
    <row r="1007" ht="12.75">
      <c r="S1007"/>
    </row>
    <row r="1008" ht="12.75">
      <c r="S1008"/>
    </row>
    <row r="1009" ht="12.75">
      <c r="S1009"/>
    </row>
    <row r="1010" ht="12.75">
      <c r="S1010"/>
    </row>
    <row r="1011" ht="12.75">
      <c r="S1011"/>
    </row>
    <row r="1012" ht="12.75">
      <c r="S1012"/>
    </row>
    <row r="1013" ht="12.75">
      <c r="S1013"/>
    </row>
    <row r="1014" ht="12.75">
      <c r="S1014"/>
    </row>
    <row r="1015" ht="12.75">
      <c r="S1015"/>
    </row>
    <row r="1016" ht="12.75">
      <c r="S1016"/>
    </row>
    <row r="1017" ht="12.75">
      <c r="S1017"/>
    </row>
    <row r="1018" ht="12.75">
      <c r="S1018"/>
    </row>
    <row r="1019" ht="12.75">
      <c r="S1019"/>
    </row>
    <row r="1020" ht="12.75">
      <c r="S1020"/>
    </row>
    <row r="1021" ht="12.75">
      <c r="S1021"/>
    </row>
    <row r="1022" ht="12.75">
      <c r="S1022"/>
    </row>
    <row r="1023" ht="12.75">
      <c r="S1023"/>
    </row>
    <row r="1024" ht="12.75">
      <c r="S1024"/>
    </row>
    <row r="1025" ht="12.75">
      <c r="S1025"/>
    </row>
    <row r="1026" ht="12.75">
      <c r="S1026"/>
    </row>
    <row r="1027" ht="12.75">
      <c r="S1027"/>
    </row>
    <row r="1028" ht="12.75">
      <c r="S1028"/>
    </row>
    <row r="1029" ht="12.75">
      <c r="S1029"/>
    </row>
    <row r="1030" ht="12.75">
      <c r="S1030"/>
    </row>
    <row r="1031" ht="12.75">
      <c r="S1031"/>
    </row>
    <row r="1032" ht="12.75">
      <c r="S1032"/>
    </row>
    <row r="1033" ht="12.75">
      <c r="S1033"/>
    </row>
    <row r="1034" ht="12.75">
      <c r="S1034"/>
    </row>
    <row r="1035" ht="12.75">
      <c r="S1035"/>
    </row>
    <row r="1036" ht="12.75">
      <c r="S1036"/>
    </row>
    <row r="1037" ht="12.75">
      <c r="S1037"/>
    </row>
    <row r="1038" ht="12.75">
      <c r="S1038"/>
    </row>
    <row r="1039" ht="12.75">
      <c r="S1039"/>
    </row>
    <row r="1040" ht="12.75">
      <c r="S1040"/>
    </row>
    <row r="1041" ht="12.75">
      <c r="S1041"/>
    </row>
    <row r="1042" ht="12.75">
      <c r="S1042"/>
    </row>
    <row r="1043" ht="12.75">
      <c r="S1043"/>
    </row>
    <row r="1044" ht="12.75">
      <c r="S1044"/>
    </row>
    <row r="1045" ht="12.75">
      <c r="S1045"/>
    </row>
    <row r="1046" ht="12.75">
      <c r="S1046"/>
    </row>
    <row r="1047" ht="12.75">
      <c r="S1047"/>
    </row>
    <row r="1048" ht="12.75">
      <c r="S1048"/>
    </row>
    <row r="1049" ht="12.75">
      <c r="S1049"/>
    </row>
    <row r="1050" ht="12.75">
      <c r="S1050"/>
    </row>
    <row r="1051" ht="12.75">
      <c r="S1051"/>
    </row>
    <row r="1052" ht="12.75">
      <c r="S1052"/>
    </row>
    <row r="1053" ht="12.75">
      <c r="S1053"/>
    </row>
    <row r="1054" ht="12.75">
      <c r="S1054"/>
    </row>
    <row r="1055" ht="12.75">
      <c r="S1055"/>
    </row>
    <row r="1056" ht="12.75">
      <c r="S1056"/>
    </row>
    <row r="1057" ht="12.75">
      <c r="S1057"/>
    </row>
    <row r="1058" ht="12.75">
      <c r="S1058"/>
    </row>
    <row r="1059" ht="12.75">
      <c r="S1059"/>
    </row>
    <row r="1060" ht="12.75">
      <c r="S1060"/>
    </row>
    <row r="1061" ht="12.75">
      <c r="S1061"/>
    </row>
    <row r="1062" ht="12.75">
      <c r="S1062"/>
    </row>
    <row r="1063" ht="12.75">
      <c r="S1063"/>
    </row>
    <row r="1064" ht="12.75">
      <c r="S1064"/>
    </row>
    <row r="1065" ht="12.75">
      <c r="S1065"/>
    </row>
    <row r="1066" ht="12.75">
      <c r="S1066"/>
    </row>
    <row r="1067" ht="12.75">
      <c r="S1067"/>
    </row>
    <row r="1068" ht="12.75">
      <c r="S1068"/>
    </row>
    <row r="1069" ht="12.75">
      <c r="S1069"/>
    </row>
    <row r="1070" ht="12.75">
      <c r="S1070"/>
    </row>
    <row r="1071" ht="12.75">
      <c r="S1071"/>
    </row>
    <row r="1072" ht="12.75">
      <c r="S1072"/>
    </row>
    <row r="1073" ht="12.75">
      <c r="S1073"/>
    </row>
    <row r="1074" ht="12.75">
      <c r="S1074"/>
    </row>
    <row r="1075" ht="12.75">
      <c r="S1075"/>
    </row>
    <row r="1076" ht="12.75">
      <c r="S1076"/>
    </row>
    <row r="1077" ht="12.75">
      <c r="S1077"/>
    </row>
    <row r="1078" ht="12.75">
      <c r="S1078"/>
    </row>
    <row r="1079" ht="12.75">
      <c r="S1079"/>
    </row>
    <row r="1080" ht="12.75">
      <c r="S1080"/>
    </row>
    <row r="1081" ht="12.75">
      <c r="S1081"/>
    </row>
    <row r="1082" ht="12.75">
      <c r="S1082"/>
    </row>
    <row r="1083" ht="12.75">
      <c r="S1083"/>
    </row>
    <row r="1084" ht="12.75">
      <c r="S1084"/>
    </row>
    <row r="1085" ht="12.75">
      <c r="S1085"/>
    </row>
    <row r="1086" ht="12.75">
      <c r="S1086"/>
    </row>
    <row r="1087" ht="12.75">
      <c r="S1087"/>
    </row>
    <row r="1088" ht="12.75">
      <c r="S1088"/>
    </row>
    <row r="1089" ht="12.75">
      <c r="S1089"/>
    </row>
    <row r="1090" ht="12.75">
      <c r="S1090"/>
    </row>
    <row r="1091" ht="12.75">
      <c r="S1091"/>
    </row>
    <row r="1092" ht="12.75">
      <c r="S1092"/>
    </row>
    <row r="1093" ht="12.75">
      <c r="S1093"/>
    </row>
    <row r="1094" ht="12.75">
      <c r="S1094"/>
    </row>
    <row r="1095" ht="12.75">
      <c r="S1095"/>
    </row>
    <row r="1096" ht="12.75">
      <c r="S1096"/>
    </row>
    <row r="1097" ht="12.75">
      <c r="S1097"/>
    </row>
    <row r="1098" ht="12.75">
      <c r="S1098"/>
    </row>
    <row r="1099" ht="12.75">
      <c r="S1099"/>
    </row>
    <row r="1100" ht="12.75">
      <c r="S1100"/>
    </row>
    <row r="1101" ht="12.75">
      <c r="S1101"/>
    </row>
    <row r="1102" ht="12.75">
      <c r="S1102"/>
    </row>
    <row r="1103" ht="12.75">
      <c r="S1103"/>
    </row>
    <row r="1104" ht="12.75">
      <c r="S1104"/>
    </row>
    <row r="1105" ht="12.75">
      <c r="S1105"/>
    </row>
    <row r="1106" ht="12.75">
      <c r="S1106"/>
    </row>
    <row r="1107" ht="12.75">
      <c r="S1107"/>
    </row>
    <row r="1108" ht="12.75">
      <c r="S1108"/>
    </row>
    <row r="1109" ht="12.75">
      <c r="S1109"/>
    </row>
    <row r="1110" ht="12.75">
      <c r="S1110"/>
    </row>
    <row r="1111" ht="12.75">
      <c r="S1111"/>
    </row>
    <row r="1112" ht="12.75">
      <c r="S1112"/>
    </row>
    <row r="1113" ht="12.75">
      <c r="S1113"/>
    </row>
    <row r="1114" ht="12.75">
      <c r="S1114"/>
    </row>
    <row r="1115" ht="12.75">
      <c r="S1115"/>
    </row>
    <row r="1116" ht="12.75">
      <c r="S1116"/>
    </row>
    <row r="1117" ht="12.75">
      <c r="S1117"/>
    </row>
    <row r="1118" ht="12.75">
      <c r="S1118"/>
    </row>
    <row r="1119" ht="12.75">
      <c r="S1119"/>
    </row>
    <row r="1120" ht="12.75">
      <c r="S1120"/>
    </row>
    <row r="1121" ht="12.75">
      <c r="S1121"/>
    </row>
    <row r="1122" ht="12.75">
      <c r="S1122"/>
    </row>
    <row r="1123" ht="12.75">
      <c r="S1123"/>
    </row>
    <row r="1124" ht="12.75">
      <c r="S1124"/>
    </row>
    <row r="1125" ht="12.75">
      <c r="S1125"/>
    </row>
    <row r="1126" ht="12.75">
      <c r="S1126"/>
    </row>
    <row r="1127" ht="12.75">
      <c r="S1127"/>
    </row>
    <row r="1128" ht="12.75">
      <c r="S1128"/>
    </row>
    <row r="1129" ht="12.75">
      <c r="S1129"/>
    </row>
    <row r="1130" ht="12.75">
      <c r="S1130"/>
    </row>
    <row r="1131" ht="12.75">
      <c r="S1131"/>
    </row>
    <row r="1132" ht="12.75">
      <c r="S1132"/>
    </row>
    <row r="1133" ht="12.75">
      <c r="S1133"/>
    </row>
    <row r="1134" ht="12.75">
      <c r="S1134"/>
    </row>
    <row r="1135" ht="12.75">
      <c r="S1135"/>
    </row>
    <row r="1136" ht="12.75">
      <c r="S1136"/>
    </row>
    <row r="1137" ht="12.75">
      <c r="S1137"/>
    </row>
    <row r="1138" ht="12.75">
      <c r="S1138"/>
    </row>
    <row r="1139" ht="12.75">
      <c r="S1139"/>
    </row>
    <row r="1140" ht="12.75">
      <c r="S1140"/>
    </row>
    <row r="1141" ht="12.75">
      <c r="S1141"/>
    </row>
    <row r="1142" ht="12.75">
      <c r="S1142"/>
    </row>
    <row r="1143" ht="12.75">
      <c r="S1143"/>
    </row>
    <row r="1144" ht="12.75">
      <c r="S1144"/>
    </row>
    <row r="1145" ht="12.75">
      <c r="S1145"/>
    </row>
    <row r="1146" ht="12.75">
      <c r="S1146"/>
    </row>
    <row r="1147" ht="12.75">
      <c r="S1147"/>
    </row>
    <row r="1148" ht="12.75">
      <c r="S1148"/>
    </row>
    <row r="1149" ht="12.75">
      <c r="S1149"/>
    </row>
    <row r="1150" ht="12.75">
      <c r="S1150"/>
    </row>
    <row r="1151" ht="12.75">
      <c r="S1151"/>
    </row>
    <row r="1152" ht="12.75">
      <c r="S1152"/>
    </row>
    <row r="1153" ht="12.75">
      <c r="S1153"/>
    </row>
    <row r="1154" ht="12.75">
      <c r="S1154"/>
    </row>
    <row r="1155" ht="12.75">
      <c r="S1155"/>
    </row>
    <row r="1156" ht="12.75">
      <c r="S1156"/>
    </row>
    <row r="1157" ht="12.75">
      <c r="S1157"/>
    </row>
    <row r="1158" ht="12.75">
      <c r="S1158"/>
    </row>
    <row r="1159" ht="12.75">
      <c r="S1159"/>
    </row>
    <row r="1160" ht="12.75">
      <c r="S1160"/>
    </row>
    <row r="1161" ht="12.75">
      <c r="S1161"/>
    </row>
    <row r="1162" ht="12.75">
      <c r="S1162"/>
    </row>
    <row r="1163" ht="12.75">
      <c r="S1163"/>
    </row>
    <row r="1164" ht="12.75">
      <c r="S1164"/>
    </row>
    <row r="1165" ht="12.75">
      <c r="S1165"/>
    </row>
    <row r="1166" ht="12.75">
      <c r="S1166"/>
    </row>
    <row r="1167" ht="12.75">
      <c r="S1167"/>
    </row>
    <row r="1168" ht="12.75">
      <c r="S1168"/>
    </row>
    <row r="1169" ht="12.75">
      <c r="S1169"/>
    </row>
    <row r="1170" ht="12.75">
      <c r="S1170"/>
    </row>
    <row r="1171" ht="12.75">
      <c r="S1171"/>
    </row>
    <row r="1172" ht="12.75">
      <c r="S1172"/>
    </row>
    <row r="1173" ht="12.75">
      <c r="S1173"/>
    </row>
    <row r="1174" ht="12.75">
      <c r="S1174"/>
    </row>
    <row r="1175" ht="12.75">
      <c r="S1175"/>
    </row>
    <row r="1176" ht="12.75">
      <c r="S1176"/>
    </row>
    <row r="1177" ht="12.75">
      <c r="S1177"/>
    </row>
    <row r="1178" ht="12.75">
      <c r="S1178"/>
    </row>
    <row r="1179" ht="12.75">
      <c r="S1179"/>
    </row>
    <row r="1180" ht="12.75">
      <c r="S1180"/>
    </row>
    <row r="1181" ht="12.75">
      <c r="S1181"/>
    </row>
    <row r="1182" ht="12.75">
      <c r="S1182"/>
    </row>
    <row r="1183" ht="12.75">
      <c r="S1183"/>
    </row>
    <row r="1184" ht="12.75">
      <c r="S1184"/>
    </row>
    <row r="1185" ht="12.75">
      <c r="S1185"/>
    </row>
    <row r="1186" ht="12.75">
      <c r="S1186"/>
    </row>
    <row r="1187" ht="12.75">
      <c r="S1187"/>
    </row>
    <row r="1188" ht="12.75">
      <c r="S1188"/>
    </row>
    <row r="1189" ht="12.75">
      <c r="S1189"/>
    </row>
    <row r="1190" ht="12.75">
      <c r="S1190"/>
    </row>
    <row r="1191" ht="12.75">
      <c r="S1191"/>
    </row>
    <row r="1192" ht="12.75">
      <c r="S1192"/>
    </row>
    <row r="1193" ht="12.75">
      <c r="S1193"/>
    </row>
    <row r="1194" ht="12.75">
      <c r="S1194"/>
    </row>
    <row r="1195" ht="12.75">
      <c r="S1195"/>
    </row>
    <row r="1196" ht="12.75">
      <c r="S1196"/>
    </row>
    <row r="1197" ht="12.75">
      <c r="S1197"/>
    </row>
    <row r="1198" ht="12.75">
      <c r="S1198"/>
    </row>
    <row r="1199" ht="12.75">
      <c r="S1199"/>
    </row>
    <row r="1200" ht="12.75">
      <c r="S1200"/>
    </row>
    <row r="1201" ht="12.75">
      <c r="S1201"/>
    </row>
    <row r="1202" ht="12.75">
      <c r="S1202"/>
    </row>
    <row r="1203" ht="12.75">
      <c r="S1203"/>
    </row>
    <row r="1204" ht="12.75">
      <c r="S1204"/>
    </row>
    <row r="1205" ht="12.75">
      <c r="S1205"/>
    </row>
    <row r="1206" ht="12.75">
      <c r="S1206"/>
    </row>
    <row r="1207" ht="12.75">
      <c r="S1207"/>
    </row>
    <row r="1208" ht="12.75">
      <c r="S1208"/>
    </row>
    <row r="1209" ht="12.75">
      <c r="S1209"/>
    </row>
    <row r="1210" ht="12.75">
      <c r="S1210"/>
    </row>
    <row r="1211" ht="12.75">
      <c r="S1211"/>
    </row>
    <row r="1212" ht="12.75">
      <c r="S1212"/>
    </row>
    <row r="1213" ht="12.75">
      <c r="S1213"/>
    </row>
    <row r="1214" ht="12.75">
      <c r="S1214"/>
    </row>
    <row r="1215" ht="12.75">
      <c r="S1215"/>
    </row>
    <row r="1216" ht="12.75">
      <c r="S1216"/>
    </row>
    <row r="1217" ht="12.75">
      <c r="S1217"/>
    </row>
    <row r="1218" ht="12.75">
      <c r="S1218"/>
    </row>
    <row r="1219" ht="12.75">
      <c r="S1219"/>
    </row>
    <row r="1220" ht="12.75">
      <c r="S1220"/>
    </row>
    <row r="1221" ht="12.75">
      <c r="S1221"/>
    </row>
    <row r="1222" ht="12.75">
      <c r="S1222"/>
    </row>
    <row r="1223" ht="12.75">
      <c r="S1223"/>
    </row>
    <row r="1224" ht="12.75">
      <c r="S1224"/>
    </row>
    <row r="1225" ht="12.75">
      <c r="S1225"/>
    </row>
    <row r="1226" ht="12.75">
      <c r="S1226"/>
    </row>
    <row r="1227" ht="12.75">
      <c r="S1227"/>
    </row>
    <row r="1228" ht="12.75">
      <c r="S1228"/>
    </row>
    <row r="1229" ht="12.75">
      <c r="S1229"/>
    </row>
    <row r="1230" ht="12.75">
      <c r="S1230"/>
    </row>
    <row r="1231" ht="12.75">
      <c r="S1231"/>
    </row>
    <row r="1232" ht="12.75">
      <c r="S1232"/>
    </row>
    <row r="1233" ht="12.75">
      <c r="S1233"/>
    </row>
    <row r="1234" ht="12.75">
      <c r="S1234"/>
    </row>
    <row r="1235" ht="12.75">
      <c r="S1235"/>
    </row>
    <row r="1236" ht="12.75">
      <c r="S1236"/>
    </row>
    <row r="1237" ht="12.75">
      <c r="S1237"/>
    </row>
    <row r="1238" ht="12.75">
      <c r="S1238"/>
    </row>
    <row r="1239" ht="12.75">
      <c r="S1239"/>
    </row>
    <row r="1240" ht="12.75">
      <c r="S1240"/>
    </row>
    <row r="1241" ht="12.75">
      <c r="S1241"/>
    </row>
    <row r="1242" ht="12.75">
      <c r="S1242"/>
    </row>
    <row r="1243" ht="12.75">
      <c r="S1243"/>
    </row>
    <row r="1244" ht="12.75">
      <c r="S1244"/>
    </row>
    <row r="1245" ht="12.75">
      <c r="S1245"/>
    </row>
    <row r="1246" ht="12.75">
      <c r="S1246"/>
    </row>
    <row r="1247" ht="12.75">
      <c r="S1247"/>
    </row>
    <row r="1248" ht="12.75">
      <c r="S1248"/>
    </row>
    <row r="1249" ht="12.75">
      <c r="S1249"/>
    </row>
    <row r="1250" ht="12.75">
      <c r="S1250"/>
    </row>
    <row r="1251" ht="12.75">
      <c r="S1251"/>
    </row>
    <row r="1252" ht="12.75">
      <c r="S1252"/>
    </row>
    <row r="1253" ht="12.75">
      <c r="S1253"/>
    </row>
    <row r="1254" ht="12.75">
      <c r="S1254"/>
    </row>
    <row r="1255" ht="12.75">
      <c r="S1255"/>
    </row>
    <row r="1256" ht="12.75">
      <c r="S1256"/>
    </row>
    <row r="1257" ht="12.75">
      <c r="S1257"/>
    </row>
    <row r="1258" ht="12.75">
      <c r="S1258"/>
    </row>
    <row r="1259" ht="12.75">
      <c r="S1259"/>
    </row>
    <row r="1260" ht="12.75">
      <c r="S1260"/>
    </row>
    <row r="1261" ht="12.75">
      <c r="S1261"/>
    </row>
    <row r="1262" ht="12.75">
      <c r="S1262"/>
    </row>
    <row r="1263" ht="12.75">
      <c r="S1263"/>
    </row>
    <row r="1264" ht="12.75">
      <c r="S1264"/>
    </row>
    <row r="1265" ht="12.75">
      <c r="S1265"/>
    </row>
    <row r="1266" ht="12.75">
      <c r="S1266"/>
    </row>
    <row r="1267" ht="12.75">
      <c r="S1267"/>
    </row>
    <row r="1268" ht="12.75">
      <c r="S1268"/>
    </row>
    <row r="1269" ht="12.75">
      <c r="S1269"/>
    </row>
    <row r="1270" ht="12.75">
      <c r="S1270"/>
    </row>
    <row r="1271" ht="12.75">
      <c r="S1271"/>
    </row>
    <row r="1272" ht="12.75">
      <c r="S1272"/>
    </row>
    <row r="1273" ht="12.75">
      <c r="S1273"/>
    </row>
    <row r="1274" ht="12.75">
      <c r="S1274"/>
    </row>
    <row r="1275" ht="12.75">
      <c r="S1275"/>
    </row>
    <row r="1276" ht="12.75">
      <c r="S1276"/>
    </row>
    <row r="1277" ht="12.75">
      <c r="S1277"/>
    </row>
    <row r="1278" ht="12.75">
      <c r="S1278"/>
    </row>
    <row r="1279" ht="12.75">
      <c r="S1279"/>
    </row>
    <row r="1280" ht="12.75">
      <c r="S1280"/>
    </row>
    <row r="1281" ht="12.75">
      <c r="S1281"/>
    </row>
    <row r="1282" ht="12.75">
      <c r="S1282"/>
    </row>
    <row r="1283" ht="12.75">
      <c r="S1283"/>
    </row>
    <row r="1284" ht="12.75">
      <c r="S1284"/>
    </row>
    <row r="1285" ht="12.75">
      <c r="S1285"/>
    </row>
    <row r="1286" ht="12.75">
      <c r="S1286"/>
    </row>
    <row r="1287" ht="12.75">
      <c r="S1287"/>
    </row>
    <row r="1288" ht="12.75">
      <c r="S1288"/>
    </row>
    <row r="1289" ht="12.75">
      <c r="S1289"/>
    </row>
    <row r="1290" ht="12.75">
      <c r="S1290"/>
    </row>
    <row r="1291" ht="12.75">
      <c r="S1291"/>
    </row>
    <row r="1292" ht="12.75">
      <c r="S1292"/>
    </row>
    <row r="1293" ht="12.75">
      <c r="S1293"/>
    </row>
    <row r="1294" ht="12.75">
      <c r="S1294"/>
    </row>
    <row r="1295" ht="12.75">
      <c r="S1295"/>
    </row>
    <row r="1296" ht="12.75">
      <c r="S1296"/>
    </row>
    <row r="1297" ht="12.75">
      <c r="S1297"/>
    </row>
    <row r="1298" ht="12.75">
      <c r="S1298"/>
    </row>
    <row r="1299" ht="12.75">
      <c r="S1299"/>
    </row>
    <row r="1300" ht="12.75">
      <c r="S1300"/>
    </row>
    <row r="1301" ht="12.75">
      <c r="S1301"/>
    </row>
    <row r="1302" ht="12.75">
      <c r="S1302"/>
    </row>
    <row r="1303" ht="12.75">
      <c r="S1303"/>
    </row>
    <row r="1304" ht="12.75">
      <c r="S1304"/>
    </row>
    <row r="1305" ht="12.75">
      <c r="S1305"/>
    </row>
    <row r="1306" ht="12.75">
      <c r="S1306"/>
    </row>
    <row r="1307" ht="12.75">
      <c r="S1307"/>
    </row>
    <row r="1308" ht="12.75">
      <c r="S1308"/>
    </row>
    <row r="1309" ht="12.75">
      <c r="S1309"/>
    </row>
    <row r="1310" ht="12.75">
      <c r="S1310"/>
    </row>
    <row r="1311" ht="12.75">
      <c r="S1311"/>
    </row>
    <row r="1312" ht="12.75">
      <c r="S1312"/>
    </row>
    <row r="1313" ht="12.75">
      <c r="S1313"/>
    </row>
    <row r="1314" ht="12.75">
      <c r="S1314"/>
    </row>
    <row r="1315" ht="12.75">
      <c r="S1315"/>
    </row>
    <row r="1316" ht="12.75">
      <c r="S1316"/>
    </row>
    <row r="1317" ht="12.75">
      <c r="S1317"/>
    </row>
    <row r="1318" ht="12.75">
      <c r="S1318"/>
    </row>
    <row r="1319" ht="12.75">
      <c r="S1319"/>
    </row>
    <row r="1320" ht="12.75">
      <c r="S1320"/>
    </row>
    <row r="1321" ht="12.75">
      <c r="S1321"/>
    </row>
    <row r="1322" ht="12.75">
      <c r="S1322"/>
    </row>
    <row r="1323" ht="12.75">
      <c r="S1323"/>
    </row>
    <row r="1324" ht="12.75">
      <c r="S1324"/>
    </row>
    <row r="1325" ht="12.75">
      <c r="S1325"/>
    </row>
    <row r="1326" ht="12.75">
      <c r="S1326"/>
    </row>
    <row r="1327" ht="12.75">
      <c r="S1327"/>
    </row>
    <row r="1328" ht="12.75">
      <c r="S1328"/>
    </row>
    <row r="1329" ht="12.75">
      <c r="S1329"/>
    </row>
    <row r="1330" ht="12.75">
      <c r="S1330"/>
    </row>
    <row r="1331" ht="12.75">
      <c r="S1331"/>
    </row>
    <row r="1332" ht="12.75">
      <c r="S1332"/>
    </row>
    <row r="1333" ht="12.75">
      <c r="S1333"/>
    </row>
    <row r="1334" ht="12.75">
      <c r="S1334"/>
    </row>
    <row r="1335" ht="12.75">
      <c r="S1335"/>
    </row>
    <row r="1336" ht="12.75">
      <c r="S1336"/>
    </row>
    <row r="1337" ht="12.75">
      <c r="S1337"/>
    </row>
    <row r="1338" ht="12.75">
      <c r="S1338"/>
    </row>
    <row r="1339" ht="12.75">
      <c r="S1339"/>
    </row>
    <row r="1340" ht="12.75">
      <c r="S1340"/>
    </row>
    <row r="1341" ht="12.75">
      <c r="S1341"/>
    </row>
    <row r="1342" ht="12.75">
      <c r="S1342"/>
    </row>
    <row r="1343" ht="12.75">
      <c r="S1343"/>
    </row>
    <row r="1344" ht="12.75">
      <c r="S1344"/>
    </row>
    <row r="1345" ht="12.75">
      <c r="S1345"/>
    </row>
    <row r="1346" ht="12.75">
      <c r="S1346"/>
    </row>
    <row r="1347" ht="12.75">
      <c r="S1347"/>
    </row>
    <row r="1348" ht="12.75">
      <c r="S1348"/>
    </row>
    <row r="1349" ht="12.75">
      <c r="S1349"/>
    </row>
    <row r="1350" ht="12.75">
      <c r="S1350"/>
    </row>
    <row r="1351" ht="12.75">
      <c r="S1351"/>
    </row>
    <row r="1352" ht="12.75">
      <c r="S1352"/>
    </row>
    <row r="1353" ht="12.75">
      <c r="S1353"/>
    </row>
    <row r="1354" ht="12.75">
      <c r="S1354"/>
    </row>
    <row r="1355" ht="12.75">
      <c r="S1355"/>
    </row>
    <row r="1356" ht="12.75">
      <c r="S1356"/>
    </row>
    <row r="1357" ht="12.75">
      <c r="S1357"/>
    </row>
    <row r="1358" ht="12.75">
      <c r="S1358"/>
    </row>
    <row r="1359" ht="12.75">
      <c r="S1359"/>
    </row>
    <row r="1360" ht="12.75">
      <c r="S1360"/>
    </row>
    <row r="1361" ht="12.75">
      <c r="S1361"/>
    </row>
    <row r="1362" ht="12.75">
      <c r="S1362"/>
    </row>
    <row r="1363" ht="12.75">
      <c r="S1363"/>
    </row>
    <row r="1364" ht="12.75">
      <c r="S1364"/>
    </row>
    <row r="1365" ht="12.75">
      <c r="S1365"/>
    </row>
    <row r="1366" ht="12.75">
      <c r="S1366"/>
    </row>
    <row r="1367" ht="12.75">
      <c r="S1367"/>
    </row>
    <row r="1368" ht="12.75">
      <c r="S1368"/>
    </row>
    <row r="1369" ht="12.75">
      <c r="S1369"/>
    </row>
    <row r="1370" ht="12.75">
      <c r="S1370"/>
    </row>
    <row r="1371" ht="12.75">
      <c r="S1371"/>
    </row>
    <row r="1372" ht="12.75">
      <c r="S1372"/>
    </row>
    <row r="1373" ht="12.75">
      <c r="S1373"/>
    </row>
    <row r="1374" ht="12.75">
      <c r="S1374"/>
    </row>
    <row r="1375" ht="12.75">
      <c r="S1375"/>
    </row>
    <row r="1376" ht="12.75">
      <c r="S1376"/>
    </row>
    <row r="1377" ht="12.75">
      <c r="S1377"/>
    </row>
    <row r="1378" ht="12.75">
      <c r="S1378"/>
    </row>
    <row r="1379" ht="12.75">
      <c r="S1379"/>
    </row>
    <row r="1380" ht="12.75">
      <c r="S1380"/>
    </row>
    <row r="1381" ht="12.75">
      <c r="S1381"/>
    </row>
    <row r="1382" ht="12.75">
      <c r="S1382"/>
    </row>
    <row r="1383" ht="12.75">
      <c r="S1383"/>
    </row>
    <row r="1384" ht="12.75">
      <c r="S1384"/>
    </row>
    <row r="1385" ht="12.75">
      <c r="S1385"/>
    </row>
    <row r="1386" ht="12.75">
      <c r="S1386"/>
    </row>
    <row r="1387" ht="12.75">
      <c r="S1387"/>
    </row>
    <row r="1388" ht="12.75">
      <c r="S1388"/>
    </row>
    <row r="1389" ht="12.75">
      <c r="S1389"/>
    </row>
    <row r="1390" ht="12.75">
      <c r="S1390"/>
    </row>
    <row r="1391" ht="12.75">
      <c r="S1391"/>
    </row>
    <row r="1392" ht="12.75">
      <c r="S1392"/>
    </row>
    <row r="1393" ht="12.75">
      <c r="S1393"/>
    </row>
    <row r="1394" ht="12.75">
      <c r="S1394"/>
    </row>
    <row r="1395" ht="12.75">
      <c r="S1395"/>
    </row>
    <row r="1396" ht="12.75">
      <c r="S1396"/>
    </row>
    <row r="1397" ht="12.75">
      <c r="S1397"/>
    </row>
    <row r="1398" ht="12.75">
      <c r="S1398"/>
    </row>
    <row r="1399" ht="12.75">
      <c r="S1399"/>
    </row>
    <row r="1400" ht="12.75">
      <c r="S1400"/>
    </row>
    <row r="1401" ht="12.75">
      <c r="S1401"/>
    </row>
    <row r="1402" ht="12.75">
      <c r="S1402"/>
    </row>
    <row r="1403" ht="12.75">
      <c r="S1403"/>
    </row>
    <row r="1404" ht="12.75">
      <c r="S1404"/>
    </row>
    <row r="1405" ht="12.75">
      <c r="S1405"/>
    </row>
    <row r="1406" ht="12.75">
      <c r="S1406"/>
    </row>
    <row r="1407" ht="12.75">
      <c r="S1407"/>
    </row>
    <row r="1408" ht="12.75">
      <c r="S1408"/>
    </row>
    <row r="1409" ht="12.75">
      <c r="S1409"/>
    </row>
    <row r="1410" ht="12.75">
      <c r="S1410"/>
    </row>
    <row r="1411" ht="12.75">
      <c r="S1411"/>
    </row>
    <row r="1412" ht="12.75">
      <c r="S1412"/>
    </row>
    <row r="1413" ht="12.75">
      <c r="S1413"/>
    </row>
    <row r="1414" ht="12.75">
      <c r="S1414"/>
    </row>
    <row r="1415" ht="12.75">
      <c r="S1415"/>
    </row>
    <row r="1416" ht="12.75">
      <c r="S1416"/>
    </row>
    <row r="1417" ht="12.75">
      <c r="S1417"/>
    </row>
    <row r="1418" ht="12.75">
      <c r="S1418"/>
    </row>
    <row r="1419" ht="12.75">
      <c r="S1419"/>
    </row>
    <row r="1420" ht="12.75">
      <c r="S1420"/>
    </row>
    <row r="1421" ht="12.75">
      <c r="S1421"/>
    </row>
    <row r="1422" ht="12.75">
      <c r="S1422"/>
    </row>
    <row r="1423" ht="12.75">
      <c r="S1423"/>
    </row>
    <row r="1424" ht="12.75">
      <c r="S1424"/>
    </row>
    <row r="1425" ht="12.75">
      <c r="S1425"/>
    </row>
    <row r="1426" ht="12.75">
      <c r="S1426"/>
    </row>
    <row r="1427" ht="12.75">
      <c r="S1427"/>
    </row>
    <row r="1428" ht="12.75">
      <c r="S1428"/>
    </row>
    <row r="1429" ht="12.75">
      <c r="S1429"/>
    </row>
    <row r="1430" ht="12.75">
      <c r="S1430"/>
    </row>
    <row r="1431" ht="12.75">
      <c r="S1431"/>
    </row>
    <row r="1432" ht="12.75">
      <c r="S1432"/>
    </row>
    <row r="1433" ht="12.75">
      <c r="S1433"/>
    </row>
    <row r="1434" ht="12.75">
      <c r="S1434"/>
    </row>
    <row r="1435" ht="12.75">
      <c r="S1435"/>
    </row>
    <row r="1436" ht="12.75">
      <c r="S1436"/>
    </row>
    <row r="1437" ht="12.75">
      <c r="S1437"/>
    </row>
    <row r="1438" ht="12.75">
      <c r="S1438"/>
    </row>
    <row r="1439" ht="12.75">
      <c r="S1439"/>
    </row>
    <row r="1440" ht="12.75">
      <c r="S1440"/>
    </row>
    <row r="1441" ht="12.75">
      <c r="S1441"/>
    </row>
    <row r="1442" ht="12.75">
      <c r="S1442"/>
    </row>
    <row r="1443" ht="12.75">
      <c r="S1443"/>
    </row>
    <row r="1444" ht="12.75">
      <c r="S1444"/>
    </row>
    <row r="1445" ht="12.75">
      <c r="S1445"/>
    </row>
    <row r="1446" ht="12.75">
      <c r="S1446"/>
    </row>
    <row r="1447" ht="12.75">
      <c r="S1447"/>
    </row>
    <row r="1448" ht="12.75">
      <c r="S1448"/>
    </row>
    <row r="1449" ht="12.75">
      <c r="S1449"/>
    </row>
    <row r="1450" ht="12.75">
      <c r="S1450"/>
    </row>
    <row r="1451" ht="12.75">
      <c r="S1451"/>
    </row>
    <row r="1452" ht="12.75">
      <c r="S1452"/>
    </row>
    <row r="1453" ht="12.75">
      <c r="S1453"/>
    </row>
    <row r="1454" ht="12.75">
      <c r="S1454"/>
    </row>
    <row r="1455" ht="12.75">
      <c r="S1455"/>
    </row>
    <row r="1456" ht="12.75">
      <c r="S1456"/>
    </row>
    <row r="1457" ht="12.75">
      <c r="S1457"/>
    </row>
    <row r="1458" ht="12.75">
      <c r="S1458"/>
    </row>
    <row r="1459" ht="12.75">
      <c r="S1459"/>
    </row>
    <row r="1460" ht="12.75">
      <c r="S1460"/>
    </row>
    <row r="1461" ht="12.75">
      <c r="S1461"/>
    </row>
    <row r="1462" ht="12.75">
      <c r="S1462"/>
    </row>
    <row r="1463" ht="12.75">
      <c r="S1463"/>
    </row>
    <row r="1464" ht="12.75">
      <c r="S1464"/>
    </row>
    <row r="1465" ht="12.75">
      <c r="S1465"/>
    </row>
    <row r="1466" ht="12.75">
      <c r="S1466"/>
    </row>
    <row r="1467" ht="12.75">
      <c r="S1467"/>
    </row>
    <row r="1468" ht="12.75">
      <c r="S1468"/>
    </row>
    <row r="1469" ht="12.75">
      <c r="S1469"/>
    </row>
    <row r="1470" ht="12.75">
      <c r="S1470"/>
    </row>
    <row r="1471" ht="12.75">
      <c r="S1471"/>
    </row>
    <row r="1472" ht="12.75">
      <c r="S1472"/>
    </row>
    <row r="1473" ht="12.75">
      <c r="S1473"/>
    </row>
    <row r="1474" ht="12.75">
      <c r="S1474"/>
    </row>
    <row r="1475" ht="12.75">
      <c r="S1475"/>
    </row>
    <row r="1476" ht="12.75">
      <c r="S1476"/>
    </row>
    <row r="1477" ht="12.75">
      <c r="S1477"/>
    </row>
    <row r="1478" ht="12.75">
      <c r="S1478"/>
    </row>
    <row r="1479" ht="12.75">
      <c r="S1479"/>
    </row>
    <row r="1480" ht="12.75">
      <c r="S1480"/>
    </row>
    <row r="1481" ht="12.75">
      <c r="S1481"/>
    </row>
    <row r="1482" ht="12.75">
      <c r="S1482"/>
    </row>
    <row r="1483" ht="12.75">
      <c r="S1483"/>
    </row>
    <row r="1484" ht="12.75">
      <c r="S1484"/>
    </row>
    <row r="1485" ht="12.75">
      <c r="S1485"/>
    </row>
    <row r="1486" ht="12.75">
      <c r="S1486"/>
    </row>
    <row r="1487" ht="12.75">
      <c r="S1487"/>
    </row>
    <row r="1488" ht="12.75">
      <c r="S1488"/>
    </row>
    <row r="1489" ht="12.75">
      <c r="S1489"/>
    </row>
    <row r="1490" ht="12.75">
      <c r="S1490"/>
    </row>
    <row r="1491" ht="12.75">
      <c r="S1491"/>
    </row>
    <row r="1492" ht="12.75">
      <c r="S1492"/>
    </row>
    <row r="1493" ht="12.75">
      <c r="S1493"/>
    </row>
    <row r="1494" ht="12.75">
      <c r="S1494"/>
    </row>
    <row r="1495" ht="12.75">
      <c r="S1495"/>
    </row>
    <row r="1496" ht="12.75">
      <c r="S1496"/>
    </row>
    <row r="1497" ht="12.75">
      <c r="S1497"/>
    </row>
    <row r="1498" ht="12.75">
      <c r="S1498"/>
    </row>
    <row r="1499" ht="12.75">
      <c r="S1499"/>
    </row>
    <row r="1500" ht="12.75">
      <c r="S1500"/>
    </row>
    <row r="1501" ht="12.75">
      <c r="S1501"/>
    </row>
    <row r="1502" ht="12.75">
      <c r="S1502"/>
    </row>
    <row r="1503" ht="12.75">
      <c r="S1503"/>
    </row>
    <row r="1504" ht="12.75">
      <c r="S1504"/>
    </row>
    <row r="1505" ht="12.75">
      <c r="S1505"/>
    </row>
    <row r="1506" ht="12.75">
      <c r="S1506"/>
    </row>
    <row r="1507" ht="12.75">
      <c r="S1507"/>
    </row>
    <row r="1508" ht="12.75">
      <c r="S1508"/>
    </row>
    <row r="1509" ht="12.75">
      <c r="S1509"/>
    </row>
    <row r="1510" ht="12.75">
      <c r="S1510"/>
    </row>
    <row r="1511" ht="12.75">
      <c r="S1511"/>
    </row>
    <row r="1512" ht="12.75">
      <c r="S1512"/>
    </row>
    <row r="1513" ht="12.75">
      <c r="S1513"/>
    </row>
    <row r="1514" ht="12.75">
      <c r="S1514"/>
    </row>
    <row r="1515" ht="12.75">
      <c r="S1515"/>
    </row>
    <row r="1516" ht="12.75">
      <c r="S1516"/>
    </row>
    <row r="1517" ht="12.75">
      <c r="S1517"/>
    </row>
    <row r="1518" ht="12.75">
      <c r="S1518"/>
    </row>
    <row r="1519" ht="12.75">
      <c r="S1519"/>
    </row>
    <row r="1520" ht="12.75">
      <c r="S1520"/>
    </row>
    <row r="1521" ht="12.75">
      <c r="S1521"/>
    </row>
    <row r="1522" ht="12.75">
      <c r="S1522"/>
    </row>
    <row r="1523" ht="12.75">
      <c r="S1523"/>
    </row>
    <row r="1524" ht="12.75">
      <c r="S1524"/>
    </row>
    <row r="1525" ht="12.75">
      <c r="S1525"/>
    </row>
    <row r="1526" ht="12.75">
      <c r="S1526"/>
    </row>
    <row r="1527" ht="12.75">
      <c r="S1527"/>
    </row>
    <row r="1528" ht="12.75">
      <c r="S1528"/>
    </row>
    <row r="1529" ht="12.75">
      <c r="S1529"/>
    </row>
    <row r="1530" ht="12.75">
      <c r="S1530"/>
    </row>
    <row r="1531" ht="12.75">
      <c r="S1531"/>
    </row>
    <row r="1532" ht="12.75">
      <c r="S1532"/>
    </row>
    <row r="1533" ht="12.75">
      <c r="S1533"/>
    </row>
    <row r="1534" ht="12.75">
      <c r="S1534"/>
    </row>
    <row r="1535" ht="12.75">
      <c r="S1535"/>
    </row>
    <row r="1536" ht="12.75">
      <c r="S1536"/>
    </row>
    <row r="1537" ht="12.75">
      <c r="S1537"/>
    </row>
    <row r="1538" ht="12.75">
      <c r="S1538"/>
    </row>
    <row r="1539" ht="12.75">
      <c r="S1539"/>
    </row>
    <row r="1540" ht="12.75">
      <c r="S1540"/>
    </row>
    <row r="1541" ht="12.75">
      <c r="S1541"/>
    </row>
    <row r="1542" ht="12.75">
      <c r="S1542"/>
    </row>
    <row r="1543" ht="12.75">
      <c r="S1543"/>
    </row>
    <row r="1544" ht="12.75">
      <c r="S1544"/>
    </row>
    <row r="1545" ht="12.75">
      <c r="S1545"/>
    </row>
    <row r="1546" ht="12.75">
      <c r="S1546"/>
    </row>
    <row r="1547" ht="12.75">
      <c r="S1547"/>
    </row>
    <row r="1548" ht="12.75">
      <c r="S1548"/>
    </row>
    <row r="1549" ht="12.75">
      <c r="S1549"/>
    </row>
    <row r="1550" ht="12.75">
      <c r="S1550"/>
    </row>
    <row r="1551" ht="12.75">
      <c r="S1551"/>
    </row>
    <row r="1552" ht="12.75">
      <c r="S1552"/>
    </row>
    <row r="1553" ht="12.75">
      <c r="S1553"/>
    </row>
    <row r="1554" ht="12.75">
      <c r="S1554"/>
    </row>
    <row r="1555" ht="12.75">
      <c r="S1555"/>
    </row>
    <row r="1556" ht="12.75">
      <c r="S1556"/>
    </row>
    <row r="1557" ht="12.75">
      <c r="S1557"/>
    </row>
    <row r="1558" ht="12.75">
      <c r="S1558"/>
    </row>
    <row r="1559" ht="12.75">
      <c r="S1559"/>
    </row>
    <row r="1560" ht="12.75">
      <c r="S1560"/>
    </row>
    <row r="1561" ht="12.75">
      <c r="S1561"/>
    </row>
    <row r="1562" ht="12.75">
      <c r="S1562"/>
    </row>
    <row r="1563" ht="12.75">
      <c r="S1563"/>
    </row>
    <row r="1564" ht="12.75">
      <c r="S1564"/>
    </row>
    <row r="1565" ht="12.75">
      <c r="S1565"/>
    </row>
    <row r="1566" ht="12.75">
      <c r="S1566"/>
    </row>
    <row r="1567" ht="12.75">
      <c r="S1567"/>
    </row>
    <row r="1568" ht="12.75">
      <c r="S1568"/>
    </row>
    <row r="1569" ht="12.75">
      <c r="S1569"/>
    </row>
    <row r="1570" ht="12.75">
      <c r="S1570"/>
    </row>
    <row r="1571" ht="12.75">
      <c r="S1571"/>
    </row>
    <row r="1572" ht="12.75">
      <c r="S1572"/>
    </row>
    <row r="1573" ht="12.75">
      <c r="S1573"/>
    </row>
    <row r="1574" ht="12.75">
      <c r="S1574"/>
    </row>
    <row r="1575" ht="12.75">
      <c r="S1575"/>
    </row>
    <row r="1576" ht="12.75">
      <c r="S1576"/>
    </row>
    <row r="1577" ht="12.75">
      <c r="S1577"/>
    </row>
    <row r="1578" ht="12.75">
      <c r="S1578"/>
    </row>
    <row r="1579" ht="12.75">
      <c r="S1579"/>
    </row>
    <row r="1580" ht="12.75">
      <c r="S1580"/>
    </row>
    <row r="1581" ht="12.75">
      <c r="S1581"/>
    </row>
    <row r="1582" ht="12.75">
      <c r="S1582"/>
    </row>
    <row r="1583" ht="12.75">
      <c r="S1583"/>
    </row>
    <row r="1584" ht="12.75">
      <c r="S1584"/>
    </row>
    <row r="1585" ht="12.75">
      <c r="S1585"/>
    </row>
    <row r="1586" ht="12.75">
      <c r="S1586"/>
    </row>
    <row r="1587" ht="12.75">
      <c r="S1587"/>
    </row>
    <row r="1588" ht="12.75">
      <c r="S1588"/>
    </row>
    <row r="1589" ht="12.75">
      <c r="S1589"/>
    </row>
    <row r="1590" ht="12.75">
      <c r="S1590"/>
    </row>
    <row r="1591" ht="12.75">
      <c r="S1591"/>
    </row>
    <row r="1592" ht="12.75">
      <c r="S1592"/>
    </row>
    <row r="1593" ht="12.75">
      <c r="S1593"/>
    </row>
    <row r="1594" ht="12.75">
      <c r="S1594"/>
    </row>
    <row r="1595" ht="12.75">
      <c r="S1595"/>
    </row>
    <row r="1596" ht="12.75">
      <c r="S1596"/>
    </row>
    <row r="1597" ht="12.75">
      <c r="S1597"/>
    </row>
    <row r="1598" ht="12.75">
      <c r="S1598"/>
    </row>
    <row r="1599" ht="12.75">
      <c r="S1599"/>
    </row>
    <row r="1600" ht="12.75">
      <c r="S1600"/>
    </row>
    <row r="1601" ht="12.75">
      <c r="S1601"/>
    </row>
    <row r="1602" ht="12.75">
      <c r="S1602"/>
    </row>
    <row r="1603" ht="12.75">
      <c r="S1603"/>
    </row>
    <row r="1604" ht="12.75">
      <c r="S1604"/>
    </row>
    <row r="1605" ht="12.75">
      <c r="S1605"/>
    </row>
    <row r="1606" ht="12.75">
      <c r="S1606"/>
    </row>
    <row r="1607" ht="12.75">
      <c r="S1607"/>
    </row>
    <row r="1608" ht="12.75">
      <c r="S1608"/>
    </row>
    <row r="1609" ht="12.75">
      <c r="S1609"/>
    </row>
    <row r="1610" ht="12.75">
      <c r="S1610"/>
    </row>
    <row r="1611" ht="12.75">
      <c r="S1611"/>
    </row>
    <row r="1612" ht="12.75">
      <c r="S1612"/>
    </row>
    <row r="1613" ht="12.75">
      <c r="S1613"/>
    </row>
    <row r="1614" ht="12.75">
      <c r="S1614"/>
    </row>
    <row r="1615" ht="12.75">
      <c r="S1615"/>
    </row>
    <row r="1616" ht="12.75">
      <c r="S1616"/>
    </row>
    <row r="1617" ht="12.75">
      <c r="S1617"/>
    </row>
    <row r="1618" ht="12.75">
      <c r="S1618"/>
    </row>
    <row r="1619" ht="12.75">
      <c r="S1619"/>
    </row>
    <row r="1620" ht="12.75">
      <c r="S1620"/>
    </row>
    <row r="1621" ht="12.75">
      <c r="S1621"/>
    </row>
    <row r="1622" ht="12.75">
      <c r="S1622"/>
    </row>
    <row r="1623" ht="12.75">
      <c r="S1623"/>
    </row>
    <row r="1624" ht="12.75">
      <c r="S1624"/>
    </row>
    <row r="1625" ht="12.75">
      <c r="S1625"/>
    </row>
    <row r="1626" ht="12.75">
      <c r="S1626"/>
    </row>
    <row r="1627" ht="12.75">
      <c r="S1627"/>
    </row>
    <row r="1628" ht="12.75">
      <c r="S1628"/>
    </row>
    <row r="1629" ht="12.75">
      <c r="S1629"/>
    </row>
    <row r="1630" ht="12.75">
      <c r="S1630"/>
    </row>
    <row r="1631" ht="12.75">
      <c r="S1631"/>
    </row>
    <row r="1632" ht="12.75">
      <c r="S1632"/>
    </row>
    <row r="1633" ht="12.75">
      <c r="S1633"/>
    </row>
    <row r="1634" ht="12.75">
      <c r="S1634"/>
    </row>
    <row r="1635" ht="12.75">
      <c r="S1635"/>
    </row>
    <row r="1636" ht="12.75">
      <c r="S1636"/>
    </row>
    <row r="1637" ht="12.75">
      <c r="S1637"/>
    </row>
    <row r="1638" ht="12.75">
      <c r="S1638"/>
    </row>
    <row r="1639" ht="12.75">
      <c r="S1639"/>
    </row>
    <row r="1640" ht="12.75">
      <c r="S1640"/>
    </row>
    <row r="1641" ht="12.75">
      <c r="S1641"/>
    </row>
    <row r="1642" ht="12.75">
      <c r="S1642"/>
    </row>
    <row r="1643" ht="12.75">
      <c r="S1643"/>
    </row>
    <row r="1644" ht="12.75">
      <c r="S1644"/>
    </row>
    <row r="1645" ht="12.75">
      <c r="S1645"/>
    </row>
    <row r="1646" ht="12.75">
      <c r="S1646"/>
    </row>
    <row r="1647" ht="12.75">
      <c r="S1647"/>
    </row>
    <row r="1648" ht="12.75">
      <c r="S1648"/>
    </row>
    <row r="1649" ht="12.75">
      <c r="S1649"/>
    </row>
    <row r="1650" ht="12.75">
      <c r="S1650"/>
    </row>
    <row r="1651" ht="12.75">
      <c r="S1651"/>
    </row>
    <row r="1652" ht="12.75">
      <c r="S1652"/>
    </row>
    <row r="1653" ht="12.75">
      <c r="S1653"/>
    </row>
    <row r="1654" ht="12.75">
      <c r="S1654"/>
    </row>
    <row r="1655" ht="12.75">
      <c r="S1655"/>
    </row>
    <row r="1656" ht="12.75">
      <c r="S1656"/>
    </row>
    <row r="1657" ht="12.75">
      <c r="S1657"/>
    </row>
    <row r="1658" ht="12.75">
      <c r="S1658"/>
    </row>
    <row r="1659" ht="12.75">
      <c r="S1659"/>
    </row>
    <row r="1660" ht="12.75">
      <c r="S1660"/>
    </row>
    <row r="1661" ht="12.75">
      <c r="S1661"/>
    </row>
    <row r="1662" ht="12.75">
      <c r="S1662"/>
    </row>
    <row r="1663" ht="12.75">
      <c r="S1663"/>
    </row>
    <row r="1664" ht="12.75">
      <c r="S1664"/>
    </row>
    <row r="1665" ht="12.75">
      <c r="S1665"/>
    </row>
    <row r="1666" ht="12.75">
      <c r="S1666"/>
    </row>
    <row r="1667" ht="12.75">
      <c r="S1667"/>
    </row>
    <row r="1668" ht="12.75">
      <c r="S1668"/>
    </row>
    <row r="1669" ht="12.75">
      <c r="S1669"/>
    </row>
    <row r="1670" ht="12.75">
      <c r="S1670"/>
    </row>
    <row r="1671" ht="12.75">
      <c r="S1671"/>
    </row>
    <row r="1672" ht="12.75">
      <c r="S1672"/>
    </row>
    <row r="1673" ht="12.75">
      <c r="S1673"/>
    </row>
    <row r="1674" ht="12.75">
      <c r="S1674"/>
    </row>
    <row r="1675" ht="12.75">
      <c r="S1675"/>
    </row>
    <row r="1676" ht="12.75">
      <c r="S1676"/>
    </row>
    <row r="1677" ht="12.75">
      <c r="S1677"/>
    </row>
    <row r="1678" ht="12.75">
      <c r="S1678"/>
    </row>
    <row r="1679" ht="12.75">
      <c r="S1679"/>
    </row>
    <row r="1680" ht="12.75">
      <c r="S1680"/>
    </row>
    <row r="1681" ht="12.75">
      <c r="S1681"/>
    </row>
    <row r="1682" ht="12.75">
      <c r="S1682"/>
    </row>
    <row r="1683" ht="12.75">
      <c r="S1683"/>
    </row>
    <row r="1684" ht="12.75">
      <c r="S1684"/>
    </row>
    <row r="1685" ht="12.75">
      <c r="S1685"/>
    </row>
    <row r="1686" ht="12.75">
      <c r="S1686"/>
    </row>
    <row r="1687" ht="12.75">
      <c r="S1687"/>
    </row>
    <row r="1688" ht="12.75">
      <c r="S1688"/>
    </row>
    <row r="1689" ht="12.75">
      <c r="S1689"/>
    </row>
    <row r="1690" ht="12.75">
      <c r="S1690"/>
    </row>
    <row r="1691" ht="12.75">
      <c r="S1691"/>
    </row>
    <row r="1692" ht="12.75">
      <c r="S1692"/>
    </row>
    <row r="1693" ht="12.75">
      <c r="S1693"/>
    </row>
    <row r="1694" ht="12.75">
      <c r="S1694"/>
    </row>
    <row r="1695" ht="12.75">
      <c r="S1695"/>
    </row>
    <row r="1696" ht="12.75">
      <c r="S1696"/>
    </row>
    <row r="1697" ht="12.75">
      <c r="S1697"/>
    </row>
    <row r="1698" ht="12.75">
      <c r="S1698"/>
    </row>
    <row r="1699" ht="12.75">
      <c r="S1699"/>
    </row>
    <row r="1700" ht="12.75">
      <c r="S1700"/>
    </row>
    <row r="1701" ht="12.75">
      <c r="S1701"/>
    </row>
    <row r="1702" ht="12.75">
      <c r="S1702"/>
    </row>
    <row r="1703" ht="12.75">
      <c r="S1703"/>
    </row>
    <row r="1704" ht="12.75">
      <c r="S1704"/>
    </row>
    <row r="1705" ht="12.75">
      <c r="S1705"/>
    </row>
    <row r="1706" ht="12.75">
      <c r="S1706"/>
    </row>
    <row r="1707" ht="12.75">
      <c r="S1707"/>
    </row>
    <row r="1708" ht="12.75">
      <c r="S1708"/>
    </row>
    <row r="1709" ht="12.75">
      <c r="S1709"/>
    </row>
    <row r="1710" ht="12.75">
      <c r="S1710"/>
    </row>
    <row r="1711" ht="12.75">
      <c r="S1711"/>
    </row>
    <row r="1712" ht="12.75">
      <c r="S1712"/>
    </row>
    <row r="1713" ht="12.75">
      <c r="S1713"/>
    </row>
    <row r="1714" ht="12.75">
      <c r="S1714"/>
    </row>
    <row r="1715" ht="12.75">
      <c r="S1715"/>
    </row>
    <row r="1716" ht="12.75">
      <c r="S1716"/>
    </row>
    <row r="1717" ht="12.75">
      <c r="S1717"/>
    </row>
    <row r="1718" ht="12.75">
      <c r="S1718"/>
    </row>
    <row r="1719" ht="12.75">
      <c r="S1719"/>
    </row>
    <row r="1720" ht="12.75">
      <c r="S1720"/>
    </row>
    <row r="1721" ht="12.75">
      <c r="S1721"/>
    </row>
    <row r="1722" ht="12.75">
      <c r="S1722"/>
    </row>
    <row r="1723" ht="12.75">
      <c r="S1723"/>
    </row>
    <row r="1724" ht="12.75">
      <c r="S1724"/>
    </row>
    <row r="1725" ht="12.75">
      <c r="S1725"/>
    </row>
    <row r="1726" ht="12.75">
      <c r="S1726"/>
    </row>
    <row r="1727" ht="12.75">
      <c r="S1727"/>
    </row>
    <row r="1728" ht="12.75">
      <c r="S1728"/>
    </row>
    <row r="1729" ht="12.75">
      <c r="S1729"/>
    </row>
    <row r="1730" ht="12.75">
      <c r="S1730"/>
    </row>
    <row r="1731" ht="12.75">
      <c r="S1731"/>
    </row>
    <row r="1732" ht="12.75">
      <c r="S1732"/>
    </row>
    <row r="1733" ht="12.75">
      <c r="S1733"/>
    </row>
    <row r="1734" ht="12.75">
      <c r="S1734"/>
    </row>
    <row r="1735" ht="12.75">
      <c r="S1735"/>
    </row>
    <row r="1736" ht="12.75">
      <c r="S1736"/>
    </row>
    <row r="1737" ht="12.75">
      <c r="S1737"/>
    </row>
    <row r="1738" ht="12.75">
      <c r="S1738"/>
    </row>
    <row r="1739" ht="12.75">
      <c r="S1739"/>
    </row>
    <row r="1740" ht="12.75">
      <c r="S1740"/>
    </row>
    <row r="1741" ht="12.75">
      <c r="S1741"/>
    </row>
    <row r="1742" ht="12.75">
      <c r="S1742"/>
    </row>
    <row r="1743" ht="12.75">
      <c r="S1743"/>
    </row>
    <row r="1744" ht="12.75">
      <c r="S1744"/>
    </row>
    <row r="1745" ht="12.75">
      <c r="S1745"/>
    </row>
    <row r="1746" ht="12.75">
      <c r="S1746"/>
    </row>
    <row r="1747" ht="12.75">
      <c r="S1747"/>
    </row>
    <row r="1748" ht="12.75">
      <c r="S1748"/>
    </row>
    <row r="1749" ht="12.75">
      <c r="S1749"/>
    </row>
    <row r="1750" ht="12.75">
      <c r="S1750"/>
    </row>
    <row r="1751" ht="12.75">
      <c r="S1751"/>
    </row>
    <row r="1752" ht="12.75">
      <c r="S1752"/>
    </row>
    <row r="1753" ht="12.75">
      <c r="S1753"/>
    </row>
    <row r="1754" ht="12.75">
      <c r="S1754"/>
    </row>
    <row r="1755" ht="12.75">
      <c r="S1755"/>
    </row>
    <row r="1756" ht="12.75">
      <c r="S1756"/>
    </row>
    <row r="1757" ht="12.75">
      <c r="S1757"/>
    </row>
    <row r="1758" ht="12.75">
      <c r="S1758"/>
    </row>
    <row r="1759" ht="12.75">
      <c r="S1759"/>
    </row>
    <row r="1760" ht="12.75">
      <c r="S1760"/>
    </row>
    <row r="1761" ht="12.75">
      <c r="S1761"/>
    </row>
    <row r="1762" ht="12.75">
      <c r="S1762"/>
    </row>
    <row r="1763" ht="12.75">
      <c r="S1763"/>
    </row>
    <row r="1764" ht="12.75">
      <c r="S1764"/>
    </row>
    <row r="1765" ht="12.75">
      <c r="S1765"/>
    </row>
    <row r="1766" ht="12.75">
      <c r="S1766"/>
    </row>
    <row r="1767" ht="12.75">
      <c r="S1767"/>
    </row>
    <row r="1768" ht="12.75">
      <c r="S1768"/>
    </row>
    <row r="1769" ht="12.75">
      <c r="S1769"/>
    </row>
    <row r="1770" ht="12.75">
      <c r="S1770"/>
    </row>
    <row r="1771" ht="12.75">
      <c r="S1771"/>
    </row>
    <row r="1772" ht="12.75">
      <c r="S1772"/>
    </row>
    <row r="1773" ht="12.75">
      <c r="S1773"/>
    </row>
    <row r="1774" ht="12.75">
      <c r="S1774"/>
    </row>
    <row r="1775" ht="12.75">
      <c r="S1775"/>
    </row>
    <row r="1776" ht="12.75">
      <c r="S1776"/>
    </row>
    <row r="1777" ht="12.75">
      <c r="S1777"/>
    </row>
    <row r="1778" ht="12.75">
      <c r="S1778"/>
    </row>
    <row r="1779" ht="12.75">
      <c r="S1779"/>
    </row>
    <row r="1780" ht="12.75">
      <c r="S1780"/>
    </row>
    <row r="1781" ht="12.75">
      <c r="S1781"/>
    </row>
    <row r="1782" ht="12.75">
      <c r="S1782"/>
    </row>
    <row r="1783" ht="12.75">
      <c r="S1783"/>
    </row>
    <row r="1784" ht="12.75">
      <c r="S1784"/>
    </row>
    <row r="1785" ht="12.75">
      <c r="S1785"/>
    </row>
    <row r="1786" ht="12.75">
      <c r="S1786"/>
    </row>
    <row r="1787" ht="12.75">
      <c r="S1787"/>
    </row>
    <row r="1788" ht="12.75">
      <c r="S1788"/>
    </row>
    <row r="1789" ht="12.75">
      <c r="S1789"/>
    </row>
    <row r="1790" ht="12.75">
      <c r="S1790"/>
    </row>
    <row r="1791" ht="12.75">
      <c r="S1791"/>
    </row>
    <row r="1792" ht="12.75">
      <c r="S1792"/>
    </row>
    <row r="1793" ht="12.75">
      <c r="S1793"/>
    </row>
    <row r="1794" ht="12.75">
      <c r="S1794"/>
    </row>
    <row r="1795" ht="12.75">
      <c r="S1795"/>
    </row>
    <row r="1796" ht="12.75">
      <c r="S1796"/>
    </row>
    <row r="1797" ht="12.75">
      <c r="S1797"/>
    </row>
    <row r="1798" ht="12.75">
      <c r="S1798"/>
    </row>
    <row r="1799" ht="12.75">
      <c r="S1799"/>
    </row>
    <row r="1800" ht="12.75">
      <c r="S1800"/>
    </row>
    <row r="1801" ht="12.75">
      <c r="S1801"/>
    </row>
    <row r="1802" ht="12.75">
      <c r="S1802"/>
    </row>
    <row r="1803" ht="12.75">
      <c r="S1803"/>
    </row>
    <row r="1804" ht="12.75">
      <c r="S1804"/>
    </row>
    <row r="1805" ht="12.75">
      <c r="S1805"/>
    </row>
    <row r="1806" ht="12.75">
      <c r="S1806"/>
    </row>
    <row r="1807" ht="12.75">
      <c r="S1807"/>
    </row>
    <row r="1808" ht="12.75">
      <c r="S1808"/>
    </row>
    <row r="1809" ht="12.75">
      <c r="S1809"/>
    </row>
    <row r="1810" ht="12.75">
      <c r="S1810"/>
    </row>
    <row r="1811" ht="12.75">
      <c r="S1811"/>
    </row>
    <row r="1812" ht="12.75">
      <c r="S1812"/>
    </row>
    <row r="1813" ht="12.75">
      <c r="S1813"/>
    </row>
    <row r="1814" ht="12.75">
      <c r="S1814"/>
    </row>
    <row r="1815" ht="12.75">
      <c r="S1815"/>
    </row>
    <row r="1816" ht="12.75">
      <c r="S1816"/>
    </row>
    <row r="1817" ht="12.75">
      <c r="S1817"/>
    </row>
    <row r="1818" ht="12.75">
      <c r="S1818"/>
    </row>
    <row r="1819" ht="12.75">
      <c r="S1819"/>
    </row>
    <row r="1820" ht="12.75">
      <c r="S1820"/>
    </row>
    <row r="1821" ht="12.75">
      <c r="S1821"/>
    </row>
    <row r="1822" ht="12.75">
      <c r="S1822"/>
    </row>
    <row r="1823" ht="12.75">
      <c r="S1823"/>
    </row>
    <row r="1824" ht="12.75">
      <c r="S1824"/>
    </row>
    <row r="1825" ht="12.75">
      <c r="S1825"/>
    </row>
    <row r="1826" ht="12.75">
      <c r="S1826"/>
    </row>
    <row r="1827" ht="12.75">
      <c r="S1827"/>
    </row>
    <row r="1828" ht="12.75">
      <c r="S1828"/>
    </row>
    <row r="1829" ht="12.75">
      <c r="S1829"/>
    </row>
    <row r="1830" ht="12.75">
      <c r="S1830"/>
    </row>
    <row r="1831" ht="12.75">
      <c r="S1831"/>
    </row>
    <row r="1832" ht="12.75">
      <c r="S1832"/>
    </row>
    <row r="1833" ht="12.75">
      <c r="S1833"/>
    </row>
    <row r="1834" ht="12.75">
      <c r="S1834"/>
    </row>
    <row r="1835" ht="12.75">
      <c r="S1835"/>
    </row>
    <row r="1836" ht="12.75">
      <c r="S1836"/>
    </row>
    <row r="1837" ht="12.75">
      <c r="S1837"/>
    </row>
    <row r="1838" ht="12.75">
      <c r="S1838"/>
    </row>
    <row r="1839" ht="12.75">
      <c r="S1839"/>
    </row>
    <row r="1840" ht="12.75">
      <c r="S1840"/>
    </row>
    <row r="1841" ht="12.75">
      <c r="S1841"/>
    </row>
    <row r="1842" ht="12.75">
      <c r="S1842"/>
    </row>
    <row r="1843" ht="12.75">
      <c r="S1843"/>
    </row>
    <row r="1844" ht="12.75">
      <c r="S1844"/>
    </row>
    <row r="1845" ht="12.75">
      <c r="S1845"/>
    </row>
    <row r="1846" ht="12.75">
      <c r="S1846"/>
    </row>
    <row r="1847" ht="12.75">
      <c r="S1847"/>
    </row>
    <row r="1848" ht="12.75">
      <c r="S1848"/>
    </row>
    <row r="1849" ht="12.75">
      <c r="S1849"/>
    </row>
    <row r="1850" ht="12.75">
      <c r="S1850"/>
    </row>
    <row r="1851" ht="12.75">
      <c r="S1851"/>
    </row>
    <row r="1852" ht="12.75">
      <c r="S1852"/>
    </row>
    <row r="1853" ht="12.75">
      <c r="S1853"/>
    </row>
    <row r="1854" ht="12.75">
      <c r="S1854"/>
    </row>
    <row r="1855" ht="12.75">
      <c r="S1855"/>
    </row>
    <row r="1856" ht="12.75">
      <c r="S1856"/>
    </row>
    <row r="1857" ht="12.75">
      <c r="S1857"/>
    </row>
    <row r="1858" ht="12.75">
      <c r="S1858"/>
    </row>
    <row r="1859" ht="12.75">
      <c r="S1859"/>
    </row>
    <row r="1860" ht="12.75">
      <c r="S1860"/>
    </row>
    <row r="1861" ht="12.75">
      <c r="S1861"/>
    </row>
    <row r="1862" ht="12.75">
      <c r="S1862"/>
    </row>
    <row r="1863" ht="12.75">
      <c r="S1863"/>
    </row>
    <row r="1864" ht="12.75">
      <c r="S1864"/>
    </row>
    <row r="1865" ht="12.75">
      <c r="S1865"/>
    </row>
    <row r="1866" ht="12.75">
      <c r="S1866"/>
    </row>
    <row r="1867" ht="12.75">
      <c r="S1867"/>
    </row>
    <row r="1868" ht="12.75">
      <c r="S1868"/>
    </row>
    <row r="1869" ht="12.75">
      <c r="S1869"/>
    </row>
    <row r="1870" ht="12.75">
      <c r="S1870"/>
    </row>
    <row r="1871" ht="12.75">
      <c r="S1871"/>
    </row>
    <row r="1872" ht="12.75">
      <c r="S1872"/>
    </row>
    <row r="1873" ht="12.75">
      <c r="S1873"/>
    </row>
    <row r="1874" ht="12.75">
      <c r="S1874"/>
    </row>
    <row r="1875" ht="12.75">
      <c r="S1875"/>
    </row>
    <row r="1876" ht="12.75">
      <c r="S1876"/>
    </row>
    <row r="1877" ht="12.75">
      <c r="S1877"/>
    </row>
    <row r="1878" ht="12.75">
      <c r="S1878"/>
    </row>
    <row r="1879" ht="12.75">
      <c r="S1879"/>
    </row>
    <row r="1880" ht="12.75">
      <c r="S1880"/>
    </row>
    <row r="1881" ht="12.75">
      <c r="S1881"/>
    </row>
    <row r="1882" ht="12.75">
      <c r="S1882"/>
    </row>
    <row r="1883" ht="12.75">
      <c r="S1883"/>
    </row>
    <row r="1884" ht="12.75">
      <c r="S1884"/>
    </row>
    <row r="1885" ht="12.75">
      <c r="S1885"/>
    </row>
    <row r="1886" ht="12.75">
      <c r="S1886"/>
    </row>
    <row r="1887" ht="12.75">
      <c r="S1887"/>
    </row>
    <row r="1888" ht="12.75">
      <c r="S1888"/>
    </row>
    <row r="1889" ht="12.75">
      <c r="S1889"/>
    </row>
    <row r="1890" ht="12.75">
      <c r="S1890"/>
    </row>
    <row r="1891" ht="12.75">
      <c r="S1891"/>
    </row>
    <row r="1892" ht="12.75">
      <c r="S1892"/>
    </row>
    <row r="1893" ht="12.75">
      <c r="S1893"/>
    </row>
    <row r="1894" ht="12.75">
      <c r="S1894"/>
    </row>
    <row r="1895" ht="12.75">
      <c r="S1895"/>
    </row>
    <row r="1896" ht="12.75">
      <c r="S1896"/>
    </row>
    <row r="1897" ht="12.75">
      <c r="S1897"/>
    </row>
    <row r="1898" ht="12.75">
      <c r="S1898"/>
    </row>
    <row r="1899" ht="12.75">
      <c r="S1899"/>
    </row>
    <row r="1900" ht="12.75">
      <c r="S1900"/>
    </row>
    <row r="1901" ht="12.75">
      <c r="S1901"/>
    </row>
    <row r="1902" ht="12.75">
      <c r="S1902"/>
    </row>
    <row r="1903" ht="12.75">
      <c r="S1903"/>
    </row>
    <row r="1904" ht="12.75">
      <c r="S1904"/>
    </row>
    <row r="1905" ht="12.75">
      <c r="S1905"/>
    </row>
    <row r="1906" ht="12.75">
      <c r="S1906"/>
    </row>
    <row r="1907" ht="12.75">
      <c r="S1907"/>
    </row>
    <row r="1908" ht="12.75">
      <c r="S1908"/>
    </row>
    <row r="1909" ht="12.75">
      <c r="S1909"/>
    </row>
    <row r="1910" ht="12.75">
      <c r="S1910"/>
    </row>
    <row r="1911" ht="12.75">
      <c r="S1911"/>
    </row>
    <row r="1912" ht="12.75">
      <c r="S1912"/>
    </row>
    <row r="1913" ht="12.75">
      <c r="S1913"/>
    </row>
    <row r="1914" ht="12.75">
      <c r="S1914"/>
    </row>
    <row r="1915" ht="12.75">
      <c r="S1915"/>
    </row>
    <row r="1916" ht="12.75">
      <c r="S1916"/>
    </row>
    <row r="1917" ht="12.75">
      <c r="S1917"/>
    </row>
    <row r="1918" ht="12.75">
      <c r="S1918"/>
    </row>
    <row r="1919" ht="12.75">
      <c r="S1919"/>
    </row>
    <row r="1920" ht="12.75">
      <c r="S1920"/>
    </row>
    <row r="1921" ht="12.75">
      <c r="S1921"/>
    </row>
    <row r="1922" ht="12.75">
      <c r="S1922"/>
    </row>
    <row r="1923" ht="12.75">
      <c r="S1923"/>
    </row>
    <row r="1924" ht="12.75">
      <c r="S1924"/>
    </row>
    <row r="1925" ht="12.75">
      <c r="S1925"/>
    </row>
    <row r="1926" ht="12.75">
      <c r="S1926"/>
    </row>
    <row r="1927" ht="12.75">
      <c r="S1927"/>
    </row>
    <row r="1928" ht="12.75">
      <c r="S1928"/>
    </row>
    <row r="1929" ht="12.75">
      <c r="S1929"/>
    </row>
    <row r="1930" ht="12.75">
      <c r="S1930"/>
    </row>
    <row r="1931" ht="12.75">
      <c r="S1931"/>
    </row>
    <row r="1932" ht="12.75">
      <c r="S1932"/>
    </row>
    <row r="1933" ht="12.75">
      <c r="S1933"/>
    </row>
    <row r="1934" ht="12.75">
      <c r="S1934"/>
    </row>
    <row r="1935" ht="12.75">
      <c r="S1935"/>
    </row>
    <row r="1936" ht="12.75">
      <c r="S1936"/>
    </row>
    <row r="1937" ht="12.75">
      <c r="S1937"/>
    </row>
    <row r="1938" ht="12.75">
      <c r="S1938"/>
    </row>
    <row r="1939" ht="12.75">
      <c r="S1939"/>
    </row>
    <row r="1940" ht="12.75">
      <c r="S1940"/>
    </row>
    <row r="1941" ht="12.75">
      <c r="S1941"/>
    </row>
    <row r="1942" ht="12.75">
      <c r="S1942"/>
    </row>
    <row r="1943" ht="12.75">
      <c r="S1943"/>
    </row>
    <row r="1944" ht="12.75">
      <c r="S1944"/>
    </row>
    <row r="1945" ht="12.75">
      <c r="S1945"/>
    </row>
    <row r="1946" ht="12.75">
      <c r="S1946"/>
    </row>
    <row r="1947" ht="12.75">
      <c r="S1947"/>
    </row>
    <row r="1948" ht="12.75">
      <c r="S1948"/>
    </row>
    <row r="1949" ht="12.75">
      <c r="S1949"/>
    </row>
    <row r="1950" ht="12.75">
      <c r="S1950"/>
    </row>
    <row r="1951" ht="12.75">
      <c r="S1951"/>
    </row>
    <row r="1952" ht="12.75">
      <c r="S1952"/>
    </row>
    <row r="1953" ht="12.75">
      <c r="S1953"/>
    </row>
    <row r="1954" ht="12.75">
      <c r="S1954"/>
    </row>
    <row r="1955" ht="12.75">
      <c r="S1955"/>
    </row>
    <row r="1956" ht="12.75">
      <c r="S1956"/>
    </row>
    <row r="1957" ht="12.75">
      <c r="S1957"/>
    </row>
    <row r="1958" ht="12.75">
      <c r="S1958"/>
    </row>
    <row r="1959" ht="12.75">
      <c r="S1959"/>
    </row>
    <row r="1960" ht="12.75">
      <c r="S1960"/>
    </row>
    <row r="1961" ht="12.75">
      <c r="S1961"/>
    </row>
    <row r="1962" ht="12.75">
      <c r="S1962"/>
    </row>
    <row r="1963" ht="12.75">
      <c r="S1963"/>
    </row>
    <row r="1964" ht="12.75">
      <c r="S1964"/>
    </row>
    <row r="1965" ht="12.75">
      <c r="S1965"/>
    </row>
    <row r="1966" ht="12.75">
      <c r="S1966"/>
    </row>
    <row r="1967" ht="12.75">
      <c r="S1967"/>
    </row>
    <row r="1968" ht="12.75">
      <c r="S1968"/>
    </row>
    <row r="1969" ht="12.75">
      <c r="S1969"/>
    </row>
    <row r="1970" ht="12.75">
      <c r="S1970"/>
    </row>
    <row r="1971" ht="12.75">
      <c r="S1971"/>
    </row>
    <row r="1972" ht="12.75">
      <c r="S1972"/>
    </row>
    <row r="1973" ht="12.75">
      <c r="S1973"/>
    </row>
    <row r="1974" ht="12.75">
      <c r="S1974"/>
    </row>
    <row r="1975" ht="12.75">
      <c r="S1975"/>
    </row>
    <row r="1976" ht="12.75">
      <c r="S1976"/>
    </row>
    <row r="1977" ht="12.75">
      <c r="S1977"/>
    </row>
    <row r="1978" ht="12.75">
      <c r="S1978"/>
    </row>
    <row r="1979" ht="12.75">
      <c r="S1979"/>
    </row>
    <row r="1980" ht="12.75">
      <c r="S1980"/>
    </row>
    <row r="1981" ht="12.75">
      <c r="S1981"/>
    </row>
    <row r="1982" ht="12.75">
      <c r="S1982"/>
    </row>
    <row r="1983" ht="12.75">
      <c r="S1983"/>
    </row>
    <row r="1984" ht="12.75">
      <c r="S1984"/>
    </row>
    <row r="1985" ht="12.75">
      <c r="S1985"/>
    </row>
    <row r="1986" ht="12.75">
      <c r="S1986"/>
    </row>
    <row r="1987" ht="12.75">
      <c r="S1987"/>
    </row>
    <row r="1988" ht="12.75">
      <c r="S1988"/>
    </row>
    <row r="1989" ht="12.75">
      <c r="S1989"/>
    </row>
    <row r="1990" ht="12.75">
      <c r="S1990"/>
    </row>
    <row r="1991" ht="12.75">
      <c r="S1991"/>
    </row>
    <row r="1992" ht="12.75">
      <c r="S1992"/>
    </row>
    <row r="1993" ht="12.75">
      <c r="S1993"/>
    </row>
    <row r="1994" ht="12.75">
      <c r="S1994"/>
    </row>
    <row r="1995" ht="12.75">
      <c r="S1995"/>
    </row>
    <row r="1996" ht="12.75">
      <c r="S1996"/>
    </row>
    <row r="1997" ht="12.75">
      <c r="S1997"/>
    </row>
    <row r="1998" ht="12.75">
      <c r="S1998"/>
    </row>
    <row r="1999" ht="12.75">
      <c r="S1999"/>
    </row>
    <row r="2000" ht="12.75">
      <c r="S2000"/>
    </row>
    <row r="2001" ht="12.75">
      <c r="S2001"/>
    </row>
    <row r="2002" ht="12.75">
      <c r="S2002"/>
    </row>
    <row r="2003" ht="12.75">
      <c r="S2003"/>
    </row>
    <row r="2004" ht="12.75">
      <c r="S2004"/>
    </row>
    <row r="2005" ht="12.75">
      <c r="S2005"/>
    </row>
    <row r="2006" ht="12.75">
      <c r="S2006"/>
    </row>
    <row r="2007" ht="12.75">
      <c r="S2007"/>
    </row>
    <row r="2008" ht="12.75">
      <c r="S2008"/>
    </row>
    <row r="2009" ht="12.75">
      <c r="S2009"/>
    </row>
    <row r="2010" ht="12.75">
      <c r="S2010"/>
    </row>
    <row r="2011" ht="12.75">
      <c r="S2011"/>
    </row>
    <row r="2012" ht="12.75">
      <c r="S2012"/>
    </row>
    <row r="2013" ht="12.75">
      <c r="S2013"/>
    </row>
    <row r="2014" ht="12.75">
      <c r="S2014"/>
    </row>
    <row r="2015" ht="12.75">
      <c r="S2015"/>
    </row>
    <row r="2016" ht="12.75">
      <c r="S2016"/>
    </row>
    <row r="2017" ht="12.75">
      <c r="S2017"/>
    </row>
    <row r="2018" ht="12.75">
      <c r="S2018"/>
    </row>
    <row r="2019" ht="12.75">
      <c r="S2019"/>
    </row>
    <row r="2020" ht="12.75">
      <c r="S2020"/>
    </row>
    <row r="2021" ht="12.75">
      <c r="S2021"/>
    </row>
    <row r="2022" ht="12.75">
      <c r="S2022"/>
    </row>
    <row r="2023" ht="12.75">
      <c r="S2023"/>
    </row>
    <row r="2024" ht="12.75">
      <c r="S2024"/>
    </row>
    <row r="2025" ht="12.75">
      <c r="S2025"/>
    </row>
    <row r="2026" ht="12.75">
      <c r="S2026"/>
    </row>
    <row r="2027" ht="12.75">
      <c r="S2027"/>
    </row>
    <row r="2028" ht="12.75">
      <c r="S2028"/>
    </row>
    <row r="2029" ht="12.75">
      <c r="S2029"/>
    </row>
    <row r="2030" ht="12.75">
      <c r="S2030"/>
    </row>
    <row r="2031" ht="12.75">
      <c r="S2031"/>
    </row>
    <row r="2032" ht="12.75">
      <c r="S2032"/>
    </row>
    <row r="2033" ht="12.75">
      <c r="S2033"/>
    </row>
    <row r="2034" ht="12.75">
      <c r="S2034"/>
    </row>
    <row r="2035" ht="12.75">
      <c r="S2035"/>
    </row>
    <row r="2036" ht="12.75">
      <c r="S2036"/>
    </row>
    <row r="2037" ht="12.75">
      <c r="S2037"/>
    </row>
    <row r="2038" ht="12.75">
      <c r="S2038"/>
    </row>
    <row r="2039" ht="12.75">
      <c r="S2039"/>
    </row>
    <row r="2040" ht="12.75">
      <c r="S2040"/>
    </row>
    <row r="2041" ht="12.75">
      <c r="S2041"/>
    </row>
    <row r="2042" ht="12.75">
      <c r="S2042"/>
    </row>
    <row r="2043" ht="12.75">
      <c r="S2043"/>
    </row>
    <row r="2044" ht="12.75">
      <c r="S2044"/>
    </row>
    <row r="2045" ht="12.75">
      <c r="S2045"/>
    </row>
    <row r="2046" ht="12.75">
      <c r="S2046"/>
    </row>
    <row r="2047" ht="12.75">
      <c r="S2047"/>
    </row>
    <row r="2048" ht="12.75">
      <c r="S2048"/>
    </row>
    <row r="2049" ht="12.75">
      <c r="S2049"/>
    </row>
    <row r="2050" ht="12.75">
      <c r="S2050"/>
    </row>
    <row r="2051" ht="12.75">
      <c r="S2051"/>
    </row>
    <row r="2052" ht="12.75">
      <c r="S2052"/>
    </row>
    <row r="2053" ht="12.75">
      <c r="S2053"/>
    </row>
    <row r="2054" ht="12.75">
      <c r="S2054"/>
    </row>
    <row r="2055" ht="12.75">
      <c r="S2055"/>
    </row>
    <row r="2056" ht="12.75">
      <c r="S2056"/>
    </row>
    <row r="2057" ht="12.75">
      <c r="S2057"/>
    </row>
    <row r="2058" ht="12.75">
      <c r="S2058"/>
    </row>
    <row r="2059" ht="12.75">
      <c r="S2059"/>
    </row>
    <row r="2060" ht="12.75">
      <c r="S2060"/>
    </row>
    <row r="2061" ht="12.75">
      <c r="S2061"/>
    </row>
    <row r="2062" ht="12.75">
      <c r="S2062"/>
    </row>
    <row r="2063" ht="12.75">
      <c r="S2063"/>
    </row>
    <row r="2064" ht="12.75">
      <c r="S2064"/>
    </row>
    <row r="2065" ht="12.75">
      <c r="S2065"/>
    </row>
    <row r="2066" ht="12.75">
      <c r="S2066"/>
    </row>
    <row r="2067" ht="12.75">
      <c r="S2067"/>
    </row>
    <row r="2068" ht="12.75">
      <c r="S2068"/>
    </row>
    <row r="2069" ht="12.75">
      <c r="S2069"/>
    </row>
    <row r="2070" ht="12.75">
      <c r="S2070"/>
    </row>
    <row r="2071" ht="12.75">
      <c r="S2071"/>
    </row>
    <row r="2072" ht="12.75">
      <c r="S2072"/>
    </row>
    <row r="2073" ht="12.75">
      <c r="S2073"/>
    </row>
    <row r="2074" ht="12.75">
      <c r="S2074"/>
    </row>
    <row r="2075" ht="12.75">
      <c r="S2075"/>
    </row>
    <row r="2076" ht="12.75">
      <c r="S2076"/>
    </row>
    <row r="2077" ht="12.75">
      <c r="S2077"/>
    </row>
    <row r="2078" ht="12.75">
      <c r="S2078"/>
    </row>
    <row r="2079" ht="12.75">
      <c r="S2079"/>
    </row>
    <row r="2080" ht="12.75">
      <c r="S2080"/>
    </row>
    <row r="2081" ht="12.75">
      <c r="S2081"/>
    </row>
    <row r="2082" ht="12.75">
      <c r="S2082"/>
    </row>
    <row r="2083" ht="12.75">
      <c r="S2083"/>
    </row>
    <row r="2084" ht="12.75">
      <c r="S2084"/>
    </row>
    <row r="2085" ht="12.75">
      <c r="S2085"/>
    </row>
    <row r="2086" ht="12.75">
      <c r="S2086"/>
    </row>
    <row r="2087" ht="12.75">
      <c r="S2087"/>
    </row>
    <row r="2088" ht="12.75">
      <c r="S2088"/>
    </row>
    <row r="2089" ht="12.75">
      <c r="S2089"/>
    </row>
    <row r="2090" ht="12.75">
      <c r="S2090"/>
    </row>
    <row r="2091" ht="12.75">
      <c r="S2091"/>
    </row>
    <row r="2092" ht="12.75">
      <c r="S2092"/>
    </row>
    <row r="2093" ht="12.75">
      <c r="S2093"/>
    </row>
    <row r="2094" ht="12.75">
      <c r="S2094"/>
    </row>
    <row r="2095" ht="12.75">
      <c r="S2095"/>
    </row>
    <row r="2096" ht="12.75">
      <c r="S2096"/>
    </row>
    <row r="2097" ht="12.75">
      <c r="S2097"/>
    </row>
    <row r="2098" ht="12.75">
      <c r="S2098"/>
    </row>
    <row r="2099" ht="12.75">
      <c r="S2099"/>
    </row>
    <row r="2100" ht="12.75">
      <c r="S2100"/>
    </row>
    <row r="2101" ht="12.75">
      <c r="S2101"/>
    </row>
    <row r="2102" ht="12.75">
      <c r="S2102"/>
    </row>
    <row r="2103" ht="12.75">
      <c r="S2103"/>
    </row>
    <row r="2104" ht="12.75">
      <c r="S2104"/>
    </row>
    <row r="2105" ht="12.75">
      <c r="S2105"/>
    </row>
    <row r="2106" ht="12.75">
      <c r="S2106"/>
    </row>
    <row r="2107" ht="12.75">
      <c r="S2107"/>
    </row>
    <row r="2108" ht="12.75">
      <c r="S2108"/>
    </row>
    <row r="2109" ht="12.75">
      <c r="S2109"/>
    </row>
    <row r="2110" ht="12.75">
      <c r="S2110"/>
    </row>
    <row r="2111" ht="12.75">
      <c r="S2111"/>
    </row>
    <row r="2112" ht="12.75">
      <c r="S2112"/>
    </row>
    <row r="2113" ht="12.75">
      <c r="S2113"/>
    </row>
    <row r="2114" ht="12.75">
      <c r="S2114"/>
    </row>
    <row r="2115" ht="12.75">
      <c r="S2115"/>
    </row>
    <row r="2116" ht="12.75">
      <c r="S2116"/>
    </row>
    <row r="2117" ht="12.75">
      <c r="S2117"/>
    </row>
    <row r="2118" ht="12.75">
      <c r="S2118"/>
    </row>
    <row r="2119" ht="12.75">
      <c r="S2119"/>
    </row>
    <row r="2120" ht="12.75">
      <c r="S2120"/>
    </row>
    <row r="2121" ht="12.75">
      <c r="S2121"/>
    </row>
    <row r="2122" ht="12.75">
      <c r="S2122"/>
    </row>
    <row r="2123" ht="12.75">
      <c r="S2123"/>
    </row>
    <row r="2124" ht="12.75">
      <c r="S2124"/>
    </row>
    <row r="2125" ht="12.75">
      <c r="S2125"/>
    </row>
    <row r="2126" ht="12.75">
      <c r="S2126"/>
    </row>
    <row r="2127" ht="12.75">
      <c r="S2127"/>
    </row>
    <row r="2128" ht="12.75">
      <c r="S2128"/>
    </row>
    <row r="2129" ht="12.75">
      <c r="S2129"/>
    </row>
    <row r="2130" ht="12.75">
      <c r="S2130"/>
    </row>
    <row r="2131" ht="12.75">
      <c r="S2131"/>
    </row>
    <row r="2132" ht="12.75">
      <c r="S2132"/>
    </row>
    <row r="2133" ht="12.75">
      <c r="S2133"/>
    </row>
    <row r="2134" ht="12.75">
      <c r="S2134"/>
    </row>
    <row r="2135" ht="12.75">
      <c r="S2135"/>
    </row>
    <row r="2136" ht="12.75">
      <c r="S2136"/>
    </row>
    <row r="2137" ht="12.75">
      <c r="S2137"/>
    </row>
    <row r="2138" ht="12.75">
      <c r="S2138"/>
    </row>
    <row r="2139" ht="12.75">
      <c r="S2139"/>
    </row>
    <row r="2140" ht="12.75">
      <c r="S2140"/>
    </row>
    <row r="2141" ht="12.75">
      <c r="S2141"/>
    </row>
    <row r="2142" ht="12.75">
      <c r="S2142"/>
    </row>
    <row r="2143" ht="12.75">
      <c r="S2143"/>
    </row>
    <row r="2144" ht="12.75">
      <c r="S2144"/>
    </row>
    <row r="2145" ht="12.75">
      <c r="S2145"/>
    </row>
    <row r="2146" ht="12.75">
      <c r="S2146"/>
    </row>
    <row r="2147" ht="12.75">
      <c r="S2147"/>
    </row>
    <row r="2148" ht="12.75">
      <c r="S2148"/>
    </row>
    <row r="2149" ht="12.75">
      <c r="S2149"/>
    </row>
    <row r="2150" ht="12.75">
      <c r="S2150"/>
    </row>
    <row r="2151" ht="12.75">
      <c r="S2151"/>
    </row>
    <row r="2152" ht="12.75">
      <c r="S2152"/>
    </row>
    <row r="2153" ht="12.75">
      <c r="S2153"/>
    </row>
    <row r="2154" ht="12.75">
      <c r="S2154"/>
    </row>
    <row r="2155" ht="12.75">
      <c r="S2155"/>
    </row>
    <row r="2156" ht="12.75">
      <c r="S2156"/>
    </row>
    <row r="2157" ht="12.75">
      <c r="S2157"/>
    </row>
    <row r="2158" ht="12.75">
      <c r="S2158"/>
    </row>
    <row r="2159" ht="12.75">
      <c r="S2159"/>
    </row>
    <row r="2160" ht="12.75">
      <c r="S2160"/>
    </row>
    <row r="2161" ht="12.75">
      <c r="S2161"/>
    </row>
    <row r="2162" ht="12.75">
      <c r="S2162"/>
    </row>
    <row r="2163" ht="12.75">
      <c r="S2163"/>
    </row>
    <row r="2164" ht="12.75">
      <c r="S2164"/>
    </row>
    <row r="2165" ht="12.75">
      <c r="S2165"/>
    </row>
    <row r="2166" ht="12.75">
      <c r="S2166"/>
    </row>
    <row r="2167" ht="12.75">
      <c r="S2167"/>
    </row>
    <row r="2168" ht="12.75">
      <c r="S2168"/>
    </row>
    <row r="2169" ht="12.75">
      <c r="S2169"/>
    </row>
    <row r="2170" ht="12.75">
      <c r="S2170"/>
    </row>
    <row r="2171" ht="12.75">
      <c r="S2171"/>
    </row>
    <row r="2172" ht="12.75">
      <c r="S2172"/>
    </row>
    <row r="2173" ht="12.75">
      <c r="S2173"/>
    </row>
    <row r="2174" ht="12.75">
      <c r="S2174"/>
    </row>
    <row r="2175" ht="12.75">
      <c r="S2175"/>
    </row>
    <row r="2176" ht="12.75">
      <c r="S2176"/>
    </row>
    <row r="2177" ht="12.75">
      <c r="S2177"/>
    </row>
    <row r="2178" ht="12.75">
      <c r="S2178"/>
    </row>
    <row r="2179" ht="12.75">
      <c r="S2179"/>
    </row>
    <row r="2180" ht="12.75">
      <c r="S2180"/>
    </row>
    <row r="2181" ht="12.75">
      <c r="S2181"/>
    </row>
    <row r="2182" ht="12.75">
      <c r="S2182"/>
    </row>
    <row r="2183" ht="12.75">
      <c r="S2183"/>
    </row>
    <row r="2184" ht="12.75">
      <c r="S2184"/>
    </row>
    <row r="2185" ht="12.75">
      <c r="S2185"/>
    </row>
    <row r="2186" ht="12.75">
      <c r="S2186"/>
    </row>
    <row r="2187" ht="12.75">
      <c r="S2187"/>
    </row>
    <row r="2188" ht="12.75">
      <c r="S2188"/>
    </row>
    <row r="2189" ht="12.75">
      <c r="S2189"/>
    </row>
    <row r="2190" ht="12.75">
      <c r="S2190"/>
    </row>
    <row r="2191" ht="12.75">
      <c r="S2191"/>
    </row>
    <row r="2192" ht="12.75">
      <c r="S2192"/>
    </row>
    <row r="2193" ht="12.75">
      <c r="S2193"/>
    </row>
    <row r="2194" ht="12.75">
      <c r="S2194"/>
    </row>
    <row r="2195" ht="12.75">
      <c r="S2195"/>
    </row>
    <row r="2196" ht="12.75">
      <c r="S2196"/>
    </row>
    <row r="2197" ht="12.75">
      <c r="S2197"/>
    </row>
    <row r="2198" ht="12.75">
      <c r="S2198"/>
    </row>
    <row r="2199" ht="12.75">
      <c r="S2199"/>
    </row>
    <row r="2200" ht="12.75">
      <c r="S2200"/>
    </row>
    <row r="2201" ht="12.75">
      <c r="S2201"/>
    </row>
    <row r="2202" ht="12.75">
      <c r="S2202"/>
    </row>
    <row r="2203" ht="12.75">
      <c r="S2203"/>
    </row>
    <row r="2204" ht="12.75">
      <c r="S2204"/>
    </row>
    <row r="2205" ht="12.75">
      <c r="S2205"/>
    </row>
    <row r="2206" ht="12.75">
      <c r="S2206"/>
    </row>
    <row r="2207" ht="12.75">
      <c r="S2207"/>
    </row>
    <row r="2208" ht="12.75">
      <c r="S2208"/>
    </row>
    <row r="2209" ht="12.75">
      <c r="S2209"/>
    </row>
    <row r="2210" ht="12.75">
      <c r="S2210"/>
    </row>
    <row r="2211" ht="12.75">
      <c r="S2211"/>
    </row>
    <row r="2212" ht="12.75">
      <c r="S2212"/>
    </row>
    <row r="2213" ht="12.75">
      <c r="S2213"/>
    </row>
    <row r="2214" ht="12.75">
      <c r="S2214"/>
    </row>
    <row r="2215" ht="12.75">
      <c r="S2215"/>
    </row>
    <row r="2216" ht="12.75">
      <c r="S2216"/>
    </row>
    <row r="2217" ht="12.75">
      <c r="S2217"/>
    </row>
    <row r="2218" ht="12.75">
      <c r="S2218"/>
    </row>
    <row r="2219" ht="12.75">
      <c r="S2219"/>
    </row>
    <row r="2220" ht="12.75">
      <c r="S2220"/>
    </row>
    <row r="2221" ht="12.75">
      <c r="S2221"/>
    </row>
    <row r="2222" ht="12.75">
      <c r="S2222"/>
    </row>
    <row r="2223" ht="12.75">
      <c r="S2223"/>
    </row>
    <row r="2224" ht="12.75">
      <c r="S2224"/>
    </row>
    <row r="2225" ht="12.75">
      <c r="S2225"/>
    </row>
    <row r="2226" ht="12.75">
      <c r="S2226"/>
    </row>
    <row r="2227" ht="12.75">
      <c r="S2227"/>
    </row>
    <row r="2228" ht="12.75">
      <c r="S2228"/>
    </row>
    <row r="2229" ht="12.75">
      <c r="S2229"/>
    </row>
    <row r="2230" ht="12.75">
      <c r="S2230"/>
    </row>
    <row r="2231" ht="12.75">
      <c r="S2231"/>
    </row>
    <row r="2232" ht="12.75">
      <c r="S2232"/>
    </row>
    <row r="2233" ht="12.75">
      <c r="S2233"/>
    </row>
    <row r="2234" ht="12.75">
      <c r="S2234"/>
    </row>
    <row r="2235" ht="12.75">
      <c r="S2235"/>
    </row>
    <row r="2236" ht="12.75">
      <c r="S2236"/>
    </row>
    <row r="2237" ht="12.75">
      <c r="S2237"/>
    </row>
    <row r="2238" ht="12.75">
      <c r="S2238"/>
    </row>
    <row r="2239" ht="12.75">
      <c r="S2239"/>
    </row>
    <row r="2240" ht="12.75">
      <c r="S2240"/>
    </row>
    <row r="2241" ht="12.75">
      <c r="S2241"/>
    </row>
    <row r="2242" ht="12.75">
      <c r="S2242"/>
    </row>
    <row r="2243" ht="12.75">
      <c r="S2243"/>
    </row>
    <row r="2244" ht="12.75">
      <c r="S2244"/>
    </row>
    <row r="2245" ht="12.75">
      <c r="S2245"/>
    </row>
    <row r="2246" ht="12.75">
      <c r="S2246"/>
    </row>
    <row r="2247" ht="12.75">
      <c r="S2247"/>
    </row>
    <row r="2248" ht="12.75">
      <c r="S2248"/>
    </row>
    <row r="2249" ht="12.75">
      <c r="S2249"/>
    </row>
    <row r="2250" ht="12.75">
      <c r="S2250"/>
    </row>
    <row r="2251" ht="12.75">
      <c r="S2251"/>
    </row>
    <row r="2252" ht="12.75">
      <c r="S2252"/>
    </row>
    <row r="2253" ht="12.75">
      <c r="S2253"/>
    </row>
    <row r="2254" ht="12.75">
      <c r="S2254"/>
    </row>
    <row r="2255" ht="12.75">
      <c r="S2255"/>
    </row>
    <row r="2256" ht="12.75">
      <c r="S2256"/>
    </row>
    <row r="2257" ht="12.75">
      <c r="S2257"/>
    </row>
    <row r="2258" ht="12.75">
      <c r="S2258"/>
    </row>
    <row r="2259" ht="12.75">
      <c r="S2259"/>
    </row>
    <row r="2260" ht="12.75">
      <c r="S2260"/>
    </row>
    <row r="2261" ht="12.75">
      <c r="S2261"/>
    </row>
    <row r="2262" ht="12.75">
      <c r="S2262"/>
    </row>
    <row r="2263" ht="12.75">
      <c r="S2263"/>
    </row>
    <row r="2264" ht="12.75">
      <c r="S2264"/>
    </row>
    <row r="2265" ht="12.75">
      <c r="S2265"/>
    </row>
    <row r="2266" ht="12.75">
      <c r="S2266"/>
    </row>
    <row r="2267" ht="12.75">
      <c r="S2267"/>
    </row>
    <row r="2268" ht="12.75">
      <c r="S2268"/>
    </row>
    <row r="2269" ht="12.75">
      <c r="S2269"/>
    </row>
    <row r="2270" ht="12.75">
      <c r="S2270"/>
    </row>
    <row r="2271" ht="12.75">
      <c r="S2271"/>
    </row>
    <row r="2272" ht="12.75">
      <c r="S2272"/>
    </row>
    <row r="2273" ht="12.75">
      <c r="S2273"/>
    </row>
    <row r="2274" ht="12.75">
      <c r="S2274"/>
    </row>
    <row r="2275" ht="12.75">
      <c r="S2275"/>
    </row>
    <row r="2276" ht="12.75">
      <c r="S2276"/>
    </row>
    <row r="2277" ht="12.75">
      <c r="S2277"/>
    </row>
    <row r="2278" ht="12.75">
      <c r="S2278"/>
    </row>
    <row r="2279" ht="12.75">
      <c r="S2279"/>
    </row>
    <row r="2280" ht="12.75">
      <c r="S2280"/>
    </row>
    <row r="2281" ht="12.75">
      <c r="S2281"/>
    </row>
    <row r="2282" ht="12.75">
      <c r="S2282"/>
    </row>
    <row r="2283" ht="12.75">
      <c r="S2283"/>
    </row>
    <row r="2284" ht="12.75">
      <c r="S2284"/>
    </row>
    <row r="2285" ht="12.75">
      <c r="S2285"/>
    </row>
    <row r="2286" ht="12.75">
      <c r="S2286"/>
    </row>
    <row r="2287" ht="12.75">
      <c r="S2287"/>
    </row>
    <row r="2288" ht="12.75">
      <c r="S2288"/>
    </row>
    <row r="2289" ht="12.75">
      <c r="S2289"/>
    </row>
    <row r="2290" ht="12.75">
      <c r="S2290"/>
    </row>
    <row r="2291" ht="12.75">
      <c r="S2291"/>
    </row>
    <row r="2292" ht="12.75">
      <c r="S2292"/>
    </row>
    <row r="2293" ht="12.75">
      <c r="S2293"/>
    </row>
    <row r="2294" ht="12.75">
      <c r="S2294"/>
    </row>
    <row r="2295" ht="12.75">
      <c r="S2295"/>
    </row>
    <row r="2296" ht="12.75">
      <c r="S2296"/>
    </row>
    <row r="2297" ht="12.75">
      <c r="S2297"/>
    </row>
    <row r="2298" ht="12.75">
      <c r="S2298"/>
    </row>
    <row r="2299" ht="12.75">
      <c r="S2299"/>
    </row>
    <row r="2300" ht="12.75">
      <c r="S2300"/>
    </row>
    <row r="2301" ht="12.75">
      <c r="S2301"/>
    </row>
    <row r="2302" ht="12.75">
      <c r="S2302"/>
    </row>
    <row r="2303" ht="12.75">
      <c r="S2303"/>
    </row>
    <row r="2304" ht="12.75">
      <c r="S2304"/>
    </row>
    <row r="2305" ht="12.75">
      <c r="S2305"/>
    </row>
    <row r="2306" ht="12.75">
      <c r="S2306"/>
    </row>
    <row r="2307" ht="12.75">
      <c r="S2307"/>
    </row>
    <row r="2308" ht="12.75">
      <c r="S2308"/>
    </row>
    <row r="2309" ht="12.75">
      <c r="S2309"/>
    </row>
    <row r="2310" ht="12.75">
      <c r="S2310"/>
    </row>
    <row r="2311" ht="12.75">
      <c r="S2311"/>
    </row>
    <row r="2312" ht="12.75">
      <c r="S2312"/>
    </row>
    <row r="2313" ht="12.75">
      <c r="S2313"/>
    </row>
    <row r="2314" ht="12.75">
      <c r="S2314"/>
    </row>
    <row r="2315" ht="12.75">
      <c r="S2315"/>
    </row>
    <row r="2316" ht="12.75">
      <c r="S2316"/>
    </row>
    <row r="2317" ht="12.75">
      <c r="S2317"/>
    </row>
    <row r="2318" ht="12.75">
      <c r="S2318"/>
    </row>
    <row r="2319" ht="12.75">
      <c r="S2319"/>
    </row>
    <row r="2320" ht="12.75">
      <c r="S2320"/>
    </row>
    <row r="2321" ht="12.75">
      <c r="S2321"/>
    </row>
    <row r="2322" ht="12.75">
      <c r="S2322"/>
    </row>
    <row r="2323" ht="12.75">
      <c r="S2323"/>
    </row>
    <row r="2324" ht="12.75">
      <c r="S2324"/>
    </row>
    <row r="2325" ht="12.75">
      <c r="S2325"/>
    </row>
    <row r="2326" ht="12.75">
      <c r="S2326"/>
    </row>
    <row r="2327" ht="12.75">
      <c r="S2327"/>
    </row>
    <row r="2328" ht="12.75">
      <c r="S2328"/>
    </row>
    <row r="2329" ht="12.75">
      <c r="S2329"/>
    </row>
    <row r="2330" ht="12.75">
      <c r="S2330"/>
    </row>
    <row r="2331" ht="12.75">
      <c r="S2331"/>
    </row>
    <row r="2332" ht="12.75">
      <c r="S2332"/>
    </row>
    <row r="2333" ht="12.75">
      <c r="S2333"/>
    </row>
    <row r="2334" ht="12.75">
      <c r="S2334"/>
    </row>
    <row r="2335" ht="12.75">
      <c r="S2335"/>
    </row>
    <row r="2336" ht="12.75">
      <c r="S2336"/>
    </row>
    <row r="2337" ht="12.75">
      <c r="S2337"/>
    </row>
    <row r="2338" ht="12.75">
      <c r="S2338"/>
    </row>
    <row r="2339" ht="12.75">
      <c r="S2339"/>
    </row>
    <row r="2340" ht="12.75">
      <c r="S2340"/>
    </row>
    <row r="2341" ht="12.75">
      <c r="S2341"/>
    </row>
    <row r="2342" ht="12.75">
      <c r="S2342"/>
    </row>
    <row r="2343" ht="12.75">
      <c r="S2343"/>
    </row>
    <row r="2344" ht="12.75">
      <c r="S2344"/>
    </row>
    <row r="2345" ht="12.75">
      <c r="S2345"/>
    </row>
    <row r="2346" ht="12.75">
      <c r="S2346"/>
    </row>
    <row r="2347" ht="12.75">
      <c r="S2347"/>
    </row>
    <row r="2348" ht="12.75">
      <c r="S2348"/>
    </row>
    <row r="2349" ht="12.75">
      <c r="S2349"/>
    </row>
    <row r="2350" ht="12.75">
      <c r="S2350"/>
    </row>
    <row r="2351" ht="12.75">
      <c r="S2351"/>
    </row>
    <row r="2352" ht="12.75">
      <c r="S2352"/>
    </row>
    <row r="2353" ht="12.75">
      <c r="S2353"/>
    </row>
    <row r="2354" ht="12.75">
      <c r="S2354"/>
    </row>
    <row r="2355" ht="12.75">
      <c r="S2355"/>
    </row>
    <row r="2356" ht="12.75">
      <c r="S2356"/>
    </row>
    <row r="2357" ht="12.75">
      <c r="S2357"/>
    </row>
    <row r="2358" ht="12.75">
      <c r="S2358"/>
    </row>
    <row r="2359" ht="12.75">
      <c r="S2359"/>
    </row>
    <row r="2360" ht="12.75">
      <c r="S2360"/>
    </row>
    <row r="2361" ht="12.75">
      <c r="S2361"/>
    </row>
    <row r="2362" ht="12.75">
      <c r="S2362"/>
    </row>
    <row r="2363" ht="12.75">
      <c r="S2363"/>
    </row>
    <row r="2364" ht="12.75">
      <c r="S2364"/>
    </row>
    <row r="2365" ht="12.75">
      <c r="S2365"/>
    </row>
    <row r="2366" ht="12.75">
      <c r="S2366"/>
    </row>
    <row r="2367" ht="12.75">
      <c r="S2367"/>
    </row>
    <row r="2368" ht="12.75">
      <c r="S2368"/>
    </row>
    <row r="2369" ht="12.75">
      <c r="S2369"/>
    </row>
    <row r="2370" ht="12.75">
      <c r="S2370"/>
    </row>
    <row r="2371" ht="12.75">
      <c r="S2371"/>
    </row>
    <row r="2372" ht="12.75">
      <c r="S2372"/>
    </row>
    <row r="2373" ht="12.75">
      <c r="S2373"/>
    </row>
    <row r="2374" ht="12.75">
      <c r="S2374"/>
    </row>
    <row r="2375" ht="12.75">
      <c r="S2375"/>
    </row>
    <row r="2376" ht="12.75">
      <c r="S2376"/>
    </row>
    <row r="2377" ht="12.75">
      <c r="S2377"/>
    </row>
    <row r="2378" ht="12.75">
      <c r="S2378"/>
    </row>
    <row r="2379" ht="12.75">
      <c r="S2379"/>
    </row>
    <row r="2380" ht="12.75">
      <c r="S2380"/>
    </row>
    <row r="2381" ht="12.75">
      <c r="S2381"/>
    </row>
    <row r="2382" ht="12.75">
      <c r="S2382"/>
    </row>
    <row r="2383" ht="12.75">
      <c r="S2383"/>
    </row>
    <row r="2384" ht="12.75">
      <c r="S2384"/>
    </row>
    <row r="2385" ht="12.75">
      <c r="S2385"/>
    </row>
    <row r="2386" ht="12.75">
      <c r="S2386"/>
    </row>
    <row r="2387" ht="12.75">
      <c r="S2387"/>
    </row>
    <row r="2388" ht="12.75">
      <c r="S2388"/>
    </row>
    <row r="2389" ht="12.75">
      <c r="S2389"/>
    </row>
    <row r="2390" ht="12.75">
      <c r="S2390"/>
    </row>
    <row r="2391" ht="12.75">
      <c r="S2391"/>
    </row>
    <row r="2392" ht="12.75">
      <c r="S2392"/>
    </row>
    <row r="2393" ht="12.75">
      <c r="S2393"/>
    </row>
    <row r="2394" ht="12.75">
      <c r="S2394"/>
    </row>
    <row r="2395" ht="12.75">
      <c r="S2395"/>
    </row>
    <row r="2396" ht="12.75">
      <c r="S2396"/>
    </row>
    <row r="2397" ht="12.75">
      <c r="S2397"/>
    </row>
    <row r="2398" ht="12.75">
      <c r="S2398"/>
    </row>
    <row r="2399" ht="12.75">
      <c r="S2399"/>
    </row>
    <row r="2400" ht="12.75">
      <c r="S2400"/>
    </row>
    <row r="2401" ht="12.75">
      <c r="S2401"/>
    </row>
    <row r="2402" ht="12.75">
      <c r="S2402"/>
    </row>
    <row r="2403" ht="12.75">
      <c r="S2403"/>
    </row>
    <row r="2404" ht="12.75">
      <c r="S2404"/>
    </row>
    <row r="2405" ht="12.75">
      <c r="S2405"/>
    </row>
    <row r="2406" ht="12.75">
      <c r="S2406"/>
    </row>
    <row r="2407" ht="12.75">
      <c r="S2407"/>
    </row>
    <row r="2408" ht="12.75">
      <c r="S2408"/>
    </row>
    <row r="2409" ht="12.75">
      <c r="S2409"/>
    </row>
    <row r="2410" ht="12.75">
      <c r="S2410"/>
    </row>
    <row r="2411" ht="12.75">
      <c r="S2411"/>
    </row>
    <row r="2412" ht="12.75">
      <c r="S2412"/>
    </row>
    <row r="2413" ht="12.75">
      <c r="S2413"/>
    </row>
    <row r="2414" ht="12.75">
      <c r="S2414"/>
    </row>
    <row r="2415" ht="12.75">
      <c r="S2415"/>
    </row>
    <row r="2416" ht="12.75">
      <c r="S2416"/>
    </row>
    <row r="2417" ht="12.75">
      <c r="S2417"/>
    </row>
    <row r="2418" ht="12.75">
      <c r="S2418"/>
    </row>
    <row r="2419" ht="12.75">
      <c r="S2419"/>
    </row>
    <row r="2420" ht="12.75">
      <c r="S2420"/>
    </row>
    <row r="2421" ht="12.75">
      <c r="S2421"/>
    </row>
    <row r="2422" ht="12.75">
      <c r="S2422"/>
    </row>
    <row r="2423" ht="12.75">
      <c r="S2423"/>
    </row>
    <row r="2424" ht="12.75">
      <c r="S2424"/>
    </row>
    <row r="2425" ht="12.75">
      <c r="S2425"/>
    </row>
    <row r="2426" ht="12.75">
      <c r="S2426"/>
    </row>
    <row r="2427" ht="12.75">
      <c r="S2427"/>
    </row>
    <row r="2428" ht="12.75">
      <c r="S2428"/>
    </row>
    <row r="2429" ht="12.75">
      <c r="S2429"/>
    </row>
    <row r="2430" ht="12.75">
      <c r="S2430"/>
    </row>
    <row r="2431" ht="12.75">
      <c r="S2431"/>
    </row>
    <row r="2432" ht="12.75">
      <c r="S2432"/>
    </row>
    <row r="2433" ht="12.75">
      <c r="S2433"/>
    </row>
    <row r="2434" ht="12.75">
      <c r="S2434"/>
    </row>
    <row r="2435" ht="12.75">
      <c r="S2435"/>
    </row>
    <row r="2436" ht="12.75">
      <c r="S2436"/>
    </row>
    <row r="2437" ht="12.75">
      <c r="S2437"/>
    </row>
    <row r="2438" ht="12.75">
      <c r="S2438"/>
    </row>
    <row r="2439" ht="12.75">
      <c r="S2439"/>
    </row>
    <row r="2440" ht="12.75">
      <c r="S2440"/>
    </row>
    <row r="2441" ht="12.75">
      <c r="S2441"/>
    </row>
    <row r="2442" ht="12.75">
      <c r="S2442"/>
    </row>
    <row r="2443" ht="12.75">
      <c r="S2443"/>
    </row>
    <row r="2444" ht="12.75">
      <c r="S2444"/>
    </row>
    <row r="2445" ht="12.75">
      <c r="S2445"/>
    </row>
    <row r="2446" ht="12.75">
      <c r="S2446"/>
    </row>
    <row r="2447" ht="12.75">
      <c r="S2447"/>
    </row>
    <row r="2448" ht="12.75">
      <c r="S2448"/>
    </row>
    <row r="2449" ht="12.75">
      <c r="S2449"/>
    </row>
    <row r="2450" ht="12.75">
      <c r="S2450"/>
    </row>
    <row r="2451" ht="12.75">
      <c r="S2451"/>
    </row>
    <row r="2452" ht="12.75">
      <c r="S2452"/>
    </row>
    <row r="2453" ht="12.75">
      <c r="S2453"/>
    </row>
    <row r="2454" ht="12.75">
      <c r="S2454"/>
    </row>
    <row r="2455" ht="12.75">
      <c r="S2455"/>
    </row>
    <row r="2456" ht="12.75">
      <c r="S2456"/>
    </row>
    <row r="2457" ht="12.75">
      <c r="S2457"/>
    </row>
    <row r="2458" ht="12.75">
      <c r="S2458"/>
    </row>
    <row r="2459" ht="12.75">
      <c r="S2459"/>
    </row>
    <row r="2460" ht="12.75">
      <c r="S2460"/>
    </row>
    <row r="2461" ht="12.75">
      <c r="S2461"/>
    </row>
    <row r="2462" ht="12.75">
      <c r="S2462"/>
    </row>
    <row r="2463" ht="12.75">
      <c r="S2463"/>
    </row>
    <row r="2464" ht="12.75">
      <c r="S2464"/>
    </row>
    <row r="2465" ht="12.75">
      <c r="S2465"/>
    </row>
    <row r="2466" ht="12.75">
      <c r="S2466"/>
    </row>
    <row r="2467" ht="12.75">
      <c r="S2467"/>
    </row>
    <row r="2468" ht="12.75">
      <c r="S2468"/>
    </row>
    <row r="2469" ht="12.75">
      <c r="S2469"/>
    </row>
    <row r="2470" ht="12.75">
      <c r="S2470"/>
    </row>
    <row r="2471" ht="12.75">
      <c r="S2471"/>
    </row>
    <row r="2472" ht="12.75">
      <c r="S2472"/>
    </row>
    <row r="2473" ht="12.75">
      <c r="S2473"/>
    </row>
    <row r="2474" ht="12.75">
      <c r="S2474"/>
    </row>
    <row r="2475" ht="12.75">
      <c r="S2475"/>
    </row>
    <row r="2476" ht="12.75">
      <c r="S2476"/>
    </row>
    <row r="2477" ht="12.75">
      <c r="S2477"/>
    </row>
    <row r="2478" ht="12.75">
      <c r="S2478"/>
    </row>
    <row r="2479" ht="12.75">
      <c r="S2479"/>
    </row>
    <row r="2480" ht="12.75">
      <c r="S2480"/>
    </row>
    <row r="2481" ht="12.75">
      <c r="S2481"/>
    </row>
    <row r="2482" ht="12.75">
      <c r="S2482"/>
    </row>
    <row r="2483" ht="12.75">
      <c r="S2483"/>
    </row>
    <row r="2484" ht="12.75">
      <c r="S2484"/>
    </row>
    <row r="2485" ht="12.75">
      <c r="S2485"/>
    </row>
    <row r="2486" ht="12.75">
      <c r="S2486"/>
    </row>
    <row r="2487" ht="12.75">
      <c r="S2487"/>
    </row>
    <row r="2488" ht="12.75">
      <c r="S2488"/>
    </row>
    <row r="2489" ht="12.75">
      <c r="S2489"/>
    </row>
    <row r="2490" ht="12.75">
      <c r="S2490"/>
    </row>
    <row r="2491" ht="12.75">
      <c r="S2491"/>
    </row>
    <row r="2492" ht="12.75">
      <c r="S2492"/>
    </row>
    <row r="2493" ht="12.75">
      <c r="S2493"/>
    </row>
    <row r="2494" ht="12.75">
      <c r="S2494"/>
    </row>
    <row r="2495" ht="12.75">
      <c r="S2495"/>
    </row>
    <row r="2496" ht="12.75">
      <c r="S2496"/>
    </row>
    <row r="2497" ht="12.75">
      <c r="S2497"/>
    </row>
    <row r="2498" ht="12.75">
      <c r="S2498"/>
    </row>
    <row r="2499" ht="12.75">
      <c r="S2499"/>
    </row>
    <row r="2500" ht="12.75">
      <c r="S2500"/>
    </row>
    <row r="2501" ht="12.75">
      <c r="S2501"/>
    </row>
    <row r="2502" ht="12.75">
      <c r="S2502"/>
    </row>
    <row r="2503" ht="12.75">
      <c r="S2503"/>
    </row>
    <row r="2504" ht="12.75">
      <c r="S2504"/>
    </row>
    <row r="2505" ht="12.75">
      <c r="S2505"/>
    </row>
    <row r="2506" ht="12.75">
      <c r="S2506"/>
    </row>
    <row r="2507" ht="12.75">
      <c r="S2507"/>
    </row>
    <row r="2508" ht="12.75">
      <c r="S2508"/>
    </row>
    <row r="2509" ht="12.75">
      <c r="S2509"/>
    </row>
    <row r="2510" ht="12.75">
      <c r="S2510"/>
    </row>
    <row r="2511" ht="12.75">
      <c r="S2511"/>
    </row>
    <row r="2512" ht="12.75">
      <c r="S2512"/>
    </row>
    <row r="2513" ht="12.75">
      <c r="S2513"/>
    </row>
    <row r="2514" ht="12.75">
      <c r="S2514"/>
    </row>
    <row r="2515" ht="12.75">
      <c r="S2515"/>
    </row>
    <row r="2516" ht="12.75">
      <c r="S2516"/>
    </row>
    <row r="2517" ht="12.75">
      <c r="S2517"/>
    </row>
    <row r="2518" ht="12.75">
      <c r="S2518"/>
    </row>
    <row r="2519" ht="12.75">
      <c r="S2519"/>
    </row>
    <row r="2520" ht="12.75">
      <c r="S2520"/>
    </row>
    <row r="2521" ht="12.75">
      <c r="S2521"/>
    </row>
    <row r="2522" ht="12.75">
      <c r="S2522"/>
    </row>
    <row r="2523" ht="12.75">
      <c r="S2523"/>
    </row>
    <row r="2524" ht="12.75">
      <c r="S2524"/>
    </row>
    <row r="2525" ht="12.75">
      <c r="S2525"/>
    </row>
    <row r="2526" ht="12.75">
      <c r="S2526"/>
    </row>
    <row r="2527" ht="12.75">
      <c r="S2527"/>
    </row>
    <row r="2528" ht="12.75">
      <c r="S2528"/>
    </row>
    <row r="2529" ht="12.75">
      <c r="S2529"/>
    </row>
    <row r="2530" ht="12.75">
      <c r="S2530"/>
    </row>
    <row r="2531" ht="12.75">
      <c r="S2531"/>
    </row>
    <row r="2532" ht="12.75">
      <c r="S2532"/>
    </row>
    <row r="2533" ht="12.75">
      <c r="S2533"/>
    </row>
    <row r="2534" ht="12.75">
      <c r="S2534"/>
    </row>
    <row r="2535" ht="12.75">
      <c r="S2535"/>
    </row>
    <row r="2536" ht="12.75">
      <c r="S2536"/>
    </row>
    <row r="2537" ht="12.75">
      <c r="S2537"/>
    </row>
    <row r="2538" ht="12.75">
      <c r="S2538"/>
    </row>
    <row r="2539" ht="12.75">
      <c r="S2539"/>
    </row>
    <row r="2540" ht="12.75">
      <c r="S2540"/>
    </row>
    <row r="2541" ht="12.75">
      <c r="S2541"/>
    </row>
    <row r="2542" ht="12.75">
      <c r="S2542"/>
    </row>
    <row r="2543" ht="12.75">
      <c r="S2543"/>
    </row>
    <row r="2544" ht="12.75">
      <c r="S2544"/>
    </row>
    <row r="2545" ht="12.75">
      <c r="S2545"/>
    </row>
    <row r="2546" ht="12.75">
      <c r="S2546"/>
    </row>
    <row r="2547" ht="12.75">
      <c r="S2547"/>
    </row>
    <row r="2548" ht="12.75">
      <c r="S2548"/>
    </row>
    <row r="2549" ht="12.75">
      <c r="S2549"/>
    </row>
    <row r="2550" ht="12.75">
      <c r="S2550"/>
    </row>
    <row r="2551" ht="12.75">
      <c r="S2551"/>
    </row>
    <row r="2552" ht="12.75">
      <c r="S2552"/>
    </row>
    <row r="2553" ht="12.75">
      <c r="S2553"/>
    </row>
    <row r="2554" ht="12.75">
      <c r="S2554"/>
    </row>
    <row r="2555" ht="12.75">
      <c r="S2555"/>
    </row>
    <row r="2556" ht="12.75">
      <c r="S2556"/>
    </row>
    <row r="2557" ht="12.75">
      <c r="S2557"/>
    </row>
    <row r="2558" ht="12.75">
      <c r="S2558"/>
    </row>
    <row r="2559" ht="12.75">
      <c r="S2559"/>
    </row>
    <row r="2560" ht="12.75">
      <c r="S2560"/>
    </row>
    <row r="2561" ht="12.75">
      <c r="S2561"/>
    </row>
    <row r="2562" ht="12.75">
      <c r="S2562"/>
    </row>
    <row r="2563" ht="12.75">
      <c r="S2563"/>
    </row>
    <row r="2564" ht="12.75">
      <c r="S2564"/>
    </row>
    <row r="2565" ht="12.75">
      <c r="S2565"/>
    </row>
    <row r="2566" ht="12.75">
      <c r="S2566"/>
    </row>
    <row r="2567" ht="12.75">
      <c r="S2567"/>
    </row>
    <row r="2568" ht="12.75">
      <c r="S2568"/>
    </row>
    <row r="2569" ht="12.75">
      <c r="S2569"/>
    </row>
    <row r="2570" ht="12.75">
      <c r="S2570"/>
    </row>
    <row r="2571" ht="12.75">
      <c r="S2571"/>
    </row>
    <row r="2572" ht="12.75">
      <c r="S2572"/>
    </row>
    <row r="2573" ht="12.75">
      <c r="S2573"/>
    </row>
    <row r="2574" ht="12.75">
      <c r="S2574"/>
    </row>
    <row r="2575" ht="12.75">
      <c r="S2575"/>
    </row>
    <row r="2576" ht="12.75">
      <c r="S2576"/>
    </row>
    <row r="2577" ht="12.75">
      <c r="S2577"/>
    </row>
    <row r="2578" ht="12.75">
      <c r="S2578"/>
    </row>
    <row r="2579" ht="12.75">
      <c r="S2579"/>
    </row>
    <row r="2580" ht="12.75">
      <c r="S2580"/>
    </row>
    <row r="2581" ht="12.75">
      <c r="S2581"/>
    </row>
    <row r="2582" ht="12.75">
      <c r="S2582"/>
    </row>
    <row r="2583" ht="12.75">
      <c r="S2583"/>
    </row>
    <row r="2584" ht="12.75">
      <c r="S2584"/>
    </row>
    <row r="2585" ht="12.75">
      <c r="S2585"/>
    </row>
    <row r="2586" ht="12.75">
      <c r="S2586"/>
    </row>
    <row r="2587" ht="12.75">
      <c r="S2587"/>
    </row>
    <row r="2588" ht="12.75">
      <c r="S2588"/>
    </row>
    <row r="2589" ht="12.75">
      <c r="S2589"/>
    </row>
    <row r="2590" ht="12.75">
      <c r="S2590"/>
    </row>
    <row r="2591" ht="12.75">
      <c r="S2591"/>
    </row>
    <row r="2592" ht="12.75">
      <c r="S2592"/>
    </row>
    <row r="2593" ht="12.75">
      <c r="S2593"/>
    </row>
    <row r="2594" ht="12.75">
      <c r="S2594"/>
    </row>
    <row r="2595" ht="12.75">
      <c r="S2595"/>
    </row>
    <row r="2596" ht="12.75">
      <c r="S2596"/>
    </row>
    <row r="2597" ht="12.75">
      <c r="S2597"/>
    </row>
    <row r="2598" ht="12.75">
      <c r="S2598"/>
    </row>
    <row r="2599" ht="12.75">
      <c r="S2599"/>
    </row>
    <row r="2600" ht="12.75">
      <c r="S2600"/>
    </row>
    <row r="2601" ht="12.75">
      <c r="S2601"/>
    </row>
    <row r="2602" ht="12.75">
      <c r="S2602"/>
    </row>
    <row r="2603" ht="12.75">
      <c r="S2603"/>
    </row>
    <row r="2604" ht="12.75">
      <c r="S2604"/>
    </row>
    <row r="2605" ht="12.75">
      <c r="S2605"/>
    </row>
    <row r="2606" ht="12.75">
      <c r="S2606"/>
    </row>
    <row r="2607" ht="12.75">
      <c r="S2607"/>
    </row>
    <row r="2608" ht="12.75">
      <c r="S2608"/>
    </row>
    <row r="2609" ht="12.75">
      <c r="S2609"/>
    </row>
    <row r="2610" ht="12.75">
      <c r="S2610"/>
    </row>
    <row r="2611" ht="12.75">
      <c r="S2611"/>
    </row>
    <row r="2612" ht="12.75">
      <c r="S2612"/>
    </row>
    <row r="2613" ht="12.75">
      <c r="S2613"/>
    </row>
    <row r="2614" ht="12.75">
      <c r="S2614"/>
    </row>
    <row r="2615" ht="12.75">
      <c r="S2615"/>
    </row>
    <row r="2616" ht="12.75">
      <c r="S2616"/>
    </row>
    <row r="2617" ht="12.75">
      <c r="S2617"/>
    </row>
    <row r="2618" ht="12.75">
      <c r="S2618"/>
    </row>
    <row r="2619" ht="12.75">
      <c r="S2619"/>
    </row>
    <row r="2620" ht="12.75">
      <c r="S2620"/>
    </row>
    <row r="2621" ht="12.75">
      <c r="S2621"/>
    </row>
    <row r="2622" ht="12.75">
      <c r="S2622"/>
    </row>
    <row r="2623" ht="12.75">
      <c r="S2623"/>
    </row>
    <row r="2624" ht="12.75">
      <c r="S2624"/>
    </row>
    <row r="2625" ht="12.75">
      <c r="S2625"/>
    </row>
    <row r="2626" ht="12.75">
      <c r="S2626"/>
    </row>
    <row r="2627" ht="12.75">
      <c r="S2627"/>
    </row>
    <row r="2628" ht="12.75">
      <c r="S2628"/>
    </row>
    <row r="2629" ht="12.75">
      <c r="S2629"/>
    </row>
    <row r="2630" ht="12.75">
      <c r="S2630"/>
    </row>
    <row r="2631" ht="12.75">
      <c r="S2631"/>
    </row>
    <row r="2632" ht="12.75">
      <c r="S2632"/>
    </row>
    <row r="2633" ht="12.75">
      <c r="S2633"/>
    </row>
    <row r="2634" ht="12.75">
      <c r="S2634"/>
    </row>
    <row r="2635" ht="12.75">
      <c r="S2635"/>
    </row>
    <row r="2636" ht="12.75">
      <c r="S2636"/>
    </row>
    <row r="2637" ht="12.75">
      <c r="S2637"/>
    </row>
    <row r="2638" ht="12.75">
      <c r="S2638"/>
    </row>
    <row r="2639" ht="12.75">
      <c r="S2639"/>
    </row>
    <row r="2640" ht="12.75">
      <c r="S2640"/>
    </row>
    <row r="2641" ht="12.75">
      <c r="S2641"/>
    </row>
    <row r="2642" ht="12.75">
      <c r="S2642"/>
    </row>
    <row r="2643" ht="12.75">
      <c r="S2643"/>
    </row>
    <row r="2644" ht="12.75">
      <c r="S2644"/>
    </row>
    <row r="2645" ht="12.75">
      <c r="S2645"/>
    </row>
    <row r="2646" ht="12.75">
      <c r="S2646"/>
    </row>
    <row r="2647" ht="12.75">
      <c r="S2647"/>
    </row>
    <row r="2648" ht="12.75">
      <c r="S2648"/>
    </row>
    <row r="2649" ht="12.75">
      <c r="S2649"/>
    </row>
    <row r="2650" ht="12.75">
      <c r="S2650"/>
    </row>
    <row r="2651" ht="12.75">
      <c r="S2651"/>
    </row>
    <row r="2652" ht="12.75">
      <c r="S2652"/>
    </row>
    <row r="2653" ht="12.75">
      <c r="S2653"/>
    </row>
    <row r="2654" ht="12.75">
      <c r="S2654"/>
    </row>
    <row r="2655" ht="12.75">
      <c r="S2655"/>
    </row>
    <row r="2656" ht="12.75">
      <c r="S2656"/>
    </row>
    <row r="2657" ht="12.75">
      <c r="S2657"/>
    </row>
    <row r="2658" ht="12.75">
      <c r="S2658"/>
    </row>
    <row r="2659" ht="12.75">
      <c r="S2659"/>
    </row>
    <row r="2660" ht="12.75">
      <c r="S2660"/>
    </row>
    <row r="2661" ht="12.75">
      <c r="S2661"/>
    </row>
    <row r="2662" ht="12.75">
      <c r="S2662"/>
    </row>
    <row r="2663" ht="12.75">
      <c r="S2663"/>
    </row>
    <row r="2664" ht="12.75">
      <c r="S2664"/>
    </row>
    <row r="2665" ht="12.75">
      <c r="S2665"/>
    </row>
    <row r="2666" ht="12.75">
      <c r="S2666"/>
    </row>
    <row r="2667" ht="12.75">
      <c r="S2667"/>
    </row>
    <row r="2668" ht="12.75">
      <c r="S2668"/>
    </row>
    <row r="2669" ht="12.75">
      <c r="S2669"/>
    </row>
    <row r="2670" ht="12.75">
      <c r="S2670"/>
    </row>
    <row r="2671" ht="12.75">
      <c r="S2671"/>
    </row>
    <row r="2672" ht="12.75">
      <c r="S2672"/>
    </row>
    <row r="2673" ht="12.75">
      <c r="S2673"/>
    </row>
    <row r="2674" ht="12.75">
      <c r="S2674"/>
    </row>
    <row r="2675" ht="12.75">
      <c r="S2675"/>
    </row>
    <row r="2676" ht="12.75">
      <c r="S2676"/>
    </row>
    <row r="2677" ht="12.75">
      <c r="S2677"/>
    </row>
    <row r="2678" ht="12.75">
      <c r="S2678"/>
    </row>
    <row r="2679" ht="12.75">
      <c r="S2679"/>
    </row>
    <row r="2680" ht="12.75">
      <c r="S2680"/>
    </row>
    <row r="2681" ht="12.75">
      <c r="S2681"/>
    </row>
    <row r="2682" ht="12.75">
      <c r="S2682"/>
    </row>
    <row r="2683" ht="12.75">
      <c r="S2683"/>
    </row>
    <row r="2684" ht="12.75">
      <c r="S2684"/>
    </row>
    <row r="2685" ht="12.75">
      <c r="S2685"/>
    </row>
    <row r="2686" ht="12.75">
      <c r="S2686"/>
    </row>
    <row r="2687" ht="12.75">
      <c r="S2687"/>
    </row>
    <row r="2688" ht="12.75">
      <c r="S2688"/>
    </row>
    <row r="2689" ht="12.75">
      <c r="S2689"/>
    </row>
    <row r="2690" ht="12.75">
      <c r="S2690"/>
    </row>
    <row r="2691" ht="12.75">
      <c r="S2691"/>
    </row>
    <row r="2692" ht="12.75">
      <c r="S2692"/>
    </row>
    <row r="2693" ht="12.75">
      <c r="S2693"/>
    </row>
    <row r="2694" ht="12.75">
      <c r="S2694"/>
    </row>
    <row r="2695" ht="12.75">
      <c r="S2695"/>
    </row>
    <row r="2696" ht="12.75">
      <c r="S2696"/>
    </row>
    <row r="2697" ht="12.75">
      <c r="S2697"/>
    </row>
    <row r="2698" ht="12.75">
      <c r="S2698"/>
    </row>
    <row r="2699" ht="12.75">
      <c r="S2699"/>
    </row>
    <row r="2700" ht="12.75">
      <c r="S2700"/>
    </row>
    <row r="2701" ht="12.75">
      <c r="S2701"/>
    </row>
    <row r="2702" ht="12.75">
      <c r="S2702"/>
    </row>
    <row r="2703" ht="12.75">
      <c r="S2703"/>
    </row>
    <row r="2704" ht="12.75">
      <c r="S2704"/>
    </row>
    <row r="2705" ht="12.75">
      <c r="S2705"/>
    </row>
    <row r="2706" ht="12.75">
      <c r="S2706"/>
    </row>
    <row r="2707" ht="12.75">
      <c r="S2707"/>
    </row>
    <row r="2708" ht="12.75">
      <c r="S2708"/>
    </row>
    <row r="2709" ht="12.75">
      <c r="S2709"/>
    </row>
    <row r="2710" ht="12.75">
      <c r="S2710"/>
    </row>
    <row r="2711" ht="12.75">
      <c r="S2711"/>
    </row>
    <row r="2712" ht="12.75">
      <c r="S2712"/>
    </row>
    <row r="2713" ht="12.75">
      <c r="S2713"/>
    </row>
    <row r="2714" ht="12.75">
      <c r="S2714"/>
    </row>
    <row r="2715" ht="12.75">
      <c r="S2715"/>
    </row>
    <row r="2716" ht="12.75">
      <c r="S2716"/>
    </row>
    <row r="2717" ht="12.75">
      <c r="S2717"/>
    </row>
    <row r="2718" ht="12.75">
      <c r="S2718"/>
    </row>
    <row r="2719" ht="12.75">
      <c r="S2719"/>
    </row>
    <row r="2720" ht="12.75">
      <c r="S2720"/>
    </row>
    <row r="2721" ht="12.75">
      <c r="S2721"/>
    </row>
    <row r="2722" ht="12.75">
      <c r="S2722"/>
    </row>
    <row r="2723" ht="12.75">
      <c r="S2723"/>
    </row>
    <row r="2724" ht="12.75">
      <c r="S2724"/>
    </row>
    <row r="2725" ht="12.75">
      <c r="S2725"/>
    </row>
    <row r="2726" ht="12.75">
      <c r="S2726"/>
    </row>
    <row r="2727" ht="12.75">
      <c r="S2727"/>
    </row>
    <row r="2728" ht="12.75">
      <c r="S2728"/>
    </row>
    <row r="2729" ht="12.75">
      <c r="S2729"/>
    </row>
    <row r="2730" ht="12.75">
      <c r="S2730"/>
    </row>
    <row r="2731" ht="12.75">
      <c r="S2731"/>
    </row>
    <row r="2732" ht="12.75">
      <c r="S2732"/>
    </row>
    <row r="2733" ht="12.75">
      <c r="S2733"/>
    </row>
    <row r="2734" ht="12.75">
      <c r="S2734"/>
    </row>
    <row r="2735" ht="12.75">
      <c r="S2735"/>
    </row>
    <row r="2736" ht="12.75">
      <c r="S2736"/>
    </row>
    <row r="2737" ht="12.75">
      <c r="S2737"/>
    </row>
    <row r="2738" ht="12.75">
      <c r="S2738"/>
    </row>
    <row r="2739" ht="12.75">
      <c r="S2739"/>
    </row>
    <row r="2740" ht="12.75">
      <c r="S2740"/>
    </row>
    <row r="2741" ht="12.75">
      <c r="S2741"/>
    </row>
    <row r="2742" ht="12.75">
      <c r="S2742"/>
    </row>
    <row r="2743" ht="12.75">
      <c r="S2743"/>
    </row>
    <row r="2744" ht="12.75">
      <c r="S2744"/>
    </row>
    <row r="2745" ht="12.75">
      <c r="S2745"/>
    </row>
    <row r="2746" ht="12.75">
      <c r="S2746"/>
    </row>
    <row r="2747" ht="12.75">
      <c r="S2747"/>
    </row>
    <row r="2748" ht="12.75">
      <c r="S2748"/>
    </row>
    <row r="2749" ht="12.75">
      <c r="S2749"/>
    </row>
    <row r="2750" ht="12.75">
      <c r="S2750"/>
    </row>
    <row r="2751" ht="12.75">
      <c r="S2751"/>
    </row>
    <row r="2752" ht="12.75">
      <c r="S2752"/>
    </row>
    <row r="2753" ht="12.75">
      <c r="S2753"/>
    </row>
    <row r="2754" ht="12.75">
      <c r="S2754"/>
    </row>
    <row r="2755" ht="12.75">
      <c r="S2755"/>
    </row>
    <row r="2756" ht="12.75">
      <c r="S2756"/>
    </row>
    <row r="2757" ht="12.75">
      <c r="S2757"/>
    </row>
    <row r="2758" ht="12.75">
      <c r="S2758"/>
    </row>
    <row r="2759" ht="12.75">
      <c r="S2759"/>
    </row>
    <row r="2760" ht="12.75">
      <c r="S2760"/>
    </row>
    <row r="2761" ht="12.75">
      <c r="S2761"/>
    </row>
    <row r="2762" ht="12.75">
      <c r="S2762"/>
    </row>
    <row r="2763" ht="12.75">
      <c r="S2763"/>
    </row>
    <row r="2764" ht="12.75">
      <c r="S2764"/>
    </row>
    <row r="2765" ht="12.75">
      <c r="S2765"/>
    </row>
    <row r="2766" ht="12.75">
      <c r="S2766"/>
    </row>
    <row r="2767" ht="12.75">
      <c r="S2767"/>
    </row>
    <row r="2768" ht="12.75">
      <c r="S2768"/>
    </row>
    <row r="2769" ht="12.75">
      <c r="S2769"/>
    </row>
    <row r="2770" ht="12.75">
      <c r="S2770"/>
    </row>
    <row r="2771" ht="12.75">
      <c r="S2771"/>
    </row>
    <row r="2772" ht="12.75">
      <c r="S2772"/>
    </row>
    <row r="2773" ht="12.75">
      <c r="S2773"/>
    </row>
    <row r="2774" ht="12.75">
      <c r="S2774"/>
    </row>
    <row r="2775" ht="12.75">
      <c r="S2775"/>
    </row>
    <row r="2776" ht="12.75">
      <c r="S2776"/>
    </row>
    <row r="2777" ht="12.75">
      <c r="S2777"/>
    </row>
    <row r="2778" ht="12.75">
      <c r="S2778"/>
    </row>
    <row r="2779" ht="12.75">
      <c r="S2779"/>
    </row>
    <row r="2780" ht="12.75">
      <c r="S2780"/>
    </row>
    <row r="2781" ht="12.75">
      <c r="S2781"/>
    </row>
    <row r="2782" ht="12.75">
      <c r="S2782"/>
    </row>
    <row r="2783" ht="12.75">
      <c r="S2783"/>
    </row>
    <row r="2784" ht="12.75">
      <c r="S2784"/>
    </row>
    <row r="2785" ht="12.75">
      <c r="S2785"/>
    </row>
    <row r="2786" ht="12.75">
      <c r="S2786"/>
    </row>
    <row r="2787" ht="12.75">
      <c r="S2787"/>
    </row>
    <row r="2788" ht="12.75">
      <c r="S2788"/>
    </row>
    <row r="2789" ht="12.75">
      <c r="S2789"/>
    </row>
    <row r="2790" ht="12.75">
      <c r="S2790"/>
    </row>
    <row r="2791" ht="12.75">
      <c r="S2791"/>
    </row>
    <row r="2792" ht="12.75">
      <c r="S2792"/>
    </row>
    <row r="2793" ht="12.75">
      <c r="S2793"/>
    </row>
    <row r="2794" ht="12.75">
      <c r="S2794"/>
    </row>
    <row r="2795" ht="12.75">
      <c r="S2795"/>
    </row>
    <row r="2796" ht="12.75">
      <c r="S2796"/>
    </row>
    <row r="2797" ht="12.75">
      <c r="S2797"/>
    </row>
    <row r="2798" ht="12.75">
      <c r="S2798"/>
    </row>
    <row r="2799" ht="12.75">
      <c r="S2799"/>
    </row>
    <row r="2800" ht="12.75">
      <c r="S2800"/>
    </row>
    <row r="2801" ht="12.75">
      <c r="S2801"/>
    </row>
    <row r="2802" ht="12.75">
      <c r="S2802"/>
    </row>
    <row r="2803" ht="12.75">
      <c r="S2803"/>
    </row>
    <row r="2804" ht="12.75">
      <c r="S2804"/>
    </row>
    <row r="2805" ht="12.75">
      <c r="S2805"/>
    </row>
    <row r="2806" ht="12.75">
      <c r="S2806"/>
    </row>
    <row r="2807" ht="12.75">
      <c r="S2807"/>
    </row>
    <row r="2808" ht="12.75">
      <c r="S2808"/>
    </row>
    <row r="2809" ht="12.75">
      <c r="S2809"/>
    </row>
    <row r="2810" ht="12.75">
      <c r="S2810"/>
    </row>
    <row r="2811" ht="12.75">
      <c r="S2811"/>
    </row>
    <row r="2812" ht="12.75">
      <c r="S2812"/>
    </row>
    <row r="2813" ht="12.75">
      <c r="S2813"/>
    </row>
    <row r="2814" ht="12.75">
      <c r="S2814"/>
    </row>
    <row r="2815" ht="12.75">
      <c r="S2815"/>
    </row>
    <row r="2816" ht="12.75">
      <c r="S2816"/>
    </row>
    <row r="2817" ht="12.75">
      <c r="S2817"/>
    </row>
    <row r="2818" ht="12.75">
      <c r="S2818"/>
    </row>
    <row r="2819" ht="12.75">
      <c r="S2819"/>
    </row>
    <row r="2820" ht="12.75">
      <c r="S2820"/>
    </row>
    <row r="2821" ht="12.75">
      <c r="S2821"/>
    </row>
    <row r="2822" ht="12.75">
      <c r="S2822"/>
    </row>
    <row r="2823" ht="12.75">
      <c r="S2823"/>
    </row>
    <row r="2824" ht="12.75">
      <c r="S2824"/>
    </row>
    <row r="2825" ht="12.75">
      <c r="S2825"/>
    </row>
    <row r="2826" ht="12.75">
      <c r="S2826"/>
    </row>
    <row r="2827" ht="12.75">
      <c r="S2827"/>
    </row>
    <row r="2828" ht="12.75">
      <c r="S2828"/>
    </row>
    <row r="2829" ht="12.75">
      <c r="S2829"/>
    </row>
    <row r="2830" ht="12.75">
      <c r="S2830"/>
    </row>
    <row r="2831" ht="12.75">
      <c r="S2831"/>
    </row>
    <row r="2832" ht="12.75">
      <c r="S2832"/>
    </row>
    <row r="2833" ht="12.75">
      <c r="S2833"/>
    </row>
    <row r="2834" ht="12.75">
      <c r="S2834"/>
    </row>
    <row r="2835" ht="12.75">
      <c r="S2835"/>
    </row>
    <row r="2836" ht="12.75">
      <c r="S2836"/>
    </row>
    <row r="2837" ht="12.75">
      <c r="S2837"/>
    </row>
    <row r="2838" ht="12.75">
      <c r="S2838"/>
    </row>
    <row r="2839" ht="12.75">
      <c r="S2839"/>
    </row>
    <row r="2840" ht="12.75">
      <c r="S2840"/>
    </row>
    <row r="2841" ht="12.75">
      <c r="S2841"/>
    </row>
    <row r="2842" ht="12.75">
      <c r="S2842"/>
    </row>
    <row r="2843" ht="12.75">
      <c r="S2843"/>
    </row>
    <row r="2844" ht="12.75">
      <c r="S2844"/>
    </row>
    <row r="2845" ht="12.75">
      <c r="S2845"/>
    </row>
    <row r="2846" ht="12.75">
      <c r="S2846"/>
    </row>
    <row r="2847" ht="12.75">
      <c r="S2847"/>
    </row>
    <row r="2848" ht="12.75">
      <c r="S2848"/>
    </row>
    <row r="2849" ht="12.75">
      <c r="S2849"/>
    </row>
    <row r="2850" ht="12.75">
      <c r="S2850"/>
    </row>
    <row r="2851" ht="12.75">
      <c r="S2851"/>
    </row>
    <row r="2852" ht="12.75">
      <c r="S2852"/>
    </row>
    <row r="2853" ht="12.75">
      <c r="S2853"/>
    </row>
    <row r="2854" ht="12.75">
      <c r="S2854"/>
    </row>
    <row r="2855" ht="12.75">
      <c r="S2855"/>
    </row>
    <row r="2856" ht="12.75">
      <c r="S2856"/>
    </row>
    <row r="2857" ht="12.75">
      <c r="S2857"/>
    </row>
    <row r="2858" ht="12.75">
      <c r="S2858"/>
    </row>
    <row r="2859" ht="12.75">
      <c r="S2859"/>
    </row>
    <row r="2860" ht="12.75">
      <c r="S2860"/>
    </row>
    <row r="2861" ht="12.75">
      <c r="S2861"/>
    </row>
    <row r="2862" ht="12.75">
      <c r="S2862"/>
    </row>
    <row r="2863" ht="12.75">
      <c r="S2863"/>
    </row>
    <row r="2864" ht="12.75">
      <c r="S2864"/>
    </row>
    <row r="2865" ht="12.75">
      <c r="S2865"/>
    </row>
    <row r="2866" ht="12.75">
      <c r="S2866"/>
    </row>
    <row r="2867" ht="12.75">
      <c r="S2867"/>
    </row>
    <row r="2868" ht="12.75">
      <c r="S2868"/>
    </row>
    <row r="2869" ht="12.75">
      <c r="S2869"/>
    </row>
    <row r="2870" ht="12.75">
      <c r="S2870"/>
    </row>
    <row r="2871" ht="12.75">
      <c r="S2871"/>
    </row>
    <row r="2872" ht="12.75">
      <c r="S2872"/>
    </row>
    <row r="2873" ht="12.75">
      <c r="S2873"/>
    </row>
    <row r="2874" ht="12.75">
      <c r="S2874"/>
    </row>
    <row r="2875" ht="12.75">
      <c r="S2875"/>
    </row>
    <row r="2876" ht="12.75">
      <c r="S2876"/>
    </row>
    <row r="2877" ht="12.75">
      <c r="S2877"/>
    </row>
    <row r="2878" ht="12.75">
      <c r="S2878"/>
    </row>
    <row r="2879" ht="12.75">
      <c r="S2879"/>
    </row>
    <row r="2880" ht="12.75">
      <c r="S2880"/>
    </row>
    <row r="2881" ht="12.75">
      <c r="S2881"/>
    </row>
    <row r="2882" ht="12.75">
      <c r="S2882"/>
    </row>
    <row r="2883" ht="12.75">
      <c r="S2883"/>
    </row>
    <row r="2884" ht="12.75">
      <c r="S2884"/>
    </row>
    <row r="2885" ht="12.75">
      <c r="S2885"/>
    </row>
    <row r="2886" ht="12.75">
      <c r="S2886"/>
    </row>
    <row r="2887" ht="12.75">
      <c r="S2887"/>
    </row>
    <row r="2888" ht="12.75">
      <c r="S2888"/>
    </row>
    <row r="2889" ht="12.75">
      <c r="S2889"/>
    </row>
    <row r="2890" ht="12.75">
      <c r="S2890"/>
    </row>
    <row r="2891" ht="12.75">
      <c r="S2891"/>
    </row>
    <row r="2892" ht="12.75">
      <c r="S2892"/>
    </row>
    <row r="2893" ht="12.75">
      <c r="S2893"/>
    </row>
    <row r="2894" ht="12.75">
      <c r="S2894"/>
    </row>
    <row r="2895" ht="12.75">
      <c r="S2895"/>
    </row>
    <row r="2896" ht="12.75">
      <c r="S2896"/>
    </row>
    <row r="2897" ht="12.75">
      <c r="S2897"/>
    </row>
    <row r="2898" ht="12.75">
      <c r="S2898"/>
    </row>
    <row r="2899" ht="12.75">
      <c r="S2899"/>
    </row>
    <row r="2900" ht="12.75">
      <c r="S2900"/>
    </row>
    <row r="2901" ht="12.75">
      <c r="S2901"/>
    </row>
    <row r="2902" ht="12.75">
      <c r="S2902"/>
    </row>
    <row r="2903" ht="12.75">
      <c r="S2903"/>
    </row>
    <row r="2904" ht="12.75">
      <c r="S2904"/>
    </row>
    <row r="2905" ht="12.75">
      <c r="S2905"/>
    </row>
    <row r="2906" ht="12.75">
      <c r="S2906"/>
    </row>
    <row r="2907" ht="12.75">
      <c r="S2907"/>
    </row>
    <row r="2908" ht="12.75">
      <c r="S2908"/>
    </row>
    <row r="2909" ht="12.75">
      <c r="S2909"/>
    </row>
    <row r="2910" ht="12.75">
      <c r="S2910"/>
    </row>
    <row r="2911" ht="12.75">
      <c r="S2911"/>
    </row>
    <row r="2912" ht="12.75">
      <c r="S2912"/>
    </row>
    <row r="2913" ht="12.75">
      <c r="S2913"/>
    </row>
    <row r="2914" ht="12.75">
      <c r="S2914"/>
    </row>
    <row r="2915" ht="12.75">
      <c r="S2915"/>
    </row>
    <row r="2916" ht="12.75">
      <c r="S2916"/>
    </row>
    <row r="2917" ht="12.75">
      <c r="S2917"/>
    </row>
    <row r="2918" ht="12.75">
      <c r="S2918"/>
    </row>
    <row r="2919" ht="12.75">
      <c r="S2919"/>
    </row>
    <row r="2920" ht="12.75">
      <c r="S2920"/>
    </row>
    <row r="2921" ht="12.75">
      <c r="S2921"/>
    </row>
    <row r="2922" ht="12.75">
      <c r="S2922"/>
    </row>
    <row r="2923" ht="12.75">
      <c r="S2923"/>
    </row>
    <row r="2924" ht="12.75">
      <c r="S2924"/>
    </row>
    <row r="2925" ht="12.75">
      <c r="S2925"/>
    </row>
    <row r="2926" ht="12.75">
      <c r="S2926"/>
    </row>
    <row r="2927" ht="12.75">
      <c r="S2927"/>
    </row>
    <row r="2928" ht="12.75">
      <c r="S2928"/>
    </row>
    <row r="2929" ht="12.75">
      <c r="S2929"/>
    </row>
    <row r="2930" ht="12.75">
      <c r="S2930"/>
    </row>
    <row r="2931" ht="12.75">
      <c r="S2931"/>
    </row>
    <row r="2932" ht="12.75">
      <c r="S2932"/>
    </row>
    <row r="2933" ht="12.75">
      <c r="S2933"/>
    </row>
    <row r="2934" ht="12.75">
      <c r="S2934"/>
    </row>
    <row r="2935" ht="12.75">
      <c r="S2935"/>
    </row>
    <row r="2936" ht="12.75">
      <c r="S2936"/>
    </row>
    <row r="2937" ht="12.75">
      <c r="S2937"/>
    </row>
    <row r="2938" ht="12.75">
      <c r="S2938"/>
    </row>
    <row r="2939" ht="12.75">
      <c r="S2939"/>
    </row>
    <row r="2940" ht="12.75">
      <c r="S2940"/>
    </row>
    <row r="2941" ht="12.75">
      <c r="S2941"/>
    </row>
    <row r="2942" ht="12.75">
      <c r="S2942"/>
    </row>
    <row r="2943" ht="12.75">
      <c r="S2943"/>
    </row>
    <row r="2944" ht="12.75">
      <c r="S2944"/>
    </row>
    <row r="2945" ht="12.75">
      <c r="S2945"/>
    </row>
    <row r="2946" ht="12.75">
      <c r="S2946"/>
    </row>
    <row r="2947" ht="12.75">
      <c r="S2947"/>
    </row>
    <row r="2948" ht="12.75">
      <c r="S2948"/>
    </row>
    <row r="2949" ht="12.75">
      <c r="S2949"/>
    </row>
    <row r="2950" ht="12.75">
      <c r="S2950"/>
    </row>
    <row r="2951" ht="12.75">
      <c r="S2951"/>
    </row>
    <row r="2952" ht="12.75">
      <c r="S2952"/>
    </row>
    <row r="2953" ht="12.75">
      <c r="S2953"/>
    </row>
    <row r="2954" ht="12.75">
      <c r="S2954"/>
    </row>
    <row r="2955" ht="12.75">
      <c r="S2955"/>
    </row>
    <row r="2956" ht="12.75">
      <c r="S2956"/>
    </row>
    <row r="2957" ht="12.75">
      <c r="S2957"/>
    </row>
    <row r="2958" ht="12.75">
      <c r="S2958"/>
    </row>
    <row r="2959" ht="12.75">
      <c r="S2959"/>
    </row>
    <row r="2960" ht="12.75">
      <c r="S2960"/>
    </row>
    <row r="2961" ht="12.75">
      <c r="S2961"/>
    </row>
    <row r="2962" ht="12.75">
      <c r="S2962"/>
    </row>
    <row r="2963" ht="12.75">
      <c r="S2963"/>
    </row>
    <row r="2964" ht="12.75">
      <c r="S2964"/>
    </row>
    <row r="2965" ht="12.75">
      <c r="S2965"/>
    </row>
    <row r="2966" ht="12.75">
      <c r="S2966"/>
    </row>
    <row r="2967" ht="12.75">
      <c r="S2967"/>
    </row>
    <row r="2968" ht="12.75">
      <c r="S2968"/>
    </row>
    <row r="2969" ht="12.75">
      <c r="S2969"/>
    </row>
    <row r="2970" ht="12.75">
      <c r="S2970"/>
    </row>
    <row r="2971" ht="12.75">
      <c r="S2971"/>
    </row>
    <row r="2972" ht="12.75">
      <c r="S2972"/>
    </row>
    <row r="2973" ht="12.75">
      <c r="S2973"/>
    </row>
    <row r="2974" ht="12.75">
      <c r="S2974"/>
    </row>
    <row r="2975" ht="12.75">
      <c r="S2975"/>
    </row>
    <row r="2976" ht="12.75">
      <c r="S2976"/>
    </row>
    <row r="2977" ht="12.75">
      <c r="S2977"/>
    </row>
    <row r="2978" ht="12.75">
      <c r="S2978"/>
    </row>
    <row r="2979" ht="12.75">
      <c r="S2979"/>
    </row>
    <row r="2980" ht="12.75">
      <c r="S2980"/>
    </row>
    <row r="2981" ht="12.75">
      <c r="S2981"/>
    </row>
    <row r="2982" ht="12.75">
      <c r="S2982"/>
    </row>
    <row r="2983" ht="12.75">
      <c r="S2983"/>
    </row>
    <row r="2984" ht="12.75">
      <c r="S2984"/>
    </row>
    <row r="2985" ht="12.75">
      <c r="S2985"/>
    </row>
    <row r="2986" ht="12.75">
      <c r="S2986"/>
    </row>
    <row r="2987" ht="12.75">
      <c r="S2987"/>
    </row>
    <row r="2988" ht="12.75">
      <c r="S2988"/>
    </row>
    <row r="2989" ht="12.75">
      <c r="S2989"/>
    </row>
    <row r="2990" ht="12.75">
      <c r="S2990"/>
    </row>
    <row r="2991" ht="12.75">
      <c r="S2991"/>
    </row>
    <row r="2992" ht="12.75">
      <c r="S2992"/>
    </row>
    <row r="2993" ht="12.75">
      <c r="S2993"/>
    </row>
    <row r="2994" ht="12.75">
      <c r="S2994"/>
    </row>
    <row r="2995" ht="12.75">
      <c r="S2995"/>
    </row>
    <row r="2996" ht="12.75">
      <c r="S2996"/>
    </row>
    <row r="2997" ht="12.75">
      <c r="S2997"/>
    </row>
    <row r="2998" ht="12.75">
      <c r="S2998"/>
    </row>
    <row r="2999" ht="12.75">
      <c r="S2999"/>
    </row>
    <row r="3000" ht="12.75">
      <c r="S3000"/>
    </row>
    <row r="3001" ht="12.75">
      <c r="S3001"/>
    </row>
    <row r="3002" ht="12.75">
      <c r="S3002"/>
    </row>
    <row r="3003" ht="12.75">
      <c r="S3003"/>
    </row>
    <row r="3004" ht="12.75">
      <c r="S3004"/>
    </row>
    <row r="3005" ht="12.75">
      <c r="S3005"/>
    </row>
    <row r="3006" ht="12.75">
      <c r="S3006"/>
    </row>
    <row r="3007" ht="12.75">
      <c r="S3007"/>
    </row>
    <row r="3008" ht="12.75">
      <c r="S3008"/>
    </row>
    <row r="3009" ht="12.75">
      <c r="S3009"/>
    </row>
    <row r="3010" ht="12.75">
      <c r="S3010"/>
    </row>
    <row r="3011" ht="12.75">
      <c r="S3011"/>
    </row>
    <row r="3012" ht="12.75">
      <c r="S3012"/>
    </row>
    <row r="3013" ht="12.75">
      <c r="S3013"/>
    </row>
    <row r="3014" ht="12.75">
      <c r="S3014"/>
    </row>
    <row r="3015" ht="12.75">
      <c r="S3015"/>
    </row>
    <row r="3016" ht="12.75">
      <c r="S3016"/>
    </row>
    <row r="3017" ht="12.75">
      <c r="S3017"/>
    </row>
    <row r="3018" ht="12.75">
      <c r="S3018"/>
    </row>
    <row r="3019" ht="12.75">
      <c r="S3019"/>
    </row>
    <row r="3020" ht="12.75">
      <c r="S3020"/>
    </row>
    <row r="3021" ht="12.75">
      <c r="S3021"/>
    </row>
    <row r="3022" ht="12.75">
      <c r="S3022"/>
    </row>
    <row r="3023" ht="12.75">
      <c r="S3023"/>
    </row>
    <row r="3024" ht="12.75">
      <c r="S3024"/>
    </row>
    <row r="3025" ht="12.75">
      <c r="S3025"/>
    </row>
    <row r="3026" ht="12.75">
      <c r="S3026"/>
    </row>
    <row r="3027" ht="12.75">
      <c r="S3027"/>
    </row>
    <row r="3028" ht="12.75">
      <c r="S3028"/>
    </row>
    <row r="3029" ht="12.75">
      <c r="S3029"/>
    </row>
    <row r="3030" ht="12.75">
      <c r="S3030"/>
    </row>
    <row r="3031" ht="12.75">
      <c r="S3031"/>
    </row>
    <row r="3032" ht="12.75">
      <c r="S3032"/>
    </row>
    <row r="3033" ht="12.75">
      <c r="S3033"/>
    </row>
    <row r="3034" ht="12.75">
      <c r="S3034"/>
    </row>
    <row r="3035" ht="12.75">
      <c r="S3035"/>
    </row>
    <row r="3036" ht="12.75">
      <c r="S3036"/>
    </row>
    <row r="3037" ht="12.75">
      <c r="S3037"/>
    </row>
    <row r="3038" ht="12.75">
      <c r="S3038"/>
    </row>
    <row r="3039" ht="12.75">
      <c r="S3039"/>
    </row>
    <row r="3040" ht="12.75">
      <c r="S3040"/>
    </row>
    <row r="3041" ht="12.75">
      <c r="S3041"/>
    </row>
    <row r="3042" ht="12.75">
      <c r="S3042"/>
    </row>
    <row r="3043" ht="12.75">
      <c r="S3043"/>
    </row>
    <row r="3044" ht="12.75">
      <c r="S3044"/>
    </row>
    <row r="3045" ht="12.75">
      <c r="S3045"/>
    </row>
    <row r="3046" ht="12.75">
      <c r="S3046"/>
    </row>
    <row r="3047" ht="12.75">
      <c r="S3047"/>
    </row>
    <row r="3048" ht="12.75">
      <c r="S3048"/>
    </row>
    <row r="3049" ht="12.75">
      <c r="S3049"/>
    </row>
    <row r="3050" ht="12.75">
      <c r="S3050"/>
    </row>
    <row r="3051" ht="12.75">
      <c r="S3051"/>
    </row>
    <row r="3052" ht="12.75">
      <c r="S3052"/>
    </row>
    <row r="3053" ht="12.75">
      <c r="S3053"/>
    </row>
    <row r="3054" ht="12.75">
      <c r="S3054"/>
    </row>
    <row r="3055" ht="12.75">
      <c r="S3055"/>
    </row>
    <row r="3056" ht="12.75">
      <c r="S3056"/>
    </row>
    <row r="3057" ht="12.75">
      <c r="S3057"/>
    </row>
    <row r="3058" ht="12.75">
      <c r="S3058"/>
    </row>
    <row r="3059" ht="12.75">
      <c r="S3059"/>
    </row>
    <row r="3060" ht="12.75">
      <c r="S3060"/>
    </row>
    <row r="3061" ht="12.75">
      <c r="S3061"/>
    </row>
    <row r="3062" ht="12.75">
      <c r="S3062"/>
    </row>
    <row r="3063" ht="12.75">
      <c r="S3063"/>
    </row>
    <row r="3064" ht="12.75">
      <c r="S3064"/>
    </row>
    <row r="3065" ht="12.75">
      <c r="S3065"/>
    </row>
    <row r="3066" ht="12.75">
      <c r="S3066"/>
    </row>
    <row r="3067" ht="12.75">
      <c r="S3067"/>
    </row>
    <row r="3068" ht="12.75">
      <c r="S3068"/>
    </row>
    <row r="3069" ht="12.75">
      <c r="S3069"/>
    </row>
    <row r="3070" ht="12.75">
      <c r="S3070"/>
    </row>
    <row r="3071" ht="12.75">
      <c r="S3071"/>
    </row>
    <row r="3072" ht="12.75">
      <c r="S3072"/>
    </row>
    <row r="3073" ht="12.75">
      <c r="S3073"/>
    </row>
    <row r="3074" ht="12.75">
      <c r="S3074"/>
    </row>
    <row r="3075" ht="12.75">
      <c r="S3075"/>
    </row>
    <row r="3076" ht="12.75">
      <c r="S3076"/>
    </row>
    <row r="3077" ht="12.75">
      <c r="S3077"/>
    </row>
    <row r="3078" ht="12.75">
      <c r="S3078"/>
    </row>
    <row r="3079" ht="12.75">
      <c r="S3079"/>
    </row>
    <row r="3080" ht="12.75">
      <c r="S3080"/>
    </row>
    <row r="3081" ht="12.75">
      <c r="S3081"/>
    </row>
    <row r="3082" ht="12.75">
      <c r="S3082"/>
    </row>
    <row r="3083" ht="12.75">
      <c r="S3083"/>
    </row>
    <row r="3084" ht="12.75">
      <c r="S3084"/>
    </row>
    <row r="3085" ht="12.75">
      <c r="S3085"/>
    </row>
    <row r="3086" ht="12.75">
      <c r="S3086"/>
    </row>
    <row r="3087" ht="12.75">
      <c r="S3087"/>
    </row>
    <row r="3088" ht="12.75">
      <c r="S3088"/>
    </row>
    <row r="3089" ht="12.75">
      <c r="S3089"/>
    </row>
    <row r="3090" ht="12.75">
      <c r="S3090"/>
    </row>
    <row r="3091" ht="12.75">
      <c r="S3091"/>
    </row>
    <row r="3092" ht="12.75">
      <c r="S3092"/>
    </row>
    <row r="3093" ht="12.75">
      <c r="S3093"/>
    </row>
    <row r="3094" ht="12.75">
      <c r="S3094"/>
    </row>
    <row r="3095" ht="12.75">
      <c r="S3095"/>
    </row>
    <row r="3096" ht="12.75">
      <c r="S3096"/>
    </row>
    <row r="3097" ht="12.75">
      <c r="S3097"/>
    </row>
    <row r="3098" ht="12.75">
      <c r="S3098"/>
    </row>
    <row r="3099" ht="12.75">
      <c r="S3099"/>
    </row>
    <row r="3100" ht="12.75">
      <c r="S3100"/>
    </row>
    <row r="3101" ht="12.75">
      <c r="S3101"/>
    </row>
    <row r="3102" ht="12.75">
      <c r="S3102"/>
    </row>
    <row r="3103" ht="12.75">
      <c r="S3103"/>
    </row>
    <row r="3104" ht="12.75">
      <c r="S3104"/>
    </row>
    <row r="3105" ht="12.75">
      <c r="S3105"/>
    </row>
    <row r="3106" ht="12.75">
      <c r="S3106"/>
    </row>
    <row r="3107" ht="12.75">
      <c r="S3107"/>
    </row>
    <row r="3108" ht="12.75">
      <c r="S3108"/>
    </row>
    <row r="3109" ht="12.75">
      <c r="S3109"/>
    </row>
    <row r="3110" ht="12.75">
      <c r="S3110"/>
    </row>
    <row r="3111" ht="12.75">
      <c r="S3111"/>
    </row>
    <row r="3112" ht="12.75">
      <c r="S3112"/>
    </row>
    <row r="3113" ht="12.75">
      <c r="S3113"/>
    </row>
    <row r="3114" ht="12.75">
      <c r="S3114"/>
    </row>
    <row r="3115" ht="12.75">
      <c r="S3115"/>
    </row>
    <row r="3116" ht="12.75">
      <c r="S3116"/>
    </row>
    <row r="3117" ht="12.75">
      <c r="S3117"/>
    </row>
    <row r="3118" ht="12.75">
      <c r="S3118"/>
    </row>
    <row r="3119" ht="12.75">
      <c r="S3119"/>
    </row>
    <row r="3120" ht="12.75">
      <c r="S3120"/>
    </row>
    <row r="3121" ht="12.75">
      <c r="S3121"/>
    </row>
    <row r="3122" ht="12.75">
      <c r="S3122"/>
    </row>
    <row r="3123" ht="12.75">
      <c r="S3123"/>
    </row>
    <row r="3124" ht="12.75">
      <c r="S3124"/>
    </row>
    <row r="3125" ht="12.75">
      <c r="S3125"/>
    </row>
    <row r="3126" ht="12.75">
      <c r="S3126"/>
    </row>
    <row r="3127" ht="12.75">
      <c r="S3127"/>
    </row>
    <row r="3128" ht="12.75">
      <c r="S3128"/>
    </row>
    <row r="3129" ht="12.75">
      <c r="S3129"/>
    </row>
    <row r="3130" ht="12.75">
      <c r="S3130"/>
    </row>
    <row r="3131" ht="12.75">
      <c r="S3131"/>
    </row>
    <row r="3132" ht="12.75">
      <c r="S3132"/>
    </row>
    <row r="3133" ht="12.75">
      <c r="S3133"/>
    </row>
    <row r="3134" ht="12.75">
      <c r="S3134"/>
    </row>
    <row r="3135" ht="12.75">
      <c r="S3135"/>
    </row>
    <row r="3136" ht="12.75">
      <c r="S3136"/>
    </row>
    <row r="3137" ht="12.75">
      <c r="S3137"/>
    </row>
    <row r="3138" ht="12.75">
      <c r="S3138"/>
    </row>
    <row r="3139" ht="12.75">
      <c r="S3139"/>
    </row>
    <row r="3140" ht="12.75">
      <c r="S3140"/>
    </row>
    <row r="3141" ht="12.75">
      <c r="S3141"/>
    </row>
    <row r="3142" ht="12.75">
      <c r="S3142"/>
    </row>
    <row r="3143" ht="12.75">
      <c r="S3143"/>
    </row>
    <row r="3144" ht="12.75">
      <c r="S3144"/>
    </row>
    <row r="3145" ht="12.75">
      <c r="S3145"/>
    </row>
    <row r="3146" ht="12.75">
      <c r="S3146"/>
    </row>
    <row r="3147" ht="12.75">
      <c r="S3147"/>
    </row>
    <row r="3148" ht="12.75">
      <c r="S3148"/>
    </row>
    <row r="3149" ht="12.75">
      <c r="S3149"/>
    </row>
    <row r="3150" ht="12.75">
      <c r="S3150"/>
    </row>
    <row r="3151" ht="12.75">
      <c r="S3151"/>
    </row>
    <row r="3152" ht="12.75">
      <c r="S3152"/>
    </row>
    <row r="3153" ht="12.75">
      <c r="S3153"/>
    </row>
    <row r="3154" ht="12.75">
      <c r="S3154"/>
    </row>
    <row r="3155" ht="12.75">
      <c r="S3155"/>
    </row>
    <row r="3156" ht="12.75">
      <c r="S3156"/>
    </row>
    <row r="3157" ht="12.75">
      <c r="S3157"/>
    </row>
    <row r="3158" ht="12.75">
      <c r="S3158"/>
    </row>
    <row r="3159" ht="12.75">
      <c r="S3159"/>
    </row>
    <row r="3160" ht="12.75">
      <c r="S3160"/>
    </row>
    <row r="3161" ht="12.75">
      <c r="S3161"/>
    </row>
    <row r="3162" ht="12.75">
      <c r="S3162"/>
    </row>
    <row r="3163" ht="12.75">
      <c r="S3163"/>
    </row>
    <row r="3164" ht="12.75">
      <c r="S3164"/>
    </row>
    <row r="3165" ht="12.75">
      <c r="S3165"/>
    </row>
    <row r="3166" ht="12.75">
      <c r="S3166"/>
    </row>
    <row r="3167" ht="12.75">
      <c r="S3167"/>
    </row>
    <row r="3168" ht="12.75">
      <c r="S3168"/>
    </row>
    <row r="3169" ht="12.75">
      <c r="S3169"/>
    </row>
    <row r="3170" ht="12.75">
      <c r="S3170"/>
    </row>
    <row r="3171" ht="12.75">
      <c r="S3171"/>
    </row>
    <row r="3172" ht="12.75">
      <c r="S3172"/>
    </row>
    <row r="3173" ht="12.75">
      <c r="S3173"/>
    </row>
    <row r="3174" ht="12.75">
      <c r="S3174"/>
    </row>
    <row r="3175" ht="12.75">
      <c r="S3175"/>
    </row>
    <row r="3176" ht="12.75">
      <c r="S3176"/>
    </row>
    <row r="3177" ht="12.75">
      <c r="S3177"/>
    </row>
    <row r="3178" ht="12.75">
      <c r="S3178"/>
    </row>
    <row r="3179" ht="12.75">
      <c r="S3179"/>
    </row>
    <row r="3180" ht="12.75">
      <c r="S3180"/>
    </row>
    <row r="3181" ht="12.75">
      <c r="S3181"/>
    </row>
    <row r="3182" ht="12.75">
      <c r="S3182"/>
    </row>
    <row r="3183" ht="12.75">
      <c r="S3183"/>
    </row>
    <row r="3184" ht="12.75">
      <c r="S3184"/>
    </row>
    <row r="3185" ht="12.75">
      <c r="S3185"/>
    </row>
    <row r="3186" ht="12.75">
      <c r="S3186"/>
    </row>
    <row r="3187" ht="12.75">
      <c r="S3187"/>
    </row>
    <row r="3188" ht="12.75">
      <c r="S3188"/>
    </row>
    <row r="3189" ht="12.75">
      <c r="S3189"/>
    </row>
    <row r="3190" ht="12.75">
      <c r="S3190"/>
    </row>
    <row r="3191" ht="12.75">
      <c r="S3191"/>
    </row>
    <row r="3192" ht="12.75">
      <c r="S3192"/>
    </row>
    <row r="3193" ht="12.75">
      <c r="S3193"/>
    </row>
    <row r="3194" ht="12.75">
      <c r="S3194"/>
    </row>
    <row r="3195" ht="12.75">
      <c r="S3195"/>
    </row>
    <row r="3196" ht="12.75">
      <c r="S3196"/>
    </row>
    <row r="3197" ht="12.75">
      <c r="S3197"/>
    </row>
    <row r="3198" ht="12.75">
      <c r="S3198"/>
    </row>
    <row r="3199" ht="12.75">
      <c r="S3199"/>
    </row>
    <row r="3200" ht="12.75">
      <c r="S3200"/>
    </row>
    <row r="3201" ht="12.75">
      <c r="S3201"/>
    </row>
    <row r="3202" ht="12.75">
      <c r="S3202"/>
    </row>
    <row r="3203" ht="12.75">
      <c r="S3203"/>
    </row>
    <row r="3204" ht="12.75">
      <c r="S3204"/>
    </row>
    <row r="3205" ht="12.75">
      <c r="S3205"/>
    </row>
    <row r="3206" ht="12.75">
      <c r="S3206"/>
    </row>
    <row r="3207" ht="12.75">
      <c r="S3207"/>
    </row>
    <row r="3208" ht="12.75">
      <c r="S3208"/>
    </row>
    <row r="3209" ht="12.75">
      <c r="S3209"/>
    </row>
    <row r="3210" ht="12.75">
      <c r="S3210"/>
    </row>
    <row r="3211" ht="12.75">
      <c r="S3211"/>
    </row>
    <row r="3212" ht="12.75">
      <c r="S3212"/>
    </row>
    <row r="3213" ht="12.75">
      <c r="S3213"/>
    </row>
    <row r="3214" ht="12.75">
      <c r="S3214"/>
    </row>
    <row r="3215" ht="12.75">
      <c r="S3215"/>
    </row>
    <row r="3216" ht="12.75">
      <c r="S3216"/>
    </row>
    <row r="3217" ht="12.75">
      <c r="S3217"/>
    </row>
    <row r="3218" ht="12.75">
      <c r="S3218"/>
    </row>
    <row r="3219" ht="12.75">
      <c r="S3219"/>
    </row>
    <row r="3220" ht="12.75">
      <c r="S3220"/>
    </row>
    <row r="3221" ht="12.75">
      <c r="S3221"/>
    </row>
    <row r="3222" ht="12.75">
      <c r="S3222"/>
    </row>
    <row r="3223" ht="12.75">
      <c r="S3223"/>
    </row>
    <row r="3224" ht="12.75">
      <c r="S3224"/>
    </row>
    <row r="3225" ht="12.75">
      <c r="S3225"/>
    </row>
    <row r="3226" ht="12.75">
      <c r="S3226"/>
    </row>
    <row r="3227" ht="12.75">
      <c r="S3227"/>
    </row>
    <row r="3228" ht="12.75">
      <c r="S3228"/>
    </row>
    <row r="3229" ht="12.75">
      <c r="S3229"/>
    </row>
    <row r="3230" ht="12.75">
      <c r="S3230"/>
    </row>
    <row r="3231" ht="12.75">
      <c r="S3231"/>
    </row>
    <row r="3232" ht="12.75">
      <c r="S3232"/>
    </row>
    <row r="3233" ht="12.75">
      <c r="S3233"/>
    </row>
    <row r="3234" ht="12.75">
      <c r="S3234"/>
    </row>
    <row r="3235" ht="12.75">
      <c r="S3235"/>
    </row>
    <row r="3236" ht="12.75">
      <c r="S3236"/>
    </row>
    <row r="3237" ht="12.75">
      <c r="S3237"/>
    </row>
    <row r="3238" ht="12.75">
      <c r="S3238"/>
    </row>
    <row r="3239" ht="12.75">
      <c r="S3239"/>
    </row>
    <row r="3240" ht="12.75">
      <c r="S3240"/>
    </row>
    <row r="3241" ht="12.75">
      <c r="S3241"/>
    </row>
    <row r="3242" ht="12.75">
      <c r="S3242"/>
    </row>
    <row r="3243" ht="12.75">
      <c r="S3243"/>
    </row>
    <row r="3244" ht="12.75">
      <c r="S3244"/>
    </row>
    <row r="3245" ht="12.75">
      <c r="S3245"/>
    </row>
    <row r="3246" ht="12.75">
      <c r="S3246"/>
    </row>
    <row r="3247" ht="12.75">
      <c r="S3247"/>
    </row>
    <row r="3248" ht="12.75">
      <c r="S3248"/>
    </row>
    <row r="3249" ht="12.75">
      <c r="S3249"/>
    </row>
    <row r="3250" ht="12.75">
      <c r="S3250"/>
    </row>
    <row r="3251" ht="12.75">
      <c r="S3251"/>
    </row>
    <row r="3252" ht="12.75">
      <c r="S3252"/>
    </row>
    <row r="3253" ht="12.75">
      <c r="S3253"/>
    </row>
    <row r="3254" ht="12.75">
      <c r="S3254"/>
    </row>
    <row r="3255" ht="12.75">
      <c r="S3255"/>
    </row>
    <row r="3256" ht="12.75">
      <c r="S3256"/>
    </row>
    <row r="3257" ht="12.75">
      <c r="S3257"/>
    </row>
    <row r="3258" ht="12.75">
      <c r="S3258"/>
    </row>
    <row r="3259" ht="12.75">
      <c r="S3259"/>
    </row>
    <row r="3260" ht="12.75">
      <c r="S3260"/>
    </row>
    <row r="3261" ht="12.75">
      <c r="S3261"/>
    </row>
    <row r="3262" ht="12.75">
      <c r="S3262"/>
    </row>
    <row r="3263" ht="12.75">
      <c r="S3263"/>
    </row>
    <row r="3264" ht="12.75">
      <c r="S3264"/>
    </row>
    <row r="3265" ht="12.75">
      <c r="S3265"/>
    </row>
    <row r="3266" ht="12.75">
      <c r="S3266"/>
    </row>
    <row r="3267" ht="12.75">
      <c r="S3267"/>
    </row>
    <row r="3268" ht="12.75">
      <c r="S3268"/>
    </row>
    <row r="3269" ht="12.75">
      <c r="S3269"/>
    </row>
    <row r="3270" ht="12.75">
      <c r="S3270"/>
    </row>
    <row r="3271" ht="12.75">
      <c r="S3271"/>
    </row>
    <row r="3272" ht="12.75">
      <c r="S3272"/>
    </row>
    <row r="3273" ht="12.75">
      <c r="S3273"/>
    </row>
    <row r="3274" ht="12.75">
      <c r="S3274"/>
    </row>
    <row r="3275" ht="12.75">
      <c r="S3275"/>
    </row>
    <row r="3276" ht="12.75">
      <c r="S3276"/>
    </row>
    <row r="3277" ht="12.75">
      <c r="S3277"/>
    </row>
    <row r="3278" ht="12.75">
      <c r="S3278"/>
    </row>
    <row r="3279" ht="12.75">
      <c r="S3279"/>
    </row>
    <row r="3280" ht="12.75">
      <c r="S3280"/>
    </row>
    <row r="3281" ht="12.75">
      <c r="S3281"/>
    </row>
    <row r="3282" ht="12.75">
      <c r="S3282"/>
    </row>
    <row r="3283" ht="12.75">
      <c r="S3283"/>
    </row>
    <row r="3284" ht="12.75">
      <c r="S3284"/>
    </row>
    <row r="3285" ht="12.75">
      <c r="S3285"/>
    </row>
    <row r="3286" ht="12.75">
      <c r="S3286"/>
    </row>
    <row r="3287" ht="12.75">
      <c r="S3287"/>
    </row>
    <row r="3288" ht="12.75">
      <c r="S3288"/>
    </row>
    <row r="3289" ht="12.75">
      <c r="S3289"/>
    </row>
    <row r="3290" ht="12.75">
      <c r="S3290"/>
    </row>
    <row r="3291" ht="12.75">
      <c r="S3291"/>
    </row>
    <row r="3292" ht="12.75">
      <c r="S3292"/>
    </row>
    <row r="3293" ht="12.75">
      <c r="S3293"/>
    </row>
    <row r="3294" ht="12.75">
      <c r="S3294"/>
    </row>
    <row r="3295" ht="12.75">
      <c r="S3295"/>
    </row>
    <row r="3296" ht="12.75">
      <c r="S3296"/>
    </row>
    <row r="3297" ht="12.75">
      <c r="S3297"/>
    </row>
    <row r="3298" ht="12.75">
      <c r="S3298"/>
    </row>
    <row r="3299" ht="12.75">
      <c r="S3299"/>
    </row>
    <row r="3300" ht="12.75">
      <c r="S3300"/>
    </row>
    <row r="3301" ht="12.75">
      <c r="S3301"/>
    </row>
    <row r="3302" ht="12.75">
      <c r="S3302"/>
    </row>
    <row r="3303" ht="12.75">
      <c r="S3303"/>
    </row>
    <row r="3304" ht="12.75">
      <c r="S3304"/>
    </row>
    <row r="3305" ht="12.75">
      <c r="S3305"/>
    </row>
    <row r="3306" ht="12.75">
      <c r="S3306"/>
    </row>
    <row r="3307" ht="12.75">
      <c r="S3307"/>
    </row>
    <row r="3308" ht="12.75">
      <c r="S3308"/>
    </row>
    <row r="3309" ht="12.75">
      <c r="S3309"/>
    </row>
    <row r="3310" ht="12.75">
      <c r="S3310"/>
    </row>
    <row r="3311" ht="12.75">
      <c r="S3311"/>
    </row>
    <row r="3312" ht="12.75">
      <c r="S3312"/>
    </row>
    <row r="3313" ht="12.75">
      <c r="S3313"/>
    </row>
    <row r="3314" ht="12.75">
      <c r="S3314"/>
    </row>
    <row r="3315" ht="12.75">
      <c r="S3315"/>
    </row>
    <row r="3316" ht="12.75">
      <c r="S3316"/>
    </row>
    <row r="3317" ht="12.75">
      <c r="S3317"/>
    </row>
    <row r="3318" ht="12.75">
      <c r="S3318"/>
    </row>
    <row r="3319" ht="12.75">
      <c r="S3319"/>
    </row>
    <row r="3320" ht="12.75">
      <c r="S3320"/>
    </row>
    <row r="3321" ht="12.75">
      <c r="S3321"/>
    </row>
    <row r="3322" ht="12.75">
      <c r="S3322"/>
    </row>
    <row r="3323" ht="12.75">
      <c r="S3323"/>
    </row>
    <row r="3324" ht="12.75">
      <c r="S3324"/>
    </row>
    <row r="3325" ht="12.75">
      <c r="S3325"/>
    </row>
    <row r="3326" ht="12.75">
      <c r="S3326"/>
    </row>
    <row r="3327" ht="12.75">
      <c r="S3327"/>
    </row>
    <row r="3328" ht="12.75">
      <c r="S3328"/>
    </row>
    <row r="3329" ht="12.75">
      <c r="S3329"/>
    </row>
    <row r="3330" ht="12.75">
      <c r="S3330"/>
    </row>
    <row r="3331" ht="12.75">
      <c r="S3331"/>
    </row>
    <row r="3332" ht="12.75">
      <c r="S3332"/>
    </row>
    <row r="3333" ht="12.75">
      <c r="S3333"/>
    </row>
    <row r="3334" ht="12.75">
      <c r="S3334"/>
    </row>
    <row r="3335" ht="12.75">
      <c r="S3335"/>
    </row>
    <row r="3336" ht="12.75">
      <c r="S3336"/>
    </row>
    <row r="3337" ht="12.75">
      <c r="S3337"/>
    </row>
    <row r="3338" ht="12.75">
      <c r="S3338"/>
    </row>
    <row r="3339" ht="12.75">
      <c r="S3339"/>
    </row>
    <row r="3340" ht="12.75">
      <c r="S3340"/>
    </row>
    <row r="3341" ht="12.75">
      <c r="S3341"/>
    </row>
    <row r="3342" ht="12.75">
      <c r="S3342"/>
    </row>
    <row r="3343" ht="12.75">
      <c r="S3343"/>
    </row>
    <row r="3344" ht="12.75">
      <c r="S3344"/>
    </row>
    <row r="3345" ht="12.75">
      <c r="S3345"/>
    </row>
    <row r="3346" ht="12.75">
      <c r="S3346"/>
    </row>
    <row r="3347" ht="12.75">
      <c r="S3347"/>
    </row>
    <row r="3348" ht="12.75">
      <c r="S3348"/>
    </row>
    <row r="3349" ht="12.75">
      <c r="S3349"/>
    </row>
    <row r="3350" ht="12.75">
      <c r="S3350"/>
    </row>
    <row r="3351" ht="12.75">
      <c r="S3351"/>
    </row>
    <row r="3352" ht="12.75">
      <c r="S3352"/>
    </row>
    <row r="3353" ht="12.75">
      <c r="S3353"/>
    </row>
    <row r="3354" ht="12.75">
      <c r="S3354"/>
    </row>
    <row r="3355" ht="12.75">
      <c r="S3355"/>
    </row>
    <row r="3356" ht="12.75">
      <c r="S3356"/>
    </row>
    <row r="3357" ht="12.75">
      <c r="S3357"/>
    </row>
    <row r="3358" ht="12.75">
      <c r="S3358"/>
    </row>
    <row r="3359" ht="12.75">
      <c r="S3359"/>
    </row>
    <row r="3360" ht="12.75">
      <c r="S3360"/>
    </row>
    <row r="3361" ht="12.75">
      <c r="S3361"/>
    </row>
    <row r="3362" ht="12.75">
      <c r="S3362"/>
    </row>
    <row r="3363" ht="12.75">
      <c r="S3363"/>
    </row>
    <row r="3364" ht="12.75">
      <c r="S3364"/>
    </row>
    <row r="3365" ht="12.75">
      <c r="S3365"/>
    </row>
    <row r="3366" ht="12.75">
      <c r="S3366"/>
    </row>
    <row r="3367" ht="12.75">
      <c r="S3367"/>
    </row>
    <row r="3368" ht="12.75">
      <c r="S3368"/>
    </row>
    <row r="3369" ht="12.75">
      <c r="S3369"/>
    </row>
    <row r="3370" ht="12.75">
      <c r="S3370"/>
    </row>
    <row r="3371" ht="12.75">
      <c r="S3371"/>
    </row>
    <row r="3372" ht="12.75">
      <c r="S3372"/>
    </row>
    <row r="3373" ht="12.75">
      <c r="S3373"/>
    </row>
    <row r="3374" ht="12.75">
      <c r="S3374"/>
    </row>
    <row r="3375" ht="12.75">
      <c r="S3375"/>
    </row>
    <row r="3376" ht="12.75">
      <c r="S3376"/>
    </row>
    <row r="3377" ht="12.75">
      <c r="S3377"/>
    </row>
    <row r="3378" ht="12.75">
      <c r="S3378"/>
    </row>
    <row r="3379" ht="12.75">
      <c r="S3379"/>
    </row>
    <row r="3380" ht="12.75">
      <c r="S3380"/>
    </row>
    <row r="3381" ht="12.75">
      <c r="S3381"/>
    </row>
    <row r="3382" ht="12.75">
      <c r="S3382"/>
    </row>
    <row r="3383" ht="12.75">
      <c r="S3383"/>
    </row>
    <row r="3384" ht="12.75">
      <c r="S3384"/>
    </row>
    <row r="3385" ht="12.75">
      <c r="S3385"/>
    </row>
    <row r="3386" ht="12.75">
      <c r="S3386"/>
    </row>
    <row r="3387" ht="12.75">
      <c r="S3387"/>
    </row>
    <row r="3388" ht="12.75">
      <c r="S3388"/>
    </row>
    <row r="3389" ht="12.75">
      <c r="S3389"/>
    </row>
    <row r="3390" ht="12.75">
      <c r="S3390"/>
    </row>
    <row r="3391" ht="12.75">
      <c r="S3391"/>
    </row>
    <row r="3392" ht="12.75">
      <c r="S3392"/>
    </row>
    <row r="3393" ht="12.75">
      <c r="S3393"/>
    </row>
    <row r="3394" ht="12.75">
      <c r="S3394"/>
    </row>
    <row r="3395" ht="12.75">
      <c r="S3395"/>
    </row>
    <row r="3396" ht="12.75">
      <c r="S3396"/>
    </row>
    <row r="3397" ht="12.75">
      <c r="S3397"/>
    </row>
    <row r="3398" ht="12.75">
      <c r="S3398"/>
    </row>
    <row r="3399" ht="12.75">
      <c r="S3399"/>
    </row>
    <row r="3400" ht="12.75">
      <c r="S3400"/>
    </row>
    <row r="3401" ht="12.75">
      <c r="S3401"/>
    </row>
    <row r="3402" ht="12.75">
      <c r="S3402"/>
    </row>
    <row r="3403" ht="12.75">
      <c r="S3403"/>
    </row>
    <row r="3404" ht="12.75">
      <c r="S3404"/>
    </row>
    <row r="3405" ht="12.75">
      <c r="S3405"/>
    </row>
    <row r="3406" ht="12.75">
      <c r="S3406"/>
    </row>
    <row r="3407" ht="12.75">
      <c r="S3407"/>
    </row>
    <row r="3408" ht="12.75">
      <c r="S3408"/>
    </row>
    <row r="3409" ht="12.75">
      <c r="S3409"/>
    </row>
    <row r="3410" ht="12.75">
      <c r="S3410"/>
    </row>
    <row r="3411" ht="12.75">
      <c r="S3411"/>
    </row>
    <row r="3412" ht="12.75">
      <c r="S3412"/>
    </row>
    <row r="3413" ht="12.75">
      <c r="S3413"/>
    </row>
    <row r="3414" ht="12.75">
      <c r="S3414"/>
    </row>
    <row r="3415" ht="12.75">
      <c r="S3415"/>
    </row>
    <row r="3416" ht="12.75">
      <c r="S3416"/>
    </row>
    <row r="3417" ht="12.75">
      <c r="S3417"/>
    </row>
    <row r="3418" ht="12.75">
      <c r="S3418"/>
    </row>
    <row r="3419" ht="12.75">
      <c r="S3419"/>
    </row>
    <row r="3420" ht="12.75">
      <c r="S3420"/>
    </row>
    <row r="3421" ht="12.75">
      <c r="S3421"/>
    </row>
    <row r="3422" ht="12.75">
      <c r="S3422"/>
    </row>
    <row r="3423" ht="12.75">
      <c r="S3423"/>
    </row>
    <row r="3424" ht="12.75">
      <c r="S3424"/>
    </row>
    <row r="3425" ht="12.75">
      <c r="S3425"/>
    </row>
    <row r="3426" ht="12.75">
      <c r="S3426"/>
    </row>
    <row r="3427" ht="12.75">
      <c r="S3427"/>
    </row>
    <row r="3428" ht="12.75">
      <c r="S3428"/>
    </row>
    <row r="3429" ht="12.75">
      <c r="S3429"/>
    </row>
    <row r="3430" ht="12.75">
      <c r="S3430"/>
    </row>
    <row r="3431" ht="12.75">
      <c r="S3431"/>
    </row>
    <row r="3432" ht="12.75">
      <c r="S3432"/>
    </row>
    <row r="3433" ht="12.75">
      <c r="S3433"/>
    </row>
    <row r="3434" ht="12.75">
      <c r="S3434"/>
    </row>
    <row r="3435" ht="12.75">
      <c r="S3435"/>
    </row>
    <row r="3436" ht="12.75">
      <c r="S3436"/>
    </row>
    <row r="3437" ht="12.75">
      <c r="S3437"/>
    </row>
    <row r="3438" ht="12.75">
      <c r="S3438"/>
    </row>
    <row r="3439" ht="12.75">
      <c r="S3439"/>
    </row>
    <row r="3440" ht="12.75">
      <c r="S3440"/>
    </row>
    <row r="3441" ht="12.75">
      <c r="S3441"/>
    </row>
    <row r="3442" ht="12.75">
      <c r="S3442"/>
    </row>
    <row r="3443" ht="12.75">
      <c r="S3443"/>
    </row>
    <row r="3444" ht="12.75">
      <c r="S3444"/>
    </row>
    <row r="3445" ht="12.75">
      <c r="S3445"/>
    </row>
    <row r="3446" ht="12.75">
      <c r="S3446"/>
    </row>
    <row r="3447" ht="12.75">
      <c r="S3447"/>
    </row>
    <row r="3448" ht="12.75">
      <c r="S3448"/>
    </row>
    <row r="3449" ht="12.75">
      <c r="S3449"/>
    </row>
    <row r="3450" ht="12.75">
      <c r="S3450"/>
    </row>
    <row r="3451" ht="12.75">
      <c r="S3451"/>
    </row>
    <row r="3452" ht="12.75">
      <c r="S3452"/>
    </row>
    <row r="3453" ht="12.75">
      <c r="S3453"/>
    </row>
    <row r="3454" ht="12.75">
      <c r="S3454"/>
    </row>
    <row r="3455" ht="12.75">
      <c r="S3455"/>
    </row>
    <row r="3456" ht="12.75">
      <c r="S3456"/>
    </row>
    <row r="3457" ht="12.75">
      <c r="S3457"/>
    </row>
    <row r="3458" ht="12.75">
      <c r="S3458"/>
    </row>
    <row r="3459" ht="12.75">
      <c r="S3459"/>
    </row>
    <row r="3460" ht="12.75">
      <c r="S3460"/>
    </row>
    <row r="3461" ht="12.75">
      <c r="S3461"/>
    </row>
    <row r="3462" ht="12.75">
      <c r="S3462"/>
    </row>
    <row r="3463" ht="12.75">
      <c r="S3463"/>
    </row>
    <row r="3464" ht="12.75">
      <c r="S3464"/>
    </row>
    <row r="3465" ht="12.75">
      <c r="S3465"/>
    </row>
    <row r="3466" ht="12.75">
      <c r="S3466"/>
    </row>
    <row r="3467" ht="12.75">
      <c r="S3467"/>
    </row>
    <row r="3468" ht="12.75">
      <c r="S3468"/>
    </row>
    <row r="3469" ht="12.75">
      <c r="S3469"/>
    </row>
    <row r="3470" ht="12.75">
      <c r="S3470"/>
    </row>
    <row r="3471" ht="12.75">
      <c r="S3471"/>
    </row>
    <row r="3472" ht="12.75">
      <c r="S3472"/>
    </row>
    <row r="3473" ht="12.75">
      <c r="S3473"/>
    </row>
    <row r="3474" ht="12.75">
      <c r="S3474"/>
    </row>
    <row r="3475" ht="12.75">
      <c r="S3475"/>
    </row>
    <row r="3476" ht="12.75">
      <c r="S3476"/>
    </row>
    <row r="3477" ht="12.75">
      <c r="S3477"/>
    </row>
    <row r="3478" ht="12.75">
      <c r="S3478"/>
    </row>
    <row r="3479" ht="12.75">
      <c r="S3479"/>
    </row>
    <row r="3480" ht="12.75">
      <c r="S3480"/>
    </row>
    <row r="3481" ht="12.75">
      <c r="S3481"/>
    </row>
    <row r="3482" ht="12.75">
      <c r="S3482"/>
    </row>
    <row r="3483" ht="12.75">
      <c r="S3483"/>
    </row>
    <row r="3484" ht="12.75">
      <c r="S3484"/>
    </row>
    <row r="3485" ht="12.75">
      <c r="S3485"/>
    </row>
    <row r="3486" ht="12.75">
      <c r="S3486"/>
    </row>
    <row r="3487" ht="12.75">
      <c r="S3487"/>
    </row>
    <row r="3488" ht="12.75">
      <c r="S3488"/>
    </row>
    <row r="3489" ht="12.75">
      <c r="S3489"/>
    </row>
    <row r="3490" ht="12.75">
      <c r="S3490"/>
    </row>
    <row r="3491" ht="12.75">
      <c r="S3491"/>
    </row>
    <row r="3492" ht="12.75">
      <c r="S3492"/>
    </row>
    <row r="3493" ht="12.75">
      <c r="S3493"/>
    </row>
    <row r="3494" ht="12.75">
      <c r="S3494"/>
    </row>
    <row r="3495" ht="12.75">
      <c r="S3495"/>
    </row>
    <row r="3496" ht="12.75">
      <c r="S3496"/>
    </row>
    <row r="3497" ht="12.75">
      <c r="S3497"/>
    </row>
    <row r="3498" ht="12.75">
      <c r="S3498"/>
    </row>
    <row r="3499" ht="12.75">
      <c r="S3499"/>
    </row>
    <row r="3500" ht="12.75">
      <c r="S3500"/>
    </row>
    <row r="3501" ht="12.75">
      <c r="S3501"/>
    </row>
    <row r="3502" ht="12.75">
      <c r="S3502"/>
    </row>
    <row r="3503" ht="12.75">
      <c r="S3503"/>
    </row>
    <row r="3504" ht="12.75">
      <c r="S3504"/>
    </row>
    <row r="3505" ht="12.75">
      <c r="S3505"/>
    </row>
    <row r="3506" ht="12.75">
      <c r="S3506"/>
    </row>
    <row r="3507" ht="12.75">
      <c r="S3507"/>
    </row>
    <row r="3508" ht="12.75">
      <c r="S3508"/>
    </row>
    <row r="3509" ht="12.75">
      <c r="S3509"/>
    </row>
    <row r="3510" ht="12.75">
      <c r="S3510"/>
    </row>
    <row r="3511" ht="12.75">
      <c r="S3511"/>
    </row>
    <row r="3512" ht="12.75">
      <c r="S3512"/>
    </row>
    <row r="3513" ht="12.75">
      <c r="S3513"/>
    </row>
    <row r="3514" ht="12.75">
      <c r="S3514"/>
    </row>
    <row r="3515" ht="12.75">
      <c r="S3515"/>
    </row>
    <row r="3516" ht="12.75">
      <c r="S3516"/>
    </row>
    <row r="3517" ht="12.75">
      <c r="S3517"/>
    </row>
    <row r="3518" ht="12.75">
      <c r="S3518"/>
    </row>
    <row r="3519" ht="12.75">
      <c r="S3519"/>
    </row>
    <row r="3520" ht="12.75">
      <c r="S3520"/>
    </row>
    <row r="3521" ht="12.75">
      <c r="S3521"/>
    </row>
    <row r="3522" ht="12.75">
      <c r="S3522"/>
    </row>
    <row r="3523" ht="12.75">
      <c r="S3523"/>
    </row>
    <row r="3524" ht="12.75">
      <c r="S3524"/>
    </row>
    <row r="3525" ht="12.75">
      <c r="S3525"/>
    </row>
    <row r="3526" ht="12.75">
      <c r="S3526"/>
    </row>
    <row r="3527" ht="12.75">
      <c r="S3527"/>
    </row>
    <row r="3528" ht="12.75">
      <c r="S3528"/>
    </row>
    <row r="3529" ht="12.75">
      <c r="S3529"/>
    </row>
    <row r="3530" ht="12.75">
      <c r="S3530"/>
    </row>
    <row r="3531" ht="12.75">
      <c r="S3531"/>
    </row>
    <row r="3532" ht="12.75">
      <c r="S3532"/>
    </row>
    <row r="3533" ht="12.75">
      <c r="S3533"/>
    </row>
    <row r="3534" ht="12.75">
      <c r="S3534"/>
    </row>
    <row r="3535" ht="12.75">
      <c r="S3535"/>
    </row>
    <row r="3536" ht="12.75">
      <c r="S3536"/>
    </row>
    <row r="3537" ht="12.75">
      <c r="S3537"/>
    </row>
    <row r="3538" ht="12.75">
      <c r="S3538"/>
    </row>
    <row r="3539" ht="12.75">
      <c r="S3539"/>
    </row>
    <row r="3540" ht="12.75">
      <c r="S3540"/>
    </row>
    <row r="3541" ht="12.75">
      <c r="S3541"/>
    </row>
    <row r="3542" ht="12.75">
      <c r="S3542"/>
    </row>
    <row r="3543" ht="12.75">
      <c r="S3543"/>
    </row>
    <row r="3544" ht="12.75">
      <c r="S3544"/>
    </row>
    <row r="3545" ht="12.75">
      <c r="S3545"/>
    </row>
    <row r="3546" ht="12.75">
      <c r="S3546"/>
    </row>
    <row r="3547" ht="12.75">
      <c r="S3547"/>
    </row>
    <row r="3548" ht="12.75">
      <c r="S3548"/>
    </row>
    <row r="3549" ht="12.75">
      <c r="S3549"/>
    </row>
    <row r="3550" ht="12.75">
      <c r="S3550"/>
    </row>
    <row r="3551" ht="12.75">
      <c r="S3551"/>
    </row>
    <row r="3552" ht="12.75">
      <c r="S3552"/>
    </row>
    <row r="3553" ht="12.75">
      <c r="S3553"/>
    </row>
    <row r="3554" ht="12.75">
      <c r="S3554"/>
    </row>
    <row r="3555" ht="12.75">
      <c r="S3555"/>
    </row>
    <row r="3556" ht="12.75">
      <c r="S3556"/>
    </row>
    <row r="3557" ht="12.75">
      <c r="S3557"/>
    </row>
    <row r="3558" ht="12.75">
      <c r="S3558"/>
    </row>
    <row r="3559" ht="12.75">
      <c r="S3559"/>
    </row>
    <row r="3560" ht="12.75">
      <c r="S3560"/>
    </row>
    <row r="3561" ht="12.75">
      <c r="S3561"/>
    </row>
    <row r="3562" ht="12.75">
      <c r="S3562"/>
    </row>
    <row r="3563" ht="12.75">
      <c r="S3563"/>
    </row>
    <row r="3564" ht="12.75">
      <c r="S3564"/>
    </row>
    <row r="3565" ht="12.75">
      <c r="S3565"/>
    </row>
    <row r="3566" ht="12.75">
      <c r="S3566"/>
    </row>
    <row r="3567" ht="12.75">
      <c r="S3567"/>
    </row>
    <row r="3568" ht="12.75">
      <c r="S3568"/>
    </row>
    <row r="3569" ht="12.75">
      <c r="S3569"/>
    </row>
    <row r="3570" ht="12.75">
      <c r="S3570"/>
    </row>
    <row r="3571" ht="12.75">
      <c r="S3571"/>
    </row>
    <row r="3572" ht="12.75">
      <c r="S3572"/>
    </row>
    <row r="3573" ht="12.75">
      <c r="S3573"/>
    </row>
    <row r="3574" ht="12.75">
      <c r="S3574"/>
    </row>
    <row r="3575" ht="12.75">
      <c r="S3575"/>
    </row>
    <row r="3576" ht="12.75">
      <c r="S3576"/>
    </row>
    <row r="3577" ht="12.75">
      <c r="S3577"/>
    </row>
    <row r="3578" ht="12.75">
      <c r="S3578"/>
    </row>
    <row r="3579" ht="12.75">
      <c r="S3579"/>
    </row>
    <row r="3580" ht="12.75">
      <c r="S3580"/>
    </row>
    <row r="3581" ht="12.75">
      <c r="S3581"/>
    </row>
    <row r="3582" ht="12.75">
      <c r="S3582"/>
    </row>
    <row r="3583" ht="12.75">
      <c r="S3583"/>
    </row>
    <row r="3584" ht="12.75">
      <c r="S3584"/>
    </row>
    <row r="3585" ht="12.75">
      <c r="S3585"/>
    </row>
    <row r="3586" ht="12.75">
      <c r="S3586"/>
    </row>
    <row r="3587" ht="12.75">
      <c r="S3587"/>
    </row>
    <row r="3588" ht="12.75">
      <c r="S3588"/>
    </row>
    <row r="3589" ht="12.75">
      <c r="S3589"/>
    </row>
    <row r="3590" ht="12.75">
      <c r="S3590"/>
    </row>
    <row r="3591" ht="12.75">
      <c r="S3591"/>
    </row>
    <row r="3592" ht="12.75">
      <c r="S3592"/>
    </row>
    <row r="3593" ht="12.75">
      <c r="S3593"/>
    </row>
    <row r="3594" ht="12.75">
      <c r="S3594"/>
    </row>
    <row r="3595" ht="12.75">
      <c r="S3595"/>
    </row>
    <row r="3596" ht="12.75">
      <c r="S3596"/>
    </row>
    <row r="3597" ht="12.75">
      <c r="S3597"/>
    </row>
    <row r="3598" ht="12.75">
      <c r="S3598"/>
    </row>
    <row r="3599" ht="12.75">
      <c r="S3599"/>
    </row>
    <row r="3600" ht="12.75">
      <c r="S3600"/>
    </row>
    <row r="3601" ht="12.75">
      <c r="S3601"/>
    </row>
    <row r="3602" ht="12.75">
      <c r="S3602"/>
    </row>
    <row r="3603" ht="12.75">
      <c r="S3603"/>
    </row>
    <row r="3604" ht="12.75">
      <c r="S3604"/>
    </row>
    <row r="3605" ht="12.75">
      <c r="S3605"/>
    </row>
    <row r="3606" ht="12.75">
      <c r="S3606"/>
    </row>
    <row r="3607" ht="12.75">
      <c r="S3607"/>
    </row>
    <row r="3608" ht="12.75">
      <c r="S3608"/>
    </row>
    <row r="3609" ht="12.75">
      <c r="S3609"/>
    </row>
    <row r="3610" ht="12.75">
      <c r="S3610"/>
    </row>
    <row r="3611" ht="12.75">
      <c r="S3611"/>
    </row>
    <row r="3612" ht="12.75">
      <c r="S3612"/>
    </row>
    <row r="3613" ht="12.75">
      <c r="S3613"/>
    </row>
    <row r="3614" ht="12.75">
      <c r="S3614"/>
    </row>
    <row r="3615" ht="12.75">
      <c r="S3615"/>
    </row>
    <row r="3616" ht="12.75">
      <c r="S3616"/>
    </row>
    <row r="3617" ht="12.75">
      <c r="S3617"/>
    </row>
    <row r="3618" ht="12.75">
      <c r="S3618"/>
    </row>
    <row r="3619" ht="12.75">
      <c r="S3619"/>
    </row>
    <row r="3620" ht="12.75">
      <c r="S3620"/>
    </row>
    <row r="3621" ht="12.75">
      <c r="S3621"/>
    </row>
    <row r="3622" ht="12.75">
      <c r="S3622"/>
    </row>
    <row r="3623" ht="12.75">
      <c r="S3623"/>
    </row>
    <row r="3624" ht="12.75">
      <c r="S3624"/>
    </row>
    <row r="3625" ht="12.75">
      <c r="S3625"/>
    </row>
    <row r="3626" ht="12.75">
      <c r="S3626"/>
    </row>
    <row r="3627" ht="12.75">
      <c r="S3627"/>
    </row>
    <row r="3628" ht="12.75">
      <c r="S3628"/>
    </row>
    <row r="3629" ht="12.75">
      <c r="S3629"/>
    </row>
    <row r="3630" ht="12.75">
      <c r="S3630"/>
    </row>
    <row r="3631" ht="12.75">
      <c r="S3631"/>
    </row>
    <row r="3632" ht="12.75">
      <c r="S3632"/>
    </row>
    <row r="3633" ht="12.75">
      <c r="S3633"/>
    </row>
    <row r="3634" ht="12.75">
      <c r="S3634"/>
    </row>
    <row r="3635" ht="12.75">
      <c r="S3635"/>
    </row>
    <row r="3636" ht="12.75">
      <c r="S3636"/>
    </row>
    <row r="3637" ht="12.75">
      <c r="S3637"/>
    </row>
    <row r="3638" ht="12.75">
      <c r="S3638"/>
    </row>
    <row r="3639" ht="12.75">
      <c r="S3639"/>
    </row>
    <row r="3640" ht="12.75">
      <c r="S3640"/>
    </row>
    <row r="3641" ht="12.75">
      <c r="S3641"/>
    </row>
    <row r="3642" ht="12.75">
      <c r="S3642"/>
    </row>
    <row r="3643" ht="12.75">
      <c r="S3643"/>
    </row>
    <row r="3644" ht="12.75">
      <c r="S3644"/>
    </row>
    <row r="3645" ht="12.75">
      <c r="S3645"/>
    </row>
    <row r="3646" ht="12.75">
      <c r="S3646"/>
    </row>
    <row r="3647" ht="12.75">
      <c r="S3647"/>
    </row>
    <row r="3648" ht="12.75">
      <c r="S3648"/>
    </row>
    <row r="3649" ht="12.75">
      <c r="S3649"/>
    </row>
    <row r="3650" ht="12.75">
      <c r="S3650"/>
    </row>
    <row r="3651" ht="12.75">
      <c r="S3651"/>
    </row>
    <row r="3652" ht="12.75">
      <c r="S3652"/>
    </row>
    <row r="3653" ht="12.75">
      <c r="S3653"/>
    </row>
    <row r="3654" ht="12.75">
      <c r="S3654"/>
    </row>
    <row r="3655" ht="12.75">
      <c r="S3655"/>
    </row>
    <row r="3656" ht="12.75">
      <c r="S3656"/>
    </row>
    <row r="3657" ht="12.75">
      <c r="S3657"/>
    </row>
    <row r="3658" ht="12.75">
      <c r="S3658"/>
    </row>
    <row r="3659" ht="12.75">
      <c r="S3659"/>
    </row>
    <row r="3660" ht="12.75">
      <c r="S3660"/>
    </row>
    <row r="3661" ht="12.75">
      <c r="S3661"/>
    </row>
    <row r="3662" ht="12.75">
      <c r="S3662"/>
    </row>
    <row r="3663" ht="12.75">
      <c r="S3663"/>
    </row>
    <row r="3664" ht="12.75">
      <c r="S3664"/>
    </row>
    <row r="3665" ht="12.75">
      <c r="S3665"/>
    </row>
    <row r="3666" ht="12.75">
      <c r="S3666"/>
    </row>
    <row r="3667" ht="12.75">
      <c r="S3667"/>
    </row>
    <row r="3668" ht="12.75">
      <c r="S3668"/>
    </row>
    <row r="3669" ht="12.75">
      <c r="S3669"/>
    </row>
    <row r="3670" ht="12.75">
      <c r="S3670"/>
    </row>
    <row r="3671" ht="12.75">
      <c r="S3671"/>
    </row>
    <row r="3672" ht="12.75">
      <c r="S3672"/>
    </row>
    <row r="3673" ht="12.75">
      <c r="S3673"/>
    </row>
    <row r="3674" ht="12.75">
      <c r="S3674"/>
    </row>
    <row r="3675" ht="12.75">
      <c r="S3675"/>
    </row>
    <row r="3676" ht="12.75">
      <c r="S3676"/>
    </row>
    <row r="3677" ht="12.75">
      <c r="S3677"/>
    </row>
    <row r="3678" ht="12.75">
      <c r="S3678"/>
    </row>
    <row r="3679" ht="12.75">
      <c r="S3679"/>
    </row>
    <row r="3680" ht="12.75">
      <c r="S3680"/>
    </row>
    <row r="3681" ht="12.75">
      <c r="S3681"/>
    </row>
    <row r="3682" ht="12.75">
      <c r="S3682"/>
    </row>
    <row r="3683" ht="12.75">
      <c r="S3683"/>
    </row>
    <row r="3684" ht="12.75">
      <c r="S3684"/>
    </row>
    <row r="3685" ht="12.75">
      <c r="S3685"/>
    </row>
    <row r="3686" ht="12.75">
      <c r="S3686"/>
    </row>
    <row r="3687" ht="12.75">
      <c r="S3687"/>
    </row>
    <row r="3688" ht="12.75">
      <c r="S3688"/>
    </row>
    <row r="3689" ht="12.75">
      <c r="S3689"/>
    </row>
    <row r="3690" ht="12.75">
      <c r="S3690"/>
    </row>
    <row r="3691" ht="12.75">
      <c r="S3691"/>
    </row>
    <row r="3692" ht="12.75">
      <c r="S3692"/>
    </row>
    <row r="3693" ht="12.75">
      <c r="S3693"/>
    </row>
    <row r="3694" ht="12.75">
      <c r="S3694"/>
    </row>
    <row r="3695" ht="12.75">
      <c r="S3695"/>
    </row>
    <row r="3696" ht="12.75">
      <c r="S3696"/>
    </row>
    <row r="3697" ht="12.75">
      <c r="S3697"/>
    </row>
    <row r="3698" ht="12.75">
      <c r="S3698"/>
    </row>
    <row r="3699" ht="12.75">
      <c r="S3699"/>
    </row>
    <row r="3700" ht="12.75">
      <c r="S3700"/>
    </row>
    <row r="3701" ht="12.75">
      <c r="S3701"/>
    </row>
    <row r="3702" ht="12.75">
      <c r="S3702"/>
    </row>
    <row r="3703" ht="12.75">
      <c r="S3703"/>
    </row>
    <row r="3704" ht="12.75">
      <c r="S3704"/>
    </row>
    <row r="3705" ht="12.75">
      <c r="S3705"/>
    </row>
    <row r="3706" ht="12.75">
      <c r="S3706"/>
    </row>
    <row r="3707" ht="12.75">
      <c r="S3707"/>
    </row>
    <row r="3708" ht="12.75">
      <c r="S3708"/>
    </row>
    <row r="3709" ht="12.75">
      <c r="S3709"/>
    </row>
    <row r="3710" ht="12.75">
      <c r="S3710"/>
    </row>
    <row r="3711" ht="12.75">
      <c r="S3711"/>
    </row>
    <row r="3712" ht="12.75">
      <c r="S3712"/>
    </row>
    <row r="3713" ht="12.75">
      <c r="S3713"/>
    </row>
    <row r="3714" ht="12.75">
      <c r="S3714"/>
    </row>
    <row r="3715" ht="12.75">
      <c r="S3715"/>
    </row>
    <row r="3716" ht="12.75">
      <c r="S3716"/>
    </row>
    <row r="3717" ht="12.75">
      <c r="S3717"/>
    </row>
    <row r="3718" ht="12.75">
      <c r="S3718"/>
    </row>
    <row r="3719" ht="12.75">
      <c r="S3719"/>
    </row>
    <row r="3720" ht="12.75">
      <c r="S3720"/>
    </row>
    <row r="3721" ht="12.75">
      <c r="S3721"/>
    </row>
    <row r="3722" ht="12.75">
      <c r="S3722"/>
    </row>
    <row r="3723" ht="12.75">
      <c r="S3723"/>
    </row>
    <row r="3724" ht="12.75">
      <c r="S3724"/>
    </row>
    <row r="3725" ht="12.75">
      <c r="S3725"/>
    </row>
    <row r="3726" ht="12.75">
      <c r="S3726"/>
    </row>
    <row r="3727" ht="12.75">
      <c r="S3727"/>
    </row>
    <row r="3728" ht="12.75">
      <c r="S3728"/>
    </row>
    <row r="3729" ht="12.75">
      <c r="S3729"/>
    </row>
    <row r="3730" ht="12.75">
      <c r="S3730"/>
    </row>
    <row r="3731" ht="12.75">
      <c r="S3731"/>
    </row>
    <row r="3732" ht="12.75">
      <c r="S3732"/>
    </row>
    <row r="3733" ht="12.75">
      <c r="S3733"/>
    </row>
    <row r="3734" ht="12.75">
      <c r="S3734"/>
    </row>
    <row r="3735" ht="12.75">
      <c r="S3735"/>
    </row>
    <row r="3736" ht="12.75">
      <c r="S3736"/>
    </row>
    <row r="3737" ht="12.75">
      <c r="S3737"/>
    </row>
    <row r="3738" ht="12.75">
      <c r="S3738"/>
    </row>
    <row r="3739" ht="12.75">
      <c r="S3739"/>
    </row>
    <row r="3740" ht="12.75">
      <c r="S3740"/>
    </row>
    <row r="3741" ht="12.75">
      <c r="S3741"/>
    </row>
    <row r="3742" ht="12.75">
      <c r="S3742"/>
    </row>
    <row r="3743" ht="12.75">
      <c r="S3743"/>
    </row>
    <row r="3744" ht="12.75">
      <c r="S3744"/>
    </row>
    <row r="3745" ht="12.75">
      <c r="S3745"/>
    </row>
    <row r="3746" ht="12.75">
      <c r="S3746"/>
    </row>
    <row r="3747" ht="12.75">
      <c r="S3747"/>
    </row>
    <row r="3748" ht="12.75">
      <c r="S3748"/>
    </row>
    <row r="3749" ht="12.75">
      <c r="S3749"/>
    </row>
    <row r="3750" ht="12.75">
      <c r="S3750"/>
    </row>
    <row r="3751" ht="12.75">
      <c r="S3751"/>
    </row>
    <row r="3752" ht="12.75">
      <c r="S3752"/>
    </row>
    <row r="3753" ht="12.75">
      <c r="S3753"/>
    </row>
    <row r="3754" ht="12.75">
      <c r="S3754"/>
    </row>
    <row r="3755" ht="12.75">
      <c r="S3755"/>
    </row>
    <row r="3756" ht="12.75">
      <c r="S3756"/>
    </row>
    <row r="3757" ht="12.75">
      <c r="S3757"/>
    </row>
    <row r="3758" ht="12.75">
      <c r="S3758"/>
    </row>
    <row r="3759" ht="12.75">
      <c r="S3759"/>
    </row>
    <row r="3760" ht="12.75">
      <c r="S3760"/>
    </row>
    <row r="3761" ht="12.75">
      <c r="S3761"/>
    </row>
    <row r="3762" ht="12.75">
      <c r="S3762"/>
    </row>
    <row r="3763" ht="12.75">
      <c r="S3763"/>
    </row>
    <row r="3764" ht="12.75">
      <c r="S3764"/>
    </row>
    <row r="3765" ht="12.75">
      <c r="S3765"/>
    </row>
    <row r="3766" ht="12.75">
      <c r="S3766"/>
    </row>
    <row r="3767" ht="12.75">
      <c r="S3767"/>
    </row>
    <row r="3768" ht="12.75">
      <c r="S3768"/>
    </row>
    <row r="3769" ht="12.75">
      <c r="S3769"/>
    </row>
    <row r="3770" ht="12.75">
      <c r="S3770"/>
    </row>
    <row r="3771" ht="12.75">
      <c r="S3771"/>
    </row>
    <row r="3772" ht="12.75">
      <c r="S3772"/>
    </row>
    <row r="3773" ht="12.75">
      <c r="S3773"/>
    </row>
    <row r="3774" ht="12.75">
      <c r="S3774"/>
    </row>
    <row r="3775" ht="12.75">
      <c r="S3775"/>
    </row>
    <row r="3776" ht="12.75">
      <c r="S3776"/>
    </row>
    <row r="3777" ht="12.75">
      <c r="S3777"/>
    </row>
    <row r="3778" ht="12.75">
      <c r="S3778"/>
    </row>
    <row r="3779" ht="12.75">
      <c r="S3779"/>
    </row>
    <row r="3780" ht="12.75">
      <c r="S3780"/>
    </row>
    <row r="3781" ht="12.75">
      <c r="S3781"/>
    </row>
    <row r="3782" ht="12.75">
      <c r="S3782"/>
    </row>
    <row r="3783" ht="12.75">
      <c r="S3783"/>
    </row>
    <row r="3784" ht="12.75">
      <c r="S3784"/>
    </row>
    <row r="3785" ht="12.75">
      <c r="S3785"/>
    </row>
    <row r="3786" ht="12.75">
      <c r="S3786"/>
    </row>
    <row r="3787" ht="12.75">
      <c r="S3787"/>
    </row>
    <row r="3788" ht="12.75">
      <c r="S3788"/>
    </row>
    <row r="3789" ht="12.75">
      <c r="S3789"/>
    </row>
    <row r="3790" ht="12.75">
      <c r="S3790"/>
    </row>
    <row r="3791" ht="12.75">
      <c r="S3791"/>
    </row>
    <row r="3792" ht="12.75">
      <c r="S3792"/>
    </row>
    <row r="3793" ht="12.75">
      <c r="S3793"/>
    </row>
    <row r="3794" ht="12.75">
      <c r="S3794"/>
    </row>
    <row r="3795" ht="12.75">
      <c r="S3795"/>
    </row>
    <row r="3796" ht="12.75">
      <c r="S3796"/>
    </row>
    <row r="3797" ht="12.75">
      <c r="S3797"/>
    </row>
    <row r="3798" ht="12.75">
      <c r="S3798"/>
    </row>
    <row r="3799" ht="12.75">
      <c r="S3799"/>
    </row>
    <row r="3800" ht="12.75">
      <c r="S3800"/>
    </row>
    <row r="3801" ht="12.75">
      <c r="S3801"/>
    </row>
    <row r="3802" ht="12.75">
      <c r="S3802"/>
    </row>
    <row r="3803" ht="12.75">
      <c r="S3803"/>
    </row>
    <row r="3804" ht="12.75">
      <c r="S3804"/>
    </row>
    <row r="3805" ht="12.75">
      <c r="S3805"/>
    </row>
    <row r="3806" ht="12.75">
      <c r="S3806"/>
    </row>
    <row r="3807" ht="12.75">
      <c r="S3807"/>
    </row>
    <row r="3808" ht="12.75">
      <c r="S3808"/>
    </row>
    <row r="3809" ht="12.75">
      <c r="S3809"/>
    </row>
    <row r="3810" ht="12.75">
      <c r="S3810"/>
    </row>
    <row r="3811" ht="12.75">
      <c r="S3811"/>
    </row>
    <row r="3812" ht="12.75">
      <c r="S3812"/>
    </row>
    <row r="3813" ht="12.75">
      <c r="S3813"/>
    </row>
    <row r="3814" ht="12.75">
      <c r="S3814"/>
    </row>
    <row r="3815" ht="12.75">
      <c r="S3815"/>
    </row>
    <row r="3816" ht="12.75">
      <c r="S3816"/>
    </row>
    <row r="3817" ht="12.75">
      <c r="S3817"/>
    </row>
    <row r="3818" ht="12.75">
      <c r="S3818"/>
    </row>
    <row r="3819" ht="12.75">
      <c r="S3819"/>
    </row>
    <row r="3820" ht="12.75">
      <c r="S3820"/>
    </row>
    <row r="3821" ht="12.75">
      <c r="S3821"/>
    </row>
    <row r="3822" ht="12.75">
      <c r="S3822"/>
    </row>
    <row r="3823" ht="12.75">
      <c r="S3823"/>
    </row>
    <row r="3824" ht="12.75">
      <c r="S3824"/>
    </row>
    <row r="3825" ht="12.75">
      <c r="S3825"/>
    </row>
    <row r="3826" ht="12.75">
      <c r="S3826"/>
    </row>
    <row r="3827" ht="12.75">
      <c r="S3827"/>
    </row>
    <row r="3828" ht="12.75">
      <c r="S3828"/>
    </row>
    <row r="3829" ht="12.75">
      <c r="S3829"/>
    </row>
    <row r="3830" ht="12.75">
      <c r="S3830"/>
    </row>
    <row r="3831" ht="12.75">
      <c r="S3831"/>
    </row>
    <row r="3832" ht="12.75">
      <c r="S3832"/>
    </row>
    <row r="3833" ht="12.75">
      <c r="S3833"/>
    </row>
    <row r="3834" ht="12.75">
      <c r="S3834"/>
    </row>
    <row r="3835" ht="12.75">
      <c r="S3835"/>
    </row>
    <row r="3836" ht="12.75">
      <c r="S3836"/>
    </row>
    <row r="3837" ht="12.75">
      <c r="S3837"/>
    </row>
    <row r="3838" ht="12.75">
      <c r="S3838"/>
    </row>
    <row r="3839" ht="12.75">
      <c r="S3839"/>
    </row>
    <row r="3840" ht="12.75">
      <c r="S3840"/>
    </row>
    <row r="3841" ht="12.75">
      <c r="S3841"/>
    </row>
    <row r="3842" ht="12.75">
      <c r="S3842"/>
    </row>
    <row r="3843" ht="12.75">
      <c r="S3843"/>
    </row>
    <row r="3844" ht="12.75">
      <c r="S3844"/>
    </row>
    <row r="3845" ht="12.75">
      <c r="S3845"/>
    </row>
    <row r="3846" ht="12.75">
      <c r="S3846"/>
    </row>
    <row r="3847" ht="12.75">
      <c r="S3847"/>
    </row>
    <row r="3848" ht="12.75">
      <c r="S3848"/>
    </row>
    <row r="3849" ht="12.75">
      <c r="S3849"/>
    </row>
    <row r="3850" ht="12.75">
      <c r="S3850"/>
    </row>
    <row r="3851" ht="12.75">
      <c r="S3851"/>
    </row>
    <row r="3852" ht="12.75">
      <c r="S3852"/>
    </row>
    <row r="3853" ht="12.75">
      <c r="S3853"/>
    </row>
    <row r="3854" ht="12.75">
      <c r="S3854"/>
    </row>
    <row r="3855" ht="12.75">
      <c r="S3855"/>
    </row>
    <row r="3856" ht="12.75">
      <c r="S3856"/>
    </row>
    <row r="3857" ht="12.75">
      <c r="S3857"/>
    </row>
    <row r="3858" ht="12.75">
      <c r="S3858"/>
    </row>
    <row r="3859" ht="12.75">
      <c r="S3859"/>
    </row>
    <row r="3860" ht="12.75">
      <c r="S3860"/>
    </row>
    <row r="3861" ht="12.75">
      <c r="S3861"/>
    </row>
    <row r="3862" ht="12.75">
      <c r="S3862"/>
    </row>
    <row r="3863" ht="12.75">
      <c r="S3863"/>
    </row>
    <row r="3864" ht="12.75">
      <c r="S3864"/>
    </row>
    <row r="3865" ht="12.75">
      <c r="S3865"/>
    </row>
    <row r="3866" ht="12.75">
      <c r="S3866"/>
    </row>
    <row r="3867" ht="12.75">
      <c r="S3867"/>
    </row>
    <row r="3868" ht="12.75">
      <c r="S3868"/>
    </row>
    <row r="3869" ht="12.75">
      <c r="S3869"/>
    </row>
    <row r="3870" ht="12.75">
      <c r="S3870"/>
    </row>
    <row r="3871" ht="12.75">
      <c r="S3871"/>
    </row>
    <row r="3872" ht="12.75">
      <c r="S3872"/>
    </row>
    <row r="3873" ht="12.75">
      <c r="S3873"/>
    </row>
    <row r="3874" ht="12.75">
      <c r="S3874"/>
    </row>
    <row r="3875" ht="12.75">
      <c r="S3875"/>
    </row>
    <row r="3876" ht="12.75">
      <c r="S3876"/>
    </row>
    <row r="3877" ht="12.75">
      <c r="S3877"/>
    </row>
    <row r="3878" ht="12.75">
      <c r="S3878"/>
    </row>
    <row r="3879" ht="12.75">
      <c r="S3879"/>
    </row>
    <row r="3880" ht="12.75">
      <c r="S3880"/>
    </row>
    <row r="3881" ht="12.75">
      <c r="S3881"/>
    </row>
    <row r="3882" ht="12.75">
      <c r="S3882"/>
    </row>
    <row r="3883" ht="12.75">
      <c r="S3883"/>
    </row>
    <row r="3884" ht="12.75">
      <c r="S3884"/>
    </row>
    <row r="3885" ht="12.75">
      <c r="S3885"/>
    </row>
    <row r="3886" ht="12.75">
      <c r="S3886"/>
    </row>
    <row r="3887" ht="12.75">
      <c r="S3887"/>
    </row>
    <row r="3888" ht="12.75">
      <c r="S3888"/>
    </row>
    <row r="3889" ht="12.75">
      <c r="S3889"/>
    </row>
    <row r="3890" ht="12.75">
      <c r="S3890"/>
    </row>
    <row r="3891" ht="12.75">
      <c r="S3891"/>
    </row>
    <row r="3892" ht="12.75">
      <c r="S3892"/>
    </row>
    <row r="3893" ht="12.75">
      <c r="S3893"/>
    </row>
    <row r="3894" ht="12.75">
      <c r="S3894"/>
    </row>
    <row r="3895" ht="12.75">
      <c r="S3895"/>
    </row>
    <row r="3896" ht="12.75">
      <c r="S3896"/>
    </row>
    <row r="3897" ht="12.75">
      <c r="S3897"/>
    </row>
    <row r="3898" ht="12.75">
      <c r="S3898"/>
    </row>
    <row r="3899" ht="12.75">
      <c r="S3899"/>
    </row>
    <row r="3900" ht="12.75">
      <c r="S3900"/>
    </row>
    <row r="3901" ht="12.75">
      <c r="S3901"/>
    </row>
    <row r="3902" ht="12.75">
      <c r="S3902"/>
    </row>
    <row r="3903" ht="12.75">
      <c r="S3903"/>
    </row>
    <row r="3904" ht="12.75">
      <c r="S3904"/>
    </row>
    <row r="3905" ht="12.75">
      <c r="S3905"/>
    </row>
    <row r="3906" ht="12.75">
      <c r="S3906"/>
    </row>
    <row r="3907" ht="12.75">
      <c r="S3907"/>
    </row>
    <row r="3908" ht="12.75">
      <c r="S3908"/>
    </row>
    <row r="3909" ht="12.75">
      <c r="S3909"/>
    </row>
    <row r="3910" ht="12.75">
      <c r="S3910"/>
    </row>
    <row r="3911" ht="12.75">
      <c r="S3911"/>
    </row>
    <row r="3912" ht="12.75">
      <c r="S3912"/>
    </row>
    <row r="3913" ht="12.75">
      <c r="S3913"/>
    </row>
    <row r="3914" ht="12.75">
      <c r="S3914"/>
    </row>
    <row r="3915" ht="12.75">
      <c r="S3915"/>
    </row>
    <row r="3916" ht="12.75">
      <c r="S3916"/>
    </row>
    <row r="3917" ht="12.75">
      <c r="S3917"/>
    </row>
    <row r="3918" ht="12.75">
      <c r="S3918"/>
    </row>
    <row r="3919" ht="12.75">
      <c r="S3919"/>
    </row>
    <row r="3920" ht="12.75">
      <c r="S3920"/>
    </row>
    <row r="3921" ht="12.75">
      <c r="S3921"/>
    </row>
    <row r="3922" ht="12.75">
      <c r="S3922"/>
    </row>
    <row r="3923" ht="12.75">
      <c r="S3923"/>
    </row>
    <row r="3924" ht="12.75">
      <c r="S3924"/>
    </row>
    <row r="3925" ht="12.75">
      <c r="S3925"/>
    </row>
    <row r="3926" ht="12.75">
      <c r="S3926"/>
    </row>
    <row r="3927" ht="12.75">
      <c r="S3927"/>
    </row>
    <row r="3928" ht="12.75">
      <c r="S3928"/>
    </row>
    <row r="3929" ht="12.75">
      <c r="S3929"/>
    </row>
    <row r="3930" ht="12.75">
      <c r="S3930"/>
    </row>
    <row r="3931" ht="12.75">
      <c r="S3931"/>
    </row>
    <row r="3932" ht="12.75">
      <c r="S3932"/>
    </row>
    <row r="3933" ht="12.75">
      <c r="S3933"/>
    </row>
    <row r="3934" ht="12.75">
      <c r="S3934"/>
    </row>
    <row r="3935" ht="12.75">
      <c r="S3935"/>
    </row>
    <row r="3936" ht="12.75">
      <c r="S3936"/>
    </row>
    <row r="3937" ht="12.75">
      <c r="S3937"/>
    </row>
    <row r="3938" ht="12.75">
      <c r="S3938"/>
    </row>
    <row r="3939" ht="12.75">
      <c r="S3939"/>
    </row>
    <row r="3940" ht="12.75">
      <c r="S3940"/>
    </row>
    <row r="3941" ht="12.75">
      <c r="S3941"/>
    </row>
    <row r="3942" ht="12.75">
      <c r="S3942"/>
    </row>
    <row r="3943" ht="12.75">
      <c r="S3943"/>
    </row>
    <row r="3944" ht="12.75">
      <c r="S3944"/>
    </row>
    <row r="3945" ht="12.75">
      <c r="S3945"/>
    </row>
    <row r="3946" ht="12.75">
      <c r="S3946"/>
    </row>
    <row r="3947" ht="12.75">
      <c r="S3947"/>
    </row>
    <row r="3948" ht="12.75">
      <c r="S3948"/>
    </row>
    <row r="3949" ht="12.75">
      <c r="S3949"/>
    </row>
    <row r="3950" ht="12.75">
      <c r="S3950"/>
    </row>
    <row r="3951" ht="12.75">
      <c r="S3951"/>
    </row>
    <row r="3952" ht="12.75">
      <c r="S3952"/>
    </row>
    <row r="3953" ht="12.75">
      <c r="S3953"/>
    </row>
    <row r="3954" ht="12.75">
      <c r="S3954"/>
    </row>
    <row r="3955" ht="12.75">
      <c r="S3955"/>
    </row>
    <row r="3956" ht="12.75">
      <c r="S3956"/>
    </row>
    <row r="3957" ht="12.75">
      <c r="S3957"/>
    </row>
    <row r="3958" ht="12.75">
      <c r="S3958"/>
    </row>
    <row r="3959" ht="12.75">
      <c r="S3959"/>
    </row>
    <row r="3960" ht="12.75">
      <c r="S3960"/>
    </row>
    <row r="3961" ht="12.75">
      <c r="S3961"/>
    </row>
    <row r="3962" ht="12.75">
      <c r="S3962"/>
    </row>
    <row r="3963" ht="12.75">
      <c r="S3963"/>
    </row>
    <row r="3964" ht="12.75">
      <c r="S3964"/>
    </row>
    <row r="3965" ht="12.75">
      <c r="S3965"/>
    </row>
    <row r="3966" ht="12.75">
      <c r="S3966"/>
    </row>
    <row r="3967" ht="12.75">
      <c r="S3967"/>
    </row>
    <row r="3968" ht="12.75">
      <c r="S3968"/>
    </row>
    <row r="3969" ht="12.75">
      <c r="S3969"/>
    </row>
    <row r="3970" ht="12.75">
      <c r="S3970"/>
    </row>
    <row r="3971" ht="12.75">
      <c r="S3971"/>
    </row>
    <row r="3972" ht="12.75">
      <c r="S3972"/>
    </row>
    <row r="3973" ht="12.75">
      <c r="S3973"/>
    </row>
    <row r="3974" ht="12.75">
      <c r="S3974"/>
    </row>
    <row r="3975" ht="12.75">
      <c r="S3975"/>
    </row>
    <row r="3976" ht="12.75">
      <c r="S3976"/>
    </row>
    <row r="3977" ht="12.75">
      <c r="S3977"/>
    </row>
    <row r="3978" ht="12.75">
      <c r="S3978"/>
    </row>
    <row r="3979" ht="12.75">
      <c r="S3979"/>
    </row>
    <row r="3980" ht="12.75">
      <c r="S3980"/>
    </row>
    <row r="3981" ht="12.75">
      <c r="S3981"/>
    </row>
    <row r="3982" ht="12.75">
      <c r="S3982"/>
    </row>
    <row r="3983" ht="12.75">
      <c r="S3983"/>
    </row>
    <row r="3984" ht="12.75">
      <c r="S3984"/>
    </row>
    <row r="3985" ht="12.75">
      <c r="S3985"/>
    </row>
    <row r="3986" ht="12.75">
      <c r="S3986"/>
    </row>
    <row r="3987" ht="12.75">
      <c r="S3987"/>
    </row>
    <row r="3988" ht="12.75">
      <c r="S3988"/>
    </row>
    <row r="3989" ht="12.75">
      <c r="S3989"/>
    </row>
    <row r="3990" ht="12.75">
      <c r="S3990"/>
    </row>
    <row r="3991" ht="12.75">
      <c r="S3991"/>
    </row>
    <row r="3992" ht="12.75">
      <c r="S3992"/>
    </row>
    <row r="3993" ht="12.75">
      <c r="S3993"/>
    </row>
    <row r="3994" ht="12.75">
      <c r="S3994"/>
    </row>
    <row r="3995" ht="12.75">
      <c r="S3995"/>
    </row>
    <row r="3996" ht="12.75">
      <c r="S3996"/>
    </row>
    <row r="3997" ht="12.75">
      <c r="S3997"/>
    </row>
    <row r="3998" ht="12.75">
      <c r="S3998"/>
    </row>
    <row r="3999" ht="12.75">
      <c r="S3999"/>
    </row>
    <row r="4000" ht="12.75">
      <c r="S4000"/>
    </row>
    <row r="4001" ht="12.75">
      <c r="S4001"/>
    </row>
    <row r="4002" ht="12.75">
      <c r="S4002"/>
    </row>
    <row r="4003" ht="12.75">
      <c r="S4003"/>
    </row>
    <row r="4004" ht="12.75">
      <c r="S4004"/>
    </row>
    <row r="4005" ht="12.75">
      <c r="S4005"/>
    </row>
    <row r="4006" ht="12.75">
      <c r="S4006"/>
    </row>
    <row r="4007" ht="12.75">
      <c r="S4007"/>
    </row>
    <row r="4008" ht="12.75">
      <c r="S4008"/>
    </row>
    <row r="4009" ht="12.75">
      <c r="S4009"/>
    </row>
    <row r="4010" ht="12.75">
      <c r="S4010"/>
    </row>
    <row r="4011" ht="12.75">
      <c r="S4011"/>
    </row>
    <row r="4012" ht="12.75">
      <c r="S4012"/>
    </row>
    <row r="4013" ht="12.75">
      <c r="S4013"/>
    </row>
    <row r="4014" ht="12.75">
      <c r="S4014"/>
    </row>
    <row r="4015" ht="12.75">
      <c r="S4015"/>
    </row>
    <row r="4016" ht="12.75">
      <c r="S4016"/>
    </row>
    <row r="4017" ht="12.75">
      <c r="S4017"/>
    </row>
    <row r="4018" ht="12.75">
      <c r="S4018"/>
    </row>
    <row r="4019" ht="12.75">
      <c r="S4019"/>
    </row>
    <row r="4020" ht="12.75">
      <c r="S4020"/>
    </row>
    <row r="4021" ht="12.75">
      <c r="S4021"/>
    </row>
    <row r="4022" ht="12.75">
      <c r="S4022"/>
    </row>
    <row r="4023" ht="12.75">
      <c r="S4023"/>
    </row>
    <row r="4024" ht="12.75">
      <c r="S4024"/>
    </row>
    <row r="4025" ht="12.75">
      <c r="S4025"/>
    </row>
    <row r="4026" ht="12.75">
      <c r="S4026"/>
    </row>
    <row r="4027" ht="12.75">
      <c r="S4027"/>
    </row>
    <row r="4028" ht="12.75">
      <c r="S4028"/>
    </row>
    <row r="4029" ht="12.75">
      <c r="S4029"/>
    </row>
    <row r="4030" ht="12.75">
      <c r="S4030"/>
    </row>
    <row r="4031" ht="12.75">
      <c r="S4031"/>
    </row>
    <row r="4032" ht="12.75">
      <c r="S4032"/>
    </row>
    <row r="4033" ht="12.75">
      <c r="S4033"/>
    </row>
    <row r="4034" ht="12.75">
      <c r="S4034"/>
    </row>
    <row r="4035" ht="12.75">
      <c r="S4035"/>
    </row>
    <row r="4036" ht="12.75">
      <c r="S4036"/>
    </row>
    <row r="4037" ht="12.75">
      <c r="S4037"/>
    </row>
    <row r="4038" ht="12.75">
      <c r="S4038"/>
    </row>
    <row r="4039" ht="12.75">
      <c r="S4039"/>
    </row>
    <row r="4040" ht="12.75">
      <c r="S4040"/>
    </row>
    <row r="4041" ht="12.75">
      <c r="S4041"/>
    </row>
    <row r="4042" ht="12.75">
      <c r="S4042"/>
    </row>
    <row r="4043" ht="12.75">
      <c r="S4043"/>
    </row>
    <row r="4044" ht="12.75">
      <c r="S4044"/>
    </row>
    <row r="4045" ht="12.75">
      <c r="S4045"/>
    </row>
    <row r="4046" ht="12.75">
      <c r="S4046"/>
    </row>
    <row r="4047" ht="12.75">
      <c r="S4047"/>
    </row>
    <row r="4048" ht="12.75">
      <c r="S4048"/>
    </row>
    <row r="4049" ht="12.75">
      <c r="S4049"/>
    </row>
    <row r="4050" ht="12.75">
      <c r="S4050"/>
    </row>
    <row r="4051" ht="12.75">
      <c r="S4051"/>
    </row>
    <row r="4052" ht="12.75">
      <c r="S4052"/>
    </row>
    <row r="4053" ht="12.75">
      <c r="S4053"/>
    </row>
    <row r="4054" ht="12.75">
      <c r="S4054"/>
    </row>
    <row r="4055" ht="12.75">
      <c r="S4055"/>
    </row>
    <row r="4056" ht="12.75">
      <c r="S4056"/>
    </row>
    <row r="4057" ht="12.75">
      <c r="S4057"/>
    </row>
    <row r="4058" ht="12.75">
      <c r="S4058"/>
    </row>
    <row r="4059" ht="12.75">
      <c r="S4059"/>
    </row>
    <row r="4060" ht="12.75">
      <c r="S4060"/>
    </row>
    <row r="4061" ht="12.75">
      <c r="S4061"/>
    </row>
    <row r="4062" ht="12.75">
      <c r="S4062"/>
    </row>
    <row r="4063" ht="12.75">
      <c r="S4063"/>
    </row>
    <row r="4064" ht="12.75">
      <c r="S4064"/>
    </row>
    <row r="4065" ht="12.75">
      <c r="S4065"/>
    </row>
    <row r="4066" ht="12.75">
      <c r="S4066"/>
    </row>
    <row r="4067" ht="12.75">
      <c r="S4067"/>
    </row>
    <row r="4068" ht="12.75">
      <c r="S4068"/>
    </row>
    <row r="4069" ht="12.75">
      <c r="S4069"/>
    </row>
    <row r="4070" ht="12.75">
      <c r="S4070"/>
    </row>
    <row r="4071" ht="12.75">
      <c r="S4071"/>
    </row>
    <row r="4072" ht="12.75">
      <c r="S4072"/>
    </row>
    <row r="4073" ht="12.75">
      <c r="S4073"/>
    </row>
    <row r="4074" ht="12.75">
      <c r="S4074"/>
    </row>
    <row r="4075" ht="12.75">
      <c r="S4075"/>
    </row>
    <row r="4076" ht="12.75">
      <c r="S4076"/>
    </row>
    <row r="4077" ht="12.75">
      <c r="S4077"/>
    </row>
    <row r="4078" ht="12.75">
      <c r="S4078"/>
    </row>
    <row r="4079" ht="12.75">
      <c r="S4079"/>
    </row>
    <row r="4080" ht="12.75">
      <c r="S4080"/>
    </row>
    <row r="4081" ht="12.75">
      <c r="S4081"/>
    </row>
    <row r="4082" ht="12.75">
      <c r="S4082"/>
    </row>
    <row r="4083" ht="12.75">
      <c r="S4083"/>
    </row>
    <row r="4084" ht="12.75">
      <c r="S4084"/>
    </row>
    <row r="4085" ht="12.75">
      <c r="S4085"/>
    </row>
    <row r="4086" ht="12.75">
      <c r="S4086"/>
    </row>
    <row r="4087" ht="12.75">
      <c r="S4087"/>
    </row>
    <row r="4088" ht="12.75">
      <c r="S4088"/>
    </row>
    <row r="4089" ht="12.75">
      <c r="S4089"/>
    </row>
    <row r="4090" ht="12.75">
      <c r="S4090"/>
    </row>
    <row r="4091" ht="12.75">
      <c r="S4091"/>
    </row>
    <row r="4092" ht="12.75">
      <c r="S4092"/>
    </row>
    <row r="4093" ht="12.75">
      <c r="S4093"/>
    </row>
    <row r="4094" ht="12.75">
      <c r="S4094"/>
    </row>
    <row r="4095" ht="12.75">
      <c r="S4095"/>
    </row>
    <row r="4096" ht="12.75">
      <c r="S4096"/>
    </row>
    <row r="4097" ht="12.75">
      <c r="S4097"/>
    </row>
    <row r="4098" ht="12.75">
      <c r="S4098"/>
    </row>
    <row r="4099" ht="12.75">
      <c r="S4099"/>
    </row>
    <row r="4100" ht="12.75">
      <c r="S4100"/>
    </row>
    <row r="4101" ht="12.75">
      <c r="S4101"/>
    </row>
    <row r="4102" ht="12.75">
      <c r="S4102"/>
    </row>
    <row r="4103" ht="12.75">
      <c r="S4103"/>
    </row>
    <row r="4104" ht="12.75">
      <c r="S4104"/>
    </row>
    <row r="4105" ht="12.75">
      <c r="S4105"/>
    </row>
    <row r="4106" ht="12.75">
      <c r="S4106"/>
    </row>
    <row r="4107" ht="12.75">
      <c r="S4107"/>
    </row>
    <row r="4108" ht="12.75">
      <c r="S4108"/>
    </row>
    <row r="4109" ht="12.75">
      <c r="S4109"/>
    </row>
    <row r="4110" ht="12.75">
      <c r="S4110"/>
    </row>
    <row r="4111" ht="12.75">
      <c r="S4111"/>
    </row>
    <row r="4112" ht="12.75">
      <c r="S4112"/>
    </row>
    <row r="4113" ht="12.75">
      <c r="S4113"/>
    </row>
    <row r="4114" ht="12.75">
      <c r="S4114"/>
    </row>
    <row r="4115" ht="12.75">
      <c r="S4115"/>
    </row>
    <row r="4116" ht="12.75">
      <c r="S4116"/>
    </row>
    <row r="4117" ht="12.75">
      <c r="S4117"/>
    </row>
    <row r="4118" ht="12.75">
      <c r="S4118"/>
    </row>
    <row r="4119" ht="12.75">
      <c r="S4119"/>
    </row>
    <row r="4120" ht="12.75">
      <c r="S4120"/>
    </row>
    <row r="4121" ht="12.75">
      <c r="S4121"/>
    </row>
    <row r="4122" ht="12.75">
      <c r="S4122"/>
    </row>
    <row r="4123" ht="12.75">
      <c r="S4123"/>
    </row>
    <row r="4124" ht="12.75">
      <c r="S4124"/>
    </row>
    <row r="4125" ht="12.75">
      <c r="S4125"/>
    </row>
    <row r="4126" ht="12.75">
      <c r="S4126"/>
    </row>
    <row r="4127" ht="12.75">
      <c r="S4127"/>
    </row>
    <row r="4128" ht="12.75">
      <c r="S4128"/>
    </row>
    <row r="4129" ht="12.75">
      <c r="S4129"/>
    </row>
    <row r="4130" ht="12.75">
      <c r="S4130"/>
    </row>
    <row r="4131" ht="12.75">
      <c r="S4131"/>
    </row>
    <row r="4132" ht="12.75">
      <c r="S4132"/>
    </row>
    <row r="4133" ht="12.75">
      <c r="S4133"/>
    </row>
    <row r="4134" ht="12.75">
      <c r="S4134"/>
    </row>
    <row r="4135" ht="12.75">
      <c r="S4135"/>
    </row>
    <row r="4136" ht="12.75">
      <c r="S4136"/>
    </row>
    <row r="4137" ht="12.75">
      <c r="S4137"/>
    </row>
    <row r="4138" ht="12.75">
      <c r="S4138"/>
    </row>
    <row r="4139" ht="12.75">
      <c r="S4139"/>
    </row>
    <row r="4140" ht="12.75">
      <c r="S4140"/>
    </row>
    <row r="4141" ht="12.75">
      <c r="S4141"/>
    </row>
    <row r="4142" ht="12.75">
      <c r="S4142"/>
    </row>
    <row r="4143" ht="12.75">
      <c r="S4143"/>
    </row>
    <row r="4144" ht="12.75">
      <c r="S4144"/>
    </row>
    <row r="4145" ht="12.75">
      <c r="S4145"/>
    </row>
    <row r="4146" ht="12.75">
      <c r="S4146"/>
    </row>
    <row r="4147" ht="12.75">
      <c r="S4147"/>
    </row>
    <row r="4148" ht="12.75">
      <c r="S4148"/>
    </row>
    <row r="4149" ht="12.75">
      <c r="S4149"/>
    </row>
    <row r="4150" ht="12.75">
      <c r="S4150"/>
    </row>
    <row r="4151" ht="12.75">
      <c r="S4151"/>
    </row>
    <row r="4152" ht="12.75">
      <c r="S4152"/>
    </row>
    <row r="4153" ht="12.75">
      <c r="S4153"/>
    </row>
    <row r="4154" ht="12.75">
      <c r="S4154"/>
    </row>
    <row r="4155" ht="12.75">
      <c r="S4155"/>
    </row>
    <row r="4156" ht="12.75">
      <c r="S4156"/>
    </row>
    <row r="4157" ht="12.75">
      <c r="S4157"/>
    </row>
    <row r="4158" ht="12.75">
      <c r="S4158"/>
    </row>
    <row r="4159" ht="12.75">
      <c r="S4159"/>
    </row>
    <row r="4160" ht="12.75">
      <c r="S4160"/>
    </row>
    <row r="4161" ht="12.75">
      <c r="S4161"/>
    </row>
    <row r="4162" ht="12.75">
      <c r="S4162"/>
    </row>
    <row r="4163" ht="12.75">
      <c r="S4163"/>
    </row>
    <row r="4164" ht="12.75">
      <c r="S4164"/>
    </row>
    <row r="4165" ht="12.75">
      <c r="S4165"/>
    </row>
    <row r="4166" ht="12.75">
      <c r="S4166"/>
    </row>
    <row r="4167" ht="12.75">
      <c r="S4167"/>
    </row>
    <row r="4168" ht="12.75">
      <c r="S4168"/>
    </row>
    <row r="4169" ht="12.75">
      <c r="S4169"/>
    </row>
    <row r="4170" ht="12.75">
      <c r="S4170"/>
    </row>
    <row r="4171" ht="12.75">
      <c r="S4171"/>
    </row>
    <row r="4172" ht="12.75">
      <c r="S4172"/>
    </row>
    <row r="4173" ht="12.75">
      <c r="S4173"/>
    </row>
    <row r="4174" ht="12.75">
      <c r="S4174"/>
    </row>
    <row r="4175" ht="12.75">
      <c r="S4175"/>
    </row>
    <row r="4176" ht="12.75">
      <c r="S4176"/>
    </row>
    <row r="4177" ht="12.75">
      <c r="S4177"/>
    </row>
    <row r="4178" ht="12.75">
      <c r="S4178"/>
    </row>
    <row r="4179" ht="12.75">
      <c r="S4179"/>
    </row>
    <row r="4180" ht="12.75">
      <c r="S4180"/>
    </row>
    <row r="4181" ht="12.75">
      <c r="S4181"/>
    </row>
    <row r="4182" ht="12.75">
      <c r="S4182"/>
    </row>
    <row r="4183" ht="12.75">
      <c r="S4183"/>
    </row>
    <row r="4184" ht="12.75">
      <c r="S4184"/>
    </row>
    <row r="4185" ht="12.75">
      <c r="S4185"/>
    </row>
    <row r="4186" ht="12.75">
      <c r="S4186"/>
    </row>
    <row r="4187" ht="12.75">
      <c r="S4187"/>
    </row>
    <row r="4188" ht="12.75">
      <c r="S4188"/>
    </row>
    <row r="4189" ht="12.75">
      <c r="S4189"/>
    </row>
    <row r="4190" ht="12.75">
      <c r="S4190"/>
    </row>
    <row r="4191" ht="12.75">
      <c r="S4191"/>
    </row>
    <row r="4192" ht="12.75">
      <c r="S4192"/>
    </row>
    <row r="4193" ht="12.75">
      <c r="S4193"/>
    </row>
    <row r="4194" ht="12.75">
      <c r="S4194"/>
    </row>
    <row r="4195" ht="12.75">
      <c r="S4195"/>
    </row>
    <row r="4196" ht="12.75">
      <c r="S4196"/>
    </row>
    <row r="4197" ht="12.75">
      <c r="S4197"/>
    </row>
    <row r="4198" ht="12.75">
      <c r="S4198"/>
    </row>
    <row r="4199" ht="12.75">
      <c r="S4199"/>
    </row>
    <row r="4200" ht="12.75">
      <c r="S4200"/>
    </row>
    <row r="4201" ht="12.75">
      <c r="S4201"/>
    </row>
    <row r="4202" ht="12.75">
      <c r="S4202"/>
    </row>
    <row r="4203" ht="12.75">
      <c r="S4203"/>
    </row>
    <row r="4204" ht="12.75">
      <c r="S4204"/>
    </row>
    <row r="4205" ht="12.75">
      <c r="S4205"/>
    </row>
    <row r="4206" ht="12.75">
      <c r="S4206"/>
    </row>
    <row r="4207" ht="12.75">
      <c r="S4207"/>
    </row>
    <row r="4208" ht="12.75">
      <c r="S4208"/>
    </row>
    <row r="4209" ht="12.75">
      <c r="S4209"/>
    </row>
    <row r="4210" ht="12.75">
      <c r="S4210"/>
    </row>
    <row r="4211" ht="12.75">
      <c r="S4211"/>
    </row>
    <row r="4212" ht="12.75">
      <c r="S4212"/>
    </row>
    <row r="4213" ht="12.75">
      <c r="S4213"/>
    </row>
    <row r="4214" ht="12.75">
      <c r="S4214"/>
    </row>
    <row r="4215" ht="12.75">
      <c r="S4215"/>
    </row>
    <row r="4216" ht="12.75">
      <c r="S4216"/>
    </row>
    <row r="4217" ht="12.75">
      <c r="S4217"/>
    </row>
    <row r="4218" ht="12.75">
      <c r="S4218"/>
    </row>
    <row r="4219" ht="12.75">
      <c r="S4219"/>
    </row>
    <row r="4220" ht="12.75">
      <c r="S4220"/>
    </row>
    <row r="4221" ht="12.75">
      <c r="S4221"/>
    </row>
    <row r="4222" ht="12.75">
      <c r="S4222"/>
    </row>
    <row r="4223" ht="12.75">
      <c r="S4223"/>
    </row>
    <row r="4224" ht="12.75">
      <c r="S4224"/>
    </row>
    <row r="4225" ht="12.75">
      <c r="S4225"/>
    </row>
    <row r="4226" ht="12.75">
      <c r="S4226"/>
    </row>
    <row r="4227" ht="12.75">
      <c r="S4227"/>
    </row>
    <row r="4228" ht="12.75">
      <c r="S4228"/>
    </row>
    <row r="4229" ht="12.75">
      <c r="S4229"/>
    </row>
    <row r="4230" ht="12.75">
      <c r="S4230"/>
    </row>
    <row r="4231" ht="12.75">
      <c r="S4231"/>
    </row>
    <row r="4232" ht="12.75">
      <c r="S4232"/>
    </row>
    <row r="4233" ht="12.75">
      <c r="S4233"/>
    </row>
    <row r="4234" ht="12.75">
      <c r="S4234"/>
    </row>
    <row r="4235" ht="12.75">
      <c r="S4235"/>
    </row>
    <row r="4236" ht="12.75">
      <c r="S4236"/>
    </row>
    <row r="4237" ht="12.75">
      <c r="S4237"/>
    </row>
    <row r="4238" ht="12.75">
      <c r="S4238"/>
    </row>
    <row r="4239" ht="12.75">
      <c r="S4239"/>
    </row>
    <row r="4240" ht="12.75">
      <c r="S4240"/>
    </row>
    <row r="4241" ht="12.75">
      <c r="S4241"/>
    </row>
    <row r="4242" ht="12.75">
      <c r="S4242"/>
    </row>
    <row r="4243" ht="12.75">
      <c r="S4243"/>
    </row>
    <row r="4244" ht="12.75">
      <c r="S4244"/>
    </row>
    <row r="4245" ht="12.75">
      <c r="S4245"/>
    </row>
    <row r="4246" ht="12.75">
      <c r="S4246"/>
    </row>
    <row r="4247" ht="12.75">
      <c r="S4247"/>
    </row>
    <row r="4248" ht="12.75">
      <c r="S4248"/>
    </row>
    <row r="4249" ht="12.75">
      <c r="S4249"/>
    </row>
    <row r="4250" ht="12.75">
      <c r="S4250"/>
    </row>
    <row r="4251" ht="12.75">
      <c r="S4251"/>
    </row>
    <row r="4252" ht="12.75">
      <c r="S4252"/>
    </row>
    <row r="4253" ht="12.75">
      <c r="S4253"/>
    </row>
    <row r="4254" ht="12.75">
      <c r="S4254"/>
    </row>
    <row r="4255" ht="12.75">
      <c r="S4255"/>
    </row>
    <row r="4256" ht="12.75">
      <c r="S4256"/>
    </row>
    <row r="4257" ht="12.75">
      <c r="S4257"/>
    </row>
    <row r="4258" ht="12.75">
      <c r="S4258"/>
    </row>
    <row r="4259" ht="12.75">
      <c r="S4259"/>
    </row>
    <row r="4260" ht="12.75">
      <c r="S4260"/>
    </row>
    <row r="4261" ht="12.75">
      <c r="S4261"/>
    </row>
    <row r="4262" ht="12.75">
      <c r="S4262"/>
    </row>
    <row r="4263" ht="12.75">
      <c r="S4263"/>
    </row>
    <row r="4264" ht="12.75">
      <c r="S4264"/>
    </row>
    <row r="4265" ht="12.75">
      <c r="S4265"/>
    </row>
    <row r="4266" ht="12.75">
      <c r="S4266"/>
    </row>
    <row r="4267" ht="12.75">
      <c r="S4267"/>
    </row>
    <row r="4268" ht="12.75">
      <c r="S4268"/>
    </row>
    <row r="4269" ht="12.75">
      <c r="S4269"/>
    </row>
    <row r="4270" ht="12.75">
      <c r="S4270"/>
    </row>
    <row r="4271" ht="12.75">
      <c r="S4271"/>
    </row>
    <row r="4272" ht="12.75">
      <c r="S4272"/>
    </row>
    <row r="4273" ht="12.75">
      <c r="S4273"/>
    </row>
    <row r="4274" ht="12.75">
      <c r="S4274"/>
    </row>
    <row r="4275" ht="12.75">
      <c r="S4275"/>
    </row>
    <row r="4276" ht="12.75">
      <c r="S4276"/>
    </row>
    <row r="4277" ht="12.75">
      <c r="S4277"/>
    </row>
    <row r="4278" ht="12.75">
      <c r="S4278"/>
    </row>
    <row r="4279" ht="12.75">
      <c r="S4279"/>
    </row>
    <row r="4280" ht="12.75">
      <c r="S4280"/>
    </row>
    <row r="4281" ht="12.75">
      <c r="S4281"/>
    </row>
    <row r="4282" ht="12.75">
      <c r="S4282"/>
    </row>
    <row r="4283" ht="12.75">
      <c r="S4283"/>
    </row>
    <row r="4284" ht="12.75">
      <c r="S4284"/>
    </row>
    <row r="4285" ht="12.75">
      <c r="S4285"/>
    </row>
    <row r="4286" ht="12.75">
      <c r="S4286"/>
    </row>
    <row r="4287" ht="12.75">
      <c r="S4287"/>
    </row>
    <row r="4288" ht="12.75">
      <c r="S4288"/>
    </row>
    <row r="4289" ht="12.75">
      <c r="S4289"/>
    </row>
    <row r="4290" ht="12.75">
      <c r="S4290"/>
    </row>
    <row r="4291" ht="12.75">
      <c r="S4291"/>
    </row>
    <row r="4292" ht="12.75">
      <c r="S4292"/>
    </row>
    <row r="4293" ht="12.75">
      <c r="S4293"/>
    </row>
    <row r="4294" ht="12.75">
      <c r="S4294"/>
    </row>
    <row r="4295" ht="12.75">
      <c r="S4295"/>
    </row>
    <row r="4296" ht="12.75">
      <c r="S4296"/>
    </row>
    <row r="4297" ht="12.75">
      <c r="S4297"/>
    </row>
    <row r="4298" ht="12.75">
      <c r="S4298"/>
    </row>
    <row r="4299" ht="12.75">
      <c r="S4299"/>
    </row>
    <row r="4300" ht="12.75">
      <c r="S4300"/>
    </row>
    <row r="4301" ht="12.75">
      <c r="S4301"/>
    </row>
    <row r="4302" ht="12.75">
      <c r="S4302"/>
    </row>
    <row r="4303" ht="12.75">
      <c r="S4303"/>
    </row>
    <row r="4304" ht="12.75">
      <c r="S4304"/>
    </row>
    <row r="4305" ht="12.75">
      <c r="S4305"/>
    </row>
    <row r="4306" ht="12.75">
      <c r="S4306"/>
    </row>
    <row r="4307" ht="12.75">
      <c r="S4307"/>
    </row>
    <row r="4308" ht="12.75">
      <c r="S4308"/>
    </row>
    <row r="4309" ht="12.75">
      <c r="S4309"/>
    </row>
    <row r="4310" ht="12.75">
      <c r="S4310"/>
    </row>
    <row r="4311" ht="12.75">
      <c r="S4311"/>
    </row>
    <row r="4312" ht="12.75">
      <c r="S4312"/>
    </row>
    <row r="4313" ht="12.75">
      <c r="S4313"/>
    </row>
    <row r="4314" ht="12.75">
      <c r="S4314"/>
    </row>
    <row r="4315" ht="12.75">
      <c r="S4315"/>
    </row>
    <row r="4316" ht="12.75">
      <c r="S4316"/>
    </row>
    <row r="4317" ht="12.75">
      <c r="S4317"/>
    </row>
    <row r="4318" ht="12.75">
      <c r="S4318"/>
    </row>
    <row r="4319" ht="12.75">
      <c r="S4319"/>
    </row>
    <row r="4320" ht="12.75">
      <c r="S4320"/>
    </row>
    <row r="4321" ht="12.75">
      <c r="S4321"/>
    </row>
    <row r="4322" ht="12.75">
      <c r="S4322"/>
    </row>
    <row r="4323" ht="12.75">
      <c r="S4323"/>
    </row>
    <row r="4324" ht="12.75">
      <c r="S4324"/>
    </row>
    <row r="4325" ht="12.75">
      <c r="S4325"/>
    </row>
    <row r="4326" ht="12.75">
      <c r="S4326"/>
    </row>
    <row r="4327" ht="12.75">
      <c r="S4327"/>
    </row>
    <row r="4328" ht="12.75">
      <c r="S4328"/>
    </row>
    <row r="4329" ht="12.75">
      <c r="S4329"/>
    </row>
    <row r="4330" ht="12.75">
      <c r="S4330"/>
    </row>
    <row r="4331" ht="12.75">
      <c r="S4331"/>
    </row>
    <row r="4332" ht="12.75">
      <c r="S4332"/>
    </row>
    <row r="4333" ht="12.75">
      <c r="S4333"/>
    </row>
    <row r="4334" ht="12.75">
      <c r="S4334"/>
    </row>
    <row r="4335" ht="12.75">
      <c r="S4335"/>
    </row>
    <row r="4336" ht="12.75">
      <c r="S4336"/>
    </row>
    <row r="4337" ht="12.75">
      <c r="S4337"/>
    </row>
    <row r="4338" ht="12.75">
      <c r="S4338"/>
    </row>
    <row r="4339" ht="12.75">
      <c r="S4339"/>
    </row>
    <row r="4340" ht="12.75">
      <c r="S4340"/>
    </row>
    <row r="4341" ht="12.75">
      <c r="S4341"/>
    </row>
    <row r="4342" ht="12.75">
      <c r="S4342"/>
    </row>
    <row r="4343" ht="12.75">
      <c r="S4343"/>
    </row>
    <row r="4344" ht="12.75">
      <c r="S4344"/>
    </row>
    <row r="4345" ht="12.75">
      <c r="S4345"/>
    </row>
    <row r="4346" ht="12.75">
      <c r="S4346"/>
    </row>
    <row r="4347" ht="12.75">
      <c r="S4347"/>
    </row>
    <row r="4348" ht="12.75">
      <c r="S4348"/>
    </row>
    <row r="4349" ht="12.75">
      <c r="S4349"/>
    </row>
    <row r="4350" ht="12.75">
      <c r="S4350"/>
    </row>
    <row r="4351" ht="12.75">
      <c r="S4351"/>
    </row>
    <row r="4352" ht="12.75">
      <c r="S4352"/>
    </row>
    <row r="4353" ht="12.75">
      <c r="S4353"/>
    </row>
    <row r="4354" ht="12.75">
      <c r="S4354"/>
    </row>
    <row r="4355" ht="12.75">
      <c r="S4355"/>
    </row>
    <row r="4356" ht="12.75">
      <c r="S4356"/>
    </row>
    <row r="4357" ht="12.75">
      <c r="S4357"/>
    </row>
    <row r="4358" ht="12.75">
      <c r="S4358"/>
    </row>
    <row r="4359" ht="12.75">
      <c r="S4359"/>
    </row>
    <row r="4360" ht="12.75">
      <c r="S4360"/>
    </row>
    <row r="4361" ht="12.75">
      <c r="S4361"/>
    </row>
    <row r="4362" ht="12.75">
      <c r="S4362"/>
    </row>
    <row r="4363" ht="12.75">
      <c r="S4363"/>
    </row>
    <row r="4364" ht="12.75">
      <c r="S4364"/>
    </row>
    <row r="4365" ht="12.75">
      <c r="S4365"/>
    </row>
    <row r="4366" ht="12.75">
      <c r="S4366"/>
    </row>
    <row r="4367" ht="12.75">
      <c r="S4367"/>
    </row>
    <row r="4368" ht="12.75">
      <c r="S4368"/>
    </row>
    <row r="4369" ht="12.75">
      <c r="S4369"/>
    </row>
    <row r="4370" ht="12.75">
      <c r="S4370"/>
    </row>
    <row r="4371" ht="12.75">
      <c r="S4371"/>
    </row>
    <row r="4372" ht="12.75">
      <c r="S4372"/>
    </row>
    <row r="4373" ht="12.75">
      <c r="S4373"/>
    </row>
    <row r="4374" ht="12.75">
      <c r="S4374"/>
    </row>
    <row r="4375" ht="12.75">
      <c r="S4375"/>
    </row>
    <row r="4376" ht="12.75">
      <c r="S4376"/>
    </row>
    <row r="4377" ht="12.75">
      <c r="S4377"/>
    </row>
    <row r="4378" ht="12.75">
      <c r="S4378"/>
    </row>
    <row r="4379" ht="12.75">
      <c r="S4379"/>
    </row>
    <row r="4380" ht="12.75">
      <c r="S4380"/>
    </row>
    <row r="4381" ht="12.75">
      <c r="S4381"/>
    </row>
    <row r="4382" ht="12.75">
      <c r="S4382"/>
    </row>
    <row r="4383" ht="12.75">
      <c r="S4383"/>
    </row>
    <row r="4384" ht="12.75">
      <c r="S4384"/>
    </row>
    <row r="4385" ht="12.75">
      <c r="S4385"/>
    </row>
    <row r="4386" ht="12.75">
      <c r="S4386"/>
    </row>
    <row r="4387" ht="12.75">
      <c r="S4387"/>
    </row>
    <row r="4388" ht="12.75">
      <c r="S4388"/>
    </row>
    <row r="4389" ht="12.75">
      <c r="S4389"/>
    </row>
    <row r="4390" ht="12.75">
      <c r="S4390"/>
    </row>
    <row r="4391" ht="12.75">
      <c r="S4391"/>
    </row>
    <row r="4392" ht="12.75">
      <c r="S4392"/>
    </row>
    <row r="4393" ht="12.75">
      <c r="S4393"/>
    </row>
    <row r="4394" ht="12.75">
      <c r="S4394"/>
    </row>
    <row r="4395" ht="12.75">
      <c r="S4395"/>
    </row>
    <row r="4396" ht="12.75">
      <c r="S4396"/>
    </row>
    <row r="4397" ht="12.75">
      <c r="S4397"/>
    </row>
    <row r="4398" ht="12.75">
      <c r="S4398"/>
    </row>
    <row r="4399" ht="12.75">
      <c r="S4399"/>
    </row>
    <row r="4400" ht="12.75">
      <c r="S4400"/>
    </row>
    <row r="4401" ht="12.75">
      <c r="S4401"/>
    </row>
    <row r="4402" ht="12.75">
      <c r="S4402"/>
    </row>
    <row r="4403" ht="12.75">
      <c r="S4403"/>
    </row>
    <row r="4404" ht="12.75">
      <c r="S4404"/>
    </row>
    <row r="4405" ht="12.75">
      <c r="S4405"/>
    </row>
    <row r="4406" ht="12.75">
      <c r="S4406"/>
    </row>
    <row r="4407" ht="12.75">
      <c r="S4407"/>
    </row>
    <row r="4408" ht="12.75">
      <c r="S4408"/>
    </row>
    <row r="4409" ht="12.75">
      <c r="S4409"/>
    </row>
    <row r="4410" ht="12.75">
      <c r="S4410"/>
    </row>
    <row r="4411" ht="12.75">
      <c r="S4411"/>
    </row>
    <row r="4412" ht="12.75">
      <c r="S4412"/>
    </row>
    <row r="4413" ht="12.75">
      <c r="S4413"/>
    </row>
    <row r="4414" ht="12.75">
      <c r="S4414"/>
    </row>
    <row r="4415" ht="12.75">
      <c r="S4415"/>
    </row>
    <row r="4416" ht="12.75">
      <c r="S4416"/>
    </row>
    <row r="4417" ht="12.75">
      <c r="S4417"/>
    </row>
    <row r="4418" ht="12.75">
      <c r="S4418"/>
    </row>
    <row r="4419" ht="12.75">
      <c r="S4419"/>
    </row>
    <row r="4420" ht="12.75">
      <c r="S4420"/>
    </row>
    <row r="4421" ht="12.75">
      <c r="S4421"/>
    </row>
    <row r="4422" ht="12.75">
      <c r="S4422"/>
    </row>
    <row r="4423" ht="12.75">
      <c r="S4423"/>
    </row>
    <row r="4424" ht="12.75">
      <c r="S4424"/>
    </row>
    <row r="4425" ht="12.75">
      <c r="S4425"/>
    </row>
    <row r="4426" ht="12.75">
      <c r="S4426"/>
    </row>
    <row r="4427" ht="12.75">
      <c r="S4427"/>
    </row>
    <row r="4428" ht="12.75">
      <c r="S4428"/>
    </row>
    <row r="4429" ht="12.75">
      <c r="S4429"/>
    </row>
    <row r="4430" ht="12.75">
      <c r="S4430"/>
    </row>
    <row r="4431" ht="12.75">
      <c r="S4431"/>
    </row>
    <row r="4432" ht="12.75">
      <c r="S4432"/>
    </row>
    <row r="4433" ht="12.75">
      <c r="S4433"/>
    </row>
    <row r="4434" ht="12.75">
      <c r="S4434"/>
    </row>
    <row r="4435" ht="12.75">
      <c r="S4435"/>
    </row>
    <row r="4436" ht="12.75">
      <c r="S4436"/>
    </row>
    <row r="4437" ht="12.75">
      <c r="S4437"/>
    </row>
    <row r="4438" ht="12.75">
      <c r="S4438"/>
    </row>
    <row r="4439" ht="12.75">
      <c r="S4439"/>
    </row>
    <row r="4440" ht="12.75">
      <c r="S4440"/>
    </row>
    <row r="4441" ht="12.75">
      <c r="S4441"/>
    </row>
    <row r="4442" ht="12.75">
      <c r="S4442"/>
    </row>
    <row r="4443" ht="12.75">
      <c r="S4443"/>
    </row>
    <row r="4444" ht="12.75">
      <c r="S4444"/>
    </row>
    <row r="4445" ht="12.75">
      <c r="S4445"/>
    </row>
    <row r="4446" ht="12.75">
      <c r="S4446"/>
    </row>
    <row r="4447" ht="12.75">
      <c r="S4447"/>
    </row>
    <row r="4448" ht="12.75">
      <c r="S4448"/>
    </row>
    <row r="4449" ht="12.75">
      <c r="S4449"/>
    </row>
    <row r="4450" ht="12.75">
      <c r="S4450"/>
    </row>
    <row r="4451" ht="12.75">
      <c r="S4451"/>
    </row>
    <row r="4452" ht="12.75">
      <c r="S4452"/>
    </row>
    <row r="4453" ht="12.75">
      <c r="S4453"/>
    </row>
    <row r="4454" ht="12.75">
      <c r="S4454"/>
    </row>
    <row r="4455" ht="12.75">
      <c r="S4455"/>
    </row>
    <row r="4456" ht="12.75">
      <c r="S4456"/>
    </row>
    <row r="4457" ht="12.75">
      <c r="S4457"/>
    </row>
    <row r="4458" ht="12.75">
      <c r="S4458"/>
    </row>
    <row r="4459" ht="12.75">
      <c r="S4459"/>
    </row>
    <row r="4460" ht="12.75">
      <c r="S4460"/>
    </row>
    <row r="4461" ht="12.75">
      <c r="S4461"/>
    </row>
    <row r="4462" ht="12.75">
      <c r="S4462"/>
    </row>
    <row r="4463" ht="12.75">
      <c r="S4463"/>
    </row>
    <row r="4464" ht="12.75">
      <c r="S4464"/>
    </row>
    <row r="4465" ht="12.75">
      <c r="S4465"/>
    </row>
    <row r="4466" ht="12.75">
      <c r="S4466"/>
    </row>
    <row r="4467" ht="12.75">
      <c r="S4467"/>
    </row>
    <row r="4468" ht="12.75">
      <c r="S4468"/>
    </row>
    <row r="4469" ht="12.75">
      <c r="S4469"/>
    </row>
    <row r="4470" ht="12.75">
      <c r="S4470"/>
    </row>
    <row r="4471" ht="12.75">
      <c r="S4471"/>
    </row>
    <row r="4472" ht="12.75">
      <c r="S4472"/>
    </row>
    <row r="4473" ht="12.75">
      <c r="S4473"/>
    </row>
    <row r="4474" ht="12.75">
      <c r="S4474"/>
    </row>
    <row r="4475" ht="12.75">
      <c r="S4475"/>
    </row>
    <row r="4476" ht="12.75">
      <c r="S4476"/>
    </row>
    <row r="4477" ht="12.75">
      <c r="S4477"/>
    </row>
    <row r="4478" ht="12.75">
      <c r="S4478"/>
    </row>
    <row r="4479" ht="12.75">
      <c r="S4479"/>
    </row>
    <row r="4480" ht="12.75">
      <c r="S4480"/>
    </row>
    <row r="4481" ht="12.75">
      <c r="S4481"/>
    </row>
    <row r="4482" ht="12.75">
      <c r="S4482"/>
    </row>
    <row r="4483" ht="12.75">
      <c r="S4483"/>
    </row>
    <row r="4484" ht="12.75">
      <c r="S4484"/>
    </row>
    <row r="4485" ht="12.75">
      <c r="S4485"/>
    </row>
    <row r="4486" ht="12.75">
      <c r="S4486"/>
    </row>
    <row r="4487" ht="12.75">
      <c r="S4487"/>
    </row>
    <row r="4488" ht="12.75">
      <c r="S4488"/>
    </row>
    <row r="4489" ht="12.75">
      <c r="S4489"/>
    </row>
    <row r="4490" ht="12.75">
      <c r="S4490"/>
    </row>
    <row r="4491" ht="12.75">
      <c r="S4491"/>
    </row>
    <row r="4492" ht="12.75">
      <c r="S4492"/>
    </row>
    <row r="4493" ht="12.75">
      <c r="S4493"/>
    </row>
    <row r="4494" ht="12.75">
      <c r="S4494"/>
    </row>
    <row r="4495" ht="12.75">
      <c r="S4495"/>
    </row>
    <row r="4496" ht="12.75">
      <c r="S4496"/>
    </row>
    <row r="4497" ht="12.75">
      <c r="S4497"/>
    </row>
    <row r="4498" ht="12.75">
      <c r="S4498"/>
    </row>
    <row r="4499" ht="12.75">
      <c r="S4499"/>
    </row>
    <row r="4500" ht="12.75">
      <c r="S4500"/>
    </row>
    <row r="4501" ht="12.75">
      <c r="S4501"/>
    </row>
    <row r="4502" ht="12.75">
      <c r="S4502"/>
    </row>
    <row r="4503" ht="12.75">
      <c r="S4503"/>
    </row>
    <row r="4504" ht="12.75">
      <c r="S4504"/>
    </row>
    <row r="4505" ht="12.75">
      <c r="S4505"/>
    </row>
    <row r="4506" ht="12.75">
      <c r="S4506"/>
    </row>
    <row r="4507" ht="12.75">
      <c r="S4507"/>
    </row>
    <row r="4508" ht="12.75">
      <c r="S4508"/>
    </row>
    <row r="4509" ht="12.75">
      <c r="S4509"/>
    </row>
    <row r="4510" ht="12.75">
      <c r="S4510"/>
    </row>
    <row r="4511" ht="12.75">
      <c r="S4511"/>
    </row>
    <row r="4512" ht="12.75">
      <c r="S4512"/>
    </row>
    <row r="4513" ht="12.75">
      <c r="S4513"/>
    </row>
    <row r="4514" ht="12.75">
      <c r="S4514"/>
    </row>
    <row r="4515" ht="12.75">
      <c r="S4515"/>
    </row>
    <row r="4516" ht="12.75">
      <c r="S4516"/>
    </row>
    <row r="4517" ht="12.75">
      <c r="S4517"/>
    </row>
    <row r="4518" ht="12.75">
      <c r="S4518"/>
    </row>
    <row r="4519" ht="12.75">
      <c r="S4519"/>
    </row>
    <row r="4520" ht="12.75">
      <c r="S4520"/>
    </row>
    <row r="4521" ht="12.75">
      <c r="S4521"/>
    </row>
    <row r="4522" ht="12.75">
      <c r="S4522"/>
    </row>
    <row r="4523" ht="12.75">
      <c r="S4523"/>
    </row>
    <row r="4524" ht="12.75">
      <c r="S4524"/>
    </row>
    <row r="4525" ht="12.75">
      <c r="S4525"/>
    </row>
    <row r="4526" ht="12.75">
      <c r="S4526"/>
    </row>
    <row r="4527" ht="12.75">
      <c r="S4527"/>
    </row>
    <row r="4528" ht="12.75">
      <c r="S4528"/>
    </row>
    <row r="4529" ht="12.75">
      <c r="S4529"/>
    </row>
    <row r="4530" ht="12.75">
      <c r="S4530"/>
    </row>
    <row r="4531" ht="12.75">
      <c r="S4531"/>
    </row>
    <row r="4532" ht="12.75">
      <c r="S4532"/>
    </row>
    <row r="4533" ht="12.75">
      <c r="S4533"/>
    </row>
    <row r="4534" ht="12.75">
      <c r="S4534"/>
    </row>
    <row r="4535" ht="12.75">
      <c r="S4535"/>
    </row>
    <row r="4536" ht="12.75">
      <c r="S4536"/>
    </row>
    <row r="4537" ht="12.75">
      <c r="S4537"/>
    </row>
    <row r="4538" ht="12.75">
      <c r="S4538"/>
    </row>
    <row r="4539" ht="12.75">
      <c r="S4539"/>
    </row>
    <row r="4540" ht="12.75">
      <c r="S4540"/>
    </row>
    <row r="4541" ht="12.75">
      <c r="S4541"/>
    </row>
    <row r="4542" ht="12.75">
      <c r="S4542"/>
    </row>
    <row r="4543" ht="12.75">
      <c r="S4543"/>
    </row>
    <row r="4544" ht="12.75">
      <c r="S4544"/>
    </row>
    <row r="4545" ht="12.75">
      <c r="S4545"/>
    </row>
    <row r="4546" ht="12.75">
      <c r="S4546"/>
    </row>
    <row r="4547" ht="12.75">
      <c r="S4547"/>
    </row>
    <row r="4548" ht="12.75">
      <c r="S4548"/>
    </row>
    <row r="4549" ht="12.75">
      <c r="S4549"/>
    </row>
    <row r="4550" ht="12.75">
      <c r="S4550"/>
    </row>
    <row r="4551" ht="12.75">
      <c r="S4551"/>
    </row>
    <row r="4552" ht="12.75">
      <c r="S4552"/>
    </row>
    <row r="4553" ht="12.75">
      <c r="S4553"/>
    </row>
    <row r="4554" ht="12.75">
      <c r="S4554"/>
    </row>
    <row r="4555" ht="12.75">
      <c r="S4555"/>
    </row>
    <row r="4556" ht="12.75">
      <c r="S4556"/>
    </row>
    <row r="4557" ht="12.75">
      <c r="S4557"/>
    </row>
    <row r="4558" ht="12.75">
      <c r="S4558"/>
    </row>
    <row r="4559" ht="12.75">
      <c r="S4559"/>
    </row>
    <row r="4560" ht="12.75">
      <c r="S4560"/>
    </row>
    <row r="4561" ht="12.75">
      <c r="S4561"/>
    </row>
    <row r="4562" ht="12.75">
      <c r="S4562"/>
    </row>
    <row r="4563" ht="12.75">
      <c r="S4563"/>
    </row>
    <row r="4564" ht="12.75">
      <c r="S4564"/>
    </row>
    <row r="4565" ht="12.75">
      <c r="S4565"/>
    </row>
    <row r="4566" ht="12.75">
      <c r="S4566"/>
    </row>
    <row r="4567" ht="12.75">
      <c r="S4567"/>
    </row>
    <row r="4568" ht="12.75">
      <c r="S4568"/>
    </row>
    <row r="4569" ht="12.75">
      <c r="S4569"/>
    </row>
    <row r="4570" ht="12.75">
      <c r="S4570"/>
    </row>
    <row r="4571" ht="12.75">
      <c r="S4571"/>
    </row>
    <row r="4572" ht="12.75">
      <c r="S4572"/>
    </row>
    <row r="4573" ht="12.75">
      <c r="S4573"/>
    </row>
    <row r="4574" ht="12.75">
      <c r="S4574"/>
    </row>
    <row r="4575" ht="12.75">
      <c r="S4575"/>
    </row>
    <row r="4576" ht="12.75">
      <c r="S4576"/>
    </row>
    <row r="4577" ht="12.75">
      <c r="S4577"/>
    </row>
    <row r="4578" ht="12.75">
      <c r="S4578"/>
    </row>
    <row r="4579" ht="12.75">
      <c r="S4579"/>
    </row>
    <row r="4580" ht="12.75">
      <c r="S4580"/>
    </row>
    <row r="4581" ht="12.75">
      <c r="S4581"/>
    </row>
    <row r="4582" ht="12.75">
      <c r="S4582"/>
    </row>
    <row r="4583" ht="12.75">
      <c r="S4583"/>
    </row>
    <row r="4584" ht="12.75">
      <c r="S4584"/>
    </row>
    <row r="4585" ht="12.75">
      <c r="S4585"/>
    </row>
    <row r="4586" ht="12.75">
      <c r="S4586"/>
    </row>
    <row r="4587" ht="12.75">
      <c r="S4587"/>
    </row>
    <row r="4588" ht="12.75">
      <c r="S4588"/>
    </row>
    <row r="4589" ht="12.75">
      <c r="S4589"/>
    </row>
    <row r="4590" ht="12.75">
      <c r="S4590"/>
    </row>
    <row r="4591" ht="12.75">
      <c r="S4591"/>
    </row>
    <row r="4592" ht="12.75">
      <c r="S4592"/>
    </row>
    <row r="4593" ht="12.75">
      <c r="S4593"/>
    </row>
    <row r="4594" ht="12.75">
      <c r="S4594"/>
    </row>
    <row r="4595" ht="12.75">
      <c r="S4595"/>
    </row>
    <row r="4596" ht="12.75">
      <c r="S4596"/>
    </row>
    <row r="4597" ht="12.75">
      <c r="S4597"/>
    </row>
    <row r="4598" ht="12.75">
      <c r="S4598"/>
    </row>
    <row r="4599" ht="12.75">
      <c r="S4599"/>
    </row>
    <row r="4600" ht="12.75">
      <c r="S4600"/>
    </row>
    <row r="4601" ht="12.75">
      <c r="S4601"/>
    </row>
    <row r="4602" ht="12.75">
      <c r="S4602"/>
    </row>
    <row r="4603" ht="12.75">
      <c r="S4603"/>
    </row>
    <row r="4604" ht="12.75">
      <c r="S4604"/>
    </row>
    <row r="4605" ht="12.75">
      <c r="S4605"/>
    </row>
    <row r="4606" ht="12.75">
      <c r="S4606"/>
    </row>
    <row r="4607" ht="12.75">
      <c r="S4607"/>
    </row>
    <row r="4608" ht="12.75">
      <c r="S4608"/>
    </row>
    <row r="4609" ht="12.75">
      <c r="S4609"/>
    </row>
    <row r="4610" ht="12.75">
      <c r="S4610"/>
    </row>
    <row r="4611" ht="12.75">
      <c r="S4611"/>
    </row>
    <row r="4612" ht="12.75">
      <c r="S4612"/>
    </row>
    <row r="4613" ht="12.75">
      <c r="S4613"/>
    </row>
    <row r="4614" ht="12.75">
      <c r="S4614"/>
    </row>
    <row r="4615" ht="12.75">
      <c r="S4615"/>
    </row>
    <row r="4616" ht="12.75">
      <c r="S4616"/>
    </row>
    <row r="4617" ht="12.75">
      <c r="S4617"/>
    </row>
    <row r="4618" ht="12.75">
      <c r="S4618"/>
    </row>
    <row r="4619" ht="12.75">
      <c r="S4619"/>
    </row>
    <row r="4620" ht="12.75">
      <c r="S4620"/>
    </row>
    <row r="4621" ht="12.75">
      <c r="S4621"/>
    </row>
    <row r="4622" ht="12.75">
      <c r="S4622"/>
    </row>
    <row r="4623" ht="12.75">
      <c r="S4623"/>
    </row>
    <row r="4624" ht="12.75">
      <c r="S4624"/>
    </row>
    <row r="4625" ht="12.75">
      <c r="S4625"/>
    </row>
    <row r="4626" ht="12.75">
      <c r="S4626"/>
    </row>
    <row r="4627" ht="12.75">
      <c r="S4627"/>
    </row>
    <row r="4628" ht="12.75">
      <c r="S4628"/>
    </row>
    <row r="4629" ht="12.75">
      <c r="S4629"/>
    </row>
    <row r="4630" ht="12.75">
      <c r="S4630"/>
    </row>
    <row r="4631" ht="12.75">
      <c r="S4631"/>
    </row>
    <row r="4632" ht="12.75">
      <c r="S4632"/>
    </row>
    <row r="4633" ht="12.75">
      <c r="S4633"/>
    </row>
    <row r="4634" ht="12.75">
      <c r="S4634"/>
    </row>
    <row r="4635" ht="12.75">
      <c r="S4635"/>
    </row>
    <row r="4636" ht="12.75">
      <c r="S4636"/>
    </row>
    <row r="4637" ht="12.75">
      <c r="S4637"/>
    </row>
    <row r="4638" ht="12.75">
      <c r="S4638"/>
    </row>
    <row r="4639" ht="12.75">
      <c r="S4639"/>
    </row>
    <row r="4640" ht="12.75">
      <c r="S4640"/>
    </row>
    <row r="4641" ht="12.75">
      <c r="S4641"/>
    </row>
    <row r="4642" ht="12.75">
      <c r="S4642"/>
    </row>
    <row r="4643" ht="12.75">
      <c r="S4643"/>
    </row>
    <row r="4644" ht="12.75">
      <c r="S4644"/>
    </row>
    <row r="4645" ht="12.75">
      <c r="S4645"/>
    </row>
    <row r="4646" ht="12.75">
      <c r="S4646"/>
    </row>
    <row r="4647" ht="12.75">
      <c r="S4647"/>
    </row>
    <row r="4648" ht="12.75">
      <c r="S4648"/>
    </row>
    <row r="4649" ht="12.75">
      <c r="S4649"/>
    </row>
    <row r="4650" ht="12.75">
      <c r="S4650"/>
    </row>
    <row r="4651" ht="12.75">
      <c r="S4651"/>
    </row>
    <row r="4652" ht="12.75">
      <c r="S4652"/>
    </row>
    <row r="4653" ht="12.75">
      <c r="S4653"/>
    </row>
    <row r="4654" ht="12.75">
      <c r="S4654"/>
    </row>
    <row r="4655" ht="12.75">
      <c r="S4655"/>
    </row>
    <row r="4656" ht="12.75">
      <c r="S4656"/>
    </row>
    <row r="4657" ht="12.75">
      <c r="S4657"/>
    </row>
    <row r="4658" ht="12.75">
      <c r="S4658"/>
    </row>
    <row r="4659" ht="12.75">
      <c r="S4659"/>
    </row>
    <row r="4660" ht="12.75">
      <c r="S4660"/>
    </row>
    <row r="4661" ht="12.75">
      <c r="S4661"/>
    </row>
    <row r="4662" ht="12.75">
      <c r="S4662"/>
    </row>
    <row r="4663" ht="12.75">
      <c r="S4663"/>
    </row>
    <row r="4664" ht="12.75">
      <c r="S4664"/>
    </row>
    <row r="4665" ht="12.75">
      <c r="S4665"/>
    </row>
    <row r="4666" ht="12.75">
      <c r="S4666"/>
    </row>
    <row r="4667" ht="12.75">
      <c r="S4667"/>
    </row>
    <row r="4668" ht="12.75">
      <c r="S4668"/>
    </row>
    <row r="4669" ht="12.75">
      <c r="S4669"/>
    </row>
    <row r="4670" ht="12.75">
      <c r="S4670"/>
    </row>
    <row r="4671" ht="12.75">
      <c r="S4671"/>
    </row>
    <row r="4672" ht="12.75">
      <c r="S4672"/>
    </row>
    <row r="4673" ht="12.75">
      <c r="S4673"/>
    </row>
    <row r="4674" ht="12.75">
      <c r="S4674"/>
    </row>
    <row r="4675" ht="12.75">
      <c r="S4675"/>
    </row>
    <row r="4676" ht="12.75">
      <c r="S4676"/>
    </row>
    <row r="4677" ht="12.75">
      <c r="S4677"/>
    </row>
    <row r="4678" ht="12.75">
      <c r="S4678"/>
    </row>
    <row r="4679" ht="12.75">
      <c r="S4679"/>
    </row>
    <row r="4680" ht="12.75">
      <c r="S4680"/>
    </row>
    <row r="4681" ht="12.75">
      <c r="S4681"/>
    </row>
    <row r="4682" ht="12.75">
      <c r="S4682"/>
    </row>
    <row r="4683" ht="12.75">
      <c r="S4683"/>
    </row>
    <row r="4684" ht="12.75">
      <c r="S4684"/>
    </row>
    <row r="4685" ht="12.75">
      <c r="S4685"/>
    </row>
    <row r="4686" ht="12.75">
      <c r="S4686"/>
    </row>
    <row r="4687" ht="12.75">
      <c r="S4687"/>
    </row>
    <row r="4688" ht="12.75">
      <c r="S4688"/>
    </row>
    <row r="4689" ht="12.75">
      <c r="S4689"/>
    </row>
    <row r="4690" ht="12.75">
      <c r="S4690"/>
    </row>
    <row r="4691" ht="12.75">
      <c r="S4691"/>
    </row>
    <row r="4692" ht="12.75">
      <c r="S4692"/>
    </row>
    <row r="4693" ht="12.75">
      <c r="S4693"/>
    </row>
    <row r="4694" ht="12.75">
      <c r="S4694"/>
    </row>
    <row r="4695" ht="12.75">
      <c r="S4695"/>
    </row>
    <row r="4696" ht="12.75">
      <c r="S4696"/>
    </row>
    <row r="4697" ht="12.75">
      <c r="S4697"/>
    </row>
    <row r="4698" ht="12.75">
      <c r="S4698"/>
    </row>
    <row r="4699" ht="12.75">
      <c r="S4699"/>
    </row>
    <row r="4700" ht="12.75">
      <c r="S4700"/>
    </row>
    <row r="4701" ht="12.75">
      <c r="S4701"/>
    </row>
    <row r="4702" ht="12.75">
      <c r="S4702"/>
    </row>
    <row r="4703" ht="12.75">
      <c r="S4703"/>
    </row>
    <row r="4704" ht="12.75">
      <c r="S4704"/>
    </row>
    <row r="4705" ht="12.75">
      <c r="S4705"/>
    </row>
    <row r="4706" ht="12.75">
      <c r="S4706"/>
    </row>
    <row r="4707" ht="12.75">
      <c r="S4707"/>
    </row>
    <row r="4708" ht="12.75">
      <c r="S4708"/>
    </row>
    <row r="4709" ht="12.75">
      <c r="S4709"/>
    </row>
    <row r="4710" ht="12.75">
      <c r="S4710"/>
    </row>
    <row r="4711" ht="12.75">
      <c r="S4711"/>
    </row>
    <row r="4712" ht="12.75">
      <c r="S4712"/>
    </row>
    <row r="4713" ht="12.75">
      <c r="S4713"/>
    </row>
    <row r="4714" ht="12.75">
      <c r="S4714"/>
    </row>
    <row r="4715" ht="12.75">
      <c r="S4715"/>
    </row>
    <row r="4716" ht="12.75">
      <c r="S4716"/>
    </row>
    <row r="4717" ht="12.75">
      <c r="S4717"/>
    </row>
    <row r="4718" ht="12.75">
      <c r="S4718"/>
    </row>
    <row r="4719" ht="12.75">
      <c r="S4719"/>
    </row>
    <row r="4720" ht="12.75">
      <c r="S4720"/>
    </row>
    <row r="4721" ht="12.75">
      <c r="S4721"/>
    </row>
    <row r="4722" ht="12.75">
      <c r="S4722"/>
    </row>
    <row r="4723" ht="12.75">
      <c r="S4723"/>
    </row>
    <row r="4724" ht="12.75">
      <c r="S4724"/>
    </row>
    <row r="4725" ht="12.75">
      <c r="S4725"/>
    </row>
    <row r="4726" ht="12.75">
      <c r="S4726"/>
    </row>
    <row r="4727" ht="12.75">
      <c r="S4727"/>
    </row>
    <row r="4728" ht="12.75">
      <c r="S4728"/>
    </row>
    <row r="4729" ht="12.75">
      <c r="S4729"/>
    </row>
    <row r="4730" ht="12.75">
      <c r="S4730"/>
    </row>
    <row r="4731" ht="12.75">
      <c r="S4731"/>
    </row>
    <row r="4732" ht="12.75">
      <c r="S4732"/>
    </row>
    <row r="4733" ht="12.75">
      <c r="S4733"/>
    </row>
    <row r="4734" ht="12.75">
      <c r="S4734"/>
    </row>
    <row r="4735" ht="12.75">
      <c r="S4735"/>
    </row>
    <row r="4736" ht="12.75">
      <c r="S4736"/>
    </row>
    <row r="4737" ht="12.75">
      <c r="S4737"/>
    </row>
    <row r="4738" ht="12.75">
      <c r="S4738"/>
    </row>
    <row r="4739" ht="12.75">
      <c r="S4739"/>
    </row>
    <row r="4740" ht="12.75">
      <c r="S4740"/>
    </row>
    <row r="4741" ht="12.75">
      <c r="S4741"/>
    </row>
    <row r="4742" ht="12.75">
      <c r="S4742"/>
    </row>
    <row r="4743" ht="12.75">
      <c r="S4743"/>
    </row>
    <row r="4744" ht="12.75">
      <c r="S4744"/>
    </row>
    <row r="4745" ht="12.75">
      <c r="S4745"/>
    </row>
    <row r="4746" ht="12.75">
      <c r="S4746"/>
    </row>
    <row r="4747" ht="12.75">
      <c r="S4747"/>
    </row>
    <row r="4748" ht="12.75">
      <c r="S4748"/>
    </row>
    <row r="4749" ht="12.75">
      <c r="S4749"/>
    </row>
    <row r="4750" ht="12.75">
      <c r="S4750"/>
    </row>
    <row r="4751" ht="12.75">
      <c r="S4751"/>
    </row>
    <row r="4752" ht="12.75">
      <c r="S4752"/>
    </row>
    <row r="4753" ht="12.75">
      <c r="S4753"/>
    </row>
    <row r="4754" ht="12.75">
      <c r="S4754"/>
    </row>
    <row r="4755" ht="12.75">
      <c r="S4755"/>
    </row>
    <row r="4756" ht="12.75">
      <c r="S4756"/>
    </row>
    <row r="4757" ht="12.75">
      <c r="S4757"/>
    </row>
    <row r="4758" ht="12.75">
      <c r="S4758"/>
    </row>
    <row r="4759" ht="12.75">
      <c r="S4759"/>
    </row>
    <row r="4760" ht="12.75">
      <c r="S4760"/>
    </row>
    <row r="4761" ht="12.75">
      <c r="S4761"/>
    </row>
    <row r="4762" ht="12.75">
      <c r="S4762"/>
    </row>
    <row r="4763" ht="12.75">
      <c r="S4763"/>
    </row>
    <row r="4764" ht="12.75">
      <c r="S4764"/>
    </row>
    <row r="4765" ht="12.75">
      <c r="S4765"/>
    </row>
    <row r="4766" ht="12.75">
      <c r="S4766"/>
    </row>
    <row r="4767" ht="12.75">
      <c r="S4767"/>
    </row>
    <row r="4768" ht="12.75">
      <c r="S4768"/>
    </row>
    <row r="4769" ht="12.75">
      <c r="S4769"/>
    </row>
    <row r="4770" ht="12.75">
      <c r="S4770"/>
    </row>
    <row r="4771" ht="12.75">
      <c r="S4771"/>
    </row>
    <row r="4772" ht="12.75">
      <c r="S4772"/>
    </row>
    <row r="4773" ht="12.75">
      <c r="S4773"/>
    </row>
    <row r="4774" ht="12.75">
      <c r="S4774"/>
    </row>
    <row r="4775" ht="12.75">
      <c r="S4775"/>
    </row>
    <row r="4776" ht="12.75">
      <c r="S4776"/>
    </row>
    <row r="4777" ht="12.75">
      <c r="S4777"/>
    </row>
    <row r="4778" ht="12.75">
      <c r="S4778"/>
    </row>
    <row r="4779" ht="12.75">
      <c r="S4779"/>
    </row>
    <row r="4780" ht="12.75">
      <c r="S4780"/>
    </row>
    <row r="4781" ht="12.75">
      <c r="S4781"/>
    </row>
    <row r="4782" ht="12.75">
      <c r="S4782"/>
    </row>
    <row r="4783" ht="12.75">
      <c r="S4783"/>
    </row>
    <row r="4784" ht="12.75">
      <c r="S4784"/>
    </row>
    <row r="4785" ht="12.75">
      <c r="S4785"/>
    </row>
    <row r="4786" ht="12.75">
      <c r="S4786"/>
    </row>
    <row r="4787" ht="12.75">
      <c r="S4787"/>
    </row>
    <row r="4788" ht="12.75">
      <c r="S4788"/>
    </row>
    <row r="4789" ht="12.75">
      <c r="S4789"/>
    </row>
    <row r="4790" ht="12.75">
      <c r="S4790"/>
    </row>
    <row r="4791" ht="12.75">
      <c r="S4791"/>
    </row>
    <row r="4792" ht="12.75">
      <c r="S4792"/>
    </row>
    <row r="4793" ht="12.75">
      <c r="S4793"/>
    </row>
    <row r="4794" ht="12.75">
      <c r="S4794"/>
    </row>
    <row r="4795" ht="12.75">
      <c r="S4795"/>
    </row>
    <row r="4796" ht="12.75">
      <c r="S4796"/>
    </row>
    <row r="4797" ht="12.75">
      <c r="S4797"/>
    </row>
    <row r="4798" ht="12.75">
      <c r="S4798"/>
    </row>
    <row r="4799" ht="12.75">
      <c r="S4799"/>
    </row>
    <row r="4800" ht="12.75">
      <c r="S4800"/>
    </row>
    <row r="4801" ht="12.75">
      <c r="S4801"/>
    </row>
    <row r="4802" ht="12.75">
      <c r="S4802"/>
    </row>
    <row r="4803" ht="12.75">
      <c r="S4803"/>
    </row>
    <row r="4804" ht="12.75">
      <c r="S4804"/>
    </row>
    <row r="4805" ht="12.75">
      <c r="S4805"/>
    </row>
    <row r="4806" ht="12.75">
      <c r="S4806"/>
    </row>
    <row r="4807" ht="12.75">
      <c r="S4807"/>
    </row>
    <row r="4808" ht="12.75">
      <c r="S4808"/>
    </row>
    <row r="4809" ht="12.75">
      <c r="S4809"/>
    </row>
    <row r="4810" ht="12.75">
      <c r="S4810"/>
    </row>
    <row r="4811" ht="12.75">
      <c r="S4811"/>
    </row>
    <row r="4812" ht="12.75">
      <c r="S4812"/>
    </row>
    <row r="4813" ht="12.75">
      <c r="S4813"/>
    </row>
    <row r="4814" ht="12.75">
      <c r="S4814"/>
    </row>
    <row r="4815" ht="12.75">
      <c r="S4815"/>
    </row>
    <row r="4816" ht="12.75">
      <c r="S4816"/>
    </row>
    <row r="4817" ht="12.75">
      <c r="S4817"/>
    </row>
    <row r="4818" ht="12.75">
      <c r="S4818"/>
    </row>
    <row r="4819" ht="12.75">
      <c r="S4819"/>
    </row>
    <row r="4820" ht="12.75">
      <c r="S4820"/>
    </row>
    <row r="4821" ht="12.75">
      <c r="S4821"/>
    </row>
    <row r="4822" ht="12.75">
      <c r="S4822"/>
    </row>
    <row r="4823" ht="12.75">
      <c r="S4823"/>
    </row>
    <row r="4824" ht="12.75">
      <c r="S4824"/>
    </row>
    <row r="4825" ht="12.75">
      <c r="S4825"/>
    </row>
    <row r="4826" ht="12.75">
      <c r="S4826"/>
    </row>
    <row r="4827" ht="12.75">
      <c r="S4827"/>
    </row>
    <row r="4828" ht="12.75">
      <c r="S4828"/>
    </row>
    <row r="4829" ht="12.75">
      <c r="S4829"/>
    </row>
    <row r="4830" ht="12.75">
      <c r="S4830"/>
    </row>
    <row r="4831" ht="12.75">
      <c r="S4831"/>
    </row>
    <row r="4832" ht="12.75">
      <c r="S4832"/>
    </row>
    <row r="4833" ht="12.75">
      <c r="S4833"/>
    </row>
    <row r="4834" ht="12.75">
      <c r="S4834"/>
    </row>
    <row r="4835" ht="12.75">
      <c r="S4835"/>
    </row>
    <row r="4836" ht="12.75">
      <c r="S4836"/>
    </row>
    <row r="4837" ht="12.75">
      <c r="S4837"/>
    </row>
    <row r="4838" ht="12.75">
      <c r="S4838"/>
    </row>
    <row r="4839" ht="12.75">
      <c r="S4839"/>
    </row>
    <row r="4840" ht="12.75">
      <c r="S4840"/>
    </row>
    <row r="4841" ht="12.75">
      <c r="S4841"/>
    </row>
    <row r="4842" ht="12.75">
      <c r="S4842"/>
    </row>
    <row r="4843" ht="12.75">
      <c r="S4843"/>
    </row>
    <row r="4844" ht="12.75">
      <c r="S4844"/>
    </row>
    <row r="4845" ht="12.75">
      <c r="S4845"/>
    </row>
    <row r="4846" ht="12.75">
      <c r="S4846"/>
    </row>
    <row r="4847" ht="12.75">
      <c r="S4847"/>
    </row>
    <row r="4848" ht="12.75">
      <c r="S4848"/>
    </row>
    <row r="4849" ht="12.75">
      <c r="S4849"/>
    </row>
    <row r="4850" ht="12.75">
      <c r="S4850"/>
    </row>
    <row r="4851" ht="12.75">
      <c r="S4851"/>
    </row>
    <row r="4852" ht="12.75">
      <c r="S4852"/>
    </row>
    <row r="4853" ht="12.75">
      <c r="S4853"/>
    </row>
    <row r="4854" ht="12.75">
      <c r="S4854"/>
    </row>
    <row r="4855" ht="12.75">
      <c r="S4855"/>
    </row>
    <row r="4856" ht="12.75">
      <c r="S4856"/>
    </row>
    <row r="4857" ht="12.75">
      <c r="S4857"/>
    </row>
    <row r="4858" ht="12.75">
      <c r="S4858"/>
    </row>
    <row r="4859" ht="12.75">
      <c r="S4859"/>
    </row>
    <row r="4860" ht="12.75">
      <c r="S4860"/>
    </row>
    <row r="4861" ht="12.75">
      <c r="S4861"/>
    </row>
    <row r="4862" ht="12.75">
      <c r="S4862"/>
    </row>
    <row r="4863" ht="12.75">
      <c r="S4863"/>
    </row>
    <row r="4864" ht="12.75">
      <c r="S4864"/>
    </row>
    <row r="4865" ht="12.75">
      <c r="S4865"/>
    </row>
    <row r="4866" ht="12.75">
      <c r="S4866"/>
    </row>
    <row r="4867" ht="12.75">
      <c r="S4867"/>
    </row>
    <row r="4868" ht="12.75">
      <c r="S4868"/>
    </row>
    <row r="4869" ht="12.75">
      <c r="S4869"/>
    </row>
    <row r="4870" ht="12.75">
      <c r="S4870"/>
    </row>
    <row r="4871" ht="12.75">
      <c r="S4871"/>
    </row>
    <row r="4872" ht="12.75">
      <c r="S4872"/>
    </row>
    <row r="4873" ht="12.75">
      <c r="S4873"/>
    </row>
    <row r="4874" ht="12.75">
      <c r="S4874"/>
    </row>
    <row r="4875" ht="12.75">
      <c r="S4875"/>
    </row>
    <row r="4876" ht="12.75">
      <c r="S4876"/>
    </row>
    <row r="4877" ht="12.75">
      <c r="S4877"/>
    </row>
    <row r="4878" ht="12.75">
      <c r="S4878"/>
    </row>
    <row r="4879" ht="12.75">
      <c r="S4879"/>
    </row>
    <row r="4880" ht="12.75">
      <c r="S4880"/>
    </row>
    <row r="4881" ht="12.75">
      <c r="S4881"/>
    </row>
    <row r="4882" ht="12.75">
      <c r="S4882"/>
    </row>
    <row r="4883" ht="12.75">
      <c r="S4883"/>
    </row>
    <row r="4884" ht="12.75">
      <c r="S4884"/>
    </row>
    <row r="4885" ht="12.75">
      <c r="S4885"/>
    </row>
    <row r="4886" ht="12.75">
      <c r="S4886"/>
    </row>
    <row r="4887" ht="12.75">
      <c r="S4887"/>
    </row>
    <row r="4888" ht="12.75">
      <c r="S4888"/>
    </row>
    <row r="4889" ht="12.75">
      <c r="S4889"/>
    </row>
    <row r="4890" ht="12.75">
      <c r="S4890"/>
    </row>
    <row r="4891" ht="12.75">
      <c r="S4891"/>
    </row>
    <row r="4892" ht="12.75">
      <c r="S4892"/>
    </row>
    <row r="4893" ht="12.75">
      <c r="S4893"/>
    </row>
    <row r="4894" ht="12.75">
      <c r="S4894"/>
    </row>
    <row r="4895" ht="12.75">
      <c r="S4895"/>
    </row>
    <row r="4896" ht="12.75">
      <c r="S4896"/>
    </row>
    <row r="4897" ht="12.75">
      <c r="S4897"/>
    </row>
    <row r="4898" ht="12.75">
      <c r="S4898"/>
    </row>
    <row r="4899" ht="12.75">
      <c r="S4899"/>
    </row>
    <row r="4900" ht="12.75">
      <c r="S4900"/>
    </row>
    <row r="4901" ht="12.75">
      <c r="S4901"/>
    </row>
    <row r="4902" ht="12.75">
      <c r="S4902"/>
    </row>
    <row r="4903" ht="12.75">
      <c r="S4903"/>
    </row>
    <row r="4904" ht="12.75">
      <c r="S4904"/>
    </row>
    <row r="4905" ht="12.75">
      <c r="S4905"/>
    </row>
    <row r="4906" ht="12.75">
      <c r="S4906"/>
    </row>
    <row r="4907" ht="12.75">
      <c r="S4907"/>
    </row>
    <row r="4908" ht="12.75">
      <c r="S4908"/>
    </row>
    <row r="4909" ht="12.75">
      <c r="S4909"/>
    </row>
    <row r="4910" ht="12.75">
      <c r="S4910"/>
    </row>
    <row r="4911" ht="12.75">
      <c r="S4911"/>
    </row>
    <row r="4912" ht="12.75">
      <c r="S4912"/>
    </row>
    <row r="4913" ht="12.75">
      <c r="S4913"/>
    </row>
    <row r="4914" ht="12.75">
      <c r="S4914"/>
    </row>
    <row r="4915" ht="12.75">
      <c r="S4915"/>
    </row>
    <row r="4916" ht="12.75">
      <c r="S4916"/>
    </row>
    <row r="4917" ht="12.75">
      <c r="S4917"/>
    </row>
    <row r="4918" ht="12.75">
      <c r="S4918"/>
    </row>
    <row r="4919" ht="12.75">
      <c r="S4919"/>
    </row>
    <row r="4920" ht="12.75">
      <c r="S4920"/>
    </row>
    <row r="4921" ht="12.75">
      <c r="S4921"/>
    </row>
    <row r="4922" ht="12.75">
      <c r="S4922"/>
    </row>
    <row r="4923" ht="12.75">
      <c r="S4923"/>
    </row>
    <row r="4924" ht="12.75">
      <c r="S4924"/>
    </row>
    <row r="4925" ht="12.75">
      <c r="S4925"/>
    </row>
    <row r="4926" ht="12.75">
      <c r="S4926"/>
    </row>
    <row r="4927" ht="12.75">
      <c r="S4927"/>
    </row>
    <row r="4928" ht="12.75">
      <c r="S4928"/>
    </row>
    <row r="4929" ht="12.75">
      <c r="S4929"/>
    </row>
    <row r="4930" ht="12.75">
      <c r="S4930"/>
    </row>
    <row r="4931" ht="12.75">
      <c r="S4931"/>
    </row>
    <row r="4932" ht="12.75">
      <c r="S4932"/>
    </row>
    <row r="4933" ht="12.75">
      <c r="S4933"/>
    </row>
    <row r="4934" ht="12.75">
      <c r="S4934"/>
    </row>
    <row r="4935" ht="12.75">
      <c r="S4935"/>
    </row>
    <row r="4936" ht="12.75">
      <c r="S4936"/>
    </row>
    <row r="4937" ht="12.75">
      <c r="S4937"/>
    </row>
    <row r="4938" ht="12.75">
      <c r="S4938"/>
    </row>
    <row r="4939" ht="12.75">
      <c r="S4939"/>
    </row>
    <row r="4940" ht="12.75">
      <c r="S4940"/>
    </row>
    <row r="4941" ht="12.75">
      <c r="S4941"/>
    </row>
    <row r="4942" ht="12.75">
      <c r="S4942"/>
    </row>
    <row r="4943" ht="12.75">
      <c r="S4943"/>
    </row>
    <row r="4944" ht="12.75">
      <c r="S4944"/>
    </row>
    <row r="4945" ht="12.75">
      <c r="S4945"/>
    </row>
    <row r="4946" ht="12.75">
      <c r="S4946"/>
    </row>
    <row r="4947" ht="12.75">
      <c r="S4947"/>
    </row>
    <row r="4948" ht="12.75">
      <c r="S4948"/>
    </row>
    <row r="4949" ht="12.75">
      <c r="S4949"/>
    </row>
    <row r="4950" ht="12.75">
      <c r="S4950"/>
    </row>
    <row r="4951" ht="12.75">
      <c r="S4951"/>
    </row>
    <row r="4952" ht="12.75">
      <c r="S4952"/>
    </row>
    <row r="4953" ht="12.75">
      <c r="S4953"/>
    </row>
    <row r="4954" ht="12.75">
      <c r="S4954"/>
    </row>
    <row r="4955" ht="12.75">
      <c r="S4955"/>
    </row>
    <row r="4956" ht="12.75">
      <c r="S4956"/>
    </row>
    <row r="4957" ht="12.75">
      <c r="S4957"/>
    </row>
    <row r="4958" ht="12.75">
      <c r="S4958"/>
    </row>
    <row r="4959" ht="12.75">
      <c r="S4959"/>
    </row>
    <row r="4960" ht="12.75">
      <c r="S4960"/>
    </row>
    <row r="4961" ht="12.75">
      <c r="S4961"/>
    </row>
  </sheetData>
  <sheetProtection/>
  <mergeCells count="9">
    <mergeCell ref="Y3:Y6"/>
    <mergeCell ref="Z3:Z6"/>
    <mergeCell ref="R1:W1"/>
    <mergeCell ref="N77:Q77"/>
    <mergeCell ref="T3:T6"/>
    <mergeCell ref="C3:M4"/>
    <mergeCell ref="N3:Q4"/>
    <mergeCell ref="B77:M77"/>
    <mergeCell ref="R3:R6"/>
  </mergeCells>
  <printOptions horizontalCentered="1"/>
  <pageMargins left="0.25" right="0.25" top="0.75" bottom="0.35" header="0.23" footer="0.25"/>
  <pageSetup firstPageNumber="30" useFirstPageNumber="1" fitToWidth="0" horizontalDpi="600" verticalDpi="600" orientation="portrait" paperSize="5" scale="90" r:id="rId1"/>
  <headerFooter alignWithMargins="0">
    <oddHeader>&amp;L&amp;"Arial,Bold"&amp;18TABLE 8: FY 2006-07 Budget Letter&amp;16
May 1, 2006 Student Membership&amp;R
</oddHeader>
    <oddFooter>&amp;R&amp;P</oddFooter>
  </headerFooter>
  <colBreaks count="2" manualBreakCount="2">
    <brk id="13" min="2" max="76" man="1"/>
    <brk id="19" min="2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zoomScale="85" zoomScaleNormal="85" zoomScalePageLayoutView="0" workbookViewId="0" topLeftCell="A1">
      <selection activeCell="A2" sqref="A2"/>
    </sheetView>
  </sheetViews>
  <sheetFormatPr defaultColWidth="12.57421875" defaultRowHeight="12.75"/>
  <cols>
    <col min="1" max="1" width="3.00390625" style="246" customWidth="1"/>
    <col min="2" max="2" width="19.28125" style="246" bestFit="1" customWidth="1"/>
    <col min="3" max="3" width="19.421875" style="246" customWidth="1"/>
    <col min="4" max="4" width="14.00390625" style="246" customWidth="1"/>
    <col min="5" max="5" width="14.140625" style="246" customWidth="1"/>
    <col min="6" max="6" width="14.140625" style="303" customWidth="1"/>
    <col min="7" max="7" width="16.140625" style="246" customWidth="1"/>
    <col min="8" max="8" width="15.421875" style="246" customWidth="1"/>
    <col min="9" max="9" width="14.7109375" style="246" customWidth="1"/>
    <col min="10" max="10" width="12.7109375" style="246" customWidth="1"/>
    <col min="11" max="11" width="13.57421875" style="246" customWidth="1"/>
    <col min="12" max="12" width="13.421875" style="246" customWidth="1"/>
    <col min="13" max="13" width="9.8515625" style="246" customWidth="1"/>
    <col min="14" max="16384" width="12.57421875" style="246" customWidth="1"/>
  </cols>
  <sheetData>
    <row r="1" spans="1:13" ht="0.75" customHeight="1">
      <c r="A1" s="239"/>
      <c r="B1" s="239"/>
      <c r="C1" s="240" t="s">
        <v>95</v>
      </c>
      <c r="D1" s="1055" t="s">
        <v>96</v>
      </c>
      <c r="E1" s="1056"/>
      <c r="F1" s="241"/>
      <c r="G1" s="242" t="s">
        <v>97</v>
      </c>
      <c r="H1" s="243" t="s">
        <v>98</v>
      </c>
      <c r="I1" s="242" t="s">
        <v>99</v>
      </c>
      <c r="J1" s="243" t="s">
        <v>100</v>
      </c>
      <c r="K1" s="244" t="s">
        <v>101</v>
      </c>
      <c r="L1" s="244" t="s">
        <v>102</v>
      </c>
      <c r="M1" s="245"/>
    </row>
    <row r="2" spans="1:13" ht="41.25" customHeight="1">
      <c r="A2" s="247"/>
      <c r="B2" s="1047" t="s">
        <v>103</v>
      </c>
      <c r="C2" s="1047" t="s">
        <v>104</v>
      </c>
      <c r="D2" s="1053" t="s">
        <v>105</v>
      </c>
      <c r="E2" s="1054"/>
      <c r="F2" s="1051" t="s">
        <v>106</v>
      </c>
      <c r="G2" s="1049" t="s">
        <v>107</v>
      </c>
      <c r="H2" s="1049" t="s">
        <v>108</v>
      </c>
      <c r="I2" s="1047" t="s">
        <v>109</v>
      </c>
      <c r="J2" s="1049" t="s">
        <v>110</v>
      </c>
      <c r="K2" s="1049" t="s">
        <v>111</v>
      </c>
      <c r="L2" s="1049" t="s">
        <v>112</v>
      </c>
      <c r="M2" s="1045" t="s">
        <v>113</v>
      </c>
    </row>
    <row r="3" spans="1:13" ht="60.75" customHeight="1">
      <c r="A3" s="248"/>
      <c r="B3" s="1048"/>
      <c r="C3" s="1050"/>
      <c r="D3" s="249" t="s">
        <v>114</v>
      </c>
      <c r="E3" s="250" t="s">
        <v>115</v>
      </c>
      <c r="F3" s="1052"/>
      <c r="G3" s="1048"/>
      <c r="H3" s="1048"/>
      <c r="I3" s="1048"/>
      <c r="J3" s="1048"/>
      <c r="K3" s="1048"/>
      <c r="L3" s="1048"/>
      <c r="M3" s="1046"/>
    </row>
    <row r="4" spans="1:13" s="254" customFormat="1" ht="12.75">
      <c r="A4" s="251"/>
      <c r="B4" s="252"/>
      <c r="C4" s="253">
        <v>1</v>
      </c>
      <c r="D4" s="253">
        <f aca="true" t="shared" si="0" ref="D4:M4">C4+1</f>
        <v>2</v>
      </c>
      <c r="E4" s="253">
        <f t="shared" si="0"/>
        <v>3</v>
      </c>
      <c r="F4" s="253">
        <f t="shared" si="0"/>
        <v>4</v>
      </c>
      <c r="G4" s="253">
        <f t="shared" si="0"/>
        <v>5</v>
      </c>
      <c r="H4" s="253">
        <f t="shared" si="0"/>
        <v>6</v>
      </c>
      <c r="I4" s="253">
        <f t="shared" si="0"/>
        <v>7</v>
      </c>
      <c r="J4" s="253">
        <f t="shared" si="0"/>
        <v>8</v>
      </c>
      <c r="K4" s="253">
        <f t="shared" si="0"/>
        <v>9</v>
      </c>
      <c r="L4" s="253">
        <f t="shared" si="0"/>
        <v>10</v>
      </c>
      <c r="M4" s="253">
        <f t="shared" si="0"/>
        <v>11</v>
      </c>
    </row>
    <row r="5" spans="1:13" ht="12.75">
      <c r="A5" s="255">
        <v>1</v>
      </c>
      <c r="B5" s="255" t="s">
        <v>116</v>
      </c>
      <c r="C5" s="256">
        <f>'[1]Table 3 Levels 1&amp;2'!AN8</f>
        <v>42120399</v>
      </c>
      <c r="D5" s="257">
        <f>'[3]Audit Adjustments'!F5</f>
        <v>0</v>
      </c>
      <c r="E5" s="258">
        <f>'[3]Audit Adjustments'!G5</f>
        <v>-92609</v>
      </c>
      <c r="F5" s="259"/>
      <c r="G5" s="257">
        <f aca="true" t="shared" si="1" ref="G5:G36">ROUND(SUM(C5:F5),0)</f>
        <v>42027790</v>
      </c>
      <c r="H5" s="260">
        <f aca="true" t="shared" si="2" ref="H5:H36">ROUND(G5/12,0)</f>
        <v>3502316</v>
      </c>
      <c r="I5" s="257">
        <f>'[2]Table 2A Revised Monthly Paymts'!BF7</f>
        <v>39504242</v>
      </c>
      <c r="J5" s="261">
        <f aca="true" t="shared" si="3" ref="J5:J36">G5-I5</f>
        <v>2523548</v>
      </c>
      <c r="K5" s="262">
        <f aca="true" t="shared" si="4" ref="K5:K36">IF(J5&gt;0,J5,0)</f>
        <v>2523548</v>
      </c>
      <c r="L5" s="263">
        <f aca="true" t="shared" si="5" ref="L5:L36">IF(J5&lt;0,J5,0)</f>
        <v>0</v>
      </c>
      <c r="M5" s="264">
        <f aca="true" t="shared" si="6" ref="M5:M36">ROUND(L5/I5,4)</f>
        <v>0</v>
      </c>
    </row>
    <row r="6" spans="1:13" ht="12.75">
      <c r="A6" s="255">
        <v>2</v>
      </c>
      <c r="B6" s="255" t="s">
        <v>117</v>
      </c>
      <c r="C6" s="256">
        <f>'[1]Table 3 Levels 1&amp;2'!AN9</f>
        <v>23089551</v>
      </c>
      <c r="D6" s="257">
        <f>'[3]Audit Adjustments'!F6</f>
        <v>0</v>
      </c>
      <c r="E6" s="258">
        <f>'[3]Audit Adjustments'!G6</f>
        <v>-9105</v>
      </c>
      <c r="F6" s="259"/>
      <c r="G6" s="257">
        <f t="shared" si="1"/>
        <v>23080446</v>
      </c>
      <c r="H6" s="256">
        <f t="shared" si="2"/>
        <v>1923371</v>
      </c>
      <c r="I6" s="257">
        <f>'[2]Table 2A Revised Monthly Paymts'!BF8</f>
        <v>21148043</v>
      </c>
      <c r="J6" s="261">
        <f t="shared" si="3"/>
        <v>1932403</v>
      </c>
      <c r="K6" s="262">
        <f t="shared" si="4"/>
        <v>1932403</v>
      </c>
      <c r="L6" s="263">
        <f t="shared" si="5"/>
        <v>0</v>
      </c>
      <c r="M6" s="264">
        <f t="shared" si="6"/>
        <v>0</v>
      </c>
    </row>
    <row r="7" spans="1:13" ht="12.75">
      <c r="A7" s="255">
        <v>3</v>
      </c>
      <c r="B7" s="255" t="s">
        <v>118</v>
      </c>
      <c r="C7" s="256">
        <f>'[1]Table 3 Levels 1&amp;2'!AN10</f>
        <v>72841291</v>
      </c>
      <c r="D7" s="257">
        <f>'[3]Audit Adjustments'!F7</f>
        <v>223842</v>
      </c>
      <c r="E7" s="258">
        <f>'[3]Audit Adjustments'!G7</f>
        <v>0</v>
      </c>
      <c r="F7" s="259"/>
      <c r="G7" s="257">
        <f t="shared" si="1"/>
        <v>73065133</v>
      </c>
      <c r="H7" s="256">
        <f t="shared" si="2"/>
        <v>6088761</v>
      </c>
      <c r="I7" s="257">
        <f>'[2]Table 2A Revised Monthly Paymts'!BF9</f>
        <v>63786720</v>
      </c>
      <c r="J7" s="261">
        <f t="shared" si="3"/>
        <v>9278413</v>
      </c>
      <c r="K7" s="262">
        <f t="shared" si="4"/>
        <v>9278413</v>
      </c>
      <c r="L7" s="263">
        <f t="shared" si="5"/>
        <v>0</v>
      </c>
      <c r="M7" s="264">
        <f t="shared" si="6"/>
        <v>0</v>
      </c>
    </row>
    <row r="8" spans="1:13" ht="12.75">
      <c r="A8" s="255">
        <v>4</v>
      </c>
      <c r="B8" s="255" t="s">
        <v>119</v>
      </c>
      <c r="C8" s="256">
        <f>'[1]Table 3 Levels 1&amp;2'!AN11</f>
        <v>22011085</v>
      </c>
      <c r="D8" s="257">
        <f>'[3]Audit Adjustments'!F8</f>
        <v>0</v>
      </c>
      <c r="E8" s="258">
        <f>'[3]Audit Adjustments'!G8</f>
        <v>-13143</v>
      </c>
      <c r="F8" s="259"/>
      <c r="G8" s="257">
        <f t="shared" si="1"/>
        <v>21997942</v>
      </c>
      <c r="H8" s="256">
        <f t="shared" si="2"/>
        <v>1833162</v>
      </c>
      <c r="I8" s="257">
        <f>'[2]Table 2A Revised Monthly Paymts'!BF10</f>
        <v>20733934</v>
      </c>
      <c r="J8" s="261">
        <f t="shared" si="3"/>
        <v>1264008</v>
      </c>
      <c r="K8" s="262">
        <f t="shared" si="4"/>
        <v>1264008</v>
      </c>
      <c r="L8" s="263">
        <f t="shared" si="5"/>
        <v>0</v>
      </c>
      <c r="M8" s="264">
        <f t="shared" si="6"/>
        <v>0</v>
      </c>
    </row>
    <row r="9" spans="1:13" ht="12.75">
      <c r="A9" s="265">
        <v>5</v>
      </c>
      <c r="B9" s="265" t="s">
        <v>120</v>
      </c>
      <c r="C9" s="266">
        <f>'[1]Table 3 Levels 1&amp;2'!AN12</f>
        <v>27757119</v>
      </c>
      <c r="D9" s="267">
        <f>'[3]Audit Adjustments'!F9</f>
        <v>0</v>
      </c>
      <c r="E9" s="268">
        <f>'[3]Audit Adjustments'!G9</f>
        <v>-57884</v>
      </c>
      <c r="F9" s="269"/>
      <c r="G9" s="270">
        <f t="shared" si="1"/>
        <v>27699235</v>
      </c>
      <c r="H9" s="271">
        <f t="shared" si="2"/>
        <v>2308270</v>
      </c>
      <c r="I9" s="267">
        <f>'[2]Table 2A Revised Monthly Paymts'!BF11</f>
        <v>28002177</v>
      </c>
      <c r="J9" s="272">
        <f t="shared" si="3"/>
        <v>-302942</v>
      </c>
      <c r="K9" s="273">
        <f t="shared" si="4"/>
        <v>0</v>
      </c>
      <c r="L9" s="274">
        <f t="shared" si="5"/>
        <v>-302942</v>
      </c>
      <c r="M9" s="275">
        <f t="shared" si="6"/>
        <v>-0.0108</v>
      </c>
    </row>
    <row r="10" spans="1:13" ht="12.75">
      <c r="A10" s="255">
        <v>6</v>
      </c>
      <c r="B10" s="255" t="s">
        <v>121</v>
      </c>
      <c r="C10" s="256">
        <f>'[1]Table 3 Levels 1&amp;2'!AN13</f>
        <v>28313297</v>
      </c>
      <c r="D10" s="257">
        <f>'[3]Audit Adjustments'!F10</f>
        <v>0</v>
      </c>
      <c r="E10" s="258">
        <f>'[3]Audit Adjustments'!G10</f>
        <v>-10740</v>
      </c>
      <c r="F10" s="259"/>
      <c r="G10" s="257">
        <f t="shared" si="1"/>
        <v>28302557</v>
      </c>
      <c r="H10" s="256">
        <f t="shared" si="2"/>
        <v>2358546</v>
      </c>
      <c r="I10" s="257">
        <f>'[2]Table 2A Revised Monthly Paymts'!BF12</f>
        <v>26472658</v>
      </c>
      <c r="J10" s="261">
        <f t="shared" si="3"/>
        <v>1829899</v>
      </c>
      <c r="K10" s="262">
        <f t="shared" si="4"/>
        <v>1829899</v>
      </c>
      <c r="L10" s="263">
        <f t="shared" si="5"/>
        <v>0</v>
      </c>
      <c r="M10" s="264">
        <f t="shared" si="6"/>
        <v>0</v>
      </c>
    </row>
    <row r="11" spans="1:13" ht="12.75">
      <c r="A11" s="255">
        <v>7</v>
      </c>
      <c r="B11" s="255" t="s">
        <v>122</v>
      </c>
      <c r="C11" s="256">
        <f>'[1]Table 3 Levels 1&amp;2'!AN14</f>
        <v>8423788</v>
      </c>
      <c r="D11" s="257">
        <f>'[3]Audit Adjustments'!F11</f>
        <v>36517</v>
      </c>
      <c r="E11" s="258">
        <f>'[3]Audit Adjustments'!G11</f>
        <v>0</v>
      </c>
      <c r="F11" s="259"/>
      <c r="G11" s="257">
        <f t="shared" si="1"/>
        <v>8460305</v>
      </c>
      <c r="H11" s="256">
        <f t="shared" si="2"/>
        <v>705025</v>
      </c>
      <c r="I11" s="257">
        <f>'[2]Table 2A Revised Monthly Paymts'!BF13</f>
        <v>9351655</v>
      </c>
      <c r="J11" s="261">
        <f t="shared" si="3"/>
        <v>-891350</v>
      </c>
      <c r="K11" s="262">
        <f t="shared" si="4"/>
        <v>0</v>
      </c>
      <c r="L11" s="263">
        <f t="shared" si="5"/>
        <v>-891350</v>
      </c>
      <c r="M11" s="264">
        <f t="shared" si="6"/>
        <v>-0.0953</v>
      </c>
    </row>
    <row r="12" spans="1:13" ht="12.75">
      <c r="A12" s="255">
        <v>8</v>
      </c>
      <c r="B12" s="255" t="s">
        <v>123</v>
      </c>
      <c r="C12" s="256">
        <f>'[1]Table 3 Levels 1&amp;2'!AN15</f>
        <v>74094600</v>
      </c>
      <c r="D12" s="257">
        <f>'[3]Audit Adjustments'!F12</f>
        <v>140379</v>
      </c>
      <c r="E12" s="258">
        <f>'[3]Audit Adjustments'!G12</f>
        <v>0</v>
      </c>
      <c r="F12" s="259"/>
      <c r="G12" s="257">
        <f t="shared" si="1"/>
        <v>74234979</v>
      </c>
      <c r="H12" s="256">
        <f t="shared" si="2"/>
        <v>6186248</v>
      </c>
      <c r="I12" s="257">
        <f>'[2]Table 2A Revised Monthly Paymts'!BF14</f>
        <v>68409290</v>
      </c>
      <c r="J12" s="261">
        <f t="shared" si="3"/>
        <v>5825689</v>
      </c>
      <c r="K12" s="262">
        <f t="shared" si="4"/>
        <v>5825689</v>
      </c>
      <c r="L12" s="263">
        <f t="shared" si="5"/>
        <v>0</v>
      </c>
      <c r="M12" s="264">
        <f t="shared" si="6"/>
        <v>0</v>
      </c>
    </row>
    <row r="13" spans="1:13" ht="12.75">
      <c r="A13" s="255">
        <v>9</v>
      </c>
      <c r="B13" s="255" t="s">
        <v>124</v>
      </c>
      <c r="C13" s="256">
        <f>'[1]Table 3 Levels 1&amp;2'!AN16</f>
        <v>186891219</v>
      </c>
      <c r="D13" s="257">
        <f>'[3]Audit Adjustments'!F13</f>
        <v>0</v>
      </c>
      <c r="E13" s="258">
        <f>'[3]Audit Adjustments'!G13</f>
        <v>-680531</v>
      </c>
      <c r="F13" s="259"/>
      <c r="G13" s="257">
        <f t="shared" si="1"/>
        <v>186210688</v>
      </c>
      <c r="H13" s="256">
        <f t="shared" si="2"/>
        <v>15517557</v>
      </c>
      <c r="I13" s="257">
        <f>'[2]Table 2A Revised Monthly Paymts'!BF15</f>
        <v>178673602</v>
      </c>
      <c r="J13" s="261">
        <f t="shared" si="3"/>
        <v>7537086</v>
      </c>
      <c r="K13" s="262">
        <f t="shared" si="4"/>
        <v>7537086</v>
      </c>
      <c r="L13" s="263">
        <f t="shared" si="5"/>
        <v>0</v>
      </c>
      <c r="M13" s="264">
        <f t="shared" si="6"/>
        <v>0</v>
      </c>
    </row>
    <row r="14" spans="1:13" ht="12.75">
      <c r="A14" s="265">
        <v>10</v>
      </c>
      <c r="B14" s="265" t="s">
        <v>125</v>
      </c>
      <c r="C14" s="266">
        <f>'[1]Table 3 Levels 1&amp;2'!AN17</f>
        <v>107858326</v>
      </c>
      <c r="D14" s="267">
        <f>'[3]Audit Adjustments'!F14</f>
        <v>0</v>
      </c>
      <c r="E14" s="268">
        <f>'[3]Audit Adjustments'!G14</f>
        <v>-283097</v>
      </c>
      <c r="F14" s="269"/>
      <c r="G14" s="270">
        <f t="shared" si="1"/>
        <v>107575229</v>
      </c>
      <c r="H14" s="271">
        <f t="shared" si="2"/>
        <v>8964602</v>
      </c>
      <c r="I14" s="267">
        <f>'[2]Table 2A Revised Monthly Paymts'!BF16</f>
        <v>110643540</v>
      </c>
      <c r="J14" s="272">
        <f t="shared" si="3"/>
        <v>-3068311</v>
      </c>
      <c r="K14" s="270">
        <f t="shared" si="4"/>
        <v>0</v>
      </c>
      <c r="L14" s="276">
        <f t="shared" si="5"/>
        <v>-3068311</v>
      </c>
      <c r="M14" s="277">
        <f t="shared" si="6"/>
        <v>-0.0277</v>
      </c>
    </row>
    <row r="15" spans="1:13" ht="12.75">
      <c r="A15" s="255">
        <v>11</v>
      </c>
      <c r="B15" s="255" t="s">
        <v>126</v>
      </c>
      <c r="C15" s="256">
        <f>'[1]Table 3 Levels 1&amp;2'!AN18</f>
        <v>9261887</v>
      </c>
      <c r="D15" s="257">
        <f>'[3]Audit Adjustments'!F15</f>
        <v>12750</v>
      </c>
      <c r="E15" s="258">
        <f>'[3]Audit Adjustments'!G15</f>
        <v>0</v>
      </c>
      <c r="F15" s="259"/>
      <c r="G15" s="257">
        <f t="shared" si="1"/>
        <v>9274637</v>
      </c>
      <c r="H15" s="256">
        <f t="shared" si="2"/>
        <v>772886</v>
      </c>
      <c r="I15" s="257">
        <f>'[2]Table 2A Revised Monthly Paymts'!BF17</f>
        <v>8965089</v>
      </c>
      <c r="J15" s="261">
        <f t="shared" si="3"/>
        <v>309548</v>
      </c>
      <c r="K15" s="262">
        <f t="shared" si="4"/>
        <v>309548</v>
      </c>
      <c r="L15" s="263">
        <f t="shared" si="5"/>
        <v>0</v>
      </c>
      <c r="M15" s="264">
        <f t="shared" si="6"/>
        <v>0</v>
      </c>
    </row>
    <row r="16" spans="1:13" ht="12.75">
      <c r="A16" s="255">
        <v>12</v>
      </c>
      <c r="B16" s="255" t="s">
        <v>127</v>
      </c>
      <c r="C16" s="256">
        <f>'[1]Table 3 Levels 1&amp;2'!AN19</f>
        <v>6839847</v>
      </c>
      <c r="D16" s="257">
        <f>'[3]Audit Adjustments'!F16</f>
        <v>18911</v>
      </c>
      <c r="E16" s="258">
        <f>'[3]Audit Adjustments'!G16</f>
        <v>0</v>
      </c>
      <c r="F16" s="259"/>
      <c r="G16" s="257">
        <f t="shared" si="1"/>
        <v>6858758</v>
      </c>
      <c r="H16" s="256">
        <f t="shared" si="2"/>
        <v>571563</v>
      </c>
      <c r="I16" s="257">
        <f>'[2]Table 2A Revised Monthly Paymts'!BF18</f>
        <v>6755189</v>
      </c>
      <c r="J16" s="261">
        <f t="shared" si="3"/>
        <v>103569</v>
      </c>
      <c r="K16" s="262">
        <f t="shared" si="4"/>
        <v>103569</v>
      </c>
      <c r="L16" s="263">
        <f t="shared" si="5"/>
        <v>0</v>
      </c>
      <c r="M16" s="264">
        <f t="shared" si="6"/>
        <v>0</v>
      </c>
    </row>
    <row r="17" spans="1:13" ht="12.75">
      <c r="A17" s="255">
        <v>13</v>
      </c>
      <c r="B17" s="255" t="s">
        <v>128</v>
      </c>
      <c r="C17" s="256">
        <f>'[1]Table 3 Levels 1&amp;2'!AN20</f>
        <v>9151602</v>
      </c>
      <c r="D17" s="257">
        <f>'[3]Audit Adjustments'!F17</f>
        <v>1623</v>
      </c>
      <c r="E17" s="258">
        <f>'[3]Audit Adjustments'!G17</f>
        <v>0</v>
      </c>
      <c r="F17" s="259"/>
      <c r="G17" s="257">
        <f t="shared" si="1"/>
        <v>9153225</v>
      </c>
      <c r="H17" s="256">
        <f t="shared" si="2"/>
        <v>762769</v>
      </c>
      <c r="I17" s="257">
        <f>'[2]Table 2A Revised Monthly Paymts'!BF19</f>
        <v>8428029</v>
      </c>
      <c r="J17" s="261">
        <f t="shared" si="3"/>
        <v>725196</v>
      </c>
      <c r="K17" s="262">
        <f t="shared" si="4"/>
        <v>725196</v>
      </c>
      <c r="L17" s="263">
        <f t="shared" si="5"/>
        <v>0</v>
      </c>
      <c r="M17" s="264">
        <f t="shared" si="6"/>
        <v>0</v>
      </c>
    </row>
    <row r="18" spans="1:13" ht="12.75">
      <c r="A18" s="255">
        <v>14</v>
      </c>
      <c r="B18" s="255" t="s">
        <v>129</v>
      </c>
      <c r="C18" s="256">
        <f>'[1]Table 3 Levels 1&amp;2'!AN21</f>
        <v>14441192</v>
      </c>
      <c r="D18" s="257">
        <f>'[3]Audit Adjustments'!F18</f>
        <v>6936</v>
      </c>
      <c r="E18" s="258">
        <f>'[3]Audit Adjustments'!G18</f>
        <v>0</v>
      </c>
      <c r="F18" s="259"/>
      <c r="G18" s="257">
        <f t="shared" si="1"/>
        <v>14448128</v>
      </c>
      <c r="H18" s="256">
        <f t="shared" si="2"/>
        <v>1204011</v>
      </c>
      <c r="I18" s="257">
        <f>'[2]Table 2A Revised Monthly Paymts'!BF20</f>
        <v>13856655</v>
      </c>
      <c r="J18" s="261">
        <f t="shared" si="3"/>
        <v>591473</v>
      </c>
      <c r="K18" s="262">
        <f t="shared" si="4"/>
        <v>591473</v>
      </c>
      <c r="L18" s="263">
        <f t="shared" si="5"/>
        <v>0</v>
      </c>
      <c r="M18" s="264">
        <f t="shared" si="6"/>
        <v>0</v>
      </c>
    </row>
    <row r="19" spans="1:13" ht="12.75">
      <c r="A19" s="265">
        <v>15</v>
      </c>
      <c r="B19" s="265" t="s">
        <v>130</v>
      </c>
      <c r="C19" s="266">
        <f>'[1]Table 3 Levels 1&amp;2'!AN22</f>
        <v>19575706</v>
      </c>
      <c r="D19" s="267">
        <f>'[3]Audit Adjustments'!F19</f>
        <v>17001</v>
      </c>
      <c r="E19" s="268">
        <f>'[3]Audit Adjustments'!G19</f>
        <v>0</v>
      </c>
      <c r="F19" s="269"/>
      <c r="G19" s="270">
        <f t="shared" si="1"/>
        <v>19592707</v>
      </c>
      <c r="H19" s="271">
        <f t="shared" si="2"/>
        <v>1632726</v>
      </c>
      <c r="I19" s="267">
        <f>'[2]Table 2A Revised Monthly Paymts'!BF21</f>
        <v>17360202</v>
      </c>
      <c r="J19" s="272">
        <f t="shared" si="3"/>
        <v>2232505</v>
      </c>
      <c r="K19" s="273">
        <f t="shared" si="4"/>
        <v>2232505</v>
      </c>
      <c r="L19" s="274">
        <f t="shared" si="5"/>
        <v>0</v>
      </c>
      <c r="M19" s="275">
        <f t="shared" si="6"/>
        <v>0</v>
      </c>
    </row>
    <row r="20" spans="1:13" ht="12.75">
      <c r="A20" s="255">
        <v>16</v>
      </c>
      <c r="B20" s="255" t="s">
        <v>131</v>
      </c>
      <c r="C20" s="256">
        <f>'[1]Table 3 Levels 1&amp;2'!AN23</f>
        <v>22057706</v>
      </c>
      <c r="D20" s="257">
        <f>'[3]Audit Adjustments'!F20</f>
        <v>0</v>
      </c>
      <c r="E20" s="258">
        <f>'[3]Audit Adjustments'!G20</f>
        <v>-37634</v>
      </c>
      <c r="F20" s="259"/>
      <c r="G20" s="257">
        <f t="shared" si="1"/>
        <v>22020072</v>
      </c>
      <c r="H20" s="256">
        <f t="shared" si="2"/>
        <v>1835006</v>
      </c>
      <c r="I20" s="257">
        <f>'[2]Table 2A Revised Monthly Paymts'!BF22</f>
        <v>20499337</v>
      </c>
      <c r="J20" s="261">
        <f t="shared" si="3"/>
        <v>1520735</v>
      </c>
      <c r="K20" s="262">
        <f t="shared" si="4"/>
        <v>1520735</v>
      </c>
      <c r="L20" s="263">
        <f t="shared" si="5"/>
        <v>0</v>
      </c>
      <c r="M20" s="264">
        <f t="shared" si="6"/>
        <v>0</v>
      </c>
    </row>
    <row r="21" spans="1:13" s="279" customFormat="1" ht="12.75">
      <c r="A21" s="255">
        <v>17</v>
      </c>
      <c r="B21" s="255" t="s">
        <v>132</v>
      </c>
      <c r="C21" s="256">
        <f>'[1]Table 3 Levels 1&amp;2'!AN24</f>
        <v>160665822</v>
      </c>
      <c r="D21" s="257">
        <f>'[3]Audit Adjustments'!F21</f>
        <v>0</v>
      </c>
      <c r="E21" s="258">
        <f>'[3]Audit Adjustments'!G21</f>
        <v>-2221851</v>
      </c>
      <c r="F21" s="259"/>
      <c r="G21" s="257">
        <f t="shared" si="1"/>
        <v>158443971</v>
      </c>
      <c r="H21" s="256">
        <f t="shared" si="2"/>
        <v>13203664</v>
      </c>
      <c r="I21" s="257">
        <f>'[2]Table 2A Revised Monthly Paymts'!BF23</f>
        <v>143467678</v>
      </c>
      <c r="J21" s="261">
        <f t="shared" si="3"/>
        <v>14976293</v>
      </c>
      <c r="K21" s="257">
        <f t="shared" si="4"/>
        <v>14976293</v>
      </c>
      <c r="L21" s="258">
        <f t="shared" si="5"/>
        <v>0</v>
      </c>
      <c r="M21" s="278">
        <f t="shared" si="6"/>
        <v>0</v>
      </c>
    </row>
    <row r="22" spans="1:13" ht="12.75">
      <c r="A22" s="255">
        <v>18</v>
      </c>
      <c r="B22" s="255" t="s">
        <v>133</v>
      </c>
      <c r="C22" s="256">
        <f>'[1]Table 3 Levels 1&amp;2'!AN25</f>
        <v>8225086</v>
      </c>
      <c r="D22" s="257">
        <f>'[3]Audit Adjustments'!F22</f>
        <v>18084</v>
      </c>
      <c r="E22" s="258">
        <f>'[3]Audit Adjustments'!G22</f>
        <v>0</v>
      </c>
      <c r="F22" s="259"/>
      <c r="G22" s="257">
        <f t="shared" si="1"/>
        <v>8243170</v>
      </c>
      <c r="H22" s="256">
        <f t="shared" si="2"/>
        <v>686931</v>
      </c>
      <c r="I22" s="257">
        <f>'[2]Table 2A Revised Monthly Paymts'!BF24</f>
        <v>8037152</v>
      </c>
      <c r="J22" s="261">
        <f t="shared" si="3"/>
        <v>206018</v>
      </c>
      <c r="K22" s="262">
        <f t="shared" si="4"/>
        <v>206018</v>
      </c>
      <c r="L22" s="263">
        <f t="shared" si="5"/>
        <v>0</v>
      </c>
      <c r="M22" s="264">
        <f t="shared" si="6"/>
        <v>0</v>
      </c>
    </row>
    <row r="23" spans="1:13" ht="12.75">
      <c r="A23" s="255">
        <v>19</v>
      </c>
      <c r="B23" s="255" t="s">
        <v>134</v>
      </c>
      <c r="C23" s="256">
        <f>'[1]Table 3 Levels 1&amp;2'!AN26</f>
        <v>11557558</v>
      </c>
      <c r="D23" s="257">
        <f>'[3]Audit Adjustments'!F23</f>
        <v>14737</v>
      </c>
      <c r="E23" s="258">
        <f>'[3]Audit Adjustments'!G23</f>
        <v>0</v>
      </c>
      <c r="F23" s="259"/>
      <c r="G23" s="257">
        <f t="shared" si="1"/>
        <v>11572295</v>
      </c>
      <c r="H23" s="256">
        <f t="shared" si="2"/>
        <v>964358</v>
      </c>
      <c r="I23" s="257">
        <f>'[2]Table 2A Revised Monthly Paymts'!BF25</f>
        <v>10968175</v>
      </c>
      <c r="J23" s="261">
        <f t="shared" si="3"/>
        <v>604120</v>
      </c>
      <c r="K23" s="262">
        <f t="shared" si="4"/>
        <v>604120</v>
      </c>
      <c r="L23" s="263">
        <f t="shared" si="5"/>
        <v>0</v>
      </c>
      <c r="M23" s="264">
        <f t="shared" si="6"/>
        <v>0</v>
      </c>
    </row>
    <row r="24" spans="1:13" ht="12.75">
      <c r="A24" s="265">
        <v>20</v>
      </c>
      <c r="B24" s="265" t="s">
        <v>135</v>
      </c>
      <c r="C24" s="266">
        <f>'[1]Table 3 Levels 1&amp;2'!AN27</f>
        <v>30628109</v>
      </c>
      <c r="D24" s="267">
        <f>'[3]Audit Adjustments'!F24</f>
        <v>42343</v>
      </c>
      <c r="E24" s="268">
        <f>'[3]Audit Adjustments'!G24</f>
        <v>0</v>
      </c>
      <c r="F24" s="269"/>
      <c r="G24" s="270">
        <f t="shared" si="1"/>
        <v>30670452</v>
      </c>
      <c r="H24" s="271">
        <f t="shared" si="2"/>
        <v>2555871</v>
      </c>
      <c r="I24" s="267">
        <f>'[2]Table 2A Revised Monthly Paymts'!BF26</f>
        <v>28520136</v>
      </c>
      <c r="J24" s="272">
        <f t="shared" si="3"/>
        <v>2150316</v>
      </c>
      <c r="K24" s="273">
        <f t="shared" si="4"/>
        <v>2150316</v>
      </c>
      <c r="L24" s="274">
        <f t="shared" si="5"/>
        <v>0</v>
      </c>
      <c r="M24" s="275">
        <f t="shared" si="6"/>
        <v>0</v>
      </c>
    </row>
    <row r="25" spans="1:13" ht="12.75">
      <c r="A25" s="255">
        <v>21</v>
      </c>
      <c r="B25" s="255" t="s">
        <v>136</v>
      </c>
      <c r="C25" s="256">
        <f>'[1]Table 3 Levels 1&amp;2'!AN28</f>
        <v>14913753</v>
      </c>
      <c r="D25" s="257">
        <f>'[3]Audit Adjustments'!F25</f>
        <v>0</v>
      </c>
      <c r="E25" s="258">
        <f>'[3]Audit Adjustments'!G25</f>
        <v>-93782</v>
      </c>
      <c r="F25" s="259"/>
      <c r="G25" s="257">
        <f t="shared" si="1"/>
        <v>14819971</v>
      </c>
      <c r="H25" s="256">
        <f t="shared" si="2"/>
        <v>1234998</v>
      </c>
      <c r="I25" s="257">
        <f>'[2]Table 2A Revised Monthly Paymts'!BF27</f>
        <v>15560541</v>
      </c>
      <c r="J25" s="261">
        <f t="shared" si="3"/>
        <v>-740570</v>
      </c>
      <c r="K25" s="262">
        <f t="shared" si="4"/>
        <v>0</v>
      </c>
      <c r="L25" s="263">
        <f t="shared" si="5"/>
        <v>-740570</v>
      </c>
      <c r="M25" s="264">
        <f t="shared" si="6"/>
        <v>-0.0476</v>
      </c>
    </row>
    <row r="26" spans="1:13" ht="12.75">
      <c r="A26" s="255">
        <v>22</v>
      </c>
      <c r="B26" s="255" t="s">
        <v>137</v>
      </c>
      <c r="C26" s="256">
        <f>'[1]Table 3 Levels 1&amp;2'!AN29</f>
        <v>19053758</v>
      </c>
      <c r="D26" s="257">
        <f>'[3]Audit Adjustments'!F26</f>
        <v>0</v>
      </c>
      <c r="E26" s="258">
        <f>'[3]Audit Adjustments'!G26</f>
        <v>-3174</v>
      </c>
      <c r="F26" s="259"/>
      <c r="G26" s="257">
        <f t="shared" si="1"/>
        <v>19050584</v>
      </c>
      <c r="H26" s="256">
        <f t="shared" si="2"/>
        <v>1587549</v>
      </c>
      <c r="I26" s="257">
        <f>'[2]Table 2A Revised Monthly Paymts'!BF28</f>
        <v>18152558</v>
      </c>
      <c r="J26" s="261">
        <f t="shared" si="3"/>
        <v>898026</v>
      </c>
      <c r="K26" s="262">
        <f t="shared" si="4"/>
        <v>898026</v>
      </c>
      <c r="L26" s="263">
        <f t="shared" si="5"/>
        <v>0</v>
      </c>
      <c r="M26" s="264">
        <f t="shared" si="6"/>
        <v>0</v>
      </c>
    </row>
    <row r="27" spans="1:13" ht="12.75">
      <c r="A27" s="255">
        <v>23</v>
      </c>
      <c r="B27" s="255" t="s">
        <v>138</v>
      </c>
      <c r="C27" s="256">
        <f>'[1]Table 3 Levels 1&amp;2'!AN30</f>
        <v>64021859</v>
      </c>
      <c r="D27" s="257">
        <f>'[3]Audit Adjustments'!F27</f>
        <v>19637</v>
      </c>
      <c r="E27" s="258">
        <f>'[3]Audit Adjustments'!G27</f>
        <v>0</v>
      </c>
      <c r="F27" s="259"/>
      <c r="G27" s="257">
        <f t="shared" si="1"/>
        <v>64041496</v>
      </c>
      <c r="H27" s="256">
        <f t="shared" si="2"/>
        <v>5336791</v>
      </c>
      <c r="I27" s="257">
        <f>'[2]Table 2A Revised Monthly Paymts'!BF29</f>
        <v>60030315</v>
      </c>
      <c r="J27" s="261">
        <f t="shared" si="3"/>
        <v>4011181</v>
      </c>
      <c r="K27" s="262">
        <f t="shared" si="4"/>
        <v>4011181</v>
      </c>
      <c r="L27" s="263">
        <f t="shared" si="5"/>
        <v>0</v>
      </c>
      <c r="M27" s="264">
        <f t="shared" si="6"/>
        <v>0</v>
      </c>
    </row>
    <row r="28" spans="1:13" ht="12.75">
      <c r="A28" s="255">
        <v>24</v>
      </c>
      <c r="B28" s="255" t="s">
        <v>139</v>
      </c>
      <c r="C28" s="256">
        <f>'[1]Table 3 Levels 1&amp;2'!AN31</f>
        <v>13257342</v>
      </c>
      <c r="D28" s="257">
        <f>'[3]Audit Adjustments'!F28</f>
        <v>33263</v>
      </c>
      <c r="E28" s="258">
        <f>'[3]Audit Adjustments'!G28</f>
        <v>0</v>
      </c>
      <c r="F28" s="259"/>
      <c r="G28" s="257">
        <f t="shared" si="1"/>
        <v>13290605</v>
      </c>
      <c r="H28" s="256">
        <f t="shared" si="2"/>
        <v>1107550</v>
      </c>
      <c r="I28" s="257">
        <f>'[2]Table 2A Revised Monthly Paymts'!BF30</f>
        <v>12304274</v>
      </c>
      <c r="J28" s="261">
        <f t="shared" si="3"/>
        <v>986331</v>
      </c>
      <c r="K28" s="262">
        <f t="shared" si="4"/>
        <v>986331</v>
      </c>
      <c r="L28" s="263">
        <f t="shared" si="5"/>
        <v>0</v>
      </c>
      <c r="M28" s="264">
        <f t="shared" si="6"/>
        <v>0</v>
      </c>
    </row>
    <row r="29" spans="1:13" ht="12.75">
      <c r="A29" s="265">
        <v>25</v>
      </c>
      <c r="B29" s="265" t="s">
        <v>140</v>
      </c>
      <c r="C29" s="266">
        <f>'[1]Table 3 Levels 1&amp;2'!AN32</f>
        <v>8708569</v>
      </c>
      <c r="D29" s="267">
        <f>'[3]Audit Adjustments'!F29</f>
        <v>0</v>
      </c>
      <c r="E29" s="268">
        <f>'[3]Audit Adjustments'!G29</f>
        <v>-5045</v>
      </c>
      <c r="F29" s="269"/>
      <c r="G29" s="270">
        <f t="shared" si="1"/>
        <v>8703524</v>
      </c>
      <c r="H29" s="271">
        <f t="shared" si="2"/>
        <v>725294</v>
      </c>
      <c r="I29" s="267">
        <f>'[2]Table 2A Revised Monthly Paymts'!BF31</f>
        <v>9775512</v>
      </c>
      <c r="J29" s="272">
        <f t="shared" si="3"/>
        <v>-1071988</v>
      </c>
      <c r="K29" s="273">
        <f t="shared" si="4"/>
        <v>0</v>
      </c>
      <c r="L29" s="274">
        <f t="shared" si="5"/>
        <v>-1071988</v>
      </c>
      <c r="M29" s="275">
        <f t="shared" si="6"/>
        <v>-0.1097</v>
      </c>
    </row>
    <row r="30" spans="1:13" ht="12.75">
      <c r="A30" s="255">
        <v>26</v>
      </c>
      <c r="B30" s="255" t="s">
        <v>141</v>
      </c>
      <c r="C30" s="256">
        <f>'[1]Table 3 Levels 1&amp;2'!AN33</f>
        <v>138199320</v>
      </c>
      <c r="D30" s="257">
        <f>'[3]Audit Adjustments'!F30</f>
        <v>0</v>
      </c>
      <c r="E30" s="258">
        <f>'[3]Audit Adjustments'!G30</f>
        <v>-472038</v>
      </c>
      <c r="F30" s="259"/>
      <c r="G30" s="257">
        <f t="shared" si="1"/>
        <v>137727282</v>
      </c>
      <c r="H30" s="280">
        <f t="shared" si="2"/>
        <v>11477274</v>
      </c>
      <c r="I30" s="257">
        <f>'[2]Table 2A Revised Monthly Paymts'!BF32</f>
        <v>140456886</v>
      </c>
      <c r="J30" s="261">
        <f t="shared" si="3"/>
        <v>-2729604</v>
      </c>
      <c r="K30" s="257">
        <f t="shared" si="4"/>
        <v>0</v>
      </c>
      <c r="L30" s="258">
        <f t="shared" si="5"/>
        <v>-2729604</v>
      </c>
      <c r="M30" s="278">
        <f t="shared" si="6"/>
        <v>-0.0194</v>
      </c>
    </row>
    <row r="31" spans="1:13" ht="12.75">
      <c r="A31" s="255">
        <v>27</v>
      </c>
      <c r="B31" s="255" t="s">
        <v>142</v>
      </c>
      <c r="C31" s="256">
        <f>'[1]Table 3 Levels 1&amp;2'!AN34</f>
        <v>29813403</v>
      </c>
      <c r="D31" s="257">
        <f>'[3]Audit Adjustments'!F31</f>
        <v>16747</v>
      </c>
      <c r="E31" s="258">
        <f>'[3]Audit Adjustments'!G31</f>
        <v>0</v>
      </c>
      <c r="F31" s="259"/>
      <c r="G31" s="257">
        <f t="shared" si="1"/>
        <v>29830150</v>
      </c>
      <c r="H31" s="256">
        <f t="shared" si="2"/>
        <v>2485846</v>
      </c>
      <c r="I31" s="257">
        <f>'[2]Table 2A Revised Monthly Paymts'!BF33</f>
        <v>28385684</v>
      </c>
      <c r="J31" s="261">
        <f t="shared" si="3"/>
        <v>1444466</v>
      </c>
      <c r="K31" s="262">
        <f t="shared" si="4"/>
        <v>1444466</v>
      </c>
      <c r="L31" s="263">
        <f t="shared" si="5"/>
        <v>0</v>
      </c>
      <c r="M31" s="264">
        <f t="shared" si="6"/>
        <v>0</v>
      </c>
    </row>
    <row r="32" spans="1:13" ht="12.75">
      <c r="A32" s="255">
        <v>28</v>
      </c>
      <c r="B32" s="255" t="s">
        <v>143</v>
      </c>
      <c r="C32" s="256">
        <f>'[1]Table 3 Levels 1&amp;2'!AN35</f>
        <v>92267632</v>
      </c>
      <c r="D32" s="257">
        <f>'[3]Audit Adjustments'!F32</f>
        <v>69918</v>
      </c>
      <c r="E32" s="258">
        <f>'[3]Audit Adjustments'!G32</f>
        <v>0</v>
      </c>
      <c r="F32" s="259"/>
      <c r="G32" s="257">
        <f t="shared" si="1"/>
        <v>92337550</v>
      </c>
      <c r="H32" s="256">
        <f t="shared" si="2"/>
        <v>7694796</v>
      </c>
      <c r="I32" s="257">
        <f>'[2]Table 2A Revised Monthly Paymts'!BF34</f>
        <v>92028417</v>
      </c>
      <c r="J32" s="261">
        <f t="shared" si="3"/>
        <v>309133</v>
      </c>
      <c r="K32" s="262">
        <f t="shared" si="4"/>
        <v>309133</v>
      </c>
      <c r="L32" s="263">
        <f t="shared" si="5"/>
        <v>0</v>
      </c>
      <c r="M32" s="264">
        <f t="shared" si="6"/>
        <v>0</v>
      </c>
    </row>
    <row r="33" spans="1:13" ht="12.75">
      <c r="A33" s="255">
        <v>29</v>
      </c>
      <c r="B33" s="255" t="s">
        <v>144</v>
      </c>
      <c r="C33" s="256">
        <f>'[1]Table 3 Levels 1&amp;2'!AN36</f>
        <v>61821495</v>
      </c>
      <c r="D33" s="257">
        <f>'[3]Audit Adjustments'!F33</f>
        <v>52918</v>
      </c>
      <c r="E33" s="258">
        <f>'[3]Audit Adjustments'!G33</f>
        <v>0</v>
      </c>
      <c r="F33" s="259"/>
      <c r="G33" s="257">
        <f t="shared" si="1"/>
        <v>61874413</v>
      </c>
      <c r="H33" s="256">
        <f t="shared" si="2"/>
        <v>5156201</v>
      </c>
      <c r="I33" s="257">
        <f>'[2]Table 2A Revised Monthly Paymts'!BF35</f>
        <v>59705222</v>
      </c>
      <c r="J33" s="261">
        <f t="shared" si="3"/>
        <v>2169191</v>
      </c>
      <c r="K33" s="262">
        <f t="shared" si="4"/>
        <v>2169191</v>
      </c>
      <c r="L33" s="263">
        <f t="shared" si="5"/>
        <v>0</v>
      </c>
      <c r="M33" s="264">
        <f t="shared" si="6"/>
        <v>0</v>
      </c>
    </row>
    <row r="34" spans="1:13" ht="12.75">
      <c r="A34" s="265">
        <v>30</v>
      </c>
      <c r="B34" s="265" t="s">
        <v>145</v>
      </c>
      <c r="C34" s="266">
        <f>'[1]Table 3 Levels 1&amp;2'!AN37</f>
        <v>12989253</v>
      </c>
      <c r="D34" s="267">
        <f>'[3]Audit Adjustments'!F34</f>
        <v>0</v>
      </c>
      <c r="E34" s="268">
        <f>'[3]Audit Adjustments'!G34</f>
        <v>-45216</v>
      </c>
      <c r="F34" s="269"/>
      <c r="G34" s="270">
        <f t="shared" si="1"/>
        <v>12944037</v>
      </c>
      <c r="H34" s="271">
        <f t="shared" si="2"/>
        <v>1078670</v>
      </c>
      <c r="I34" s="267">
        <f>'[2]Table 2A Revised Monthly Paymts'!BF36</f>
        <v>11966414</v>
      </c>
      <c r="J34" s="272">
        <f t="shared" si="3"/>
        <v>977623</v>
      </c>
      <c r="K34" s="273">
        <f t="shared" si="4"/>
        <v>977623</v>
      </c>
      <c r="L34" s="274">
        <f t="shared" si="5"/>
        <v>0</v>
      </c>
      <c r="M34" s="275">
        <f t="shared" si="6"/>
        <v>0</v>
      </c>
    </row>
    <row r="35" spans="1:13" ht="12.75">
      <c r="A35" s="255">
        <v>31</v>
      </c>
      <c r="B35" s="255" t="s">
        <v>146</v>
      </c>
      <c r="C35" s="256">
        <f>'[1]Table 3 Levels 1&amp;2'!AN38</f>
        <v>28614834</v>
      </c>
      <c r="D35" s="257">
        <f>'[3]Audit Adjustments'!F35</f>
        <v>40826</v>
      </c>
      <c r="E35" s="258">
        <f>'[3]Audit Adjustments'!G35</f>
        <v>0</v>
      </c>
      <c r="F35" s="259"/>
      <c r="G35" s="257">
        <f t="shared" si="1"/>
        <v>28655660</v>
      </c>
      <c r="H35" s="256">
        <f t="shared" si="2"/>
        <v>2387972</v>
      </c>
      <c r="I35" s="257">
        <f>'[2]Table 2A Revised Monthly Paymts'!BF37</f>
        <v>24833603</v>
      </c>
      <c r="J35" s="261">
        <f t="shared" si="3"/>
        <v>3822057</v>
      </c>
      <c r="K35" s="262">
        <f t="shared" si="4"/>
        <v>3822057</v>
      </c>
      <c r="L35" s="263">
        <f t="shared" si="5"/>
        <v>0</v>
      </c>
      <c r="M35" s="264">
        <f t="shared" si="6"/>
        <v>0</v>
      </c>
    </row>
    <row r="36" spans="1:13" ht="12.75">
      <c r="A36" s="255">
        <v>32</v>
      </c>
      <c r="B36" s="255" t="s">
        <v>147</v>
      </c>
      <c r="C36" s="256">
        <f>'[1]Table 3 Levels 1&amp;2'!AN39</f>
        <v>107867389</v>
      </c>
      <c r="D36" s="257">
        <f>'[3]Audit Adjustments'!F36</f>
        <v>0</v>
      </c>
      <c r="E36" s="258">
        <f>'[3]Audit Adjustments'!G36</f>
        <v>-72098</v>
      </c>
      <c r="F36" s="259"/>
      <c r="G36" s="257">
        <f t="shared" si="1"/>
        <v>107795291</v>
      </c>
      <c r="H36" s="256">
        <f t="shared" si="2"/>
        <v>8982941</v>
      </c>
      <c r="I36" s="257">
        <f>'[2]Table 2A Revised Monthly Paymts'!BF38</f>
        <v>99906686</v>
      </c>
      <c r="J36" s="261">
        <f t="shared" si="3"/>
        <v>7888605</v>
      </c>
      <c r="K36" s="262">
        <f t="shared" si="4"/>
        <v>7888605</v>
      </c>
      <c r="L36" s="263">
        <f t="shared" si="5"/>
        <v>0</v>
      </c>
      <c r="M36" s="264">
        <f t="shared" si="6"/>
        <v>0</v>
      </c>
    </row>
    <row r="37" spans="1:13" ht="12.75">
      <c r="A37" s="255">
        <v>33</v>
      </c>
      <c r="B37" s="255" t="s">
        <v>148</v>
      </c>
      <c r="C37" s="256">
        <f>'[1]Table 3 Levels 1&amp;2'!AN40</f>
        <v>10716892</v>
      </c>
      <c r="D37" s="257">
        <f>'[3]Audit Adjustments'!F37</f>
        <v>0</v>
      </c>
      <c r="E37" s="258">
        <f>'[3]Audit Adjustments'!G37</f>
        <v>-95084</v>
      </c>
      <c r="F37" s="259"/>
      <c r="G37" s="257">
        <f aca="true" t="shared" si="7" ref="G37:G68">ROUND(SUM(C37:F37),0)</f>
        <v>10621808</v>
      </c>
      <c r="H37" s="256">
        <f aca="true" t="shared" si="8" ref="H37:H68">ROUND(G37/12,0)</f>
        <v>885151</v>
      </c>
      <c r="I37" s="257">
        <f>'[2]Table 2A Revised Monthly Paymts'!BF39</f>
        <v>10057407</v>
      </c>
      <c r="J37" s="261">
        <f aca="true" t="shared" si="9" ref="J37:J68">G37-I37</f>
        <v>564401</v>
      </c>
      <c r="K37" s="262">
        <f aca="true" t="shared" si="10" ref="K37:K68">IF(J37&gt;0,J37,0)</f>
        <v>564401</v>
      </c>
      <c r="L37" s="263">
        <f aca="true" t="shared" si="11" ref="L37:L72">IF(J37&lt;0,J37,0)</f>
        <v>0</v>
      </c>
      <c r="M37" s="264">
        <f aca="true" t="shared" si="12" ref="M37:M68">ROUND(L37/I37,4)</f>
        <v>0</v>
      </c>
    </row>
    <row r="38" spans="1:13" ht="12.75">
      <c r="A38" s="255">
        <v>34</v>
      </c>
      <c r="B38" s="255" t="s">
        <v>149</v>
      </c>
      <c r="C38" s="256">
        <f>'[1]Table 3 Levels 1&amp;2'!AN41</f>
        <v>23732155</v>
      </c>
      <c r="D38" s="257">
        <f>'[3]Audit Adjustments'!F38</f>
        <v>32932</v>
      </c>
      <c r="E38" s="258">
        <f>'[3]Audit Adjustments'!G38</f>
        <v>0</v>
      </c>
      <c r="F38" s="259"/>
      <c r="G38" s="257">
        <f t="shared" si="7"/>
        <v>23765087</v>
      </c>
      <c r="H38" s="256">
        <f t="shared" si="8"/>
        <v>1980424</v>
      </c>
      <c r="I38" s="257">
        <f>'[2]Table 2A Revised Monthly Paymts'!BF40</f>
        <v>22964267</v>
      </c>
      <c r="J38" s="261">
        <f t="shared" si="9"/>
        <v>800820</v>
      </c>
      <c r="K38" s="262">
        <f t="shared" si="10"/>
        <v>800820</v>
      </c>
      <c r="L38" s="263">
        <f t="shared" si="11"/>
        <v>0</v>
      </c>
      <c r="M38" s="264">
        <f t="shared" si="12"/>
        <v>0</v>
      </c>
    </row>
    <row r="39" spans="1:13" ht="12.75">
      <c r="A39" s="265">
        <v>35</v>
      </c>
      <c r="B39" s="265" t="s">
        <v>150</v>
      </c>
      <c r="C39" s="266">
        <f>'[1]Table 3 Levels 1&amp;2'!AN42</f>
        <v>30015507</v>
      </c>
      <c r="D39" s="267">
        <f>'[3]Audit Adjustments'!F39</f>
        <v>0</v>
      </c>
      <c r="E39" s="268">
        <f>'[3]Audit Adjustments'!G39</f>
        <v>-26432</v>
      </c>
      <c r="F39" s="269"/>
      <c r="G39" s="270">
        <f t="shared" si="7"/>
        <v>29989075</v>
      </c>
      <c r="H39" s="271">
        <f t="shared" si="8"/>
        <v>2499090</v>
      </c>
      <c r="I39" s="267">
        <f>'[2]Table 2A Revised Monthly Paymts'!BF41</f>
        <v>27623891</v>
      </c>
      <c r="J39" s="272">
        <f t="shared" si="9"/>
        <v>2365184</v>
      </c>
      <c r="K39" s="273">
        <f t="shared" si="10"/>
        <v>2365184</v>
      </c>
      <c r="L39" s="274">
        <f t="shared" si="11"/>
        <v>0</v>
      </c>
      <c r="M39" s="275">
        <f t="shared" si="12"/>
        <v>0</v>
      </c>
    </row>
    <row r="40" spans="1:13" ht="12.75">
      <c r="A40" s="255">
        <v>36</v>
      </c>
      <c r="B40" s="255" t="s">
        <v>68</v>
      </c>
      <c r="C40" s="256">
        <f>'[1]Table 3 Levels 1&amp;2'!AN43</f>
        <v>80671395</v>
      </c>
      <c r="D40" s="257">
        <f>'[3]Audit Adjustments'!F40</f>
        <v>0</v>
      </c>
      <c r="E40" s="258">
        <f>'[3]Audit Adjustments'!G40</f>
        <v>-885136</v>
      </c>
      <c r="F40" s="281">
        <f>-'[1]Table 5B RSD'!C17</f>
        <v>-50678814</v>
      </c>
      <c r="G40" s="257">
        <f t="shared" si="7"/>
        <v>29107445</v>
      </c>
      <c r="H40" s="256">
        <f t="shared" si="8"/>
        <v>2425620</v>
      </c>
      <c r="I40" s="257">
        <f>'[2]Table 2A Revised Monthly Paymts'!BF42</f>
        <v>101252128.66666667</v>
      </c>
      <c r="J40" s="261">
        <f t="shared" si="9"/>
        <v>-72144683.66666667</v>
      </c>
      <c r="K40" s="262">
        <f t="shared" si="10"/>
        <v>0</v>
      </c>
      <c r="L40" s="263">
        <f t="shared" si="11"/>
        <v>-72144683.66666667</v>
      </c>
      <c r="M40" s="264">
        <f t="shared" si="12"/>
        <v>-0.7125</v>
      </c>
    </row>
    <row r="41" spans="1:13" ht="12.75">
      <c r="A41" s="255">
        <v>37</v>
      </c>
      <c r="B41" s="255" t="s">
        <v>151</v>
      </c>
      <c r="C41" s="256">
        <f>'[1]Table 3 Levels 1&amp;2'!AN44</f>
        <v>89122797</v>
      </c>
      <c r="D41" s="257">
        <f>'[3]Audit Adjustments'!F41</f>
        <v>0</v>
      </c>
      <c r="E41" s="258">
        <f>'[3]Audit Adjustments'!G41</f>
        <v>-287207</v>
      </c>
      <c r="F41" s="259"/>
      <c r="G41" s="257">
        <f t="shared" si="7"/>
        <v>88835590</v>
      </c>
      <c r="H41" s="256">
        <f t="shared" si="8"/>
        <v>7402966</v>
      </c>
      <c r="I41" s="257">
        <f>'[2]Table 2A Revised Monthly Paymts'!BF43</f>
        <v>83400312</v>
      </c>
      <c r="J41" s="261">
        <f t="shared" si="9"/>
        <v>5435278</v>
      </c>
      <c r="K41" s="262">
        <f t="shared" si="10"/>
        <v>5435278</v>
      </c>
      <c r="L41" s="263">
        <f t="shared" si="11"/>
        <v>0</v>
      </c>
      <c r="M41" s="264">
        <f t="shared" si="12"/>
        <v>0</v>
      </c>
    </row>
    <row r="42" spans="1:13" ht="12.75">
      <c r="A42" s="255">
        <v>38</v>
      </c>
      <c r="B42" s="255" t="s">
        <v>152</v>
      </c>
      <c r="C42" s="256">
        <f>'[1]Table 3 Levels 1&amp;2'!AN45</f>
        <v>9216749</v>
      </c>
      <c r="D42" s="257">
        <f>'[3]Audit Adjustments'!F42</f>
        <v>9033</v>
      </c>
      <c r="E42" s="258">
        <f>'[3]Audit Adjustments'!G42</f>
        <v>0</v>
      </c>
      <c r="F42" s="259"/>
      <c r="G42" s="257">
        <f t="shared" si="7"/>
        <v>9225782</v>
      </c>
      <c r="H42" s="256">
        <f t="shared" si="8"/>
        <v>768815</v>
      </c>
      <c r="I42" s="257">
        <f>'[2]Table 2A Revised Monthly Paymts'!BF44</f>
        <v>12655641.666666666</v>
      </c>
      <c r="J42" s="261">
        <f t="shared" si="9"/>
        <v>-3429859.666666666</v>
      </c>
      <c r="K42" s="257">
        <f t="shared" si="10"/>
        <v>0</v>
      </c>
      <c r="L42" s="258">
        <f t="shared" si="11"/>
        <v>-3429859.666666666</v>
      </c>
      <c r="M42" s="278">
        <f t="shared" si="12"/>
        <v>-0.271</v>
      </c>
    </row>
    <row r="43" spans="1:13" ht="12.75">
      <c r="A43" s="255">
        <v>39</v>
      </c>
      <c r="B43" s="255" t="s">
        <v>153</v>
      </c>
      <c r="C43" s="256">
        <f>'[1]Table 3 Levels 1&amp;2'!AN46</f>
        <v>9549067</v>
      </c>
      <c r="D43" s="257">
        <f>'[3]Audit Adjustments'!F43</f>
        <v>26331</v>
      </c>
      <c r="E43" s="258">
        <f>'[3]Audit Adjustments'!G43</f>
        <v>0</v>
      </c>
      <c r="F43" s="259"/>
      <c r="G43" s="257">
        <f t="shared" si="7"/>
        <v>9575398</v>
      </c>
      <c r="H43" s="256">
        <f t="shared" si="8"/>
        <v>797950</v>
      </c>
      <c r="I43" s="257">
        <f>'[2]Table 2A Revised Monthly Paymts'!BF45</f>
        <v>10036954</v>
      </c>
      <c r="J43" s="261">
        <f t="shared" si="9"/>
        <v>-461556</v>
      </c>
      <c r="K43" s="262">
        <f t="shared" si="10"/>
        <v>0</v>
      </c>
      <c r="L43" s="263">
        <f t="shared" si="11"/>
        <v>-461556</v>
      </c>
      <c r="M43" s="264">
        <f t="shared" si="12"/>
        <v>-0.046</v>
      </c>
    </row>
    <row r="44" spans="1:13" ht="12.75">
      <c r="A44" s="265">
        <v>40</v>
      </c>
      <c r="B44" s="265" t="s">
        <v>154</v>
      </c>
      <c r="C44" s="266">
        <f>'[1]Table 3 Levels 1&amp;2'!AN47</f>
        <v>100151996</v>
      </c>
      <c r="D44" s="267">
        <f>'[3]Audit Adjustments'!F44</f>
        <v>0</v>
      </c>
      <c r="E44" s="268">
        <f>'[3]Audit Adjustments'!G44</f>
        <v>-31920</v>
      </c>
      <c r="F44" s="269"/>
      <c r="G44" s="270">
        <f t="shared" si="7"/>
        <v>100120076</v>
      </c>
      <c r="H44" s="271">
        <f t="shared" si="8"/>
        <v>8343340</v>
      </c>
      <c r="I44" s="267">
        <f>'[2]Table 2A Revised Monthly Paymts'!BF46</f>
        <v>92109741</v>
      </c>
      <c r="J44" s="272">
        <f t="shared" si="9"/>
        <v>8010335</v>
      </c>
      <c r="K44" s="273">
        <f t="shared" si="10"/>
        <v>8010335</v>
      </c>
      <c r="L44" s="274">
        <f t="shared" si="11"/>
        <v>0</v>
      </c>
      <c r="M44" s="275">
        <f t="shared" si="12"/>
        <v>0</v>
      </c>
    </row>
    <row r="45" spans="1:13" ht="12.75">
      <c r="A45" s="255">
        <v>41</v>
      </c>
      <c r="B45" s="255" t="s">
        <v>155</v>
      </c>
      <c r="C45" s="256">
        <f>'[1]Table 3 Levels 1&amp;2'!AN48</f>
        <v>9139803</v>
      </c>
      <c r="D45" s="257">
        <f>'[3]Audit Adjustments'!F45</f>
        <v>0</v>
      </c>
      <c r="E45" s="258">
        <f>'[3]Audit Adjustments'!G45</f>
        <v>-2616</v>
      </c>
      <c r="F45" s="259"/>
      <c r="G45" s="257">
        <f t="shared" si="7"/>
        <v>9137187</v>
      </c>
      <c r="H45" s="256">
        <f t="shared" si="8"/>
        <v>761432</v>
      </c>
      <c r="I45" s="257">
        <f>'[2]Table 2A Revised Monthly Paymts'!BF47</f>
        <v>8826805</v>
      </c>
      <c r="J45" s="261">
        <f t="shared" si="9"/>
        <v>310382</v>
      </c>
      <c r="K45" s="262">
        <f t="shared" si="10"/>
        <v>310382</v>
      </c>
      <c r="L45" s="263">
        <f t="shared" si="11"/>
        <v>0</v>
      </c>
      <c r="M45" s="264">
        <f t="shared" si="12"/>
        <v>0</v>
      </c>
    </row>
    <row r="46" spans="1:13" ht="12.75">
      <c r="A46" s="255">
        <v>42</v>
      </c>
      <c r="B46" s="255" t="s">
        <v>156</v>
      </c>
      <c r="C46" s="256">
        <f>'[1]Table 3 Levels 1&amp;2'!AN49</f>
        <v>16912056</v>
      </c>
      <c r="D46" s="257">
        <f>'[3]Audit Adjustments'!F46</f>
        <v>18772</v>
      </c>
      <c r="E46" s="258">
        <f>'[3]Audit Adjustments'!G46</f>
        <v>0</v>
      </c>
      <c r="F46" s="259"/>
      <c r="G46" s="257">
        <f t="shared" si="7"/>
        <v>16930828</v>
      </c>
      <c r="H46" s="256">
        <f t="shared" si="8"/>
        <v>1410902</v>
      </c>
      <c r="I46" s="257">
        <f>'[2]Table 2A Revised Monthly Paymts'!BF48</f>
        <v>16636059</v>
      </c>
      <c r="J46" s="261">
        <f t="shared" si="9"/>
        <v>294769</v>
      </c>
      <c r="K46" s="262">
        <f t="shared" si="10"/>
        <v>294769</v>
      </c>
      <c r="L46" s="263">
        <f t="shared" si="11"/>
        <v>0</v>
      </c>
      <c r="M46" s="264">
        <f t="shared" si="12"/>
        <v>0</v>
      </c>
    </row>
    <row r="47" spans="1:13" ht="12.75">
      <c r="A47" s="255">
        <v>43</v>
      </c>
      <c r="B47" s="255" t="s">
        <v>157</v>
      </c>
      <c r="C47" s="256">
        <f>'[1]Table 3 Levels 1&amp;2'!AN50</f>
        <v>20138932</v>
      </c>
      <c r="D47" s="257">
        <f>'[3]Audit Adjustments'!F47</f>
        <v>13469</v>
      </c>
      <c r="E47" s="258">
        <f>'[3]Audit Adjustments'!G47</f>
        <v>0</v>
      </c>
      <c r="F47" s="259"/>
      <c r="G47" s="257">
        <f t="shared" si="7"/>
        <v>20152401</v>
      </c>
      <c r="H47" s="256">
        <f t="shared" si="8"/>
        <v>1679367</v>
      </c>
      <c r="I47" s="257">
        <f>'[2]Table 2A Revised Monthly Paymts'!BF49</f>
        <v>19362842</v>
      </c>
      <c r="J47" s="261">
        <f t="shared" si="9"/>
        <v>789559</v>
      </c>
      <c r="K47" s="262">
        <f t="shared" si="10"/>
        <v>789559</v>
      </c>
      <c r="L47" s="263">
        <f t="shared" si="11"/>
        <v>0</v>
      </c>
      <c r="M47" s="264">
        <f t="shared" si="12"/>
        <v>0</v>
      </c>
    </row>
    <row r="48" spans="1:13" ht="12.75">
      <c r="A48" s="255">
        <v>44</v>
      </c>
      <c r="B48" s="255" t="s">
        <v>158</v>
      </c>
      <c r="C48" s="256">
        <f>'[1]Table 3 Levels 1&amp;2'!AN51</f>
        <v>12784072</v>
      </c>
      <c r="D48" s="257">
        <f>'[3]Audit Adjustments'!F48</f>
        <v>0</v>
      </c>
      <c r="E48" s="258">
        <f>'[3]Audit Adjustments'!G48</f>
        <v>-25058</v>
      </c>
      <c r="F48" s="259"/>
      <c r="G48" s="257">
        <f t="shared" si="7"/>
        <v>12759014</v>
      </c>
      <c r="H48" s="256">
        <f t="shared" si="8"/>
        <v>1063251</v>
      </c>
      <c r="I48" s="257">
        <f>'[2]Table 2A Revised Monthly Paymts'!BF50</f>
        <v>19561800.666666668</v>
      </c>
      <c r="J48" s="261">
        <f t="shared" si="9"/>
        <v>-6802786.666666668</v>
      </c>
      <c r="K48" s="262">
        <f t="shared" si="10"/>
        <v>0</v>
      </c>
      <c r="L48" s="263">
        <f t="shared" si="11"/>
        <v>-6802786.666666668</v>
      </c>
      <c r="M48" s="264">
        <f t="shared" si="12"/>
        <v>-0.3478</v>
      </c>
    </row>
    <row r="49" spans="1:13" ht="12.75">
      <c r="A49" s="265">
        <v>45</v>
      </c>
      <c r="B49" s="265" t="s">
        <v>159</v>
      </c>
      <c r="C49" s="266">
        <f>'[1]Table 3 Levels 1&amp;2'!AN52</f>
        <v>28267378</v>
      </c>
      <c r="D49" s="267">
        <f>'[3]Audit Adjustments'!F49</f>
        <v>85741</v>
      </c>
      <c r="E49" s="268">
        <f>'[3]Audit Adjustments'!G49</f>
        <v>0</v>
      </c>
      <c r="F49" s="269"/>
      <c r="G49" s="270">
        <f t="shared" si="7"/>
        <v>28353119</v>
      </c>
      <c r="H49" s="271">
        <f t="shared" si="8"/>
        <v>2362760</v>
      </c>
      <c r="I49" s="267">
        <f>'[2]Table 2A Revised Monthly Paymts'!BF51</f>
        <v>26201585</v>
      </c>
      <c r="J49" s="272">
        <f t="shared" si="9"/>
        <v>2151534</v>
      </c>
      <c r="K49" s="273">
        <f t="shared" si="10"/>
        <v>2151534</v>
      </c>
      <c r="L49" s="274">
        <f t="shared" si="11"/>
        <v>0</v>
      </c>
      <c r="M49" s="275">
        <f t="shared" si="12"/>
        <v>0</v>
      </c>
    </row>
    <row r="50" spans="1:13" s="279" customFormat="1" ht="12.75">
      <c r="A50" s="255">
        <v>46</v>
      </c>
      <c r="B50" s="255" t="s">
        <v>160</v>
      </c>
      <c r="C50" s="256">
        <f>'[1]Table 3 Levels 1&amp;2'!AN53</f>
        <v>7713437</v>
      </c>
      <c r="D50" s="257">
        <f>'[3]Audit Adjustments'!F50</f>
        <v>0</v>
      </c>
      <c r="E50" s="258">
        <f>'[3]Audit Adjustments'!G50</f>
        <v>-56037</v>
      </c>
      <c r="F50" s="259"/>
      <c r="G50" s="257">
        <f t="shared" si="7"/>
        <v>7657400</v>
      </c>
      <c r="H50" s="256">
        <f t="shared" si="8"/>
        <v>638117</v>
      </c>
      <c r="I50" s="257">
        <f>'[2]Table 2A Revised Monthly Paymts'!BF52</f>
        <v>6760848</v>
      </c>
      <c r="J50" s="261">
        <f t="shared" si="9"/>
        <v>896552</v>
      </c>
      <c r="K50" s="257">
        <f t="shared" si="10"/>
        <v>896552</v>
      </c>
      <c r="L50" s="258">
        <f t="shared" si="11"/>
        <v>0</v>
      </c>
      <c r="M50" s="278">
        <f t="shared" si="12"/>
        <v>0</v>
      </c>
    </row>
    <row r="51" spans="1:13" ht="12.75">
      <c r="A51" s="255">
        <v>47</v>
      </c>
      <c r="B51" s="255" t="s">
        <v>161</v>
      </c>
      <c r="C51" s="256">
        <f>'[1]Table 3 Levels 1&amp;2'!AN54</f>
        <v>15593397</v>
      </c>
      <c r="D51" s="257">
        <f>'[3]Audit Adjustments'!F51</f>
        <v>24532</v>
      </c>
      <c r="E51" s="258">
        <f>'[3]Audit Adjustments'!G51</f>
        <v>0</v>
      </c>
      <c r="F51" s="259"/>
      <c r="G51" s="257">
        <f t="shared" si="7"/>
        <v>15617929</v>
      </c>
      <c r="H51" s="256">
        <f t="shared" si="8"/>
        <v>1301494</v>
      </c>
      <c r="I51" s="257">
        <f>'[2]Table 2A Revised Monthly Paymts'!BF53</f>
        <v>13868257</v>
      </c>
      <c r="J51" s="261">
        <f t="shared" si="9"/>
        <v>1749672</v>
      </c>
      <c r="K51" s="262">
        <f t="shared" si="10"/>
        <v>1749672</v>
      </c>
      <c r="L51" s="263">
        <f t="shared" si="11"/>
        <v>0</v>
      </c>
      <c r="M51" s="264">
        <f t="shared" si="12"/>
        <v>0</v>
      </c>
    </row>
    <row r="52" spans="1:13" ht="12.75">
      <c r="A52" s="255">
        <v>48</v>
      </c>
      <c r="B52" s="255" t="s">
        <v>162</v>
      </c>
      <c r="C52" s="256">
        <f>'[1]Table 3 Levels 1&amp;2'!AN55</f>
        <v>31489644</v>
      </c>
      <c r="D52" s="257">
        <f>'[3]Audit Adjustments'!F52</f>
        <v>17391</v>
      </c>
      <c r="E52" s="258">
        <f>'[3]Audit Adjustments'!G52</f>
        <v>0</v>
      </c>
      <c r="F52" s="259"/>
      <c r="G52" s="257">
        <f t="shared" si="7"/>
        <v>31507035</v>
      </c>
      <c r="H52" s="256">
        <f t="shared" si="8"/>
        <v>2625586</v>
      </c>
      <c r="I52" s="257">
        <f>'[2]Table 2A Revised Monthly Paymts'!BF54</f>
        <v>30201517</v>
      </c>
      <c r="J52" s="261">
        <f t="shared" si="9"/>
        <v>1305518</v>
      </c>
      <c r="K52" s="262">
        <f t="shared" si="10"/>
        <v>1305518</v>
      </c>
      <c r="L52" s="263">
        <f t="shared" si="11"/>
        <v>0</v>
      </c>
      <c r="M52" s="264">
        <f t="shared" si="12"/>
        <v>0</v>
      </c>
    </row>
    <row r="53" spans="1:13" ht="12.75">
      <c r="A53" s="255">
        <v>49</v>
      </c>
      <c r="B53" s="255" t="s">
        <v>163</v>
      </c>
      <c r="C53" s="256">
        <f>'[1]Table 3 Levels 1&amp;2'!AN56</f>
        <v>68298045</v>
      </c>
      <c r="D53" s="257">
        <f>'[3]Audit Adjustments'!F53</f>
        <v>357487</v>
      </c>
      <c r="E53" s="258">
        <f>'[3]Audit Adjustments'!G53</f>
        <v>0</v>
      </c>
      <c r="F53" s="259"/>
      <c r="G53" s="257">
        <f t="shared" si="7"/>
        <v>68655532</v>
      </c>
      <c r="H53" s="256">
        <f t="shared" si="8"/>
        <v>5721294</v>
      </c>
      <c r="I53" s="257">
        <f>'[2]Table 2A Revised Monthly Paymts'!BF55</f>
        <v>65436525</v>
      </c>
      <c r="J53" s="261">
        <f t="shared" si="9"/>
        <v>3219007</v>
      </c>
      <c r="K53" s="262">
        <f t="shared" si="10"/>
        <v>3219007</v>
      </c>
      <c r="L53" s="263">
        <f t="shared" si="11"/>
        <v>0</v>
      </c>
      <c r="M53" s="264">
        <f t="shared" si="12"/>
        <v>0</v>
      </c>
    </row>
    <row r="54" spans="1:13" ht="12.75">
      <c r="A54" s="265">
        <v>50</v>
      </c>
      <c r="B54" s="265" t="s">
        <v>164</v>
      </c>
      <c r="C54" s="266">
        <f>'[1]Table 3 Levels 1&amp;2'!AN57</f>
        <v>39066815</v>
      </c>
      <c r="D54" s="267">
        <f>'[3]Audit Adjustments'!F54</f>
        <v>21990</v>
      </c>
      <c r="E54" s="268">
        <f>'[3]Audit Adjustments'!G54</f>
        <v>0</v>
      </c>
      <c r="F54" s="269"/>
      <c r="G54" s="270">
        <f t="shared" si="7"/>
        <v>39088805</v>
      </c>
      <c r="H54" s="271">
        <f t="shared" si="8"/>
        <v>3257400</v>
      </c>
      <c r="I54" s="267">
        <f>'[2]Table 2A Revised Monthly Paymts'!BF56</f>
        <v>37321666</v>
      </c>
      <c r="J54" s="272">
        <f t="shared" si="9"/>
        <v>1767139</v>
      </c>
      <c r="K54" s="273">
        <f t="shared" si="10"/>
        <v>1767139</v>
      </c>
      <c r="L54" s="274">
        <f t="shared" si="11"/>
        <v>0</v>
      </c>
      <c r="M54" s="275">
        <f t="shared" si="12"/>
        <v>0</v>
      </c>
    </row>
    <row r="55" spans="1:13" ht="12.75">
      <c r="A55" s="255">
        <v>51</v>
      </c>
      <c r="B55" s="255" t="s">
        <v>165</v>
      </c>
      <c r="C55" s="256">
        <f>'[1]Table 3 Levels 1&amp;2'!AN58</f>
        <v>41367468</v>
      </c>
      <c r="D55" s="257">
        <f>'[3]Audit Adjustments'!F55</f>
        <v>115516</v>
      </c>
      <c r="E55" s="258">
        <f>'[3]Audit Adjustments'!G55</f>
        <v>0</v>
      </c>
      <c r="F55" s="259"/>
      <c r="G55" s="257">
        <f t="shared" si="7"/>
        <v>41482984</v>
      </c>
      <c r="H55" s="256">
        <f t="shared" si="8"/>
        <v>3456915</v>
      </c>
      <c r="I55" s="257">
        <f>'[2]Table 2A Revised Monthly Paymts'!BF57</f>
        <v>39675075</v>
      </c>
      <c r="J55" s="261">
        <f t="shared" si="9"/>
        <v>1807909</v>
      </c>
      <c r="K55" s="262">
        <f t="shared" si="10"/>
        <v>1807909</v>
      </c>
      <c r="L55" s="263">
        <f t="shared" si="11"/>
        <v>0</v>
      </c>
      <c r="M55" s="264">
        <f t="shared" si="12"/>
        <v>0</v>
      </c>
    </row>
    <row r="56" spans="1:13" ht="12.75">
      <c r="A56" s="255">
        <v>52</v>
      </c>
      <c r="B56" s="255" t="s">
        <v>166</v>
      </c>
      <c r="C56" s="256">
        <f>'[1]Table 3 Levels 1&amp;2'!AN59</f>
        <v>153138498</v>
      </c>
      <c r="D56" s="257">
        <f>'[3]Audit Adjustments'!F56</f>
        <v>0</v>
      </c>
      <c r="E56" s="258">
        <f>'[3]Audit Adjustments'!G56</f>
        <v>-472768</v>
      </c>
      <c r="F56" s="259"/>
      <c r="G56" s="257">
        <f t="shared" si="7"/>
        <v>152665730</v>
      </c>
      <c r="H56" s="256">
        <f t="shared" si="8"/>
        <v>12722144</v>
      </c>
      <c r="I56" s="257">
        <f>'[2]Table 2A Revised Monthly Paymts'!BF58</f>
        <v>153592593</v>
      </c>
      <c r="J56" s="261">
        <f t="shared" si="9"/>
        <v>-926863</v>
      </c>
      <c r="K56" s="257">
        <f t="shared" si="10"/>
        <v>0</v>
      </c>
      <c r="L56" s="258">
        <f t="shared" si="11"/>
        <v>-926863</v>
      </c>
      <c r="M56" s="278">
        <f t="shared" si="12"/>
        <v>-0.006</v>
      </c>
    </row>
    <row r="57" spans="1:13" ht="12.75">
      <c r="A57" s="255">
        <v>53</v>
      </c>
      <c r="B57" s="255" t="s">
        <v>167</v>
      </c>
      <c r="C57" s="256">
        <f>'[1]Table 3 Levels 1&amp;2'!AN60</f>
        <v>84097837</v>
      </c>
      <c r="D57" s="257">
        <f>'[3]Audit Adjustments'!F57</f>
        <v>0</v>
      </c>
      <c r="E57" s="258">
        <f>'[3]Audit Adjustments'!G57</f>
        <v>-119757</v>
      </c>
      <c r="F57" s="259"/>
      <c r="G57" s="257">
        <f t="shared" si="7"/>
        <v>83978080</v>
      </c>
      <c r="H57" s="256">
        <f t="shared" si="8"/>
        <v>6998173</v>
      </c>
      <c r="I57" s="257">
        <f>'[2]Table 2A Revised Monthly Paymts'!BF59</f>
        <v>77692277</v>
      </c>
      <c r="J57" s="261">
        <f t="shared" si="9"/>
        <v>6285803</v>
      </c>
      <c r="K57" s="262">
        <f t="shared" si="10"/>
        <v>6285803</v>
      </c>
      <c r="L57" s="263">
        <f t="shared" si="11"/>
        <v>0</v>
      </c>
      <c r="M57" s="264">
        <f t="shared" si="12"/>
        <v>0</v>
      </c>
    </row>
    <row r="58" spans="1:13" ht="12.75">
      <c r="A58" s="255">
        <v>54</v>
      </c>
      <c r="B58" s="255" t="s">
        <v>168</v>
      </c>
      <c r="C58" s="256">
        <f>'[1]Table 3 Levels 1&amp;2'!AN61</f>
        <v>4088431</v>
      </c>
      <c r="D58" s="257">
        <f>'[3]Audit Adjustments'!F58</f>
        <v>0</v>
      </c>
      <c r="E58" s="258">
        <f>'[3]Audit Adjustments'!G58</f>
        <v>-15968</v>
      </c>
      <c r="F58" s="259"/>
      <c r="G58" s="257">
        <f t="shared" si="7"/>
        <v>4072463</v>
      </c>
      <c r="H58" s="256">
        <f t="shared" si="8"/>
        <v>339372</v>
      </c>
      <c r="I58" s="257">
        <f>'[2]Table 2A Revised Monthly Paymts'!BF60</f>
        <v>4201641</v>
      </c>
      <c r="J58" s="261">
        <f t="shared" si="9"/>
        <v>-129178</v>
      </c>
      <c r="K58" s="262">
        <f t="shared" si="10"/>
        <v>0</v>
      </c>
      <c r="L58" s="263">
        <f t="shared" si="11"/>
        <v>-129178</v>
      </c>
      <c r="M58" s="264">
        <f t="shared" si="12"/>
        <v>-0.0307</v>
      </c>
    </row>
    <row r="59" spans="1:13" ht="12.75">
      <c r="A59" s="265">
        <v>55</v>
      </c>
      <c r="B59" s="265" t="s">
        <v>169</v>
      </c>
      <c r="C59" s="266">
        <f>'[1]Table 3 Levels 1&amp;2'!AN62</f>
        <v>78875568</v>
      </c>
      <c r="D59" s="267">
        <f>'[3]Audit Adjustments'!F59</f>
        <v>108046</v>
      </c>
      <c r="E59" s="268">
        <f>'[3]Audit Adjustments'!G59</f>
        <v>0</v>
      </c>
      <c r="F59" s="269"/>
      <c r="G59" s="270">
        <f t="shared" si="7"/>
        <v>78983614</v>
      </c>
      <c r="H59" s="271">
        <f t="shared" si="8"/>
        <v>6581968</v>
      </c>
      <c r="I59" s="267">
        <f>'[2]Table 2A Revised Monthly Paymts'!BF61</f>
        <v>74870357</v>
      </c>
      <c r="J59" s="272">
        <f t="shared" si="9"/>
        <v>4113257</v>
      </c>
      <c r="K59" s="273">
        <f t="shared" si="10"/>
        <v>4113257</v>
      </c>
      <c r="L59" s="274">
        <f t="shared" si="11"/>
        <v>0</v>
      </c>
      <c r="M59" s="275">
        <f t="shared" si="12"/>
        <v>0</v>
      </c>
    </row>
    <row r="60" spans="1:13" ht="12.75">
      <c r="A60" s="255">
        <v>56</v>
      </c>
      <c r="B60" s="255" t="s">
        <v>170</v>
      </c>
      <c r="C60" s="256">
        <f>'[1]Table 3 Levels 1&amp;2'!AN63</f>
        <v>12563191</v>
      </c>
      <c r="D60" s="257">
        <f>'[3]Audit Adjustments'!F60</f>
        <v>13348</v>
      </c>
      <c r="E60" s="258">
        <f>'[3]Audit Adjustments'!G60</f>
        <v>0</v>
      </c>
      <c r="F60" s="259"/>
      <c r="G60" s="257">
        <f t="shared" si="7"/>
        <v>12576539</v>
      </c>
      <c r="H60" s="280">
        <f t="shared" si="8"/>
        <v>1048045</v>
      </c>
      <c r="I60" s="257">
        <f>'[2]Table 2A Revised Monthly Paymts'!BF62</f>
        <v>13296125</v>
      </c>
      <c r="J60" s="261">
        <f t="shared" si="9"/>
        <v>-719586</v>
      </c>
      <c r="K60" s="262">
        <f t="shared" si="10"/>
        <v>0</v>
      </c>
      <c r="L60" s="263">
        <f t="shared" si="11"/>
        <v>-719586</v>
      </c>
      <c r="M60" s="264">
        <f t="shared" si="12"/>
        <v>-0.0541</v>
      </c>
    </row>
    <row r="61" spans="1:13" ht="12.75">
      <c r="A61" s="255">
        <v>57</v>
      </c>
      <c r="B61" s="255" t="s">
        <v>171</v>
      </c>
      <c r="C61" s="256">
        <f>'[1]Table 3 Levels 1&amp;2'!AN64</f>
        <v>35194892</v>
      </c>
      <c r="D61" s="257">
        <f>'[3]Audit Adjustments'!F61</f>
        <v>8887</v>
      </c>
      <c r="E61" s="258">
        <f>'[3]Audit Adjustments'!G61</f>
        <v>0</v>
      </c>
      <c r="F61" s="259"/>
      <c r="G61" s="257">
        <f t="shared" si="7"/>
        <v>35203779</v>
      </c>
      <c r="H61" s="256">
        <f t="shared" si="8"/>
        <v>2933648</v>
      </c>
      <c r="I61" s="257">
        <f>'[2]Table 2A Revised Monthly Paymts'!BF63</f>
        <v>33035327</v>
      </c>
      <c r="J61" s="261">
        <f t="shared" si="9"/>
        <v>2168452</v>
      </c>
      <c r="K61" s="262">
        <f t="shared" si="10"/>
        <v>2168452</v>
      </c>
      <c r="L61" s="263">
        <f t="shared" si="11"/>
        <v>0</v>
      </c>
      <c r="M61" s="264">
        <f t="shared" si="12"/>
        <v>0</v>
      </c>
    </row>
    <row r="62" spans="1:13" ht="12.75">
      <c r="A62" s="255">
        <v>58</v>
      </c>
      <c r="B62" s="255" t="s">
        <v>172</v>
      </c>
      <c r="C62" s="256">
        <f>'[1]Table 3 Levels 1&amp;2'!AN65</f>
        <v>46872112</v>
      </c>
      <c r="D62" s="257">
        <f>'[3]Audit Adjustments'!F62</f>
        <v>0</v>
      </c>
      <c r="E62" s="258">
        <f>'[3]Audit Adjustments'!G62</f>
        <v>-62790</v>
      </c>
      <c r="F62" s="259"/>
      <c r="G62" s="257">
        <f t="shared" si="7"/>
        <v>46809322</v>
      </c>
      <c r="H62" s="256">
        <f t="shared" si="8"/>
        <v>3900777</v>
      </c>
      <c r="I62" s="257">
        <f>'[2]Table 2A Revised Monthly Paymts'!BF64</f>
        <v>45952566</v>
      </c>
      <c r="J62" s="261">
        <f t="shared" si="9"/>
        <v>856756</v>
      </c>
      <c r="K62" s="262">
        <f t="shared" si="10"/>
        <v>856756</v>
      </c>
      <c r="L62" s="263">
        <f t="shared" si="11"/>
        <v>0</v>
      </c>
      <c r="M62" s="264">
        <f t="shared" si="12"/>
        <v>0</v>
      </c>
    </row>
    <row r="63" spans="1:13" ht="12.75">
      <c r="A63" s="255">
        <v>59</v>
      </c>
      <c r="B63" s="255" t="s">
        <v>173</v>
      </c>
      <c r="C63" s="256">
        <f>'[1]Table 3 Levels 1&amp;2'!AN66</f>
        <v>27498985</v>
      </c>
      <c r="D63" s="257">
        <f>'[3]Audit Adjustments'!F63</f>
        <v>0</v>
      </c>
      <c r="E63" s="258">
        <f>'[3]Audit Adjustments'!G63</f>
        <v>-26364</v>
      </c>
      <c r="F63" s="259"/>
      <c r="G63" s="257">
        <f t="shared" si="7"/>
        <v>27472621</v>
      </c>
      <c r="H63" s="256">
        <f t="shared" si="8"/>
        <v>2289385</v>
      </c>
      <c r="I63" s="257">
        <f>'[2]Table 2A Revised Monthly Paymts'!BF65</f>
        <v>24696099</v>
      </c>
      <c r="J63" s="261">
        <f t="shared" si="9"/>
        <v>2776522</v>
      </c>
      <c r="K63" s="262">
        <f t="shared" si="10"/>
        <v>2776522</v>
      </c>
      <c r="L63" s="263">
        <f t="shared" si="11"/>
        <v>0</v>
      </c>
      <c r="M63" s="264">
        <f t="shared" si="12"/>
        <v>0</v>
      </c>
    </row>
    <row r="64" spans="1:13" ht="12.75">
      <c r="A64" s="265">
        <v>60</v>
      </c>
      <c r="B64" s="265" t="s">
        <v>174</v>
      </c>
      <c r="C64" s="266">
        <f>'[1]Table 3 Levels 1&amp;2'!AN67</f>
        <v>33439653</v>
      </c>
      <c r="D64" s="267">
        <f>'[3]Audit Adjustments'!F64</f>
        <v>0</v>
      </c>
      <c r="E64" s="268">
        <f>'[3]Audit Adjustments'!G64</f>
        <v>-46919</v>
      </c>
      <c r="F64" s="269"/>
      <c r="G64" s="270">
        <f t="shared" si="7"/>
        <v>33392734</v>
      </c>
      <c r="H64" s="271">
        <f t="shared" si="8"/>
        <v>2782728</v>
      </c>
      <c r="I64" s="267">
        <f>'[2]Table 2A Revised Monthly Paymts'!BF66</f>
        <v>31294511</v>
      </c>
      <c r="J64" s="272">
        <f t="shared" si="9"/>
        <v>2098223</v>
      </c>
      <c r="K64" s="273">
        <f t="shared" si="10"/>
        <v>2098223</v>
      </c>
      <c r="L64" s="274">
        <f t="shared" si="11"/>
        <v>0</v>
      </c>
      <c r="M64" s="275">
        <f t="shared" si="12"/>
        <v>0</v>
      </c>
    </row>
    <row r="65" spans="1:13" ht="12.75">
      <c r="A65" s="255">
        <v>61</v>
      </c>
      <c r="B65" s="255" t="s">
        <v>175</v>
      </c>
      <c r="C65" s="256">
        <f>'[1]Table 3 Levels 1&amp;2'!AN68</f>
        <v>11175842</v>
      </c>
      <c r="D65" s="257">
        <f>'[3]Audit Adjustments'!F65</f>
        <v>0</v>
      </c>
      <c r="E65" s="258">
        <f>'[3]Audit Adjustments'!G65</f>
        <v>-49473</v>
      </c>
      <c r="F65" s="259"/>
      <c r="G65" s="257">
        <f t="shared" si="7"/>
        <v>11126369</v>
      </c>
      <c r="H65" s="256">
        <f t="shared" si="8"/>
        <v>927197</v>
      </c>
      <c r="I65" s="257">
        <f>'[2]Table 2A Revised Monthly Paymts'!BF67</f>
        <v>10751677</v>
      </c>
      <c r="J65" s="261">
        <f t="shared" si="9"/>
        <v>374692</v>
      </c>
      <c r="K65" s="262">
        <f t="shared" si="10"/>
        <v>374692</v>
      </c>
      <c r="L65" s="263">
        <f t="shared" si="11"/>
        <v>0</v>
      </c>
      <c r="M65" s="264">
        <f t="shared" si="12"/>
        <v>0</v>
      </c>
    </row>
    <row r="66" spans="1:13" ht="12.75">
      <c r="A66" s="255">
        <v>62</v>
      </c>
      <c r="B66" s="255" t="s">
        <v>176</v>
      </c>
      <c r="C66" s="256">
        <f>'[1]Table 3 Levels 1&amp;2'!AN69</f>
        <v>11195523</v>
      </c>
      <c r="D66" s="257">
        <f>'[3]Audit Adjustments'!F66</f>
        <v>0</v>
      </c>
      <c r="E66" s="258">
        <f>'[3]Audit Adjustments'!G66</f>
        <v>-3511</v>
      </c>
      <c r="F66" s="259"/>
      <c r="G66" s="257">
        <f t="shared" si="7"/>
        <v>11192012</v>
      </c>
      <c r="H66" s="256">
        <f t="shared" si="8"/>
        <v>932668</v>
      </c>
      <c r="I66" s="257">
        <f>'[2]Table 2A Revised Monthly Paymts'!BF68</f>
        <v>10633614</v>
      </c>
      <c r="J66" s="261">
        <f t="shared" si="9"/>
        <v>558398</v>
      </c>
      <c r="K66" s="262">
        <f t="shared" si="10"/>
        <v>558398</v>
      </c>
      <c r="L66" s="263">
        <f t="shared" si="11"/>
        <v>0</v>
      </c>
      <c r="M66" s="264">
        <f t="shared" si="12"/>
        <v>0</v>
      </c>
    </row>
    <row r="67" spans="1:13" ht="12.75">
      <c r="A67" s="255">
        <v>63</v>
      </c>
      <c r="B67" s="255" t="s">
        <v>177</v>
      </c>
      <c r="C67" s="256">
        <f>'[1]Table 3 Levels 1&amp;2'!AN70</f>
        <v>10570459</v>
      </c>
      <c r="D67" s="257">
        <f>'[3]Audit Adjustments'!F67</f>
        <v>24716</v>
      </c>
      <c r="E67" s="258">
        <f>'[3]Audit Adjustments'!G67</f>
        <v>0</v>
      </c>
      <c r="F67" s="259"/>
      <c r="G67" s="257">
        <f t="shared" si="7"/>
        <v>10595175</v>
      </c>
      <c r="H67" s="256">
        <f t="shared" si="8"/>
        <v>882931</v>
      </c>
      <c r="I67" s="257">
        <f>'[2]Table 2A Revised Monthly Paymts'!BF69</f>
        <v>9985862</v>
      </c>
      <c r="J67" s="261">
        <f t="shared" si="9"/>
        <v>609313</v>
      </c>
      <c r="K67" s="262">
        <f t="shared" si="10"/>
        <v>609313</v>
      </c>
      <c r="L67" s="263">
        <f t="shared" si="11"/>
        <v>0</v>
      </c>
      <c r="M67" s="264">
        <f t="shared" si="12"/>
        <v>0</v>
      </c>
    </row>
    <row r="68" spans="1:13" ht="12.75">
      <c r="A68" s="255">
        <v>64</v>
      </c>
      <c r="B68" s="255" t="s">
        <v>178</v>
      </c>
      <c r="C68" s="256">
        <f>'[1]Table 3 Levels 1&amp;2'!AN71</f>
        <v>13430937</v>
      </c>
      <c r="D68" s="257">
        <f>'[3]Audit Adjustments'!F68</f>
        <v>0</v>
      </c>
      <c r="E68" s="258">
        <f>'[3]Audit Adjustments'!G68</f>
        <v>-8164</v>
      </c>
      <c r="F68" s="259"/>
      <c r="G68" s="257">
        <f t="shared" si="7"/>
        <v>13422773</v>
      </c>
      <c r="H68" s="256">
        <f t="shared" si="8"/>
        <v>1118564</v>
      </c>
      <c r="I68" s="257">
        <f>'[2]Table 2A Revised Monthly Paymts'!BF70</f>
        <v>12930826</v>
      </c>
      <c r="J68" s="261">
        <f t="shared" si="9"/>
        <v>491947</v>
      </c>
      <c r="K68" s="262">
        <f t="shared" si="10"/>
        <v>491947</v>
      </c>
      <c r="L68" s="263">
        <f t="shared" si="11"/>
        <v>0</v>
      </c>
      <c r="M68" s="264">
        <f t="shared" si="12"/>
        <v>0</v>
      </c>
    </row>
    <row r="69" spans="1:13" ht="12.75">
      <c r="A69" s="282">
        <v>65</v>
      </c>
      <c r="B69" s="282" t="s">
        <v>179</v>
      </c>
      <c r="C69" s="271">
        <f>'[1]Table 3 Levels 1&amp;2'!AN72</f>
        <v>32570340</v>
      </c>
      <c r="D69" s="267">
        <f>'[3]Audit Adjustments'!F69</f>
        <v>0</v>
      </c>
      <c r="E69" s="268">
        <f>'[3]Audit Adjustments'!G69</f>
        <v>-78540</v>
      </c>
      <c r="F69" s="283"/>
      <c r="G69" s="267">
        <f>ROUND(SUM(C69:F69),0)</f>
        <v>32491800</v>
      </c>
      <c r="H69" s="271">
        <f>ROUND(G69/12,0)</f>
        <v>2707650</v>
      </c>
      <c r="I69" s="267">
        <f>'[2]Table 2A Revised Monthly Paymts'!BF71</f>
        <v>31320985</v>
      </c>
      <c r="J69" s="272">
        <f>G69-I69</f>
        <v>1170815</v>
      </c>
      <c r="K69" s="284">
        <f>IF(J69&gt;0,J69,0)</f>
        <v>1170815</v>
      </c>
      <c r="L69" s="285">
        <f t="shared" si="11"/>
        <v>0</v>
      </c>
      <c r="M69" s="286">
        <f>ROUND(L69/I69,4)</f>
        <v>0</v>
      </c>
    </row>
    <row r="70" spans="1:13" ht="12.75">
      <c r="A70" s="287">
        <v>66</v>
      </c>
      <c r="B70" s="287" t="s">
        <v>180</v>
      </c>
      <c r="C70" s="288">
        <f>'[1]Table 3 Levels 1&amp;2'!AN73</f>
        <v>13885414</v>
      </c>
      <c r="D70" s="289">
        <f>'[3]Audit Adjustments'!F70</f>
        <v>0</v>
      </c>
      <c r="E70" s="290">
        <f>'[3]Audit Adjustments'!G70</f>
        <v>-49471</v>
      </c>
      <c r="F70" s="291"/>
      <c r="G70" s="289">
        <f>ROUND(SUM(C70:F70),0)</f>
        <v>13835943</v>
      </c>
      <c r="H70" s="288">
        <f>ROUND(G70/12,0)</f>
        <v>1152995</v>
      </c>
      <c r="I70" s="289">
        <f>'[2]Table 2A Revised Monthly Paymts'!BF72</f>
        <v>13640105</v>
      </c>
      <c r="J70" s="292">
        <f>G70-I70</f>
        <v>195838</v>
      </c>
      <c r="K70" s="289">
        <f>IF(J70&gt;0,J70,0)</f>
        <v>195838</v>
      </c>
      <c r="L70" s="290">
        <f t="shared" si="11"/>
        <v>0</v>
      </c>
      <c r="M70" s="293">
        <f>ROUND(L70/I70,4)</f>
        <v>0</v>
      </c>
    </row>
    <row r="71" spans="1:13" s="279" customFormat="1" ht="12.75">
      <c r="A71" s="255">
        <v>67</v>
      </c>
      <c r="B71" s="255" t="s">
        <v>181</v>
      </c>
      <c r="C71" s="256">
        <f>'[1]Table 3 Levels 1&amp;2'!AN74</f>
        <v>15773991</v>
      </c>
      <c r="D71" s="257">
        <f>'[3]Audit Adjustments'!F71</f>
        <v>16887</v>
      </c>
      <c r="E71" s="258">
        <f>'[3]Audit Adjustments'!G71</f>
        <v>0</v>
      </c>
      <c r="F71" s="259"/>
      <c r="G71" s="257">
        <f>ROUND(SUM(C71:F71),0)</f>
        <v>15790878</v>
      </c>
      <c r="H71" s="256">
        <f>ROUND(G71/12,0)</f>
        <v>1315907</v>
      </c>
      <c r="I71" s="257">
        <f>'[2]Table 2A Revised Monthly Paymts'!BF73</f>
        <v>13531661</v>
      </c>
      <c r="J71" s="261">
        <f>G71-I71</f>
        <v>2259217</v>
      </c>
      <c r="K71" s="257">
        <f>IF(J71&gt;0,J71,0)</f>
        <v>2259217</v>
      </c>
      <c r="L71" s="258">
        <f t="shared" si="11"/>
        <v>0</v>
      </c>
      <c r="M71" s="278">
        <f>ROUND(L71/I71,4)</f>
        <v>0</v>
      </c>
    </row>
    <row r="72" spans="1:13" s="279" customFormat="1" ht="12.75">
      <c r="A72" s="282">
        <v>68</v>
      </c>
      <c r="B72" s="282" t="s">
        <v>182</v>
      </c>
      <c r="C72" s="266">
        <f>'[1]Table 3 Levels 1&amp;2'!AN75</f>
        <v>11499970</v>
      </c>
      <c r="D72" s="267">
        <f>'[3]Audit Adjustments'!F72</f>
        <v>0</v>
      </c>
      <c r="E72" s="268">
        <f>'[3]Audit Adjustments'!G72</f>
        <v>-331627</v>
      </c>
      <c r="F72" s="269"/>
      <c r="G72" s="270">
        <f>ROUND(SUM(C72:F72),0)</f>
        <v>11168343</v>
      </c>
      <c r="H72" s="271">
        <f>ROUND(G72/12,0)</f>
        <v>930695</v>
      </c>
      <c r="I72" s="267">
        <f>'[2]Table 2A Revised Monthly Paymts'!BF74</f>
        <v>11116232</v>
      </c>
      <c r="J72" s="272">
        <f>G72-I72</f>
        <v>52111</v>
      </c>
      <c r="K72" s="270">
        <f>IF(J72&gt;0,J72,0)</f>
        <v>52111</v>
      </c>
      <c r="L72" s="276">
        <f t="shared" si="11"/>
        <v>0</v>
      </c>
      <c r="M72" s="277">
        <f>ROUND(L72/I72,4)</f>
        <v>0</v>
      </c>
    </row>
    <row r="73" spans="1:13" s="300" customFormat="1" ht="13.5" thickBot="1">
      <c r="A73" s="294"/>
      <c r="B73" s="295" t="s">
        <v>183</v>
      </c>
      <c r="C73" s="296">
        <f aca="true" t="shared" si="13" ref="C73:L73">SUM(C5:C72)</f>
        <v>2717153045</v>
      </c>
      <c r="D73" s="296">
        <f t="shared" si="13"/>
        <v>1661510</v>
      </c>
      <c r="E73" s="297">
        <f t="shared" si="13"/>
        <v>-6772789</v>
      </c>
      <c r="F73" s="297">
        <f t="shared" si="13"/>
        <v>-50678814</v>
      </c>
      <c r="G73" s="296">
        <f t="shared" si="13"/>
        <v>2661362952</v>
      </c>
      <c r="H73" s="296">
        <f t="shared" si="13"/>
        <v>221780246</v>
      </c>
      <c r="I73" s="296">
        <f t="shared" si="13"/>
        <v>2623185395</v>
      </c>
      <c r="J73" s="296">
        <f t="shared" si="13"/>
        <v>38177556.99999999</v>
      </c>
      <c r="K73" s="296">
        <f t="shared" si="13"/>
        <v>131596835</v>
      </c>
      <c r="L73" s="298">
        <f t="shared" si="13"/>
        <v>-93419278.00000001</v>
      </c>
      <c r="M73" s="299">
        <f>ROUND(L73/I73,4)</f>
        <v>-0.0356</v>
      </c>
    </row>
    <row r="74" spans="1:13" s="300" customFormat="1" ht="13.5" thickTop="1">
      <c r="A74" s="246"/>
      <c r="B74" s="246"/>
      <c r="C74" s="301"/>
      <c r="D74" s="302"/>
      <c r="E74"/>
      <c r="F74"/>
      <c r="G74"/>
      <c r="H74"/>
      <c r="I74"/>
      <c r="J74" s="305"/>
      <c r="K74" s="306"/>
      <c r="L74" s="306"/>
      <c r="M74" s="307"/>
    </row>
    <row r="75" spans="1:13" s="300" customFormat="1" ht="12.75">
      <c r="A75" s="246"/>
      <c r="B75" s="246"/>
      <c r="C75" s="302"/>
      <c r="D75" s="308"/>
      <c r="E75"/>
      <c r="F75"/>
      <c r="G75"/>
      <c r="H75"/>
      <c r="I75"/>
      <c r="J75" s="309"/>
      <c r="K75" s="310"/>
      <c r="L75" s="310"/>
      <c r="M75" s="307"/>
    </row>
    <row r="76" spans="5:9" ht="12.75">
      <c r="E76"/>
      <c r="F76"/>
      <c r="G76"/>
      <c r="H76"/>
      <c r="I76"/>
    </row>
    <row r="77" spans="5:9" ht="12.75">
      <c r="E77"/>
      <c r="F77"/>
      <c r="G77"/>
      <c r="H77"/>
      <c r="I77"/>
    </row>
    <row r="78" spans="5:9" ht="12.75">
      <c r="E78"/>
      <c r="F78"/>
      <c r="G78"/>
      <c r="H78"/>
      <c r="I78"/>
    </row>
    <row r="79" spans="5:9" ht="12.75">
      <c r="E79"/>
      <c r="F79"/>
      <c r="G79"/>
      <c r="H79"/>
      <c r="I79"/>
    </row>
    <row r="80" spans="3:9" ht="12.75">
      <c r="C80" s="301"/>
      <c r="D80" s="302"/>
      <c r="E80"/>
      <c r="F80"/>
      <c r="G80"/>
      <c r="H80"/>
      <c r="I80"/>
    </row>
    <row r="81" spans="3:9" ht="12.75">
      <c r="C81" s="302"/>
      <c r="D81" s="308"/>
      <c r="E81"/>
      <c r="F81"/>
      <c r="G81"/>
      <c r="H81"/>
      <c r="I81"/>
    </row>
    <row r="82" spans="3:9" ht="12.75">
      <c r="C82" s="302"/>
      <c r="D82" s="308"/>
      <c r="E82"/>
      <c r="F82"/>
      <c r="G82"/>
      <c r="H82"/>
      <c r="I82"/>
    </row>
    <row r="83" spans="3:10" ht="12.75">
      <c r="C83" s="302"/>
      <c r="D83" s="308"/>
      <c r="E83"/>
      <c r="F83"/>
      <c r="G83"/>
      <c r="H83"/>
      <c r="I83"/>
      <c r="J83" s="300"/>
    </row>
    <row r="84" spans="3:10" ht="12.75">
      <c r="C84" s="302"/>
      <c r="D84" s="308"/>
      <c r="E84" s="302"/>
      <c r="F84" s="311"/>
      <c r="G84" s="302"/>
      <c r="I84" s="300"/>
      <c r="J84" s="300"/>
    </row>
    <row r="85" spans="3:7" ht="12.75">
      <c r="C85" s="302"/>
      <c r="D85" s="302"/>
      <c r="E85" s="302"/>
      <c r="F85" s="311"/>
      <c r="G85" s="302"/>
    </row>
  </sheetData>
  <sheetProtection/>
  <mergeCells count="12">
    <mergeCell ref="D1:E1"/>
    <mergeCell ref="H2:H3"/>
    <mergeCell ref="I2:I3"/>
    <mergeCell ref="G2:G3"/>
    <mergeCell ref="M2:M3"/>
    <mergeCell ref="B2:B3"/>
    <mergeCell ref="J2:J3"/>
    <mergeCell ref="K2:K3"/>
    <mergeCell ref="L2:L3"/>
    <mergeCell ref="C2:C3"/>
    <mergeCell ref="F2:F3"/>
    <mergeCell ref="D2:E2"/>
  </mergeCells>
  <printOptions horizontalCentered="1"/>
  <pageMargins left="0.4" right="0.35" top="1.09" bottom="0.64" header="0.5" footer="0.21"/>
  <pageSetup firstPageNumber="2" useFirstPageNumber="1" horizontalDpi="600" verticalDpi="600" orientation="portrait" paperSize="5" scale="90" r:id="rId2"/>
  <headerFooter alignWithMargins="0">
    <oddHeader>&amp;L&amp;"Arial,Bold"&amp;16TABLE 2: 2006-2007 Budget Letter
Distribution and Adjustments</oddHeader>
    <oddFooter>&amp;R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S872"/>
  <sheetViews>
    <sheetView zoomScale="85" zoomScaleNormal="85" zoomScalePageLayoutView="0" workbookViewId="0" topLeftCell="A1">
      <selection activeCell="A1" sqref="A1:B1"/>
    </sheetView>
  </sheetViews>
  <sheetFormatPr defaultColWidth="9.140625" defaultRowHeight="12.75"/>
  <cols>
    <col min="1" max="1" width="4.7109375" style="365" bestFit="1" customWidth="1"/>
    <col min="2" max="2" width="22.140625" style="246" bestFit="1" customWidth="1"/>
    <col min="3" max="3" width="14.421875" style="246" customWidth="1"/>
    <col min="4" max="4" width="14.421875" style="246" bestFit="1" customWidth="1"/>
    <col min="5" max="5" width="10.7109375" style="246" bestFit="1" customWidth="1"/>
    <col min="6" max="6" width="15.421875" style="228" bestFit="1" customWidth="1"/>
    <col min="7" max="7" width="16.7109375" style="246" bestFit="1" customWidth="1"/>
    <col min="8" max="8" width="13.421875" style="246" bestFit="1" customWidth="1"/>
    <col min="9" max="9" width="23.00390625" style="246" bestFit="1" customWidth="1"/>
    <col min="10" max="10" width="16.28125" style="246" bestFit="1" customWidth="1"/>
    <col min="11" max="11" width="22.00390625" style="246" bestFit="1" customWidth="1"/>
    <col min="12" max="12" width="14.140625" style="246" bestFit="1" customWidth="1"/>
    <col min="13" max="13" width="18.00390625" style="246" bestFit="1" customWidth="1"/>
    <col min="14" max="14" width="16.28125" style="429" bestFit="1" customWidth="1"/>
    <col min="15" max="15" width="16.28125" style="246" bestFit="1" customWidth="1"/>
    <col min="16" max="16" width="18.00390625" style="246" bestFit="1" customWidth="1"/>
    <col min="17" max="17" width="15.140625" style="246" bestFit="1" customWidth="1"/>
    <col min="18" max="18" width="9.8515625" style="246" bestFit="1" customWidth="1"/>
    <col min="19" max="19" width="15.28125" style="246" bestFit="1" customWidth="1"/>
    <col min="20" max="20" width="11.8515625" style="246" bestFit="1" customWidth="1"/>
    <col min="21" max="21" width="11.140625" style="246" bestFit="1" customWidth="1"/>
    <col min="22" max="22" width="10.7109375" style="246" bestFit="1" customWidth="1"/>
    <col min="23" max="23" width="20.8515625" style="246" bestFit="1" customWidth="1"/>
    <col min="24" max="24" width="10.8515625" style="246" bestFit="1" customWidth="1"/>
    <col min="25" max="25" width="16.7109375" style="246" bestFit="1" customWidth="1"/>
    <col min="26" max="26" width="9.00390625" style="246" bestFit="1" customWidth="1"/>
    <col min="27" max="27" width="21.8515625" style="246" customWidth="1"/>
    <col min="28" max="29" width="13.421875" style="246" bestFit="1" customWidth="1"/>
    <col min="30" max="30" width="14.57421875" style="246" bestFit="1" customWidth="1"/>
    <col min="31" max="31" width="16.28125" style="246" bestFit="1" customWidth="1"/>
    <col min="32" max="32" width="21.421875" style="246" bestFit="1" customWidth="1"/>
    <col min="33" max="33" width="9.421875" style="246" bestFit="1" customWidth="1"/>
    <col min="34" max="34" width="15.28125" style="246" customWidth="1"/>
    <col min="35" max="35" width="14.57421875" style="246" bestFit="1" customWidth="1"/>
    <col min="36" max="36" width="16.57421875" style="246" bestFit="1" customWidth="1"/>
    <col min="37" max="37" width="10.00390625" style="246" bestFit="1" customWidth="1"/>
    <col min="38" max="38" width="13.28125" style="246" customWidth="1"/>
    <col min="39" max="39" width="6.7109375" style="246" customWidth="1"/>
    <col min="40" max="40" width="16.7109375" style="246" customWidth="1"/>
    <col min="41" max="41" width="16.00390625" style="246" customWidth="1"/>
    <col min="42" max="42" width="6.140625" style="246" bestFit="1" customWidth="1"/>
    <col min="43" max="43" width="13.8515625" style="246" customWidth="1"/>
    <col min="44" max="44" width="9.8515625" style="246" customWidth="1"/>
    <col min="45" max="45" width="6.140625" style="246" bestFit="1" customWidth="1"/>
    <col min="46" max="46" width="18.421875" style="246" customWidth="1"/>
    <col min="47" max="47" width="10.421875" style="246" bestFit="1" customWidth="1"/>
    <col min="48" max="48" width="6.00390625" style="246" bestFit="1" customWidth="1"/>
    <col min="49" max="49" width="10.8515625" style="246" customWidth="1"/>
    <col min="50" max="50" width="18.57421875" style="246" customWidth="1"/>
    <col min="51" max="51" width="16.57421875" style="246" customWidth="1"/>
    <col min="52" max="52" width="5.8515625" style="0" bestFit="1" customWidth="1"/>
    <col min="150" max="16384" width="9.140625" style="246" customWidth="1"/>
  </cols>
  <sheetData>
    <row r="1" spans="1:51" ht="27" thickBot="1">
      <c r="A1" s="1059"/>
      <c r="B1" s="1060"/>
      <c r="C1" s="312"/>
      <c r="D1" s="1063" t="s">
        <v>184</v>
      </c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313"/>
      <c r="U1" s="314"/>
      <c r="V1" s="314"/>
      <c r="W1" s="314"/>
      <c r="X1" s="314"/>
      <c r="AA1" s="315" t="s">
        <v>185</v>
      </c>
      <c r="AB1" s="313"/>
      <c r="AC1" s="314"/>
      <c r="AD1" s="314"/>
      <c r="AE1" s="314"/>
      <c r="AH1" s="314"/>
      <c r="AI1" s="314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7"/>
      <c r="AY1" s="317"/>
    </row>
    <row r="2" spans="1:48" ht="1.5" customHeight="1" hidden="1">
      <c r="A2" s="1061"/>
      <c r="B2" s="1062"/>
      <c r="C2" s="318"/>
      <c r="F2" s="246"/>
      <c r="N2" s="246"/>
      <c r="T2" s="319"/>
      <c r="AA2" s="302"/>
      <c r="AB2" s="320"/>
      <c r="AC2" s="321"/>
      <c r="AD2" s="321"/>
      <c r="AE2" s="321"/>
      <c r="AF2" s="321"/>
      <c r="AG2" s="321"/>
      <c r="AH2" s="321"/>
      <c r="AI2" s="322"/>
      <c r="AU2" s="319"/>
      <c r="AV2" s="319"/>
    </row>
    <row r="3" spans="1:149" s="339" customFormat="1" ht="40.5" hidden="1">
      <c r="A3" s="1057"/>
      <c r="B3" s="1058"/>
      <c r="C3" s="323"/>
      <c r="D3" s="324" t="s">
        <v>186</v>
      </c>
      <c r="E3" s="325" t="s">
        <v>186</v>
      </c>
      <c r="F3" s="326" t="s">
        <v>187</v>
      </c>
      <c r="G3" s="327" t="s">
        <v>188</v>
      </c>
      <c r="H3" s="326" t="s">
        <v>189</v>
      </c>
      <c r="I3" s="327" t="s">
        <v>190</v>
      </c>
      <c r="J3" s="326" t="s">
        <v>191</v>
      </c>
      <c r="K3" s="327" t="s">
        <v>190</v>
      </c>
      <c r="L3" s="326" t="s">
        <v>192</v>
      </c>
      <c r="M3" s="328" t="s">
        <v>193</v>
      </c>
      <c r="N3" s="328" t="s">
        <v>194</v>
      </c>
      <c r="O3" s="329" t="s">
        <v>195</v>
      </c>
      <c r="P3" s="330" t="s">
        <v>196</v>
      </c>
      <c r="Q3" s="331" t="s">
        <v>197</v>
      </c>
      <c r="R3" s="332" t="s">
        <v>198</v>
      </c>
      <c r="S3" s="333" t="s">
        <v>199</v>
      </c>
      <c r="T3" s="334" t="s">
        <v>353</v>
      </c>
      <c r="U3" s="334" t="s">
        <v>200</v>
      </c>
      <c r="V3" s="334" t="s">
        <v>201</v>
      </c>
      <c r="W3" s="329" t="s">
        <v>202</v>
      </c>
      <c r="X3" s="334" t="s">
        <v>203</v>
      </c>
      <c r="Y3" s="334" t="s">
        <v>204</v>
      </c>
      <c r="Z3" s="335" t="s">
        <v>205</v>
      </c>
      <c r="AA3" s="336" t="s">
        <v>206</v>
      </c>
      <c r="AB3" s="334" t="s">
        <v>207</v>
      </c>
      <c r="AC3" s="334" t="s">
        <v>208</v>
      </c>
      <c r="AD3" s="329" t="s">
        <v>209</v>
      </c>
      <c r="AE3" s="334" t="s">
        <v>210</v>
      </c>
      <c r="AF3" s="329" t="s">
        <v>211</v>
      </c>
      <c r="AG3" s="334" t="s">
        <v>212</v>
      </c>
      <c r="AH3" s="329" t="s">
        <v>213</v>
      </c>
      <c r="AI3" s="334" t="s">
        <v>214</v>
      </c>
      <c r="AJ3" s="334" t="s">
        <v>215</v>
      </c>
      <c r="AK3" s="334" t="s">
        <v>216</v>
      </c>
      <c r="AL3" s="334" t="s">
        <v>217</v>
      </c>
      <c r="AM3" s="334" t="s">
        <v>218</v>
      </c>
      <c r="AN3" s="334" t="s">
        <v>219</v>
      </c>
      <c r="AO3" s="337" t="s">
        <v>220</v>
      </c>
      <c r="AP3" s="328"/>
      <c r="AQ3" s="328"/>
      <c r="AR3" s="334" t="s">
        <v>221</v>
      </c>
      <c r="AS3" s="328"/>
      <c r="AT3" s="334" t="s">
        <v>222</v>
      </c>
      <c r="AU3" s="334" t="s">
        <v>223</v>
      </c>
      <c r="AV3" s="328"/>
      <c r="AW3" s="334" t="s">
        <v>224</v>
      </c>
      <c r="AX3" s="334" t="s">
        <v>225</v>
      </c>
      <c r="AY3" s="334" t="s">
        <v>226</v>
      </c>
      <c r="AZ3" s="338"/>
      <c r="BA3" s="338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</row>
    <row r="4" spans="4:149" s="339" customFormat="1" ht="13.5" thickBot="1">
      <c r="D4" s="340"/>
      <c r="E4" s="340"/>
      <c r="F4" s="341">
        <v>0.19</v>
      </c>
      <c r="G4" s="342"/>
      <c r="H4" s="343">
        <v>0.05</v>
      </c>
      <c r="I4" s="342"/>
      <c r="J4" s="343">
        <v>1.5</v>
      </c>
      <c r="K4" s="342"/>
      <c r="L4" s="341">
        <v>0.6</v>
      </c>
      <c r="M4" s="344">
        <v>7500</v>
      </c>
      <c r="N4" s="345">
        <v>37500</v>
      </c>
      <c r="O4" s="346">
        <v>37500</v>
      </c>
      <c r="R4" s="347">
        <f>ROUND(3554*1.0275,0)</f>
        <v>3652</v>
      </c>
      <c r="U4" s="339" t="s">
        <v>227</v>
      </c>
      <c r="V4" s="339" t="s">
        <v>227</v>
      </c>
      <c r="W4" s="349">
        <v>0.35</v>
      </c>
      <c r="X4" s="339" t="s">
        <v>227</v>
      </c>
      <c r="Y4" s="339" t="s">
        <v>227</v>
      </c>
      <c r="Z4" s="350" t="s">
        <v>227</v>
      </c>
      <c r="AA4" s="351"/>
      <c r="AB4" s="339" t="s">
        <v>227</v>
      </c>
      <c r="AD4" s="349">
        <v>0.33</v>
      </c>
      <c r="AE4" s="339" t="s">
        <v>227</v>
      </c>
      <c r="AF4" s="349">
        <v>0.4</v>
      </c>
      <c r="AG4" s="339" t="s">
        <v>227</v>
      </c>
      <c r="AH4" s="349">
        <v>0.4</v>
      </c>
      <c r="AO4" s="339" t="s">
        <v>227</v>
      </c>
      <c r="AR4" s="339" t="s">
        <v>227</v>
      </c>
      <c r="AT4" s="339" t="s">
        <v>227</v>
      </c>
      <c r="AU4" s="339" t="s">
        <v>227</v>
      </c>
      <c r="AW4" s="339" t="s">
        <v>227</v>
      </c>
      <c r="AX4" s="339" t="s">
        <v>227</v>
      </c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</row>
    <row r="5" spans="1:149" s="365" customFormat="1" ht="62.25" customHeight="1">
      <c r="A5" s="352" t="s">
        <v>228</v>
      </c>
      <c r="B5" s="352" t="s">
        <v>103</v>
      </c>
      <c r="C5" s="353" t="s">
        <v>229</v>
      </c>
      <c r="D5" s="353" t="s">
        <v>230</v>
      </c>
      <c r="E5" s="354" t="s">
        <v>231</v>
      </c>
      <c r="F5" s="355" t="s">
        <v>232</v>
      </c>
      <c r="G5" s="354" t="s">
        <v>233</v>
      </c>
      <c r="H5" s="356" t="s">
        <v>234</v>
      </c>
      <c r="I5" s="354" t="s">
        <v>235</v>
      </c>
      <c r="J5" s="355" t="s">
        <v>236</v>
      </c>
      <c r="K5" s="354" t="s">
        <v>237</v>
      </c>
      <c r="L5" s="355" t="s">
        <v>238</v>
      </c>
      <c r="M5" s="357" t="s">
        <v>239</v>
      </c>
      <c r="N5" s="358" t="s">
        <v>240</v>
      </c>
      <c r="O5" s="355" t="s">
        <v>241</v>
      </c>
      <c r="P5" s="354" t="s">
        <v>242</v>
      </c>
      <c r="Q5" s="353" t="s">
        <v>243</v>
      </c>
      <c r="R5" s="355" t="s">
        <v>244</v>
      </c>
      <c r="S5" s="353" t="s">
        <v>245</v>
      </c>
      <c r="T5" s="354" t="s">
        <v>246</v>
      </c>
      <c r="U5" s="354" t="s">
        <v>247</v>
      </c>
      <c r="V5" s="354" t="s">
        <v>248</v>
      </c>
      <c r="W5" s="359" t="s">
        <v>249</v>
      </c>
      <c r="X5" s="354" t="s">
        <v>250</v>
      </c>
      <c r="Y5" s="360" t="s">
        <v>251</v>
      </c>
      <c r="Z5" s="354" t="s">
        <v>252</v>
      </c>
      <c r="AA5" s="361" t="s">
        <v>253</v>
      </c>
      <c r="AB5" s="354" t="s">
        <v>254</v>
      </c>
      <c r="AC5" s="354" t="s">
        <v>255</v>
      </c>
      <c r="AD5" s="355" t="s">
        <v>256</v>
      </c>
      <c r="AE5" s="353" t="s">
        <v>257</v>
      </c>
      <c r="AF5" s="362" t="s">
        <v>258</v>
      </c>
      <c r="AG5" s="354" t="s">
        <v>259</v>
      </c>
      <c r="AH5" s="355" t="s">
        <v>260</v>
      </c>
      <c r="AI5" s="354" t="s">
        <v>261</v>
      </c>
      <c r="AJ5" s="363" t="s">
        <v>262</v>
      </c>
      <c r="AK5" s="354" t="s">
        <v>263</v>
      </c>
      <c r="AL5" s="360" t="s">
        <v>264</v>
      </c>
      <c r="AM5" s="354" t="s">
        <v>263</v>
      </c>
      <c r="AN5" s="364" t="s">
        <v>265</v>
      </c>
      <c r="AO5" s="364" t="s">
        <v>266</v>
      </c>
      <c r="AP5" s="354" t="s">
        <v>267</v>
      </c>
      <c r="AQ5" s="353" t="s">
        <v>268</v>
      </c>
      <c r="AR5" s="354" t="s">
        <v>269</v>
      </c>
      <c r="AS5" s="354" t="s">
        <v>267</v>
      </c>
      <c r="AT5" s="353" t="s">
        <v>270</v>
      </c>
      <c r="AU5" s="354" t="s">
        <v>271</v>
      </c>
      <c r="AV5" s="354" t="s">
        <v>267</v>
      </c>
      <c r="AW5" s="354" t="s">
        <v>272</v>
      </c>
      <c r="AX5" s="363" t="s">
        <v>273</v>
      </c>
      <c r="AY5" s="353" t="s">
        <v>274</v>
      </c>
      <c r="AZ5" s="353" t="s">
        <v>267</v>
      </c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</row>
    <row r="6" spans="1:149" s="370" customFormat="1" ht="12.75">
      <c r="A6" s="366"/>
      <c r="B6" s="366"/>
      <c r="C6" s="367">
        <v>1</v>
      </c>
      <c r="D6" s="367" t="s">
        <v>275</v>
      </c>
      <c r="E6" s="368" t="s">
        <v>276</v>
      </c>
      <c r="F6" s="368">
        <v>2</v>
      </c>
      <c r="G6" s="368" t="s">
        <v>277</v>
      </c>
      <c r="H6" s="368">
        <v>3</v>
      </c>
      <c r="I6" s="368" t="s">
        <v>278</v>
      </c>
      <c r="J6" s="368">
        <v>4</v>
      </c>
      <c r="K6" s="368" t="s">
        <v>279</v>
      </c>
      <c r="L6" s="368">
        <v>5</v>
      </c>
      <c r="M6" s="368" t="s">
        <v>280</v>
      </c>
      <c r="N6" s="367" t="s">
        <v>281</v>
      </c>
      <c r="O6" s="368">
        <v>6</v>
      </c>
      <c r="P6" s="368">
        <f aca="true" t="shared" si="0" ref="P6:AZ6">O6+1</f>
        <v>7</v>
      </c>
      <c r="Q6" s="368">
        <f t="shared" si="0"/>
        <v>8</v>
      </c>
      <c r="R6" s="368">
        <f t="shared" si="0"/>
        <v>9</v>
      </c>
      <c r="S6" s="368">
        <f t="shared" si="0"/>
        <v>10</v>
      </c>
      <c r="T6" s="368">
        <f t="shared" si="0"/>
        <v>11</v>
      </c>
      <c r="U6" s="368">
        <f t="shared" si="0"/>
        <v>12</v>
      </c>
      <c r="V6" s="368">
        <f t="shared" si="0"/>
        <v>13</v>
      </c>
      <c r="W6" s="368">
        <f t="shared" si="0"/>
        <v>14</v>
      </c>
      <c r="X6" s="368">
        <f t="shared" si="0"/>
        <v>15</v>
      </c>
      <c r="Y6" s="368">
        <f t="shared" si="0"/>
        <v>16</v>
      </c>
      <c r="Z6" s="368">
        <f t="shared" si="0"/>
        <v>17</v>
      </c>
      <c r="AA6" s="368">
        <f t="shared" si="0"/>
        <v>18</v>
      </c>
      <c r="AB6" s="368">
        <f t="shared" si="0"/>
        <v>19</v>
      </c>
      <c r="AC6" s="368">
        <f t="shared" si="0"/>
        <v>20</v>
      </c>
      <c r="AD6" s="368">
        <f t="shared" si="0"/>
        <v>21</v>
      </c>
      <c r="AE6" s="368">
        <f t="shared" si="0"/>
        <v>22</v>
      </c>
      <c r="AF6" s="368">
        <f t="shared" si="0"/>
        <v>23</v>
      </c>
      <c r="AG6" s="368">
        <f t="shared" si="0"/>
        <v>24</v>
      </c>
      <c r="AH6" s="368">
        <f t="shared" si="0"/>
        <v>25</v>
      </c>
      <c r="AI6" s="368">
        <f t="shared" si="0"/>
        <v>26</v>
      </c>
      <c r="AJ6" s="368">
        <f t="shared" si="0"/>
        <v>27</v>
      </c>
      <c r="AK6" s="368">
        <f t="shared" si="0"/>
        <v>28</v>
      </c>
      <c r="AL6" s="368">
        <f t="shared" si="0"/>
        <v>29</v>
      </c>
      <c r="AM6" s="368">
        <f t="shared" si="0"/>
        <v>30</v>
      </c>
      <c r="AN6" s="368">
        <f t="shared" si="0"/>
        <v>31</v>
      </c>
      <c r="AO6" s="368">
        <f t="shared" si="0"/>
        <v>32</v>
      </c>
      <c r="AP6" s="368">
        <f t="shared" si="0"/>
        <v>33</v>
      </c>
      <c r="AQ6" s="368">
        <f t="shared" si="0"/>
        <v>34</v>
      </c>
      <c r="AR6" s="368">
        <f t="shared" si="0"/>
        <v>35</v>
      </c>
      <c r="AS6" s="368">
        <f t="shared" si="0"/>
        <v>36</v>
      </c>
      <c r="AT6" s="368">
        <f t="shared" si="0"/>
        <v>37</v>
      </c>
      <c r="AU6" s="368">
        <f t="shared" si="0"/>
        <v>38</v>
      </c>
      <c r="AV6" s="368">
        <f t="shared" si="0"/>
        <v>39</v>
      </c>
      <c r="AW6" s="368">
        <f t="shared" si="0"/>
        <v>40</v>
      </c>
      <c r="AX6" s="368">
        <f t="shared" si="0"/>
        <v>41</v>
      </c>
      <c r="AY6" s="368">
        <f t="shared" si="0"/>
        <v>42</v>
      </c>
      <c r="AZ6" s="368">
        <f t="shared" si="0"/>
        <v>43</v>
      </c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69"/>
      <c r="DF6" s="369"/>
      <c r="DG6" s="369"/>
      <c r="DH6" s="369"/>
      <c r="DI6" s="369"/>
      <c r="DJ6" s="369"/>
      <c r="DK6" s="369"/>
      <c r="DL6" s="369"/>
      <c r="DM6" s="369"/>
      <c r="DN6" s="369"/>
      <c r="DO6" s="369"/>
      <c r="DP6" s="369"/>
      <c r="DQ6" s="369"/>
      <c r="DR6" s="369"/>
      <c r="DS6" s="369"/>
      <c r="DT6" s="369"/>
      <c r="DU6" s="369"/>
      <c r="DV6" s="369"/>
      <c r="DW6" s="369"/>
      <c r="DX6" s="369"/>
      <c r="DY6" s="369"/>
      <c r="DZ6" s="369"/>
      <c r="EA6" s="369"/>
      <c r="EB6" s="369"/>
      <c r="EC6" s="369"/>
      <c r="ED6" s="369"/>
      <c r="EE6" s="369"/>
      <c r="EF6" s="369"/>
      <c r="EG6" s="369"/>
      <c r="EH6" s="369"/>
      <c r="EI6" s="369"/>
      <c r="EJ6" s="369"/>
      <c r="EK6" s="369"/>
      <c r="EL6" s="369"/>
      <c r="EM6" s="369"/>
      <c r="EN6" s="369"/>
      <c r="EO6" s="369"/>
      <c r="EP6" s="369"/>
      <c r="EQ6" s="369"/>
      <c r="ER6" s="369"/>
      <c r="ES6" s="369"/>
    </row>
    <row r="7" spans="1:52" ht="12.75">
      <c r="A7" s="371"/>
      <c r="B7" s="372"/>
      <c r="C7" s="373"/>
      <c r="D7" s="373"/>
      <c r="E7" s="374" t="s">
        <v>282</v>
      </c>
      <c r="F7" s="377">
        <v>38838</v>
      </c>
      <c r="G7" s="374" t="s">
        <v>282</v>
      </c>
      <c r="H7" s="375" t="s">
        <v>283</v>
      </c>
      <c r="I7" s="376" t="s">
        <v>282</v>
      </c>
      <c r="J7" s="377">
        <v>38838</v>
      </c>
      <c r="K7" s="376" t="s">
        <v>282</v>
      </c>
      <c r="L7" s="377">
        <v>38838</v>
      </c>
      <c r="M7" s="376" t="s">
        <v>282</v>
      </c>
      <c r="N7" s="378" t="s">
        <v>282</v>
      </c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9"/>
      <c r="Z7" s="372"/>
      <c r="AA7" s="380"/>
      <c r="AB7" s="372"/>
      <c r="AC7" s="372"/>
      <c r="AD7" s="372"/>
      <c r="AE7" s="372"/>
      <c r="AF7" s="379"/>
      <c r="AG7" s="372"/>
      <c r="AH7" s="372"/>
      <c r="AI7" s="372"/>
      <c r="AJ7" s="372"/>
      <c r="AK7" s="372"/>
      <c r="AL7" s="372"/>
      <c r="AM7" s="372"/>
      <c r="AN7" s="381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</row>
    <row r="8" spans="1:149" s="394" customFormat="1" ht="12.75">
      <c r="A8" s="382">
        <v>1</v>
      </c>
      <c r="B8" s="383" t="s">
        <v>284</v>
      </c>
      <c r="C8" s="384">
        <f>'[1]Table 8 Membership'!R8</f>
        <v>9113</v>
      </c>
      <c r="D8" s="384">
        <f>'[1]Table 8 Membership'!Y8</f>
        <v>9113</v>
      </c>
      <c r="E8" s="384">
        <f>'[1]4-MFP_&amp;_Other_Funded'!BK13+'[1]LEP'!F10</f>
        <v>5920</v>
      </c>
      <c r="F8" s="384">
        <f aca="true" t="shared" si="1" ref="F8:F39">ROUND($F$4*E8,0)</f>
        <v>1125</v>
      </c>
      <c r="G8" s="384">
        <f>'[5]Sheet1'!C3</f>
        <v>2895</v>
      </c>
      <c r="H8" s="384">
        <f aca="true" t="shared" si="2" ref="H8:H39">ROUND($H$4*G8,0)</f>
        <v>145</v>
      </c>
      <c r="I8" s="384">
        <f>'[4]mfpLeaSums'!G4</f>
        <v>1533</v>
      </c>
      <c r="J8" s="384">
        <f aca="true" t="shared" si="3" ref="J8:J39">ROUND($J$4*I8,0)</f>
        <v>2300</v>
      </c>
      <c r="K8" s="384">
        <f>'[4]mfpLeaSums'!C4</f>
        <v>94</v>
      </c>
      <c r="L8" s="384">
        <f aca="true" t="shared" si="4" ref="L8:L39">ROUND($L$4*K8,0)</f>
        <v>56</v>
      </c>
      <c r="M8" s="385">
        <f aca="true" t="shared" si="5" ref="M8:M39">IF(D8&lt;$M$4,$M$4-D8,0)</f>
        <v>0</v>
      </c>
      <c r="N8" s="386">
        <f aca="true" t="shared" si="6" ref="N8:N39">ROUND(M8/$N$4,5)</f>
        <v>0</v>
      </c>
      <c r="O8" s="384">
        <f aca="true" t="shared" si="7" ref="O8:O39">ROUND(D8*N8,0)</f>
        <v>0</v>
      </c>
      <c r="P8" s="384">
        <f aca="true" t="shared" si="8" ref="P8:P39">F8+H8+J8+L8+O8</f>
        <v>3626</v>
      </c>
      <c r="Q8" s="384">
        <f aca="true" t="shared" si="9" ref="Q8:Q39">P8+D8</f>
        <v>12739</v>
      </c>
      <c r="R8" s="387">
        <f aca="true" t="shared" si="10" ref="R8:R39">$R$4</f>
        <v>3652</v>
      </c>
      <c r="S8" s="387">
        <f aca="true" t="shared" si="11" ref="S8:S39">ROUND(Q8*R8,0)</f>
        <v>46522828</v>
      </c>
      <c r="T8" s="388">
        <f>'[1]Table 6 Local Wealth Factor'!L8</f>
        <v>0.62262247</v>
      </c>
      <c r="U8" s="388">
        <f aca="true" t="shared" si="12" ref="U8:U39">ROUND(Q8/Q$76,8)</f>
        <v>0.01422764</v>
      </c>
      <c r="V8" s="388">
        <f aca="true" t="shared" si="13" ref="V8:V39">ROUND(T8*U8,8)</f>
        <v>0.00885845</v>
      </c>
      <c r="W8" s="387">
        <f aca="true" t="shared" si="14" ref="W8:W39">IF(S$76*V8*W$4&lt;S8,ROUND(S$76*V8*W$4,0),S8)</f>
        <v>10138159</v>
      </c>
      <c r="X8" s="389">
        <f aca="true" t="shared" si="15" ref="X8:X39">ROUND(W8/S8,4)</f>
        <v>0.2179</v>
      </c>
      <c r="Y8" s="390">
        <f aca="true" t="shared" si="16" ref="Y8:Y39">IF(S8-W8&gt;0,S8-W8,0)</f>
        <v>36384669</v>
      </c>
      <c r="Z8" s="389">
        <f aca="true" t="shared" si="17" ref="Z8:Z39">ROUND(Y8/S8,4)</f>
        <v>0.7821</v>
      </c>
      <c r="AA8" s="391">
        <f>'[1]Table 7 Local Revenue'!AR7</f>
        <v>12741464</v>
      </c>
      <c r="AB8" s="387">
        <f aca="true" t="shared" si="18" ref="AB8:AB16">IF(AA8-W8&gt;0,AA8-W8,0)</f>
        <v>2603305</v>
      </c>
      <c r="AC8" s="392">
        <f aca="true" t="shared" si="19" ref="AC8:AC39">IF(AA8-W8&lt;0,AA8-W8,0)</f>
        <v>0</v>
      </c>
      <c r="AD8" s="387">
        <f aca="true" t="shared" si="20" ref="AD8:AD39">ROUND(S8*AD$4,0)</f>
        <v>15352533</v>
      </c>
      <c r="AE8" s="393">
        <f aca="true" t="shared" si="21" ref="AE8:AE39">IF(AB8&lt;AD8,AB8,AD8)</f>
        <v>2603305</v>
      </c>
      <c r="AF8" s="390">
        <f aca="true" t="shared" si="22" ref="AF8:AF39">IF((1-((1-AF$4)*T8))*AE8&gt;0,ROUND((1-((1-AF$4)*T8))*AE8,0),0)</f>
        <v>1630779</v>
      </c>
      <c r="AG8" s="389">
        <f aca="true" t="shared" si="23" ref="AG8:AG39">IF(AE8=0,0,ROUND(AF8/AE8,4))</f>
        <v>0.6264</v>
      </c>
      <c r="AH8" s="387">
        <f aca="true" t="shared" si="24" ref="AH8:AH39">IF(((1-((1-AH$4)*T8))*AD8)-AF8&gt;0,ROUND(((1-((1-AH$4)*T8))*AD8)-AF8,0),0)</f>
        <v>7986455</v>
      </c>
      <c r="AI8" s="387">
        <f aca="true" t="shared" si="25" ref="AI8:AI39">AE8+AF8</f>
        <v>4234084</v>
      </c>
      <c r="AJ8" s="387">
        <f aca="true" t="shared" si="26" ref="AJ8:AJ39">+AF8+Y8</f>
        <v>38015448</v>
      </c>
      <c r="AK8" s="387">
        <f aca="true" t="shared" si="27" ref="AK8:AK39">ROUND(AJ8/D8,2)</f>
        <v>4171.56</v>
      </c>
      <c r="AL8" s="390">
        <f>'[1]Table 4 Level 3'!Y8</f>
        <v>4104951</v>
      </c>
      <c r="AM8" s="387">
        <f aca="true" t="shared" si="28" ref="AM8:AM39">ROUND(AL8/D8,2)</f>
        <v>450.45</v>
      </c>
      <c r="AN8" s="390">
        <f aca="true" t="shared" si="29" ref="AN8:AN39">+AJ8+AL8</f>
        <v>42120399</v>
      </c>
      <c r="AO8" s="390">
        <f aca="true" t="shared" si="30" ref="AO8:AO39">ROUND(AN8/D8,0)</f>
        <v>4622</v>
      </c>
      <c r="AP8" s="384">
        <f aca="true" t="shared" si="31" ref="AP8:AP39">RANK(AO8,$AO$8:$AO$75)</f>
        <v>36</v>
      </c>
      <c r="AQ8" s="392">
        <f>AN8-'[1]Table 2 Distribution &amp; Adjusts'!I5</f>
        <v>2616157</v>
      </c>
      <c r="AR8" s="389">
        <f aca="true" t="shared" si="32" ref="AR8:AR39">ROUND(AN8/AX8,4)</f>
        <v>0.7678</v>
      </c>
      <c r="AS8" s="384">
        <f aca="true" t="shared" si="33" ref="AS8:AS39">RANK(AR8,$AR$8:$AR$75)</f>
        <v>13</v>
      </c>
      <c r="AT8" s="387">
        <f aca="true" t="shared" si="34" ref="AT8:AT39">ROUND(W8+AE8,2)</f>
        <v>12741464</v>
      </c>
      <c r="AU8" s="387">
        <f aca="true" t="shared" si="35" ref="AU8:AU39">ROUND(AT8/D8,2)</f>
        <v>1398.16</v>
      </c>
      <c r="AV8" s="384">
        <f aca="true" t="shared" si="36" ref="AV8:AV39">RANK(AU8,$AU$8:$AU$75)</f>
        <v>60</v>
      </c>
      <c r="AW8" s="389">
        <f aca="true" t="shared" si="37" ref="AW8:AW39">ROUND(AT8/AX8,4)</f>
        <v>0.2322</v>
      </c>
      <c r="AX8" s="387">
        <f aca="true" t="shared" si="38" ref="AX8:AX39">ROUND(AN8+AT8,2)</f>
        <v>54861863</v>
      </c>
      <c r="AY8" s="387">
        <f aca="true" t="shared" si="39" ref="AY8:AY39">ROUND(AX8/D8,2)</f>
        <v>6020.18</v>
      </c>
      <c r="AZ8" s="384">
        <f aca="true" t="shared" si="40" ref="AZ8:AZ39">RANK(AY8,$AY$8:$AY$75)</f>
        <v>64</v>
      </c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</row>
    <row r="9" spans="1:149" s="394" customFormat="1" ht="12.75">
      <c r="A9" s="382">
        <v>2</v>
      </c>
      <c r="B9" s="383" t="s">
        <v>285</v>
      </c>
      <c r="C9" s="384">
        <f>'[1]Table 8 Membership'!R9</f>
        <v>4158</v>
      </c>
      <c r="D9" s="384">
        <f>'[1]Table 8 Membership'!Y9</f>
        <v>4158</v>
      </c>
      <c r="E9" s="384">
        <f>'[1]4-MFP_&amp;_Other_Funded'!BK14+'[1]LEP'!F11</f>
        <v>2461</v>
      </c>
      <c r="F9" s="384">
        <f t="shared" si="1"/>
        <v>468</v>
      </c>
      <c r="G9" s="384">
        <f>'[5]Sheet1'!C4</f>
        <v>1503.5</v>
      </c>
      <c r="H9" s="384">
        <f t="shared" si="2"/>
        <v>75</v>
      </c>
      <c r="I9" s="384">
        <f>'[4]mfpLeaSums'!G5</f>
        <v>529</v>
      </c>
      <c r="J9" s="384">
        <f t="shared" si="3"/>
        <v>794</v>
      </c>
      <c r="K9" s="384">
        <f>'[4]mfpLeaSums'!C5</f>
        <v>70</v>
      </c>
      <c r="L9" s="384">
        <f t="shared" si="4"/>
        <v>42</v>
      </c>
      <c r="M9" s="384">
        <f t="shared" si="5"/>
        <v>3342</v>
      </c>
      <c r="N9" s="386">
        <f t="shared" si="6"/>
        <v>0.08912</v>
      </c>
      <c r="O9" s="384">
        <f t="shared" si="7"/>
        <v>371</v>
      </c>
      <c r="P9" s="384">
        <f t="shared" si="8"/>
        <v>1750</v>
      </c>
      <c r="Q9" s="384">
        <f t="shared" si="9"/>
        <v>5908</v>
      </c>
      <c r="R9" s="387">
        <f t="shared" si="10"/>
        <v>3652</v>
      </c>
      <c r="S9" s="387">
        <f t="shared" si="11"/>
        <v>21576016</v>
      </c>
      <c r="T9" s="388">
        <f>'[1]Table 6 Local Wealth Factor'!L9</f>
        <v>0.50976135</v>
      </c>
      <c r="U9" s="388">
        <f t="shared" si="12"/>
        <v>0.00659839</v>
      </c>
      <c r="V9" s="388">
        <f t="shared" si="13"/>
        <v>0.0033636</v>
      </c>
      <c r="W9" s="387">
        <f t="shared" si="14"/>
        <v>3849512</v>
      </c>
      <c r="X9" s="389">
        <f t="shared" si="15"/>
        <v>0.1784</v>
      </c>
      <c r="Y9" s="390">
        <f t="shared" si="16"/>
        <v>17726504</v>
      </c>
      <c r="Z9" s="389">
        <f t="shared" si="17"/>
        <v>0.8216</v>
      </c>
      <c r="AA9" s="391">
        <f>'[1]Table 7 Local Revenue'!AR8</f>
        <v>8930310</v>
      </c>
      <c r="AB9" s="387">
        <f t="shared" si="18"/>
        <v>5080798</v>
      </c>
      <c r="AC9" s="392">
        <f t="shared" si="19"/>
        <v>0</v>
      </c>
      <c r="AD9" s="387">
        <f t="shared" si="20"/>
        <v>7120085</v>
      </c>
      <c r="AE9" s="393">
        <f t="shared" si="21"/>
        <v>5080798</v>
      </c>
      <c r="AF9" s="390">
        <f t="shared" si="22"/>
        <v>3526801</v>
      </c>
      <c r="AG9" s="389">
        <f t="shared" si="23"/>
        <v>0.6941</v>
      </c>
      <c r="AH9" s="387">
        <f t="shared" si="24"/>
        <v>1415558</v>
      </c>
      <c r="AI9" s="387">
        <f t="shared" si="25"/>
        <v>8607599</v>
      </c>
      <c r="AJ9" s="387">
        <f t="shared" si="26"/>
        <v>21253305</v>
      </c>
      <c r="AK9" s="387">
        <f t="shared" si="27"/>
        <v>5111.42</v>
      </c>
      <c r="AL9" s="390">
        <f>'[1]Table 4 Level 3'!Y9</f>
        <v>1836246</v>
      </c>
      <c r="AM9" s="387">
        <f t="shared" si="28"/>
        <v>441.62</v>
      </c>
      <c r="AN9" s="390">
        <f t="shared" si="29"/>
        <v>23089551</v>
      </c>
      <c r="AO9" s="390">
        <f t="shared" si="30"/>
        <v>5553</v>
      </c>
      <c r="AP9" s="384">
        <f t="shared" si="31"/>
        <v>6</v>
      </c>
      <c r="AQ9" s="392">
        <f>AN9-'[1]Table 2 Distribution &amp; Adjusts'!I6</f>
        <v>1941508</v>
      </c>
      <c r="AR9" s="389">
        <f t="shared" si="32"/>
        <v>0.7211</v>
      </c>
      <c r="AS9" s="384">
        <f t="shared" si="33"/>
        <v>27</v>
      </c>
      <c r="AT9" s="387">
        <f t="shared" si="34"/>
        <v>8930310</v>
      </c>
      <c r="AU9" s="387">
        <f t="shared" si="35"/>
        <v>2147.74</v>
      </c>
      <c r="AV9" s="384">
        <f t="shared" si="36"/>
        <v>41</v>
      </c>
      <c r="AW9" s="389">
        <f t="shared" si="37"/>
        <v>0.2789</v>
      </c>
      <c r="AX9" s="387">
        <f t="shared" si="38"/>
        <v>32019861</v>
      </c>
      <c r="AY9" s="387">
        <f t="shared" si="39"/>
        <v>7700.78</v>
      </c>
      <c r="AZ9" s="384">
        <f t="shared" si="40"/>
        <v>19</v>
      </c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</row>
    <row r="10" spans="1:149" s="394" customFormat="1" ht="12.75">
      <c r="A10" s="382">
        <v>3</v>
      </c>
      <c r="B10" s="383" t="s">
        <v>286</v>
      </c>
      <c r="C10" s="384">
        <f>'[1]Table 8 Membership'!R10</f>
        <v>17451</v>
      </c>
      <c r="D10" s="384">
        <f>'[1]Table 8 Membership'!Y10</f>
        <v>17451</v>
      </c>
      <c r="E10" s="384">
        <f>'[1]4-MFP_&amp;_Other_Funded'!BK15+'[1]LEP'!F12</f>
        <v>7584</v>
      </c>
      <c r="F10" s="384">
        <f t="shared" si="1"/>
        <v>1441</v>
      </c>
      <c r="G10" s="384">
        <f>'[5]Sheet1'!C5</f>
        <v>4826</v>
      </c>
      <c r="H10" s="384">
        <f t="shared" si="2"/>
        <v>241</v>
      </c>
      <c r="I10" s="384">
        <f>'[4]mfpLeaSums'!G6</f>
        <v>2592</v>
      </c>
      <c r="J10" s="384">
        <f t="shared" si="3"/>
        <v>3888</v>
      </c>
      <c r="K10" s="384">
        <f>'[4]mfpLeaSums'!C6</f>
        <v>341</v>
      </c>
      <c r="L10" s="384">
        <f t="shared" si="4"/>
        <v>205</v>
      </c>
      <c r="M10" s="384">
        <f t="shared" si="5"/>
        <v>0</v>
      </c>
      <c r="N10" s="386">
        <f t="shared" si="6"/>
        <v>0</v>
      </c>
      <c r="O10" s="384">
        <f t="shared" si="7"/>
        <v>0</v>
      </c>
      <c r="P10" s="384">
        <f t="shared" si="8"/>
        <v>5775</v>
      </c>
      <c r="Q10" s="384">
        <f t="shared" si="9"/>
        <v>23226</v>
      </c>
      <c r="R10" s="387">
        <f t="shared" si="10"/>
        <v>3652</v>
      </c>
      <c r="S10" s="387">
        <f t="shared" si="11"/>
        <v>84821352</v>
      </c>
      <c r="T10" s="388">
        <f>'[1]Table 6 Local Wealth Factor'!L10</f>
        <v>0.96017854</v>
      </c>
      <c r="U10" s="388">
        <f t="shared" si="12"/>
        <v>0.02594011</v>
      </c>
      <c r="V10" s="388">
        <f t="shared" si="13"/>
        <v>0.02490714</v>
      </c>
      <c r="W10" s="387">
        <f t="shared" si="14"/>
        <v>28505274</v>
      </c>
      <c r="X10" s="389">
        <f t="shared" si="15"/>
        <v>0.3361</v>
      </c>
      <c r="Y10" s="390">
        <f t="shared" si="16"/>
        <v>56316078</v>
      </c>
      <c r="Z10" s="389">
        <f t="shared" si="17"/>
        <v>0.6639</v>
      </c>
      <c r="AA10" s="391">
        <f>'[1]Table 7 Local Revenue'!AR9</f>
        <v>56156244</v>
      </c>
      <c r="AB10" s="387">
        <f t="shared" si="18"/>
        <v>27650970</v>
      </c>
      <c r="AC10" s="392">
        <f t="shared" si="19"/>
        <v>0</v>
      </c>
      <c r="AD10" s="387">
        <f t="shared" si="20"/>
        <v>27991046</v>
      </c>
      <c r="AE10" s="393">
        <f t="shared" si="21"/>
        <v>27650970</v>
      </c>
      <c r="AF10" s="390">
        <f t="shared" si="22"/>
        <v>11721049</v>
      </c>
      <c r="AG10" s="389">
        <f t="shared" si="23"/>
        <v>0.4239</v>
      </c>
      <c r="AH10" s="387">
        <f t="shared" si="24"/>
        <v>144156</v>
      </c>
      <c r="AI10" s="387">
        <f t="shared" si="25"/>
        <v>39372019</v>
      </c>
      <c r="AJ10" s="387">
        <f t="shared" si="26"/>
        <v>68037127</v>
      </c>
      <c r="AK10" s="387">
        <f t="shared" si="27"/>
        <v>3898.75</v>
      </c>
      <c r="AL10" s="390">
        <f>'[1]Table 4 Level 3'!Y10</f>
        <v>4804164</v>
      </c>
      <c r="AM10" s="387">
        <f t="shared" si="28"/>
        <v>275.29</v>
      </c>
      <c r="AN10" s="390">
        <f t="shared" si="29"/>
        <v>72841291</v>
      </c>
      <c r="AO10" s="390">
        <f t="shared" si="30"/>
        <v>4174</v>
      </c>
      <c r="AP10" s="384">
        <f t="shared" si="31"/>
        <v>50</v>
      </c>
      <c r="AQ10" s="392">
        <f>AN10-'[1]Table 2 Distribution &amp; Adjusts'!I7</f>
        <v>9054571</v>
      </c>
      <c r="AR10" s="389">
        <f t="shared" si="32"/>
        <v>0.5647</v>
      </c>
      <c r="AS10" s="384">
        <f t="shared" si="33"/>
        <v>51</v>
      </c>
      <c r="AT10" s="387">
        <f t="shared" si="34"/>
        <v>56156244</v>
      </c>
      <c r="AU10" s="387">
        <f t="shared" si="35"/>
        <v>3217.94</v>
      </c>
      <c r="AV10" s="384">
        <f t="shared" si="36"/>
        <v>23</v>
      </c>
      <c r="AW10" s="389">
        <f t="shared" si="37"/>
        <v>0.4353</v>
      </c>
      <c r="AX10" s="387">
        <f t="shared" si="38"/>
        <v>128997535</v>
      </c>
      <c r="AY10" s="387">
        <f t="shared" si="39"/>
        <v>7391.99</v>
      </c>
      <c r="AZ10" s="384">
        <f t="shared" si="40"/>
        <v>27</v>
      </c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</row>
    <row r="11" spans="1:149" s="394" customFormat="1" ht="12.75">
      <c r="A11" s="382">
        <v>4</v>
      </c>
      <c r="B11" s="383" t="s">
        <v>287</v>
      </c>
      <c r="C11" s="384">
        <f>'[1]Table 8 Membership'!R11</f>
        <v>4080</v>
      </c>
      <c r="D11" s="384">
        <f>'[1]Table 8 Membership'!Y11</f>
        <v>4080</v>
      </c>
      <c r="E11" s="384">
        <f>'[1]4-MFP_&amp;_Other_Funded'!BK16+'[1]LEP'!F13</f>
        <v>2592</v>
      </c>
      <c r="F11" s="384">
        <f t="shared" si="1"/>
        <v>492</v>
      </c>
      <c r="G11" s="384">
        <f>'[5]Sheet1'!C6</f>
        <v>1400.5</v>
      </c>
      <c r="H11" s="384">
        <f t="shared" si="2"/>
        <v>70</v>
      </c>
      <c r="I11" s="384">
        <f>'[4]mfpLeaSums'!G7</f>
        <v>628</v>
      </c>
      <c r="J11" s="384">
        <f t="shared" si="3"/>
        <v>942</v>
      </c>
      <c r="K11" s="384">
        <f>'[4]mfpLeaSums'!C7</f>
        <v>80</v>
      </c>
      <c r="L11" s="384">
        <f t="shared" si="4"/>
        <v>48</v>
      </c>
      <c r="M11" s="384">
        <f t="shared" si="5"/>
        <v>3420</v>
      </c>
      <c r="N11" s="386">
        <f t="shared" si="6"/>
        <v>0.0912</v>
      </c>
      <c r="O11" s="384">
        <f t="shared" si="7"/>
        <v>372</v>
      </c>
      <c r="P11" s="384">
        <f t="shared" si="8"/>
        <v>1924</v>
      </c>
      <c r="Q11" s="384">
        <f t="shared" si="9"/>
        <v>6004</v>
      </c>
      <c r="R11" s="387">
        <f t="shared" si="10"/>
        <v>3652</v>
      </c>
      <c r="S11" s="387">
        <f t="shared" si="11"/>
        <v>21926608</v>
      </c>
      <c r="T11" s="388">
        <f>'[1]Table 6 Local Wealth Factor'!L11</f>
        <v>0.52148753</v>
      </c>
      <c r="U11" s="388">
        <f t="shared" si="12"/>
        <v>0.00670561</v>
      </c>
      <c r="V11" s="388">
        <f t="shared" si="13"/>
        <v>0.00349689</v>
      </c>
      <c r="W11" s="387">
        <f t="shared" si="14"/>
        <v>4002057</v>
      </c>
      <c r="X11" s="389">
        <f t="shared" si="15"/>
        <v>0.1825</v>
      </c>
      <c r="Y11" s="390">
        <f t="shared" si="16"/>
        <v>17924551</v>
      </c>
      <c r="Z11" s="389">
        <f t="shared" si="17"/>
        <v>0.8175</v>
      </c>
      <c r="AA11" s="391">
        <f>'[1]Table 7 Local Revenue'!AR10</f>
        <v>7978457</v>
      </c>
      <c r="AB11" s="387">
        <f t="shared" si="18"/>
        <v>3976400</v>
      </c>
      <c r="AC11" s="392">
        <f t="shared" si="19"/>
        <v>0</v>
      </c>
      <c r="AD11" s="387">
        <f t="shared" si="20"/>
        <v>7235781</v>
      </c>
      <c r="AE11" s="393">
        <f t="shared" si="21"/>
        <v>3976400</v>
      </c>
      <c r="AF11" s="390">
        <f t="shared" si="22"/>
        <v>2732214</v>
      </c>
      <c r="AG11" s="389">
        <f t="shared" si="23"/>
        <v>0.6871</v>
      </c>
      <c r="AH11" s="387">
        <f t="shared" si="24"/>
        <v>2239545</v>
      </c>
      <c r="AI11" s="387">
        <f t="shared" si="25"/>
        <v>6708614</v>
      </c>
      <c r="AJ11" s="387">
        <f t="shared" si="26"/>
        <v>20656765</v>
      </c>
      <c r="AK11" s="387">
        <f t="shared" si="27"/>
        <v>5062.93</v>
      </c>
      <c r="AL11" s="390">
        <f>'[1]Table 4 Level 3'!Y11</f>
        <v>1354320</v>
      </c>
      <c r="AM11" s="387">
        <f t="shared" si="28"/>
        <v>331.94</v>
      </c>
      <c r="AN11" s="390">
        <f t="shared" si="29"/>
        <v>22011085</v>
      </c>
      <c r="AO11" s="390">
        <f t="shared" si="30"/>
        <v>5395</v>
      </c>
      <c r="AP11" s="384">
        <f t="shared" si="31"/>
        <v>7</v>
      </c>
      <c r="AQ11" s="392">
        <f>AN11-'[1]Table 2 Distribution &amp; Adjusts'!I8</f>
        <v>1277151</v>
      </c>
      <c r="AR11" s="389">
        <f t="shared" si="32"/>
        <v>0.734</v>
      </c>
      <c r="AS11" s="384">
        <f t="shared" si="33"/>
        <v>21</v>
      </c>
      <c r="AT11" s="387">
        <f t="shared" si="34"/>
        <v>7978457</v>
      </c>
      <c r="AU11" s="387">
        <f t="shared" si="35"/>
        <v>1955.5</v>
      </c>
      <c r="AV11" s="384">
        <f t="shared" si="36"/>
        <v>44</v>
      </c>
      <c r="AW11" s="389">
        <f t="shared" si="37"/>
        <v>0.266</v>
      </c>
      <c r="AX11" s="387">
        <f t="shared" si="38"/>
        <v>29989542</v>
      </c>
      <c r="AY11" s="387">
        <f t="shared" si="39"/>
        <v>7350.38</v>
      </c>
      <c r="AZ11" s="384">
        <f t="shared" si="40"/>
        <v>29</v>
      </c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</row>
    <row r="12" spans="1:149" s="405" customFormat="1" ht="12.75">
      <c r="A12" s="395">
        <v>5</v>
      </c>
      <c r="B12" s="396" t="s">
        <v>288</v>
      </c>
      <c r="C12" s="397">
        <f>'[1]Table 8 Membership'!R12</f>
        <v>6080</v>
      </c>
      <c r="D12" s="397">
        <f>'[1]Table 8 Membership'!Y12</f>
        <v>6080</v>
      </c>
      <c r="E12" s="397">
        <f>'[1]4-MFP_&amp;_Other_Funded'!BK17+'[1]LEP'!F14</f>
        <v>4684</v>
      </c>
      <c r="F12" s="397">
        <f t="shared" si="1"/>
        <v>890</v>
      </c>
      <c r="G12" s="397">
        <f>'[5]Sheet1'!C7</f>
        <v>2572</v>
      </c>
      <c r="H12" s="397">
        <f t="shared" si="2"/>
        <v>129</v>
      </c>
      <c r="I12" s="397">
        <f>'[4]mfpLeaSums'!G8</f>
        <v>719</v>
      </c>
      <c r="J12" s="397">
        <f t="shared" si="3"/>
        <v>1079</v>
      </c>
      <c r="K12" s="397">
        <f>'[4]mfpLeaSums'!C8</f>
        <v>9</v>
      </c>
      <c r="L12" s="397">
        <f t="shared" si="4"/>
        <v>5</v>
      </c>
      <c r="M12" s="397">
        <f t="shared" si="5"/>
        <v>1420</v>
      </c>
      <c r="N12" s="398">
        <f t="shared" si="6"/>
        <v>0.03787</v>
      </c>
      <c r="O12" s="397">
        <f t="shared" si="7"/>
        <v>230</v>
      </c>
      <c r="P12" s="397">
        <f t="shared" si="8"/>
        <v>2333</v>
      </c>
      <c r="Q12" s="384">
        <f t="shared" si="9"/>
        <v>8413</v>
      </c>
      <c r="R12" s="399">
        <f t="shared" si="10"/>
        <v>3652</v>
      </c>
      <c r="S12" s="399">
        <f t="shared" si="11"/>
        <v>30724276</v>
      </c>
      <c r="T12" s="400">
        <f>'[1]Table 6 Local Wealth Factor'!L12</f>
        <v>0.55230127</v>
      </c>
      <c r="U12" s="400">
        <f t="shared" si="12"/>
        <v>0.00939612</v>
      </c>
      <c r="V12" s="400">
        <f t="shared" si="13"/>
        <v>0.00518949</v>
      </c>
      <c r="W12" s="399">
        <f t="shared" si="14"/>
        <v>5939174</v>
      </c>
      <c r="X12" s="401">
        <f t="shared" si="15"/>
        <v>0.1933</v>
      </c>
      <c r="Y12" s="402">
        <f t="shared" si="16"/>
        <v>24785102</v>
      </c>
      <c r="Z12" s="401">
        <f t="shared" si="17"/>
        <v>0.8067</v>
      </c>
      <c r="AA12" s="399">
        <f>'[1]Table 7 Local Revenue'!AR11</f>
        <v>6986324</v>
      </c>
      <c r="AB12" s="399">
        <f t="shared" si="18"/>
        <v>1047150</v>
      </c>
      <c r="AC12" s="403">
        <f t="shared" si="19"/>
        <v>0</v>
      </c>
      <c r="AD12" s="399">
        <f t="shared" si="20"/>
        <v>10139011</v>
      </c>
      <c r="AE12" s="404">
        <f t="shared" si="21"/>
        <v>1047150</v>
      </c>
      <c r="AF12" s="402">
        <f t="shared" si="22"/>
        <v>700145</v>
      </c>
      <c r="AG12" s="401">
        <f t="shared" si="23"/>
        <v>0.6686</v>
      </c>
      <c r="AH12" s="399">
        <f t="shared" si="24"/>
        <v>6078993</v>
      </c>
      <c r="AI12" s="399">
        <f t="shared" si="25"/>
        <v>1747295</v>
      </c>
      <c r="AJ12" s="399">
        <f t="shared" si="26"/>
        <v>25485247</v>
      </c>
      <c r="AK12" s="399">
        <f t="shared" si="27"/>
        <v>4191.65</v>
      </c>
      <c r="AL12" s="402">
        <f>'[1]Table 4 Level 3'!Y12</f>
        <v>2271872</v>
      </c>
      <c r="AM12" s="399">
        <f t="shared" si="28"/>
        <v>373.66</v>
      </c>
      <c r="AN12" s="402">
        <f t="shared" si="29"/>
        <v>27757119</v>
      </c>
      <c r="AO12" s="402">
        <f t="shared" si="30"/>
        <v>4565</v>
      </c>
      <c r="AP12" s="397">
        <f t="shared" si="31"/>
        <v>40</v>
      </c>
      <c r="AQ12" s="403">
        <f>AN12-'[1]Table 2 Distribution &amp; Adjusts'!I9</f>
        <v>-245058</v>
      </c>
      <c r="AR12" s="401">
        <f t="shared" si="32"/>
        <v>0.7989</v>
      </c>
      <c r="AS12" s="397">
        <f t="shared" si="33"/>
        <v>7</v>
      </c>
      <c r="AT12" s="399">
        <f t="shared" si="34"/>
        <v>6986324</v>
      </c>
      <c r="AU12" s="399">
        <f t="shared" si="35"/>
        <v>1149.07</v>
      </c>
      <c r="AV12" s="397">
        <f t="shared" si="36"/>
        <v>64</v>
      </c>
      <c r="AW12" s="401">
        <f t="shared" si="37"/>
        <v>0.2011</v>
      </c>
      <c r="AX12" s="399">
        <f t="shared" si="38"/>
        <v>34743443</v>
      </c>
      <c r="AY12" s="399">
        <f t="shared" si="39"/>
        <v>5714.38</v>
      </c>
      <c r="AZ12" s="397">
        <f t="shared" si="40"/>
        <v>67</v>
      </c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</row>
    <row r="13" spans="1:149" s="394" customFormat="1" ht="12.75">
      <c r="A13" s="382">
        <v>6</v>
      </c>
      <c r="B13" s="383" t="s">
        <v>289</v>
      </c>
      <c r="C13" s="384">
        <f>'[1]Table 8 Membership'!R13</f>
        <v>6061</v>
      </c>
      <c r="D13" s="384">
        <f>'[1]Table 8 Membership'!Y13</f>
        <v>6061</v>
      </c>
      <c r="E13" s="384">
        <f>'[1]4-MFP_&amp;_Other_Funded'!BK18+'[1]LEP'!F15</f>
        <v>3120</v>
      </c>
      <c r="F13" s="384">
        <f t="shared" si="1"/>
        <v>593</v>
      </c>
      <c r="G13" s="384">
        <f>'[5]Sheet1'!C8</f>
        <v>1987.5</v>
      </c>
      <c r="H13" s="384">
        <f t="shared" si="2"/>
        <v>99</v>
      </c>
      <c r="I13" s="384">
        <f>'[4]mfpLeaSums'!G9</f>
        <v>817</v>
      </c>
      <c r="J13" s="384">
        <f t="shared" si="3"/>
        <v>1226</v>
      </c>
      <c r="K13" s="384">
        <f>'[4]mfpLeaSums'!C9</f>
        <v>99</v>
      </c>
      <c r="L13" s="384">
        <f t="shared" si="4"/>
        <v>59</v>
      </c>
      <c r="M13" s="384">
        <f t="shared" si="5"/>
        <v>1439</v>
      </c>
      <c r="N13" s="386">
        <f t="shared" si="6"/>
        <v>0.03837</v>
      </c>
      <c r="O13" s="384">
        <f t="shared" si="7"/>
        <v>233</v>
      </c>
      <c r="P13" s="384">
        <f t="shared" si="8"/>
        <v>2210</v>
      </c>
      <c r="Q13" s="406">
        <f t="shared" si="9"/>
        <v>8271</v>
      </c>
      <c r="R13" s="387">
        <f t="shared" si="10"/>
        <v>3652</v>
      </c>
      <c r="S13" s="387">
        <f t="shared" si="11"/>
        <v>30205692</v>
      </c>
      <c r="T13" s="388">
        <f>'[1]Table 6 Local Wealth Factor'!L13</f>
        <v>0.72648932</v>
      </c>
      <c r="U13" s="388">
        <f t="shared" si="12"/>
        <v>0.00923752</v>
      </c>
      <c r="V13" s="388">
        <f t="shared" si="13"/>
        <v>0.00671096</v>
      </c>
      <c r="W13" s="387">
        <f t="shared" si="14"/>
        <v>7680438</v>
      </c>
      <c r="X13" s="389">
        <f t="shared" si="15"/>
        <v>0.2543</v>
      </c>
      <c r="Y13" s="390">
        <f t="shared" si="16"/>
        <v>22525254</v>
      </c>
      <c r="Z13" s="389">
        <f t="shared" si="17"/>
        <v>0.7457</v>
      </c>
      <c r="AA13" s="391">
        <f>'[1]Table 7 Local Revenue'!AR12</f>
        <v>14573203</v>
      </c>
      <c r="AB13" s="387">
        <f t="shared" si="18"/>
        <v>6892765</v>
      </c>
      <c r="AC13" s="392">
        <f t="shared" si="19"/>
        <v>0</v>
      </c>
      <c r="AD13" s="387">
        <f t="shared" si="20"/>
        <v>9967878</v>
      </c>
      <c r="AE13" s="393">
        <f t="shared" si="21"/>
        <v>6892765</v>
      </c>
      <c r="AF13" s="390">
        <f t="shared" si="22"/>
        <v>3888253</v>
      </c>
      <c r="AG13" s="389">
        <f t="shared" si="23"/>
        <v>0.5641</v>
      </c>
      <c r="AH13" s="387">
        <f t="shared" si="24"/>
        <v>1734691</v>
      </c>
      <c r="AI13" s="387">
        <f t="shared" si="25"/>
        <v>10781018</v>
      </c>
      <c r="AJ13" s="387">
        <f t="shared" si="26"/>
        <v>26413507</v>
      </c>
      <c r="AK13" s="387">
        <f t="shared" si="27"/>
        <v>4357.95</v>
      </c>
      <c r="AL13" s="390">
        <f>'[1]Table 4 Level 3'!Y13</f>
        <v>1899790</v>
      </c>
      <c r="AM13" s="387">
        <f t="shared" si="28"/>
        <v>313.44</v>
      </c>
      <c r="AN13" s="390">
        <f t="shared" si="29"/>
        <v>28313297</v>
      </c>
      <c r="AO13" s="390">
        <f t="shared" si="30"/>
        <v>4671</v>
      </c>
      <c r="AP13" s="384">
        <f t="shared" si="31"/>
        <v>33</v>
      </c>
      <c r="AQ13" s="392">
        <f>AN13-'[1]Table 2 Distribution &amp; Adjusts'!I10</f>
        <v>1840639</v>
      </c>
      <c r="AR13" s="389">
        <f t="shared" si="32"/>
        <v>0.6602</v>
      </c>
      <c r="AS13" s="384">
        <f t="shared" si="33"/>
        <v>37</v>
      </c>
      <c r="AT13" s="387">
        <f t="shared" si="34"/>
        <v>14573203</v>
      </c>
      <c r="AU13" s="387">
        <f t="shared" si="35"/>
        <v>2404.42</v>
      </c>
      <c r="AV13" s="384">
        <f t="shared" si="36"/>
        <v>35</v>
      </c>
      <c r="AW13" s="389">
        <f t="shared" si="37"/>
        <v>0.3398</v>
      </c>
      <c r="AX13" s="387">
        <f t="shared" si="38"/>
        <v>42886500</v>
      </c>
      <c r="AY13" s="387">
        <f t="shared" si="39"/>
        <v>7075.81</v>
      </c>
      <c r="AZ13" s="384">
        <f t="shared" si="40"/>
        <v>38</v>
      </c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</row>
    <row r="14" spans="1:149" s="394" customFormat="1" ht="12.75">
      <c r="A14" s="382">
        <v>7</v>
      </c>
      <c r="B14" s="383" t="s">
        <v>290</v>
      </c>
      <c r="C14" s="384">
        <f>'[1]Table 8 Membership'!R14</f>
        <v>2260</v>
      </c>
      <c r="D14" s="384">
        <f>'[1]Table 8 Membership'!Y14</f>
        <v>2260</v>
      </c>
      <c r="E14" s="384">
        <f>'[1]4-MFP_&amp;_Other_Funded'!BK19+'[1]LEP'!F16</f>
        <v>1601</v>
      </c>
      <c r="F14" s="384">
        <f t="shared" si="1"/>
        <v>304</v>
      </c>
      <c r="G14" s="384">
        <f>'[5]Sheet1'!C9</f>
        <v>1004</v>
      </c>
      <c r="H14" s="384">
        <f t="shared" si="2"/>
        <v>50</v>
      </c>
      <c r="I14" s="384">
        <f>'[4]mfpLeaSums'!G10</f>
        <v>259</v>
      </c>
      <c r="J14" s="384">
        <f t="shared" si="3"/>
        <v>389</v>
      </c>
      <c r="K14" s="384">
        <f>'[4]mfpLeaSums'!C10</f>
        <v>6</v>
      </c>
      <c r="L14" s="384">
        <f t="shared" si="4"/>
        <v>4</v>
      </c>
      <c r="M14" s="384">
        <f t="shared" si="5"/>
        <v>5240</v>
      </c>
      <c r="N14" s="386">
        <f t="shared" si="6"/>
        <v>0.13973</v>
      </c>
      <c r="O14" s="384">
        <f t="shared" si="7"/>
        <v>316</v>
      </c>
      <c r="P14" s="384">
        <f t="shared" si="8"/>
        <v>1063</v>
      </c>
      <c r="Q14" s="384">
        <f t="shared" si="9"/>
        <v>3323</v>
      </c>
      <c r="R14" s="387">
        <f t="shared" si="10"/>
        <v>3652</v>
      </c>
      <c r="S14" s="387">
        <f t="shared" si="11"/>
        <v>12135596</v>
      </c>
      <c r="T14" s="388">
        <f>'[1]Table 6 Local Wealth Factor'!L14</f>
        <v>1.27741342</v>
      </c>
      <c r="U14" s="388">
        <f t="shared" si="12"/>
        <v>0.00371131</v>
      </c>
      <c r="V14" s="388">
        <f t="shared" si="13"/>
        <v>0.00474088</v>
      </c>
      <c r="W14" s="387">
        <f t="shared" si="14"/>
        <v>5425757</v>
      </c>
      <c r="X14" s="389">
        <f t="shared" si="15"/>
        <v>0.4471</v>
      </c>
      <c r="Y14" s="390">
        <f t="shared" si="16"/>
        <v>6709839</v>
      </c>
      <c r="Z14" s="389">
        <f t="shared" si="17"/>
        <v>0.5529</v>
      </c>
      <c r="AA14" s="391">
        <f>'[1]Table 7 Local Revenue'!AR13</f>
        <v>11744440</v>
      </c>
      <c r="AB14" s="387">
        <f t="shared" si="18"/>
        <v>6318683</v>
      </c>
      <c r="AC14" s="392">
        <f t="shared" si="19"/>
        <v>0</v>
      </c>
      <c r="AD14" s="387">
        <f t="shared" si="20"/>
        <v>4004747</v>
      </c>
      <c r="AE14" s="393">
        <f t="shared" si="21"/>
        <v>4004747</v>
      </c>
      <c r="AF14" s="390">
        <f t="shared" si="22"/>
        <v>935316</v>
      </c>
      <c r="AG14" s="389">
        <f t="shared" si="23"/>
        <v>0.2336</v>
      </c>
      <c r="AH14" s="387">
        <f t="shared" si="24"/>
        <v>0</v>
      </c>
      <c r="AI14" s="387">
        <f t="shared" si="25"/>
        <v>4940063</v>
      </c>
      <c r="AJ14" s="387">
        <f t="shared" si="26"/>
        <v>7645155</v>
      </c>
      <c r="AK14" s="387">
        <f t="shared" si="27"/>
        <v>3382.81</v>
      </c>
      <c r="AL14" s="390">
        <f>'[1]Table 4 Level 3'!Y14</f>
        <v>778633</v>
      </c>
      <c r="AM14" s="387">
        <f t="shared" si="28"/>
        <v>344.53</v>
      </c>
      <c r="AN14" s="390">
        <f t="shared" si="29"/>
        <v>8423788</v>
      </c>
      <c r="AO14" s="390">
        <f t="shared" si="30"/>
        <v>3727</v>
      </c>
      <c r="AP14" s="384">
        <f t="shared" si="31"/>
        <v>57</v>
      </c>
      <c r="AQ14" s="392">
        <f>AN14-'[1]Table 2 Distribution &amp; Adjusts'!I11</f>
        <v>-927867</v>
      </c>
      <c r="AR14" s="389">
        <f t="shared" si="32"/>
        <v>0.4718</v>
      </c>
      <c r="AS14" s="384">
        <f t="shared" si="33"/>
        <v>61</v>
      </c>
      <c r="AT14" s="387">
        <f t="shared" si="34"/>
        <v>9430504</v>
      </c>
      <c r="AU14" s="387">
        <f t="shared" si="35"/>
        <v>4172.79</v>
      </c>
      <c r="AV14" s="384">
        <f t="shared" si="36"/>
        <v>9</v>
      </c>
      <c r="AW14" s="389">
        <f t="shared" si="37"/>
        <v>0.5282</v>
      </c>
      <c r="AX14" s="387">
        <f t="shared" si="38"/>
        <v>17854292</v>
      </c>
      <c r="AY14" s="387">
        <f t="shared" si="39"/>
        <v>7900.13</v>
      </c>
      <c r="AZ14" s="384">
        <f t="shared" si="40"/>
        <v>11</v>
      </c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</row>
    <row r="15" spans="1:149" s="394" customFormat="1" ht="12.75">
      <c r="A15" s="382">
        <v>8</v>
      </c>
      <c r="B15" s="383" t="s">
        <v>291</v>
      </c>
      <c r="C15" s="384">
        <f>'[1]Table 8 Membership'!R15</f>
        <v>18926</v>
      </c>
      <c r="D15" s="384">
        <f>'[1]Table 8 Membership'!Y15</f>
        <v>18926</v>
      </c>
      <c r="E15" s="384">
        <f>'[1]4-MFP_&amp;_Other_Funded'!BK20+'[1]LEP'!F17</f>
        <v>8116</v>
      </c>
      <c r="F15" s="384">
        <f t="shared" si="1"/>
        <v>1542</v>
      </c>
      <c r="G15" s="384">
        <f>'[5]Sheet1'!C10</f>
        <v>5493</v>
      </c>
      <c r="H15" s="384">
        <f t="shared" si="2"/>
        <v>275</v>
      </c>
      <c r="I15" s="384">
        <f>'[4]mfpLeaSums'!G11</f>
        <v>2291</v>
      </c>
      <c r="J15" s="384">
        <f t="shared" si="3"/>
        <v>3437</v>
      </c>
      <c r="K15" s="384">
        <f>'[4]mfpLeaSums'!C11</f>
        <v>518</v>
      </c>
      <c r="L15" s="384">
        <f t="shared" si="4"/>
        <v>311</v>
      </c>
      <c r="M15" s="384">
        <f t="shared" si="5"/>
        <v>0</v>
      </c>
      <c r="N15" s="386">
        <f t="shared" si="6"/>
        <v>0</v>
      </c>
      <c r="O15" s="384">
        <f t="shared" si="7"/>
        <v>0</v>
      </c>
      <c r="P15" s="384">
        <f t="shared" si="8"/>
        <v>5565</v>
      </c>
      <c r="Q15" s="384">
        <f t="shared" si="9"/>
        <v>24491</v>
      </c>
      <c r="R15" s="387">
        <f t="shared" si="10"/>
        <v>3652</v>
      </c>
      <c r="S15" s="387">
        <f t="shared" si="11"/>
        <v>89441132</v>
      </c>
      <c r="T15" s="388">
        <f>'[1]Table 6 Local Wealth Factor'!L15</f>
        <v>1.0301902</v>
      </c>
      <c r="U15" s="388">
        <f t="shared" si="12"/>
        <v>0.02735294</v>
      </c>
      <c r="V15" s="388">
        <f t="shared" si="13"/>
        <v>0.02817873</v>
      </c>
      <c r="W15" s="387">
        <f t="shared" si="14"/>
        <v>32249484</v>
      </c>
      <c r="X15" s="389">
        <f t="shared" si="15"/>
        <v>0.3606</v>
      </c>
      <c r="Y15" s="390">
        <f t="shared" si="16"/>
        <v>57191648</v>
      </c>
      <c r="Z15" s="389">
        <f t="shared" si="17"/>
        <v>0.6394</v>
      </c>
      <c r="AA15" s="391">
        <f>'[1]Table 7 Local Revenue'!AR14</f>
        <v>55684302</v>
      </c>
      <c r="AB15" s="387">
        <f t="shared" si="18"/>
        <v>23434818</v>
      </c>
      <c r="AC15" s="392">
        <f t="shared" si="19"/>
        <v>0</v>
      </c>
      <c r="AD15" s="387">
        <f t="shared" si="20"/>
        <v>29515574</v>
      </c>
      <c r="AE15" s="393">
        <f t="shared" si="21"/>
        <v>23434818</v>
      </c>
      <c r="AF15" s="390">
        <f t="shared" si="22"/>
        <v>8949426</v>
      </c>
      <c r="AG15" s="389">
        <f t="shared" si="23"/>
        <v>0.3819</v>
      </c>
      <c r="AH15" s="387">
        <f t="shared" si="24"/>
        <v>2322155</v>
      </c>
      <c r="AI15" s="387">
        <f t="shared" si="25"/>
        <v>32384244</v>
      </c>
      <c r="AJ15" s="387">
        <f t="shared" si="26"/>
        <v>66141074</v>
      </c>
      <c r="AK15" s="387">
        <f t="shared" si="27"/>
        <v>3494.72</v>
      </c>
      <c r="AL15" s="390">
        <f>'[1]Table 4 Level 3'!Y15</f>
        <v>7953526</v>
      </c>
      <c r="AM15" s="387">
        <f t="shared" si="28"/>
        <v>420.24</v>
      </c>
      <c r="AN15" s="390">
        <f t="shared" si="29"/>
        <v>74094600</v>
      </c>
      <c r="AO15" s="390">
        <f t="shared" si="30"/>
        <v>3915</v>
      </c>
      <c r="AP15" s="384">
        <f t="shared" si="31"/>
        <v>56</v>
      </c>
      <c r="AQ15" s="392">
        <f>AN15-'[1]Table 2 Distribution &amp; Adjusts'!I12</f>
        <v>5685310</v>
      </c>
      <c r="AR15" s="389">
        <f t="shared" si="32"/>
        <v>0.5709</v>
      </c>
      <c r="AS15" s="384">
        <f t="shared" si="33"/>
        <v>49</v>
      </c>
      <c r="AT15" s="387">
        <f t="shared" si="34"/>
        <v>55684302</v>
      </c>
      <c r="AU15" s="387">
        <f t="shared" si="35"/>
        <v>2942.21</v>
      </c>
      <c r="AV15" s="384">
        <f t="shared" si="36"/>
        <v>25</v>
      </c>
      <c r="AW15" s="389">
        <f t="shared" si="37"/>
        <v>0.4291</v>
      </c>
      <c r="AX15" s="387">
        <f t="shared" si="38"/>
        <v>129778902</v>
      </c>
      <c r="AY15" s="387">
        <f t="shared" si="39"/>
        <v>6857.18</v>
      </c>
      <c r="AZ15" s="384">
        <f t="shared" si="40"/>
        <v>44</v>
      </c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</row>
    <row r="16" spans="1:149" s="394" customFormat="1" ht="12.75">
      <c r="A16" s="382">
        <v>9</v>
      </c>
      <c r="B16" s="383" t="s">
        <v>292</v>
      </c>
      <c r="C16" s="384">
        <f>'[1]Table 8 Membership'!R16</f>
        <v>42137</v>
      </c>
      <c r="D16" s="384">
        <f>'[1]Table 8 Membership'!Y16</f>
        <v>42137</v>
      </c>
      <c r="E16" s="384">
        <f>'[1]4-MFP_&amp;_Other_Funded'!BK21+'[1]LEP'!F18</f>
        <v>25591</v>
      </c>
      <c r="F16" s="384">
        <f t="shared" si="1"/>
        <v>4862</v>
      </c>
      <c r="G16" s="384">
        <f>'[5]Sheet1'!C11</f>
        <v>10277</v>
      </c>
      <c r="H16" s="384">
        <f t="shared" si="2"/>
        <v>514</v>
      </c>
      <c r="I16" s="384">
        <f>'[4]mfpLeaSums'!G12</f>
        <v>5616</v>
      </c>
      <c r="J16" s="384">
        <f t="shared" si="3"/>
        <v>8424</v>
      </c>
      <c r="K16" s="384">
        <f>'[4]mfpLeaSums'!C12</f>
        <v>1935</v>
      </c>
      <c r="L16" s="384">
        <f t="shared" si="4"/>
        <v>1161</v>
      </c>
      <c r="M16" s="384">
        <f t="shared" si="5"/>
        <v>0</v>
      </c>
      <c r="N16" s="386">
        <f t="shared" si="6"/>
        <v>0</v>
      </c>
      <c r="O16" s="384">
        <f t="shared" si="7"/>
        <v>0</v>
      </c>
      <c r="P16" s="384">
        <f t="shared" si="8"/>
        <v>14961</v>
      </c>
      <c r="Q16" s="384">
        <f t="shared" si="9"/>
        <v>57098</v>
      </c>
      <c r="R16" s="387">
        <f t="shared" si="10"/>
        <v>3652</v>
      </c>
      <c r="S16" s="387">
        <f t="shared" si="11"/>
        <v>208521896</v>
      </c>
      <c r="T16" s="388">
        <f>'[1]Table 6 Local Wealth Factor'!L16</f>
        <v>0.93893774</v>
      </c>
      <c r="U16" s="388">
        <f t="shared" si="12"/>
        <v>0.06377028</v>
      </c>
      <c r="V16" s="388">
        <f t="shared" si="13"/>
        <v>0.05987632</v>
      </c>
      <c r="W16" s="387">
        <f t="shared" si="14"/>
        <v>68526169</v>
      </c>
      <c r="X16" s="389">
        <f t="shared" si="15"/>
        <v>0.3286</v>
      </c>
      <c r="Y16" s="390">
        <f t="shared" si="16"/>
        <v>139995727</v>
      </c>
      <c r="Z16" s="389">
        <f t="shared" si="17"/>
        <v>0.6714</v>
      </c>
      <c r="AA16" s="391">
        <f>'[1]Table 7 Local Revenue'!AR15</f>
        <v>140770270</v>
      </c>
      <c r="AB16" s="387">
        <f t="shared" si="18"/>
        <v>72244101</v>
      </c>
      <c r="AC16" s="392">
        <f t="shared" si="19"/>
        <v>0</v>
      </c>
      <c r="AD16" s="387">
        <f t="shared" si="20"/>
        <v>68812226</v>
      </c>
      <c r="AE16" s="393">
        <f t="shared" si="21"/>
        <v>68812226</v>
      </c>
      <c r="AF16" s="390">
        <f t="shared" si="22"/>
        <v>30045988</v>
      </c>
      <c r="AG16" s="389">
        <f t="shared" si="23"/>
        <v>0.4366</v>
      </c>
      <c r="AH16" s="387">
        <f t="shared" si="24"/>
        <v>0</v>
      </c>
      <c r="AI16" s="387">
        <f t="shared" si="25"/>
        <v>98858214</v>
      </c>
      <c r="AJ16" s="387">
        <f t="shared" si="26"/>
        <v>170041715</v>
      </c>
      <c r="AK16" s="387">
        <f t="shared" si="27"/>
        <v>4035.45</v>
      </c>
      <c r="AL16" s="390">
        <f>'[1]Table 4 Level 3'!Y16</f>
        <v>16849504</v>
      </c>
      <c r="AM16" s="387">
        <f t="shared" si="28"/>
        <v>399.87</v>
      </c>
      <c r="AN16" s="390">
        <f t="shared" si="29"/>
        <v>186891219</v>
      </c>
      <c r="AO16" s="390">
        <f t="shared" si="30"/>
        <v>4435</v>
      </c>
      <c r="AP16" s="384">
        <f t="shared" si="31"/>
        <v>43</v>
      </c>
      <c r="AQ16" s="392">
        <f>AN16-'[1]Table 2 Distribution &amp; Adjusts'!I13</f>
        <v>8217617</v>
      </c>
      <c r="AR16" s="389">
        <f t="shared" si="32"/>
        <v>0.5764</v>
      </c>
      <c r="AS16" s="384">
        <f t="shared" si="33"/>
        <v>46</v>
      </c>
      <c r="AT16" s="387">
        <f t="shared" si="34"/>
        <v>137338395</v>
      </c>
      <c r="AU16" s="387">
        <f t="shared" si="35"/>
        <v>3259.33</v>
      </c>
      <c r="AV16" s="384">
        <f t="shared" si="36"/>
        <v>22</v>
      </c>
      <c r="AW16" s="389">
        <f t="shared" si="37"/>
        <v>0.4236</v>
      </c>
      <c r="AX16" s="387">
        <f t="shared" si="38"/>
        <v>324229614</v>
      </c>
      <c r="AY16" s="387">
        <f t="shared" si="39"/>
        <v>7694.65</v>
      </c>
      <c r="AZ16" s="384">
        <f t="shared" si="40"/>
        <v>20</v>
      </c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</row>
    <row r="17" spans="1:149" s="405" customFormat="1" ht="12.75">
      <c r="A17" s="395">
        <v>10</v>
      </c>
      <c r="B17" s="396" t="s">
        <v>293</v>
      </c>
      <c r="C17" s="397">
        <f>'[1]Table 8 Membership'!R17</f>
        <v>30491</v>
      </c>
      <c r="D17" s="397">
        <f>'[1]Table 8 Membership'!Y17</f>
        <v>30491</v>
      </c>
      <c r="E17" s="397">
        <f>'[1]4-MFP_&amp;_Other_Funded'!BK22+'[1]LEP'!F19</f>
        <v>16447</v>
      </c>
      <c r="F17" s="397">
        <f t="shared" si="1"/>
        <v>3125</v>
      </c>
      <c r="G17" s="397">
        <f>'[5]Sheet1'!C12</f>
        <v>7614</v>
      </c>
      <c r="H17" s="397">
        <f t="shared" si="2"/>
        <v>381</v>
      </c>
      <c r="I17" s="397">
        <f>'[4]mfpLeaSums'!G13</f>
        <v>4041</v>
      </c>
      <c r="J17" s="397">
        <f t="shared" si="3"/>
        <v>6062</v>
      </c>
      <c r="K17" s="397">
        <f>'[4]mfpLeaSums'!C13</f>
        <v>963</v>
      </c>
      <c r="L17" s="397">
        <f t="shared" si="4"/>
        <v>578</v>
      </c>
      <c r="M17" s="397">
        <f t="shared" si="5"/>
        <v>0</v>
      </c>
      <c r="N17" s="398">
        <f t="shared" si="6"/>
        <v>0</v>
      </c>
      <c r="O17" s="397">
        <f t="shared" si="7"/>
        <v>0</v>
      </c>
      <c r="P17" s="397">
        <f t="shared" si="8"/>
        <v>10146</v>
      </c>
      <c r="Q17" s="384">
        <f t="shared" si="9"/>
        <v>40637</v>
      </c>
      <c r="R17" s="399">
        <f t="shared" si="10"/>
        <v>3652</v>
      </c>
      <c r="S17" s="399">
        <f t="shared" si="11"/>
        <v>148406324</v>
      </c>
      <c r="T17" s="400">
        <f>'[1]Table 6 Local Wealth Factor'!L17</f>
        <v>1.22946797</v>
      </c>
      <c r="U17" s="400">
        <f t="shared" si="12"/>
        <v>0.04538571</v>
      </c>
      <c r="V17" s="400">
        <f t="shared" si="13"/>
        <v>0.05580028</v>
      </c>
      <c r="W17" s="399">
        <f t="shared" si="14"/>
        <v>63861296</v>
      </c>
      <c r="X17" s="401">
        <f t="shared" si="15"/>
        <v>0.4303</v>
      </c>
      <c r="Y17" s="402">
        <f t="shared" si="16"/>
        <v>84545028</v>
      </c>
      <c r="Z17" s="401">
        <f t="shared" si="17"/>
        <v>0.5697</v>
      </c>
      <c r="AA17" s="399">
        <f>'[1]Table 7 Local Revenue'!AR16</f>
        <v>111757310</v>
      </c>
      <c r="AB17" s="407">
        <f>IF(AA17-W17&gt;0,AA17-W17,0)-160441</f>
        <v>47735573</v>
      </c>
      <c r="AC17" s="403">
        <f t="shared" si="19"/>
        <v>0</v>
      </c>
      <c r="AD17" s="399">
        <f t="shared" si="20"/>
        <v>48974087</v>
      </c>
      <c r="AE17" s="404">
        <f t="shared" si="21"/>
        <v>47735573</v>
      </c>
      <c r="AF17" s="402">
        <f t="shared" si="22"/>
        <v>12521958</v>
      </c>
      <c r="AG17" s="401">
        <f t="shared" si="23"/>
        <v>0.2623</v>
      </c>
      <c r="AH17" s="399">
        <f t="shared" si="24"/>
        <v>324886</v>
      </c>
      <c r="AI17" s="399">
        <f t="shared" si="25"/>
        <v>60257531</v>
      </c>
      <c r="AJ17" s="399">
        <f t="shared" si="26"/>
        <v>97066986</v>
      </c>
      <c r="AK17" s="399">
        <f t="shared" si="27"/>
        <v>3183.46</v>
      </c>
      <c r="AL17" s="402">
        <f>'[1]Table 4 Level 3'!Y17</f>
        <v>10791340</v>
      </c>
      <c r="AM17" s="399">
        <f t="shared" si="28"/>
        <v>353.92</v>
      </c>
      <c r="AN17" s="402">
        <f t="shared" si="29"/>
        <v>107858326</v>
      </c>
      <c r="AO17" s="402">
        <f t="shared" si="30"/>
        <v>3537</v>
      </c>
      <c r="AP17" s="397">
        <f t="shared" si="31"/>
        <v>60</v>
      </c>
      <c r="AQ17" s="403">
        <f>AN17-'[1]Table 2 Distribution &amp; Adjusts'!I14</f>
        <v>-2785214</v>
      </c>
      <c r="AR17" s="401">
        <f t="shared" si="32"/>
        <v>0.4915</v>
      </c>
      <c r="AS17" s="397">
        <f t="shared" si="33"/>
        <v>55</v>
      </c>
      <c r="AT17" s="399">
        <f t="shared" si="34"/>
        <v>111596869</v>
      </c>
      <c r="AU17" s="399">
        <f t="shared" si="35"/>
        <v>3659.99</v>
      </c>
      <c r="AV17" s="397">
        <f t="shared" si="36"/>
        <v>14</v>
      </c>
      <c r="AW17" s="401">
        <f t="shared" si="37"/>
        <v>0.5085</v>
      </c>
      <c r="AX17" s="399">
        <f t="shared" si="38"/>
        <v>219455195</v>
      </c>
      <c r="AY17" s="399">
        <f t="shared" si="39"/>
        <v>7197.38</v>
      </c>
      <c r="AZ17" s="397">
        <f t="shared" si="40"/>
        <v>32</v>
      </c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</row>
    <row r="18" spans="1:149" s="394" customFormat="1" ht="12.75">
      <c r="A18" s="382">
        <v>11</v>
      </c>
      <c r="B18" s="383" t="s">
        <v>294</v>
      </c>
      <c r="C18" s="384">
        <f>'[1]Table 8 Membership'!R18</f>
        <v>1730</v>
      </c>
      <c r="D18" s="384">
        <f>'[1]Table 8 Membership'!Y18</f>
        <v>1730</v>
      </c>
      <c r="E18" s="384">
        <f>'[1]4-MFP_&amp;_Other_Funded'!BK23+'[1]LEP'!F20</f>
        <v>1138</v>
      </c>
      <c r="F18" s="384">
        <f t="shared" si="1"/>
        <v>216</v>
      </c>
      <c r="G18" s="384">
        <f>'[5]Sheet1'!C13</f>
        <v>636.5</v>
      </c>
      <c r="H18" s="384">
        <f t="shared" si="2"/>
        <v>32</v>
      </c>
      <c r="I18" s="384">
        <f>'[4]mfpLeaSums'!G14</f>
        <v>251</v>
      </c>
      <c r="J18" s="384">
        <f t="shared" si="3"/>
        <v>377</v>
      </c>
      <c r="K18" s="384">
        <f>'[4]mfpLeaSums'!C14</f>
        <v>39</v>
      </c>
      <c r="L18" s="384">
        <f t="shared" si="4"/>
        <v>23</v>
      </c>
      <c r="M18" s="384">
        <f t="shared" si="5"/>
        <v>5770</v>
      </c>
      <c r="N18" s="386">
        <f t="shared" si="6"/>
        <v>0.15387</v>
      </c>
      <c r="O18" s="384">
        <f t="shared" si="7"/>
        <v>266</v>
      </c>
      <c r="P18" s="384">
        <f t="shared" si="8"/>
        <v>914</v>
      </c>
      <c r="Q18" s="406">
        <f t="shared" si="9"/>
        <v>2644</v>
      </c>
      <c r="R18" s="387">
        <f t="shared" si="10"/>
        <v>3652</v>
      </c>
      <c r="S18" s="387">
        <f t="shared" si="11"/>
        <v>9655888</v>
      </c>
      <c r="T18" s="388">
        <f>'[1]Table 6 Local Wealth Factor'!L18</f>
        <v>0.56934326</v>
      </c>
      <c r="U18" s="388">
        <f t="shared" si="12"/>
        <v>0.00295297</v>
      </c>
      <c r="V18" s="388">
        <f t="shared" si="13"/>
        <v>0.00168125</v>
      </c>
      <c r="W18" s="387">
        <f t="shared" si="14"/>
        <v>1924127</v>
      </c>
      <c r="X18" s="389">
        <f t="shared" si="15"/>
        <v>0.1993</v>
      </c>
      <c r="Y18" s="390">
        <f t="shared" si="16"/>
        <v>7731761</v>
      </c>
      <c r="Z18" s="389">
        <f t="shared" si="17"/>
        <v>0.8007</v>
      </c>
      <c r="AA18" s="391">
        <f>'[1]Table 7 Local Revenue'!AR17</f>
        <v>3289529</v>
      </c>
      <c r="AB18" s="387">
        <f aca="true" t="shared" si="41" ref="AB18:AB49">IF(AA18-W18&gt;0,AA18-W18,0)</f>
        <v>1365402</v>
      </c>
      <c r="AC18" s="392">
        <f t="shared" si="19"/>
        <v>0</v>
      </c>
      <c r="AD18" s="387">
        <f t="shared" si="20"/>
        <v>3186443</v>
      </c>
      <c r="AE18" s="393">
        <f t="shared" si="21"/>
        <v>1365402</v>
      </c>
      <c r="AF18" s="390">
        <f t="shared" si="22"/>
        <v>898973</v>
      </c>
      <c r="AG18" s="389">
        <f t="shared" si="23"/>
        <v>0.6584</v>
      </c>
      <c r="AH18" s="387">
        <f t="shared" si="24"/>
        <v>1198962</v>
      </c>
      <c r="AI18" s="387">
        <f t="shared" si="25"/>
        <v>2264375</v>
      </c>
      <c r="AJ18" s="387">
        <f t="shared" si="26"/>
        <v>8630734</v>
      </c>
      <c r="AK18" s="387">
        <f t="shared" si="27"/>
        <v>4988.86</v>
      </c>
      <c r="AL18" s="390">
        <f>'[1]Table 4 Level 3'!Y18</f>
        <v>631153</v>
      </c>
      <c r="AM18" s="387">
        <f t="shared" si="28"/>
        <v>364.83</v>
      </c>
      <c r="AN18" s="390">
        <f t="shared" si="29"/>
        <v>9261887</v>
      </c>
      <c r="AO18" s="390">
        <f t="shared" si="30"/>
        <v>5354</v>
      </c>
      <c r="AP18" s="384">
        <f t="shared" si="31"/>
        <v>10</v>
      </c>
      <c r="AQ18" s="392">
        <f>AN18-'[1]Table 2 Distribution &amp; Adjusts'!I15</f>
        <v>296798</v>
      </c>
      <c r="AR18" s="389">
        <f t="shared" si="32"/>
        <v>0.7379</v>
      </c>
      <c r="AS18" s="384">
        <f t="shared" si="33"/>
        <v>20</v>
      </c>
      <c r="AT18" s="387">
        <f t="shared" si="34"/>
        <v>3289529</v>
      </c>
      <c r="AU18" s="387">
        <f t="shared" si="35"/>
        <v>1901.46</v>
      </c>
      <c r="AV18" s="384">
        <f t="shared" si="36"/>
        <v>46</v>
      </c>
      <c r="AW18" s="389">
        <f t="shared" si="37"/>
        <v>0.2621</v>
      </c>
      <c r="AX18" s="387">
        <f t="shared" si="38"/>
        <v>12551416</v>
      </c>
      <c r="AY18" s="387">
        <f t="shared" si="39"/>
        <v>7255.15</v>
      </c>
      <c r="AZ18" s="384">
        <f t="shared" si="40"/>
        <v>30</v>
      </c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</row>
    <row r="19" spans="1:149" s="394" customFormat="1" ht="12.75">
      <c r="A19" s="382">
        <v>12</v>
      </c>
      <c r="B19" s="383" t="s">
        <v>295</v>
      </c>
      <c r="C19" s="408">
        <f>'[1]Table 8 Membership'!R19</f>
        <v>1481</v>
      </c>
      <c r="D19" s="408">
        <f>'[1]Table 8 Membership'!Y19</f>
        <v>1643</v>
      </c>
      <c r="E19" s="408">
        <f>D19*'[1]2004-05 Weighted'!D84</f>
        <v>754.4295890410958</v>
      </c>
      <c r="F19" s="384">
        <f t="shared" si="1"/>
        <v>143</v>
      </c>
      <c r="G19" s="408">
        <f>D19*'[1]2004-05 Weighted'!F84</f>
        <v>716.6180821917808</v>
      </c>
      <c r="H19" s="384">
        <f t="shared" si="2"/>
        <v>36</v>
      </c>
      <c r="I19" s="408">
        <f>D19*'[1]2004-05 Weighted'!H84</f>
        <v>306.0931506849315</v>
      </c>
      <c r="J19" s="384">
        <f t="shared" si="3"/>
        <v>459</v>
      </c>
      <c r="K19" s="409">
        <f>D19*'[1]2004-05 Weighted'!J84</f>
        <v>85.52602739726028</v>
      </c>
      <c r="L19" s="384">
        <f t="shared" si="4"/>
        <v>51</v>
      </c>
      <c r="M19" s="384">
        <f t="shared" si="5"/>
        <v>5857</v>
      </c>
      <c r="N19" s="386">
        <f t="shared" si="6"/>
        <v>0.15619</v>
      </c>
      <c r="O19" s="384">
        <f t="shared" si="7"/>
        <v>257</v>
      </c>
      <c r="P19" s="384">
        <f t="shared" si="8"/>
        <v>946</v>
      </c>
      <c r="Q19" s="384">
        <f t="shared" si="9"/>
        <v>2589</v>
      </c>
      <c r="R19" s="387">
        <f t="shared" si="10"/>
        <v>3652</v>
      </c>
      <c r="S19" s="387">
        <f t="shared" si="11"/>
        <v>9455028</v>
      </c>
      <c r="T19" s="388">
        <f>'[1]Table 6 Local Wealth Factor'!L19</f>
        <v>1.28233447</v>
      </c>
      <c r="U19" s="388">
        <f t="shared" si="12"/>
        <v>0.00289154</v>
      </c>
      <c r="V19" s="388">
        <f t="shared" si="13"/>
        <v>0.00370792</v>
      </c>
      <c r="W19" s="387">
        <f t="shared" si="14"/>
        <v>4243573</v>
      </c>
      <c r="X19" s="389">
        <f t="shared" si="15"/>
        <v>0.4488</v>
      </c>
      <c r="Y19" s="390">
        <f t="shared" si="16"/>
        <v>5211455</v>
      </c>
      <c r="Z19" s="389">
        <f t="shared" si="17"/>
        <v>0.5512</v>
      </c>
      <c r="AA19" s="391">
        <f>'[1]Table 7 Local Revenue'!AR18</f>
        <v>9110614</v>
      </c>
      <c r="AB19" s="387">
        <f t="shared" si="41"/>
        <v>4867041</v>
      </c>
      <c r="AC19" s="392">
        <f t="shared" si="19"/>
        <v>0</v>
      </c>
      <c r="AD19" s="387">
        <f t="shared" si="20"/>
        <v>3120159</v>
      </c>
      <c r="AE19" s="393">
        <f t="shared" si="21"/>
        <v>3120159</v>
      </c>
      <c r="AF19" s="390">
        <f t="shared" si="22"/>
        <v>719507</v>
      </c>
      <c r="AG19" s="389">
        <f t="shared" si="23"/>
        <v>0.2306</v>
      </c>
      <c r="AH19" s="387">
        <f t="shared" si="24"/>
        <v>0</v>
      </c>
      <c r="AI19" s="387">
        <f t="shared" si="25"/>
        <v>3839666</v>
      </c>
      <c r="AJ19" s="387">
        <f t="shared" si="26"/>
        <v>5930962</v>
      </c>
      <c r="AK19" s="387">
        <f t="shared" si="27"/>
        <v>3609.84</v>
      </c>
      <c r="AL19" s="390">
        <f>'[1]Table 4 Level 3'!Y19</f>
        <v>908885</v>
      </c>
      <c r="AM19" s="387">
        <f t="shared" si="28"/>
        <v>553.19</v>
      </c>
      <c r="AN19" s="390">
        <f t="shared" si="29"/>
        <v>6839847</v>
      </c>
      <c r="AO19" s="390">
        <f t="shared" si="30"/>
        <v>4163</v>
      </c>
      <c r="AP19" s="384">
        <f t="shared" si="31"/>
        <v>51</v>
      </c>
      <c r="AQ19" s="392">
        <f>AN19-'[1]Table 2 Distribution &amp; Adjusts'!I16</f>
        <v>84658</v>
      </c>
      <c r="AR19" s="389">
        <f t="shared" si="32"/>
        <v>0.4816</v>
      </c>
      <c r="AS19" s="384">
        <f t="shared" si="33"/>
        <v>57</v>
      </c>
      <c r="AT19" s="387">
        <f t="shared" si="34"/>
        <v>7363732</v>
      </c>
      <c r="AU19" s="387">
        <f t="shared" si="35"/>
        <v>4481.88</v>
      </c>
      <c r="AV19" s="384">
        <f t="shared" si="36"/>
        <v>5</v>
      </c>
      <c r="AW19" s="389">
        <f t="shared" si="37"/>
        <v>0.5184</v>
      </c>
      <c r="AX19" s="387">
        <f t="shared" si="38"/>
        <v>14203579</v>
      </c>
      <c r="AY19" s="387">
        <f t="shared" si="39"/>
        <v>8644.91</v>
      </c>
      <c r="AZ19" s="384">
        <f t="shared" si="40"/>
        <v>3</v>
      </c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</row>
    <row r="20" spans="1:149" s="394" customFormat="1" ht="12.75">
      <c r="A20" s="382">
        <v>13</v>
      </c>
      <c r="B20" s="383" t="s">
        <v>296</v>
      </c>
      <c r="C20" s="384">
        <f>'[1]Table 8 Membership'!R20</f>
        <v>1755</v>
      </c>
      <c r="D20" s="384">
        <f>'[1]Table 8 Membership'!Y20</f>
        <v>1755</v>
      </c>
      <c r="E20" s="384">
        <f>'[1]4-MFP_&amp;_Other_Funded'!BK25+'[1]LEP'!F22</f>
        <v>1215</v>
      </c>
      <c r="F20" s="384">
        <f t="shared" si="1"/>
        <v>231</v>
      </c>
      <c r="G20" s="384">
        <f>'[5]Sheet1'!C15</f>
        <v>538.5</v>
      </c>
      <c r="H20" s="384">
        <f t="shared" si="2"/>
        <v>27</v>
      </c>
      <c r="I20" s="384">
        <f>'[4]mfpLeaSums'!G16</f>
        <v>187</v>
      </c>
      <c r="J20" s="384">
        <f t="shared" si="3"/>
        <v>281</v>
      </c>
      <c r="K20" s="384">
        <f>'[4]mfpLeaSums'!C16</f>
        <v>44</v>
      </c>
      <c r="L20" s="384">
        <f t="shared" si="4"/>
        <v>26</v>
      </c>
      <c r="M20" s="384">
        <f t="shared" si="5"/>
        <v>5745</v>
      </c>
      <c r="N20" s="386">
        <f t="shared" si="6"/>
        <v>0.1532</v>
      </c>
      <c r="O20" s="384">
        <f t="shared" si="7"/>
        <v>269</v>
      </c>
      <c r="P20" s="384">
        <f t="shared" si="8"/>
        <v>834</v>
      </c>
      <c r="Q20" s="384">
        <f t="shared" si="9"/>
        <v>2589</v>
      </c>
      <c r="R20" s="387">
        <f t="shared" si="10"/>
        <v>3652</v>
      </c>
      <c r="S20" s="387">
        <f t="shared" si="11"/>
        <v>9455028</v>
      </c>
      <c r="T20" s="388">
        <f>'[1]Table 6 Local Wealth Factor'!L20</f>
        <v>0.48643011</v>
      </c>
      <c r="U20" s="388">
        <f t="shared" si="12"/>
        <v>0.00289154</v>
      </c>
      <c r="V20" s="388">
        <f t="shared" si="13"/>
        <v>0.00140653</v>
      </c>
      <c r="W20" s="387">
        <f t="shared" si="14"/>
        <v>1609720</v>
      </c>
      <c r="X20" s="389">
        <f t="shared" si="15"/>
        <v>0.1703</v>
      </c>
      <c r="Y20" s="390">
        <f t="shared" si="16"/>
        <v>7845308</v>
      </c>
      <c r="Z20" s="389">
        <f t="shared" si="17"/>
        <v>0.8297</v>
      </c>
      <c r="AA20" s="391">
        <f>'[1]Table 7 Local Revenue'!AR19</f>
        <v>2491184</v>
      </c>
      <c r="AB20" s="387">
        <f t="shared" si="41"/>
        <v>881464</v>
      </c>
      <c r="AC20" s="392">
        <f t="shared" si="19"/>
        <v>0</v>
      </c>
      <c r="AD20" s="387">
        <f t="shared" si="20"/>
        <v>3120159</v>
      </c>
      <c r="AE20" s="393">
        <f t="shared" si="21"/>
        <v>881464</v>
      </c>
      <c r="AF20" s="390">
        <f t="shared" si="22"/>
        <v>624202</v>
      </c>
      <c r="AG20" s="389">
        <f t="shared" si="23"/>
        <v>0.7081</v>
      </c>
      <c r="AH20" s="387">
        <f t="shared" si="24"/>
        <v>1585313</v>
      </c>
      <c r="AI20" s="387">
        <f t="shared" si="25"/>
        <v>1505666</v>
      </c>
      <c r="AJ20" s="387">
        <f t="shared" si="26"/>
        <v>8469510</v>
      </c>
      <c r="AK20" s="387">
        <f t="shared" si="27"/>
        <v>4825.93</v>
      </c>
      <c r="AL20" s="390">
        <f>'[1]Table 4 Level 3'!Y20</f>
        <v>682092</v>
      </c>
      <c r="AM20" s="387">
        <f t="shared" si="28"/>
        <v>388.66</v>
      </c>
      <c r="AN20" s="390">
        <f t="shared" si="29"/>
        <v>9151602</v>
      </c>
      <c r="AO20" s="390">
        <f t="shared" si="30"/>
        <v>5215</v>
      </c>
      <c r="AP20" s="384">
        <f t="shared" si="31"/>
        <v>14</v>
      </c>
      <c r="AQ20" s="392">
        <f>AN20-'[1]Table 2 Distribution &amp; Adjusts'!I17</f>
        <v>723573</v>
      </c>
      <c r="AR20" s="389">
        <f t="shared" si="32"/>
        <v>0.786</v>
      </c>
      <c r="AS20" s="384">
        <f t="shared" si="33"/>
        <v>9</v>
      </c>
      <c r="AT20" s="387">
        <f t="shared" si="34"/>
        <v>2491184</v>
      </c>
      <c r="AU20" s="387">
        <f t="shared" si="35"/>
        <v>1419.48</v>
      </c>
      <c r="AV20" s="384">
        <f t="shared" si="36"/>
        <v>58</v>
      </c>
      <c r="AW20" s="389">
        <f t="shared" si="37"/>
        <v>0.214</v>
      </c>
      <c r="AX20" s="387">
        <f t="shared" si="38"/>
        <v>11642786</v>
      </c>
      <c r="AY20" s="387">
        <f t="shared" si="39"/>
        <v>6634.07</v>
      </c>
      <c r="AZ20" s="384">
        <f t="shared" si="40"/>
        <v>54</v>
      </c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</row>
    <row r="21" spans="1:149" s="394" customFormat="1" ht="12.75">
      <c r="A21" s="382">
        <v>14</v>
      </c>
      <c r="B21" s="383" t="s">
        <v>297</v>
      </c>
      <c r="C21" s="384">
        <f>'[1]Table 8 Membership'!R21</f>
        <v>2566</v>
      </c>
      <c r="D21" s="384">
        <f>'[1]Table 8 Membership'!Y21</f>
        <v>2566</v>
      </c>
      <c r="E21" s="384">
        <f>'[1]4-MFP_&amp;_Other_Funded'!BK26+'[1]LEP'!F23</f>
        <v>1827</v>
      </c>
      <c r="F21" s="384">
        <f t="shared" si="1"/>
        <v>347</v>
      </c>
      <c r="G21" s="384">
        <f>'[5]Sheet1'!C16</f>
        <v>652</v>
      </c>
      <c r="H21" s="384">
        <f t="shared" si="2"/>
        <v>33</v>
      </c>
      <c r="I21" s="384">
        <f>'[4]mfpLeaSums'!G17</f>
        <v>485</v>
      </c>
      <c r="J21" s="384">
        <f t="shared" si="3"/>
        <v>728</v>
      </c>
      <c r="K21" s="384">
        <f>'[4]mfpLeaSums'!C17</f>
        <v>141</v>
      </c>
      <c r="L21" s="384">
        <f t="shared" si="4"/>
        <v>85</v>
      </c>
      <c r="M21" s="384">
        <f t="shared" si="5"/>
        <v>4934</v>
      </c>
      <c r="N21" s="386">
        <f t="shared" si="6"/>
        <v>0.13157</v>
      </c>
      <c r="O21" s="384">
        <f t="shared" si="7"/>
        <v>338</v>
      </c>
      <c r="P21" s="384">
        <f t="shared" si="8"/>
        <v>1531</v>
      </c>
      <c r="Q21" s="384">
        <f t="shared" si="9"/>
        <v>4097</v>
      </c>
      <c r="R21" s="387">
        <f t="shared" si="10"/>
        <v>3652</v>
      </c>
      <c r="S21" s="387">
        <f t="shared" si="11"/>
        <v>14962244</v>
      </c>
      <c r="T21" s="388">
        <f>'[1]Table 6 Local Wealth Factor'!L21</f>
        <v>0.64340571</v>
      </c>
      <c r="U21" s="388">
        <f t="shared" si="12"/>
        <v>0.00457576</v>
      </c>
      <c r="V21" s="388">
        <f t="shared" si="13"/>
        <v>0.00294407</v>
      </c>
      <c r="W21" s="387">
        <f t="shared" si="14"/>
        <v>3369376</v>
      </c>
      <c r="X21" s="389">
        <f t="shared" si="15"/>
        <v>0.2252</v>
      </c>
      <c r="Y21" s="390">
        <f t="shared" si="16"/>
        <v>11592868</v>
      </c>
      <c r="Z21" s="389">
        <f t="shared" si="17"/>
        <v>0.7748</v>
      </c>
      <c r="AA21" s="391">
        <f>'[1]Table 7 Local Revenue'!AR20</f>
        <v>6154501</v>
      </c>
      <c r="AB21" s="387">
        <f t="shared" si="41"/>
        <v>2785125</v>
      </c>
      <c r="AC21" s="392">
        <f t="shared" si="19"/>
        <v>0</v>
      </c>
      <c r="AD21" s="387">
        <f t="shared" si="20"/>
        <v>4937541</v>
      </c>
      <c r="AE21" s="393">
        <f t="shared" si="21"/>
        <v>2785125</v>
      </c>
      <c r="AF21" s="390">
        <f t="shared" si="22"/>
        <v>1709946</v>
      </c>
      <c r="AG21" s="389">
        <f t="shared" si="23"/>
        <v>0.614</v>
      </c>
      <c r="AH21" s="387">
        <f t="shared" si="24"/>
        <v>1321490</v>
      </c>
      <c r="AI21" s="387">
        <f t="shared" si="25"/>
        <v>4495071</v>
      </c>
      <c r="AJ21" s="387">
        <f t="shared" si="26"/>
        <v>13302814</v>
      </c>
      <c r="AK21" s="387">
        <f t="shared" si="27"/>
        <v>5184.26</v>
      </c>
      <c r="AL21" s="390">
        <f>'[1]Table 4 Level 3'!Y21</f>
        <v>1138378</v>
      </c>
      <c r="AM21" s="387">
        <f t="shared" si="28"/>
        <v>443.64</v>
      </c>
      <c r="AN21" s="390">
        <f t="shared" si="29"/>
        <v>14441192</v>
      </c>
      <c r="AO21" s="390">
        <f t="shared" si="30"/>
        <v>5628</v>
      </c>
      <c r="AP21" s="384">
        <f t="shared" si="31"/>
        <v>3</v>
      </c>
      <c r="AQ21" s="392">
        <f>AN21-'[1]Table 2 Distribution &amp; Adjusts'!I18</f>
        <v>584537</v>
      </c>
      <c r="AR21" s="389">
        <f t="shared" si="32"/>
        <v>0.7012</v>
      </c>
      <c r="AS21" s="384">
        <f t="shared" si="33"/>
        <v>29</v>
      </c>
      <c r="AT21" s="387">
        <f t="shared" si="34"/>
        <v>6154501</v>
      </c>
      <c r="AU21" s="387">
        <f t="shared" si="35"/>
        <v>2398.48</v>
      </c>
      <c r="AV21" s="384">
        <f t="shared" si="36"/>
        <v>36</v>
      </c>
      <c r="AW21" s="389">
        <f t="shared" si="37"/>
        <v>0.2988</v>
      </c>
      <c r="AX21" s="387">
        <f t="shared" si="38"/>
        <v>20595693</v>
      </c>
      <c r="AY21" s="387">
        <f t="shared" si="39"/>
        <v>8026.38</v>
      </c>
      <c r="AZ21" s="384">
        <f t="shared" si="40"/>
        <v>9</v>
      </c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</row>
    <row r="22" spans="1:149" s="405" customFormat="1" ht="12.75">
      <c r="A22" s="395">
        <v>15</v>
      </c>
      <c r="B22" s="396" t="s">
        <v>298</v>
      </c>
      <c r="C22" s="397">
        <f>'[1]Table 8 Membership'!R22</f>
        <v>3930</v>
      </c>
      <c r="D22" s="397">
        <f>'[1]Table 8 Membership'!Y22</f>
        <v>3930</v>
      </c>
      <c r="E22" s="397">
        <f>'[1]4-MFP_&amp;_Other_Funded'!BK27+'[1]LEP'!F24</f>
        <v>2957</v>
      </c>
      <c r="F22" s="397">
        <f t="shared" si="1"/>
        <v>562</v>
      </c>
      <c r="G22" s="397">
        <f>'[5]Sheet1'!C17</f>
        <v>1877</v>
      </c>
      <c r="H22" s="397">
        <f t="shared" si="2"/>
        <v>94</v>
      </c>
      <c r="I22" s="397">
        <f>'[4]mfpLeaSums'!G18</f>
        <v>427</v>
      </c>
      <c r="J22" s="397">
        <f t="shared" si="3"/>
        <v>641</v>
      </c>
      <c r="K22" s="397">
        <f>'[4]mfpLeaSums'!C18</f>
        <v>51</v>
      </c>
      <c r="L22" s="397">
        <f t="shared" si="4"/>
        <v>31</v>
      </c>
      <c r="M22" s="397">
        <f t="shared" si="5"/>
        <v>3570</v>
      </c>
      <c r="N22" s="398">
        <f t="shared" si="6"/>
        <v>0.0952</v>
      </c>
      <c r="O22" s="397">
        <f t="shared" si="7"/>
        <v>374</v>
      </c>
      <c r="P22" s="397">
        <f t="shared" si="8"/>
        <v>1702</v>
      </c>
      <c r="Q22" s="384">
        <f t="shared" si="9"/>
        <v>5632</v>
      </c>
      <c r="R22" s="399">
        <f t="shared" si="10"/>
        <v>3652</v>
      </c>
      <c r="S22" s="399">
        <f t="shared" si="11"/>
        <v>20568064</v>
      </c>
      <c r="T22" s="400">
        <f>'[1]Table 6 Local Wealth Factor'!L22</f>
        <v>0.60833034</v>
      </c>
      <c r="U22" s="400">
        <f t="shared" si="12"/>
        <v>0.00629014</v>
      </c>
      <c r="V22" s="400">
        <f t="shared" si="13"/>
        <v>0.00382648</v>
      </c>
      <c r="W22" s="399">
        <f t="shared" si="14"/>
        <v>4379261</v>
      </c>
      <c r="X22" s="401">
        <f t="shared" si="15"/>
        <v>0.2129</v>
      </c>
      <c r="Y22" s="402">
        <f t="shared" si="16"/>
        <v>16188803</v>
      </c>
      <c r="Z22" s="401">
        <f t="shared" si="17"/>
        <v>0.7871</v>
      </c>
      <c r="AA22" s="399">
        <f>'[1]Table 7 Local Revenue'!AR21</f>
        <v>7376786</v>
      </c>
      <c r="AB22" s="399">
        <f t="shared" si="41"/>
        <v>2997525</v>
      </c>
      <c r="AC22" s="403">
        <f t="shared" si="19"/>
        <v>0</v>
      </c>
      <c r="AD22" s="399">
        <f t="shared" si="20"/>
        <v>6787461</v>
      </c>
      <c r="AE22" s="404">
        <f t="shared" si="21"/>
        <v>2997525</v>
      </c>
      <c r="AF22" s="402">
        <f t="shared" si="22"/>
        <v>1903434</v>
      </c>
      <c r="AG22" s="401">
        <f t="shared" si="23"/>
        <v>0.635</v>
      </c>
      <c r="AH22" s="399">
        <f t="shared" si="24"/>
        <v>2406616</v>
      </c>
      <c r="AI22" s="399">
        <f t="shared" si="25"/>
        <v>4900959</v>
      </c>
      <c r="AJ22" s="399">
        <f t="shared" si="26"/>
        <v>18092237</v>
      </c>
      <c r="AK22" s="399">
        <f t="shared" si="27"/>
        <v>4603.62</v>
      </c>
      <c r="AL22" s="402">
        <f>'[1]Table 4 Level 3'!Y22</f>
        <v>1483469</v>
      </c>
      <c r="AM22" s="399">
        <f t="shared" si="28"/>
        <v>377.47</v>
      </c>
      <c r="AN22" s="402">
        <f t="shared" si="29"/>
        <v>19575706</v>
      </c>
      <c r="AO22" s="402">
        <f t="shared" si="30"/>
        <v>4981</v>
      </c>
      <c r="AP22" s="397">
        <f t="shared" si="31"/>
        <v>23</v>
      </c>
      <c r="AQ22" s="403">
        <f>AN22-'[1]Table 2 Distribution &amp; Adjusts'!I19</f>
        <v>2215504</v>
      </c>
      <c r="AR22" s="401">
        <f t="shared" si="32"/>
        <v>0.7263</v>
      </c>
      <c r="AS22" s="397">
        <f t="shared" si="33"/>
        <v>24</v>
      </c>
      <c r="AT22" s="399">
        <f t="shared" si="34"/>
        <v>7376786</v>
      </c>
      <c r="AU22" s="399">
        <f t="shared" si="35"/>
        <v>1877.04</v>
      </c>
      <c r="AV22" s="397">
        <f t="shared" si="36"/>
        <v>47</v>
      </c>
      <c r="AW22" s="401">
        <f t="shared" si="37"/>
        <v>0.2737</v>
      </c>
      <c r="AX22" s="399">
        <f t="shared" si="38"/>
        <v>26952492</v>
      </c>
      <c r="AY22" s="399">
        <f t="shared" si="39"/>
        <v>6858.14</v>
      </c>
      <c r="AZ22" s="397">
        <f t="shared" si="40"/>
        <v>43</v>
      </c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</row>
    <row r="23" spans="1:149" s="394" customFormat="1" ht="12.75">
      <c r="A23" s="382">
        <v>16</v>
      </c>
      <c r="B23" s="383" t="s">
        <v>299</v>
      </c>
      <c r="C23" s="384">
        <f>'[1]Table 8 Membership'!R23</f>
        <v>4739</v>
      </c>
      <c r="D23" s="384">
        <f>'[1]Table 8 Membership'!Y23</f>
        <v>4739</v>
      </c>
      <c r="E23" s="384">
        <f>'[1]4-MFP_&amp;_Other_Funded'!BK28+'[1]LEP'!F25</f>
        <v>3183</v>
      </c>
      <c r="F23" s="384">
        <f t="shared" si="1"/>
        <v>605</v>
      </c>
      <c r="G23" s="384">
        <f>'[5]Sheet1'!C18</f>
        <v>1478.5</v>
      </c>
      <c r="H23" s="384">
        <f t="shared" si="2"/>
        <v>74</v>
      </c>
      <c r="I23" s="384">
        <f>'[4]mfpLeaSums'!G19</f>
        <v>685</v>
      </c>
      <c r="J23" s="384">
        <f t="shared" si="3"/>
        <v>1028</v>
      </c>
      <c r="K23" s="384">
        <f>'[4]mfpLeaSums'!C19</f>
        <v>59</v>
      </c>
      <c r="L23" s="384">
        <f t="shared" si="4"/>
        <v>35</v>
      </c>
      <c r="M23" s="384">
        <f t="shared" si="5"/>
        <v>2761</v>
      </c>
      <c r="N23" s="386">
        <f t="shared" si="6"/>
        <v>0.07363</v>
      </c>
      <c r="O23" s="384">
        <f t="shared" si="7"/>
        <v>349</v>
      </c>
      <c r="P23" s="384">
        <f t="shared" si="8"/>
        <v>2091</v>
      </c>
      <c r="Q23" s="406">
        <f t="shared" si="9"/>
        <v>6830</v>
      </c>
      <c r="R23" s="387">
        <f t="shared" si="10"/>
        <v>3652</v>
      </c>
      <c r="S23" s="387">
        <f t="shared" si="11"/>
        <v>24943160</v>
      </c>
      <c r="T23" s="388">
        <f>'[1]Table 6 Local Wealth Factor'!L23</f>
        <v>0.92814014</v>
      </c>
      <c r="U23" s="388">
        <f t="shared" si="12"/>
        <v>0.00762813</v>
      </c>
      <c r="V23" s="388">
        <f t="shared" si="13"/>
        <v>0.00707997</v>
      </c>
      <c r="W23" s="387">
        <f t="shared" si="14"/>
        <v>8102756</v>
      </c>
      <c r="X23" s="389">
        <f t="shared" si="15"/>
        <v>0.3248</v>
      </c>
      <c r="Y23" s="390">
        <f t="shared" si="16"/>
        <v>16840404</v>
      </c>
      <c r="Z23" s="389">
        <f t="shared" si="17"/>
        <v>0.6752</v>
      </c>
      <c r="AA23" s="391">
        <f>'[1]Table 7 Local Revenue'!AR22</f>
        <v>19780834</v>
      </c>
      <c r="AB23" s="387">
        <f t="shared" si="41"/>
        <v>11678078</v>
      </c>
      <c r="AC23" s="392">
        <f t="shared" si="19"/>
        <v>0</v>
      </c>
      <c r="AD23" s="387">
        <f t="shared" si="20"/>
        <v>8231243</v>
      </c>
      <c r="AE23" s="393">
        <f t="shared" si="21"/>
        <v>8231243</v>
      </c>
      <c r="AF23" s="390">
        <f t="shared" si="22"/>
        <v>3647395</v>
      </c>
      <c r="AG23" s="389">
        <f t="shared" si="23"/>
        <v>0.4431</v>
      </c>
      <c r="AH23" s="387">
        <f t="shared" si="24"/>
        <v>0</v>
      </c>
      <c r="AI23" s="387">
        <f t="shared" si="25"/>
        <v>11878638</v>
      </c>
      <c r="AJ23" s="387">
        <f t="shared" si="26"/>
        <v>20487799</v>
      </c>
      <c r="AK23" s="387">
        <f t="shared" si="27"/>
        <v>4323.23</v>
      </c>
      <c r="AL23" s="390">
        <f>'[1]Table 4 Level 3'!Y23</f>
        <v>1569907</v>
      </c>
      <c r="AM23" s="387">
        <f t="shared" si="28"/>
        <v>331.27</v>
      </c>
      <c r="AN23" s="390">
        <f t="shared" si="29"/>
        <v>22057706</v>
      </c>
      <c r="AO23" s="390">
        <f t="shared" si="30"/>
        <v>4655</v>
      </c>
      <c r="AP23" s="384">
        <f t="shared" si="31"/>
        <v>34</v>
      </c>
      <c r="AQ23" s="392">
        <f>AN23-'[1]Table 2 Distribution &amp; Adjusts'!I20</f>
        <v>1558369</v>
      </c>
      <c r="AR23" s="389">
        <f t="shared" si="32"/>
        <v>0.5745</v>
      </c>
      <c r="AS23" s="384">
        <f t="shared" si="33"/>
        <v>47</v>
      </c>
      <c r="AT23" s="387">
        <f t="shared" si="34"/>
        <v>16333999</v>
      </c>
      <c r="AU23" s="387">
        <f t="shared" si="35"/>
        <v>3446.72</v>
      </c>
      <c r="AV23" s="384">
        <f t="shared" si="36"/>
        <v>18</v>
      </c>
      <c r="AW23" s="389">
        <f t="shared" si="37"/>
        <v>0.4255</v>
      </c>
      <c r="AX23" s="387">
        <f t="shared" si="38"/>
        <v>38391705</v>
      </c>
      <c r="AY23" s="387">
        <f t="shared" si="39"/>
        <v>8101.22</v>
      </c>
      <c r="AZ23" s="384">
        <f t="shared" si="40"/>
        <v>8</v>
      </c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</row>
    <row r="24" spans="1:149" s="394" customFormat="1" ht="12.75">
      <c r="A24" s="382">
        <v>17</v>
      </c>
      <c r="B24" s="383" t="s">
        <v>300</v>
      </c>
      <c r="C24" s="384">
        <f>'[1]Table 8 Membership'!R24</f>
        <v>46459</v>
      </c>
      <c r="D24" s="384">
        <f>'[1]Table 8 Membership'!Y24</f>
        <v>46459</v>
      </c>
      <c r="E24" s="384">
        <f>'[1]4-MFP_&amp;_Other_Funded'!BK29+'[1]LEP'!F26</f>
        <v>36380</v>
      </c>
      <c r="F24" s="384">
        <f t="shared" si="1"/>
        <v>6912</v>
      </c>
      <c r="G24" s="384">
        <f>'[5]Sheet1'!C19</f>
        <v>13908</v>
      </c>
      <c r="H24" s="384">
        <f t="shared" si="2"/>
        <v>695</v>
      </c>
      <c r="I24" s="384">
        <f>'[4]mfpLeaSums'!G20</f>
        <v>6141</v>
      </c>
      <c r="J24" s="384">
        <f t="shared" si="3"/>
        <v>9212</v>
      </c>
      <c r="K24" s="384">
        <f>'[4]mfpLeaSums'!C20</f>
        <v>1274</v>
      </c>
      <c r="L24" s="384">
        <f t="shared" si="4"/>
        <v>764</v>
      </c>
      <c r="M24" s="384">
        <f t="shared" si="5"/>
        <v>0</v>
      </c>
      <c r="N24" s="386">
        <f t="shared" si="6"/>
        <v>0</v>
      </c>
      <c r="O24" s="384">
        <f t="shared" si="7"/>
        <v>0</v>
      </c>
      <c r="P24" s="384">
        <f t="shared" si="8"/>
        <v>17583</v>
      </c>
      <c r="Q24" s="384">
        <f t="shared" si="9"/>
        <v>64042</v>
      </c>
      <c r="R24" s="387">
        <f t="shared" si="10"/>
        <v>3652</v>
      </c>
      <c r="S24" s="387">
        <f t="shared" si="11"/>
        <v>233881384</v>
      </c>
      <c r="T24" s="388">
        <f>'[1]Table 6 Local Wealth Factor'!L24</f>
        <v>1.54216759</v>
      </c>
      <c r="U24" s="388">
        <f t="shared" si="12"/>
        <v>0.07152574</v>
      </c>
      <c r="V24" s="388">
        <f t="shared" si="13"/>
        <v>0.11030468</v>
      </c>
      <c r="W24" s="387">
        <f t="shared" si="14"/>
        <v>126239507</v>
      </c>
      <c r="X24" s="389">
        <f t="shared" si="15"/>
        <v>0.5398</v>
      </c>
      <c r="Y24" s="390">
        <f t="shared" si="16"/>
        <v>107641877</v>
      </c>
      <c r="Z24" s="389">
        <f t="shared" si="17"/>
        <v>0.4602</v>
      </c>
      <c r="AA24" s="391">
        <f>'[1]Table 7 Local Revenue'!AR23</f>
        <v>224697572</v>
      </c>
      <c r="AB24" s="387">
        <f t="shared" si="41"/>
        <v>98458065</v>
      </c>
      <c r="AC24" s="392">
        <f t="shared" si="19"/>
        <v>0</v>
      </c>
      <c r="AD24" s="387">
        <f t="shared" si="20"/>
        <v>77180857</v>
      </c>
      <c r="AE24" s="393">
        <f t="shared" si="21"/>
        <v>77180857</v>
      </c>
      <c r="AF24" s="390">
        <f t="shared" si="22"/>
        <v>5765367</v>
      </c>
      <c r="AG24" s="389">
        <f t="shared" si="23"/>
        <v>0.0747</v>
      </c>
      <c r="AH24" s="387">
        <f t="shared" si="24"/>
        <v>0</v>
      </c>
      <c r="AI24" s="387">
        <f t="shared" si="25"/>
        <v>82946224</v>
      </c>
      <c r="AJ24" s="387">
        <f t="shared" si="26"/>
        <v>113407244</v>
      </c>
      <c r="AK24" s="387">
        <f t="shared" si="27"/>
        <v>2441.02</v>
      </c>
      <c r="AL24" s="390">
        <f>'[1]Table 4 Level 3'!Y24</f>
        <v>47258578</v>
      </c>
      <c r="AM24" s="387">
        <f t="shared" si="28"/>
        <v>1017.21</v>
      </c>
      <c r="AN24" s="390">
        <f t="shared" si="29"/>
        <v>160665822</v>
      </c>
      <c r="AO24" s="390">
        <f t="shared" si="30"/>
        <v>3458</v>
      </c>
      <c r="AP24" s="384">
        <f t="shared" si="31"/>
        <v>61</v>
      </c>
      <c r="AQ24" s="392">
        <f>AN24-'[1]Table 2 Distribution &amp; Adjusts'!I21</f>
        <v>17198144</v>
      </c>
      <c r="AR24" s="389">
        <f t="shared" si="32"/>
        <v>0.4413</v>
      </c>
      <c r="AS24" s="384">
        <f t="shared" si="33"/>
        <v>64</v>
      </c>
      <c r="AT24" s="387">
        <f t="shared" si="34"/>
        <v>203420364</v>
      </c>
      <c r="AU24" s="387">
        <f t="shared" si="35"/>
        <v>4378.49</v>
      </c>
      <c r="AV24" s="384">
        <f t="shared" si="36"/>
        <v>7</v>
      </c>
      <c r="AW24" s="389">
        <f t="shared" si="37"/>
        <v>0.5587</v>
      </c>
      <c r="AX24" s="387">
        <f t="shared" si="38"/>
        <v>364086186</v>
      </c>
      <c r="AY24" s="387">
        <f t="shared" si="39"/>
        <v>7836.72</v>
      </c>
      <c r="AZ24" s="384">
        <f t="shared" si="40"/>
        <v>14</v>
      </c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</row>
    <row r="25" spans="1:149" s="394" customFormat="1" ht="12.75">
      <c r="A25" s="382">
        <v>18</v>
      </c>
      <c r="B25" s="383" t="s">
        <v>301</v>
      </c>
      <c r="C25" s="384">
        <f>'[1]Table 8 Membership'!R25</f>
        <v>1469</v>
      </c>
      <c r="D25" s="384">
        <f>'[1]Table 8 Membership'!Y25</f>
        <v>1469</v>
      </c>
      <c r="E25" s="384">
        <f>'[1]4-MFP_&amp;_Other_Funded'!BK30+'[1]LEP'!F27</f>
        <v>1358</v>
      </c>
      <c r="F25" s="384">
        <f t="shared" si="1"/>
        <v>258</v>
      </c>
      <c r="G25" s="384">
        <f>'[5]Sheet1'!C20</f>
        <v>605.5</v>
      </c>
      <c r="H25" s="384">
        <f t="shared" si="2"/>
        <v>30</v>
      </c>
      <c r="I25" s="384">
        <f>'[4]mfpLeaSums'!G21</f>
        <v>207</v>
      </c>
      <c r="J25" s="384">
        <f t="shared" si="3"/>
        <v>311</v>
      </c>
      <c r="K25" s="384">
        <f>'[4]mfpLeaSums'!C21</f>
        <v>2</v>
      </c>
      <c r="L25" s="384">
        <f t="shared" si="4"/>
        <v>1</v>
      </c>
      <c r="M25" s="384">
        <f t="shared" si="5"/>
        <v>6031</v>
      </c>
      <c r="N25" s="386">
        <f t="shared" si="6"/>
        <v>0.16083</v>
      </c>
      <c r="O25" s="384">
        <f t="shared" si="7"/>
        <v>236</v>
      </c>
      <c r="P25" s="384">
        <f t="shared" si="8"/>
        <v>836</v>
      </c>
      <c r="Q25" s="384">
        <f t="shared" si="9"/>
        <v>2305</v>
      </c>
      <c r="R25" s="387">
        <f t="shared" si="10"/>
        <v>3652</v>
      </c>
      <c r="S25" s="387">
        <f t="shared" si="11"/>
        <v>8417860</v>
      </c>
      <c r="T25" s="388">
        <f>'[1]Table 6 Local Wealth Factor'!L25</f>
        <v>0.43032478</v>
      </c>
      <c r="U25" s="388">
        <f t="shared" si="12"/>
        <v>0.00257435</v>
      </c>
      <c r="V25" s="388">
        <f t="shared" si="13"/>
        <v>0.00110781</v>
      </c>
      <c r="W25" s="387">
        <f t="shared" si="14"/>
        <v>1267846</v>
      </c>
      <c r="X25" s="389">
        <f t="shared" si="15"/>
        <v>0.1506</v>
      </c>
      <c r="Y25" s="390">
        <f t="shared" si="16"/>
        <v>7150014</v>
      </c>
      <c r="Z25" s="389">
        <f t="shared" si="17"/>
        <v>0.8494</v>
      </c>
      <c r="AA25" s="391">
        <f>'[1]Table 7 Local Revenue'!AR24</f>
        <v>1839952</v>
      </c>
      <c r="AB25" s="387">
        <f t="shared" si="41"/>
        <v>572106</v>
      </c>
      <c r="AC25" s="392">
        <f t="shared" si="19"/>
        <v>0</v>
      </c>
      <c r="AD25" s="387">
        <f t="shared" si="20"/>
        <v>2777894</v>
      </c>
      <c r="AE25" s="393">
        <f t="shared" si="21"/>
        <v>572106</v>
      </c>
      <c r="AF25" s="390">
        <f t="shared" si="22"/>
        <v>424391</v>
      </c>
      <c r="AG25" s="389">
        <f t="shared" si="23"/>
        <v>0.7418</v>
      </c>
      <c r="AH25" s="387">
        <f t="shared" si="24"/>
        <v>1636265</v>
      </c>
      <c r="AI25" s="387">
        <f t="shared" si="25"/>
        <v>996497</v>
      </c>
      <c r="AJ25" s="387">
        <f t="shared" si="26"/>
        <v>7574405</v>
      </c>
      <c r="AK25" s="387">
        <f t="shared" si="27"/>
        <v>5156.16</v>
      </c>
      <c r="AL25" s="390">
        <f>'[1]Table 4 Level 3'!Y25</f>
        <v>650681</v>
      </c>
      <c r="AM25" s="387">
        <f t="shared" si="28"/>
        <v>442.94</v>
      </c>
      <c r="AN25" s="390">
        <f t="shared" si="29"/>
        <v>8225086</v>
      </c>
      <c r="AO25" s="390">
        <f t="shared" si="30"/>
        <v>5599</v>
      </c>
      <c r="AP25" s="384">
        <f t="shared" si="31"/>
        <v>4</v>
      </c>
      <c r="AQ25" s="392">
        <f>AN25-'[1]Table 2 Distribution &amp; Adjusts'!I22</f>
        <v>187934</v>
      </c>
      <c r="AR25" s="389">
        <f t="shared" si="32"/>
        <v>0.8172</v>
      </c>
      <c r="AS25" s="384">
        <f t="shared" si="33"/>
        <v>4</v>
      </c>
      <c r="AT25" s="387">
        <f t="shared" si="34"/>
        <v>1839952</v>
      </c>
      <c r="AU25" s="387">
        <f t="shared" si="35"/>
        <v>1252.52</v>
      </c>
      <c r="AV25" s="384">
        <f t="shared" si="36"/>
        <v>63</v>
      </c>
      <c r="AW25" s="389">
        <f t="shared" si="37"/>
        <v>0.1828</v>
      </c>
      <c r="AX25" s="387">
        <f t="shared" si="38"/>
        <v>10065038</v>
      </c>
      <c r="AY25" s="387">
        <f t="shared" si="39"/>
        <v>6851.63</v>
      </c>
      <c r="AZ25" s="384">
        <f t="shared" si="40"/>
        <v>45</v>
      </c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</row>
    <row r="26" spans="1:149" s="394" customFormat="1" ht="12.75">
      <c r="A26" s="382">
        <v>19</v>
      </c>
      <c r="B26" s="383" t="s">
        <v>302</v>
      </c>
      <c r="C26" s="384">
        <f>'[1]Table 8 Membership'!R26</f>
        <v>2238</v>
      </c>
      <c r="D26" s="384">
        <f>'[1]Table 8 Membership'!Y26</f>
        <v>2238</v>
      </c>
      <c r="E26" s="384">
        <f>'[1]4-MFP_&amp;_Other_Funded'!BK31+'[1]LEP'!F28</f>
        <v>1916</v>
      </c>
      <c r="F26" s="384">
        <f t="shared" si="1"/>
        <v>364</v>
      </c>
      <c r="G26" s="384">
        <f>'[5]Sheet1'!C21</f>
        <v>712.5</v>
      </c>
      <c r="H26" s="384">
        <f t="shared" si="2"/>
        <v>36</v>
      </c>
      <c r="I26" s="384">
        <f>'[4]mfpLeaSums'!G22</f>
        <v>378</v>
      </c>
      <c r="J26" s="384">
        <f t="shared" si="3"/>
        <v>567</v>
      </c>
      <c r="K26" s="384">
        <f>'[4]mfpLeaSums'!C22</f>
        <v>8</v>
      </c>
      <c r="L26" s="384">
        <f t="shared" si="4"/>
        <v>5</v>
      </c>
      <c r="M26" s="384">
        <f t="shared" si="5"/>
        <v>5262</v>
      </c>
      <c r="N26" s="386">
        <f t="shared" si="6"/>
        <v>0.14032</v>
      </c>
      <c r="O26" s="384">
        <f t="shared" si="7"/>
        <v>314</v>
      </c>
      <c r="P26" s="384">
        <f t="shared" si="8"/>
        <v>1286</v>
      </c>
      <c r="Q26" s="384">
        <f t="shared" si="9"/>
        <v>3524</v>
      </c>
      <c r="R26" s="387">
        <f t="shared" si="10"/>
        <v>3652</v>
      </c>
      <c r="S26" s="387">
        <f t="shared" si="11"/>
        <v>12869648</v>
      </c>
      <c r="T26" s="388">
        <f>'[1]Table 6 Local Wealth Factor'!L26</f>
        <v>0.61494707</v>
      </c>
      <c r="U26" s="388">
        <f t="shared" si="12"/>
        <v>0.0039358</v>
      </c>
      <c r="V26" s="388">
        <f t="shared" si="13"/>
        <v>0.00242031</v>
      </c>
      <c r="W26" s="387">
        <f t="shared" si="14"/>
        <v>2769953</v>
      </c>
      <c r="X26" s="389">
        <f t="shared" si="15"/>
        <v>0.2152</v>
      </c>
      <c r="Y26" s="390">
        <f t="shared" si="16"/>
        <v>10099695</v>
      </c>
      <c r="Z26" s="389">
        <f t="shared" si="17"/>
        <v>0.7848</v>
      </c>
      <c r="AA26" s="391">
        <f>'[1]Table 7 Local Revenue'!AR25</f>
        <v>3376947</v>
      </c>
      <c r="AB26" s="387">
        <f t="shared" si="41"/>
        <v>606994</v>
      </c>
      <c r="AC26" s="392">
        <f t="shared" si="19"/>
        <v>0</v>
      </c>
      <c r="AD26" s="387">
        <f t="shared" si="20"/>
        <v>4246984</v>
      </c>
      <c r="AE26" s="393">
        <f t="shared" si="21"/>
        <v>606994</v>
      </c>
      <c r="AF26" s="390">
        <f t="shared" si="22"/>
        <v>383032</v>
      </c>
      <c r="AG26" s="389">
        <f t="shared" si="23"/>
        <v>0.631</v>
      </c>
      <c r="AH26" s="387">
        <f t="shared" si="24"/>
        <v>2296950</v>
      </c>
      <c r="AI26" s="387">
        <f t="shared" si="25"/>
        <v>990026</v>
      </c>
      <c r="AJ26" s="387">
        <f t="shared" si="26"/>
        <v>10482727</v>
      </c>
      <c r="AK26" s="387">
        <f t="shared" si="27"/>
        <v>4683.97</v>
      </c>
      <c r="AL26" s="390">
        <f>'[1]Table 4 Level 3'!Y26</f>
        <v>1074831</v>
      </c>
      <c r="AM26" s="387">
        <f t="shared" si="28"/>
        <v>480.26</v>
      </c>
      <c r="AN26" s="390">
        <f t="shared" si="29"/>
        <v>11557558</v>
      </c>
      <c r="AO26" s="390">
        <f t="shared" si="30"/>
        <v>5164</v>
      </c>
      <c r="AP26" s="384">
        <f t="shared" si="31"/>
        <v>17</v>
      </c>
      <c r="AQ26" s="392">
        <f>AN26-'[1]Table 2 Distribution &amp; Adjusts'!I23</f>
        <v>589383</v>
      </c>
      <c r="AR26" s="389">
        <f t="shared" si="32"/>
        <v>0.7739</v>
      </c>
      <c r="AS26" s="384">
        <f t="shared" si="33"/>
        <v>11</v>
      </c>
      <c r="AT26" s="387">
        <f t="shared" si="34"/>
        <v>3376947</v>
      </c>
      <c r="AU26" s="387">
        <f t="shared" si="35"/>
        <v>1508.91</v>
      </c>
      <c r="AV26" s="384">
        <f t="shared" si="36"/>
        <v>56</v>
      </c>
      <c r="AW26" s="389">
        <f t="shared" si="37"/>
        <v>0.2261</v>
      </c>
      <c r="AX26" s="387">
        <f t="shared" si="38"/>
        <v>14934505</v>
      </c>
      <c r="AY26" s="387">
        <f t="shared" si="39"/>
        <v>6673.15</v>
      </c>
      <c r="AZ26" s="384">
        <f t="shared" si="40"/>
        <v>51</v>
      </c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</row>
    <row r="27" spans="1:149" s="405" customFormat="1" ht="12.75">
      <c r="A27" s="395">
        <v>20</v>
      </c>
      <c r="B27" s="396" t="s">
        <v>303</v>
      </c>
      <c r="C27" s="397">
        <f>'[1]Table 8 Membership'!R27</f>
        <v>5854</v>
      </c>
      <c r="D27" s="397">
        <f>'[1]Table 8 Membership'!Y27</f>
        <v>5854</v>
      </c>
      <c r="E27" s="397">
        <f>'[1]4-MFP_&amp;_Other_Funded'!BK32+'[1]LEP'!F29</f>
        <v>4530</v>
      </c>
      <c r="F27" s="397">
        <f t="shared" si="1"/>
        <v>861</v>
      </c>
      <c r="G27" s="397">
        <f>'[5]Sheet1'!C22</f>
        <v>2155</v>
      </c>
      <c r="H27" s="397">
        <f t="shared" si="2"/>
        <v>108</v>
      </c>
      <c r="I27" s="397">
        <f>'[4]mfpLeaSums'!G23</f>
        <v>1080</v>
      </c>
      <c r="J27" s="397">
        <f t="shared" si="3"/>
        <v>1620</v>
      </c>
      <c r="K27" s="397">
        <f>'[4]mfpLeaSums'!C23</f>
        <v>43</v>
      </c>
      <c r="L27" s="397">
        <f t="shared" si="4"/>
        <v>26</v>
      </c>
      <c r="M27" s="397">
        <f t="shared" si="5"/>
        <v>1646</v>
      </c>
      <c r="N27" s="398">
        <f t="shared" si="6"/>
        <v>0.04389</v>
      </c>
      <c r="O27" s="397">
        <f t="shared" si="7"/>
        <v>257</v>
      </c>
      <c r="P27" s="397">
        <f t="shared" si="8"/>
        <v>2872</v>
      </c>
      <c r="Q27" s="384">
        <f t="shared" si="9"/>
        <v>8726</v>
      </c>
      <c r="R27" s="399">
        <f t="shared" si="10"/>
        <v>3652</v>
      </c>
      <c r="S27" s="399">
        <f t="shared" si="11"/>
        <v>31867352</v>
      </c>
      <c r="T27" s="400">
        <f>'[1]Table 6 Local Wealth Factor'!L27</f>
        <v>0.5056702</v>
      </c>
      <c r="U27" s="400">
        <f t="shared" si="12"/>
        <v>0.00974569</v>
      </c>
      <c r="V27" s="400">
        <f t="shared" si="13"/>
        <v>0.00492811</v>
      </c>
      <c r="W27" s="399">
        <f t="shared" si="14"/>
        <v>5640034</v>
      </c>
      <c r="X27" s="401">
        <f t="shared" si="15"/>
        <v>0.177</v>
      </c>
      <c r="Y27" s="402">
        <f t="shared" si="16"/>
        <v>26227318</v>
      </c>
      <c r="Z27" s="401">
        <f t="shared" si="17"/>
        <v>0.823</v>
      </c>
      <c r="AA27" s="399">
        <f>'[1]Table 7 Local Revenue'!AR26</f>
        <v>9170113</v>
      </c>
      <c r="AB27" s="399">
        <f t="shared" si="41"/>
        <v>3530079</v>
      </c>
      <c r="AC27" s="403">
        <f t="shared" si="19"/>
        <v>0</v>
      </c>
      <c r="AD27" s="399">
        <f t="shared" si="20"/>
        <v>10516226</v>
      </c>
      <c r="AE27" s="404">
        <f t="shared" si="21"/>
        <v>3530079</v>
      </c>
      <c r="AF27" s="402">
        <f t="shared" si="22"/>
        <v>2459046</v>
      </c>
      <c r="AG27" s="401">
        <f t="shared" si="23"/>
        <v>0.6966</v>
      </c>
      <c r="AH27" s="399">
        <f t="shared" si="24"/>
        <v>4866535</v>
      </c>
      <c r="AI27" s="399">
        <f t="shared" si="25"/>
        <v>5989125</v>
      </c>
      <c r="AJ27" s="399">
        <f t="shared" si="26"/>
        <v>28686364</v>
      </c>
      <c r="AK27" s="399">
        <f t="shared" si="27"/>
        <v>4900.3</v>
      </c>
      <c r="AL27" s="402">
        <f>'[1]Table 4 Level 3'!Y27</f>
        <v>1941745</v>
      </c>
      <c r="AM27" s="399">
        <f t="shared" si="28"/>
        <v>331.7</v>
      </c>
      <c r="AN27" s="402">
        <f t="shared" si="29"/>
        <v>30628109</v>
      </c>
      <c r="AO27" s="402">
        <f t="shared" si="30"/>
        <v>5232</v>
      </c>
      <c r="AP27" s="397">
        <f t="shared" si="31"/>
        <v>13</v>
      </c>
      <c r="AQ27" s="403">
        <f>AN27-'[1]Table 2 Distribution &amp; Adjusts'!I24</f>
        <v>2107973</v>
      </c>
      <c r="AR27" s="401">
        <f t="shared" si="32"/>
        <v>0.7696</v>
      </c>
      <c r="AS27" s="397">
        <f t="shared" si="33"/>
        <v>12</v>
      </c>
      <c r="AT27" s="399">
        <f t="shared" si="34"/>
        <v>9170113</v>
      </c>
      <c r="AU27" s="399">
        <f t="shared" si="35"/>
        <v>1566.47</v>
      </c>
      <c r="AV27" s="397">
        <f t="shared" si="36"/>
        <v>54</v>
      </c>
      <c r="AW27" s="401">
        <f t="shared" si="37"/>
        <v>0.2304</v>
      </c>
      <c r="AX27" s="399">
        <f t="shared" si="38"/>
        <v>39798222</v>
      </c>
      <c r="AY27" s="399">
        <f t="shared" si="39"/>
        <v>6798.47</v>
      </c>
      <c r="AZ27" s="397">
        <f t="shared" si="40"/>
        <v>50</v>
      </c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</row>
    <row r="28" spans="1:149" s="394" customFormat="1" ht="12.75">
      <c r="A28" s="382">
        <v>21</v>
      </c>
      <c r="B28" s="383" t="s">
        <v>304</v>
      </c>
      <c r="C28" s="384">
        <f>'[1]Table 8 Membership'!R28</f>
        <v>3159</v>
      </c>
      <c r="D28" s="384">
        <f>'[1]Table 8 Membership'!Y28</f>
        <v>3159</v>
      </c>
      <c r="E28" s="384">
        <f>'[1]4-MFP_&amp;_Other_Funded'!BK33+'[1]LEP'!F30</f>
        <v>2473</v>
      </c>
      <c r="F28" s="384">
        <f t="shared" si="1"/>
        <v>470</v>
      </c>
      <c r="G28" s="384">
        <f>'[5]Sheet1'!C23</f>
        <v>867</v>
      </c>
      <c r="H28" s="384">
        <f t="shared" si="2"/>
        <v>43</v>
      </c>
      <c r="I28" s="384">
        <f>'[4]mfpLeaSums'!G24</f>
        <v>368</v>
      </c>
      <c r="J28" s="384">
        <f t="shared" si="3"/>
        <v>552</v>
      </c>
      <c r="K28" s="384">
        <f>'[4]mfpLeaSums'!C24</f>
        <v>58</v>
      </c>
      <c r="L28" s="384">
        <f t="shared" si="4"/>
        <v>35</v>
      </c>
      <c r="M28" s="384">
        <f t="shared" si="5"/>
        <v>4341</v>
      </c>
      <c r="N28" s="386">
        <f t="shared" si="6"/>
        <v>0.11576</v>
      </c>
      <c r="O28" s="384">
        <f t="shared" si="7"/>
        <v>366</v>
      </c>
      <c r="P28" s="384">
        <f t="shared" si="8"/>
        <v>1466</v>
      </c>
      <c r="Q28" s="406">
        <f t="shared" si="9"/>
        <v>4625</v>
      </c>
      <c r="R28" s="387">
        <f t="shared" si="10"/>
        <v>3652</v>
      </c>
      <c r="S28" s="387">
        <f t="shared" si="11"/>
        <v>16890500</v>
      </c>
      <c r="T28" s="388">
        <f>'[1]Table 6 Local Wealth Factor'!L28</f>
        <v>0.55920061</v>
      </c>
      <c r="U28" s="388">
        <f t="shared" si="12"/>
        <v>0.00516546</v>
      </c>
      <c r="V28" s="388">
        <f t="shared" si="13"/>
        <v>0.00288853</v>
      </c>
      <c r="W28" s="387">
        <f t="shared" si="14"/>
        <v>3305813</v>
      </c>
      <c r="X28" s="389">
        <f t="shared" si="15"/>
        <v>0.1957</v>
      </c>
      <c r="Y28" s="390">
        <f t="shared" si="16"/>
        <v>13584687</v>
      </c>
      <c r="Z28" s="389">
        <f t="shared" si="17"/>
        <v>0.8043</v>
      </c>
      <c r="AA28" s="391">
        <f>'[1]Table 7 Local Revenue'!AR27</f>
        <v>3566292</v>
      </c>
      <c r="AB28" s="387">
        <f t="shared" si="41"/>
        <v>260479</v>
      </c>
      <c r="AC28" s="392">
        <f t="shared" si="19"/>
        <v>0</v>
      </c>
      <c r="AD28" s="387">
        <f t="shared" si="20"/>
        <v>5573865</v>
      </c>
      <c r="AE28" s="393">
        <f t="shared" si="21"/>
        <v>260479</v>
      </c>
      <c r="AF28" s="390">
        <f t="shared" si="22"/>
        <v>173083</v>
      </c>
      <c r="AG28" s="389">
        <f t="shared" si="23"/>
        <v>0.6645</v>
      </c>
      <c r="AH28" s="387">
        <f t="shared" si="24"/>
        <v>3530637</v>
      </c>
      <c r="AI28" s="387">
        <f t="shared" si="25"/>
        <v>433562</v>
      </c>
      <c r="AJ28" s="387">
        <f t="shared" si="26"/>
        <v>13757770</v>
      </c>
      <c r="AK28" s="387">
        <f t="shared" si="27"/>
        <v>4355.1</v>
      </c>
      <c r="AL28" s="390">
        <f>'[1]Table 4 Level 3'!Y28</f>
        <v>1155983</v>
      </c>
      <c r="AM28" s="387">
        <f t="shared" si="28"/>
        <v>365.93</v>
      </c>
      <c r="AN28" s="390">
        <f t="shared" si="29"/>
        <v>14913753</v>
      </c>
      <c r="AO28" s="390">
        <f t="shared" si="30"/>
        <v>4721</v>
      </c>
      <c r="AP28" s="384">
        <f t="shared" si="31"/>
        <v>31</v>
      </c>
      <c r="AQ28" s="392">
        <f>AN28-'[1]Table 2 Distribution &amp; Adjusts'!I25</f>
        <v>-646788</v>
      </c>
      <c r="AR28" s="389">
        <f t="shared" si="32"/>
        <v>0.807</v>
      </c>
      <c r="AS28" s="384">
        <f t="shared" si="33"/>
        <v>5</v>
      </c>
      <c r="AT28" s="387">
        <f t="shared" si="34"/>
        <v>3566292</v>
      </c>
      <c r="AU28" s="387">
        <f t="shared" si="35"/>
        <v>1128.93</v>
      </c>
      <c r="AV28" s="384">
        <f t="shared" si="36"/>
        <v>66</v>
      </c>
      <c r="AW28" s="389">
        <f t="shared" si="37"/>
        <v>0.193</v>
      </c>
      <c r="AX28" s="387">
        <f t="shared" si="38"/>
        <v>18480045</v>
      </c>
      <c r="AY28" s="387">
        <f t="shared" si="39"/>
        <v>5849.97</v>
      </c>
      <c r="AZ28" s="384">
        <f t="shared" si="40"/>
        <v>66</v>
      </c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</row>
    <row r="29" spans="1:149" s="394" customFormat="1" ht="12.75">
      <c r="A29" s="382">
        <v>22</v>
      </c>
      <c r="B29" s="383" t="s">
        <v>305</v>
      </c>
      <c r="C29" s="384">
        <f>'[1]Table 8 Membership'!R29</f>
        <v>3545</v>
      </c>
      <c r="D29" s="384">
        <f>'[1]Table 8 Membership'!Y29</f>
        <v>3545</v>
      </c>
      <c r="E29" s="384">
        <f>'[1]4-MFP_&amp;_Other_Funded'!BK34+'[1]LEP'!F31</f>
        <v>2221</v>
      </c>
      <c r="F29" s="384">
        <f t="shared" si="1"/>
        <v>422</v>
      </c>
      <c r="G29" s="384">
        <f>'[5]Sheet1'!C24</f>
        <v>1110</v>
      </c>
      <c r="H29" s="384">
        <f t="shared" si="2"/>
        <v>56</v>
      </c>
      <c r="I29" s="384">
        <f>'[4]mfpLeaSums'!G25</f>
        <v>563</v>
      </c>
      <c r="J29" s="384">
        <f t="shared" si="3"/>
        <v>845</v>
      </c>
      <c r="K29" s="384">
        <f>'[4]mfpLeaSums'!C25</f>
        <v>50</v>
      </c>
      <c r="L29" s="384">
        <f t="shared" si="4"/>
        <v>30</v>
      </c>
      <c r="M29" s="384">
        <f t="shared" si="5"/>
        <v>3955</v>
      </c>
      <c r="N29" s="386">
        <f t="shared" si="6"/>
        <v>0.10547</v>
      </c>
      <c r="O29" s="384">
        <f t="shared" si="7"/>
        <v>374</v>
      </c>
      <c r="P29" s="384">
        <f t="shared" si="8"/>
        <v>1727</v>
      </c>
      <c r="Q29" s="384">
        <f t="shared" si="9"/>
        <v>5272</v>
      </c>
      <c r="R29" s="387">
        <f t="shared" si="10"/>
        <v>3652</v>
      </c>
      <c r="S29" s="387">
        <f t="shared" si="11"/>
        <v>19253344</v>
      </c>
      <c r="T29" s="388">
        <f>'[1]Table 6 Local Wealth Factor'!L29</f>
        <v>0.29781985</v>
      </c>
      <c r="U29" s="388">
        <f t="shared" si="12"/>
        <v>0.00588807</v>
      </c>
      <c r="V29" s="388">
        <f t="shared" si="13"/>
        <v>0.00175358</v>
      </c>
      <c r="W29" s="387">
        <f t="shared" si="14"/>
        <v>2006906</v>
      </c>
      <c r="X29" s="389">
        <f t="shared" si="15"/>
        <v>0.1042</v>
      </c>
      <c r="Y29" s="390">
        <f t="shared" si="16"/>
        <v>17246438</v>
      </c>
      <c r="Z29" s="389">
        <f t="shared" si="17"/>
        <v>0.8958</v>
      </c>
      <c r="AA29" s="391">
        <f>'[1]Table 7 Local Revenue'!AR28</f>
        <v>2961554</v>
      </c>
      <c r="AB29" s="387">
        <f t="shared" si="41"/>
        <v>954648</v>
      </c>
      <c r="AC29" s="392">
        <f t="shared" si="19"/>
        <v>0</v>
      </c>
      <c r="AD29" s="387">
        <f t="shared" si="20"/>
        <v>6353604</v>
      </c>
      <c r="AE29" s="393">
        <f t="shared" si="21"/>
        <v>954648</v>
      </c>
      <c r="AF29" s="390">
        <f t="shared" si="22"/>
        <v>784060</v>
      </c>
      <c r="AG29" s="389">
        <f t="shared" si="23"/>
        <v>0.8213</v>
      </c>
      <c r="AH29" s="387">
        <f t="shared" si="24"/>
        <v>4434206</v>
      </c>
      <c r="AI29" s="387">
        <f t="shared" si="25"/>
        <v>1738708</v>
      </c>
      <c r="AJ29" s="387">
        <f t="shared" si="26"/>
        <v>18030498</v>
      </c>
      <c r="AK29" s="387">
        <f t="shared" si="27"/>
        <v>5086.18</v>
      </c>
      <c r="AL29" s="390">
        <f>'[1]Table 4 Level 3'!Y29</f>
        <v>1023260</v>
      </c>
      <c r="AM29" s="387">
        <f t="shared" si="28"/>
        <v>288.65</v>
      </c>
      <c r="AN29" s="390">
        <f t="shared" si="29"/>
        <v>19053758</v>
      </c>
      <c r="AO29" s="390">
        <f t="shared" si="30"/>
        <v>5375</v>
      </c>
      <c r="AP29" s="384">
        <f t="shared" si="31"/>
        <v>8</v>
      </c>
      <c r="AQ29" s="392">
        <f>AN29-'[1]Table 2 Distribution &amp; Adjusts'!I26</f>
        <v>901200</v>
      </c>
      <c r="AR29" s="389">
        <f t="shared" si="32"/>
        <v>0.8655</v>
      </c>
      <c r="AS29" s="384">
        <f t="shared" si="33"/>
        <v>1</v>
      </c>
      <c r="AT29" s="387">
        <f t="shared" si="34"/>
        <v>2961554</v>
      </c>
      <c r="AU29" s="387">
        <f t="shared" si="35"/>
        <v>835.42</v>
      </c>
      <c r="AV29" s="384">
        <f t="shared" si="36"/>
        <v>68</v>
      </c>
      <c r="AW29" s="389">
        <f t="shared" si="37"/>
        <v>0.1345</v>
      </c>
      <c r="AX29" s="387">
        <f t="shared" si="38"/>
        <v>22015312</v>
      </c>
      <c r="AY29" s="387">
        <f t="shared" si="39"/>
        <v>6210.24</v>
      </c>
      <c r="AZ29" s="384">
        <f t="shared" si="40"/>
        <v>61</v>
      </c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</row>
    <row r="30" spans="1:149" s="394" customFormat="1" ht="12.75">
      <c r="A30" s="382">
        <v>23</v>
      </c>
      <c r="B30" s="383" t="s">
        <v>306</v>
      </c>
      <c r="C30" s="384">
        <f>'[1]Table 8 Membership'!R30</f>
        <v>13638</v>
      </c>
      <c r="D30" s="384">
        <f>'[1]Table 8 Membership'!Y30</f>
        <v>13638</v>
      </c>
      <c r="E30" s="384">
        <f>'[1]4-MFP_&amp;_Other_Funded'!BK35+'[1]LEP'!F32</f>
        <v>8926</v>
      </c>
      <c r="F30" s="384">
        <f t="shared" si="1"/>
        <v>1696</v>
      </c>
      <c r="G30" s="384">
        <f>'[5]Sheet1'!C25</f>
        <v>6675</v>
      </c>
      <c r="H30" s="384">
        <f t="shared" si="2"/>
        <v>334</v>
      </c>
      <c r="I30" s="384">
        <f>'[4]mfpLeaSums'!G26</f>
        <v>2254</v>
      </c>
      <c r="J30" s="384">
        <f t="shared" si="3"/>
        <v>3381</v>
      </c>
      <c r="K30" s="384">
        <f>'[4]mfpLeaSums'!C26</f>
        <v>417</v>
      </c>
      <c r="L30" s="384">
        <f t="shared" si="4"/>
        <v>250</v>
      </c>
      <c r="M30" s="384">
        <f t="shared" si="5"/>
        <v>0</v>
      </c>
      <c r="N30" s="386">
        <f t="shared" si="6"/>
        <v>0</v>
      </c>
      <c r="O30" s="384">
        <f t="shared" si="7"/>
        <v>0</v>
      </c>
      <c r="P30" s="384">
        <f t="shared" si="8"/>
        <v>5661</v>
      </c>
      <c r="Q30" s="384">
        <f t="shared" si="9"/>
        <v>19299</v>
      </c>
      <c r="R30" s="387">
        <f t="shared" si="10"/>
        <v>3652</v>
      </c>
      <c r="S30" s="387">
        <f t="shared" si="11"/>
        <v>70479948</v>
      </c>
      <c r="T30" s="388">
        <f>'[1]Table 6 Local Wealth Factor'!L30</f>
        <v>0.73618787</v>
      </c>
      <c r="U30" s="388">
        <f t="shared" si="12"/>
        <v>0.02155422</v>
      </c>
      <c r="V30" s="388">
        <f t="shared" si="13"/>
        <v>0.01586796</v>
      </c>
      <c r="W30" s="387">
        <f t="shared" si="14"/>
        <v>18160276</v>
      </c>
      <c r="X30" s="389">
        <f t="shared" si="15"/>
        <v>0.2577</v>
      </c>
      <c r="Y30" s="390">
        <f t="shared" si="16"/>
        <v>52319672</v>
      </c>
      <c r="Z30" s="389">
        <f t="shared" si="17"/>
        <v>0.7423</v>
      </c>
      <c r="AA30" s="391">
        <f>'[1]Table 7 Local Revenue'!AR29</f>
        <v>30469784</v>
      </c>
      <c r="AB30" s="387">
        <f t="shared" si="41"/>
        <v>12309508</v>
      </c>
      <c r="AC30" s="392">
        <f t="shared" si="19"/>
        <v>0</v>
      </c>
      <c r="AD30" s="387">
        <f t="shared" si="20"/>
        <v>23258383</v>
      </c>
      <c r="AE30" s="393">
        <f t="shared" si="21"/>
        <v>12309508</v>
      </c>
      <c r="AF30" s="390">
        <f t="shared" si="22"/>
        <v>6872242</v>
      </c>
      <c r="AG30" s="389">
        <f t="shared" si="23"/>
        <v>0.5583</v>
      </c>
      <c r="AH30" s="387">
        <f t="shared" si="24"/>
        <v>6112617</v>
      </c>
      <c r="AI30" s="387">
        <f t="shared" si="25"/>
        <v>19181750</v>
      </c>
      <c r="AJ30" s="387">
        <f t="shared" si="26"/>
        <v>59191914</v>
      </c>
      <c r="AK30" s="387">
        <f t="shared" si="27"/>
        <v>4340.22</v>
      </c>
      <c r="AL30" s="390">
        <f>'[1]Table 4 Level 3'!Y30</f>
        <v>4829945</v>
      </c>
      <c r="AM30" s="387">
        <f t="shared" si="28"/>
        <v>354.15</v>
      </c>
      <c r="AN30" s="390">
        <f t="shared" si="29"/>
        <v>64021859</v>
      </c>
      <c r="AO30" s="390">
        <f t="shared" si="30"/>
        <v>4694</v>
      </c>
      <c r="AP30" s="384">
        <f t="shared" si="31"/>
        <v>32</v>
      </c>
      <c r="AQ30" s="392">
        <f>AN30-'[1]Table 2 Distribution &amp; Adjusts'!I27</f>
        <v>3991544</v>
      </c>
      <c r="AR30" s="389">
        <f t="shared" si="32"/>
        <v>0.6775</v>
      </c>
      <c r="AS30" s="384">
        <f t="shared" si="33"/>
        <v>34</v>
      </c>
      <c r="AT30" s="387">
        <f t="shared" si="34"/>
        <v>30469784</v>
      </c>
      <c r="AU30" s="387">
        <f t="shared" si="35"/>
        <v>2234.18</v>
      </c>
      <c r="AV30" s="384">
        <f t="shared" si="36"/>
        <v>39</v>
      </c>
      <c r="AW30" s="389">
        <f t="shared" si="37"/>
        <v>0.3225</v>
      </c>
      <c r="AX30" s="387">
        <f t="shared" si="38"/>
        <v>94491643</v>
      </c>
      <c r="AY30" s="387">
        <f t="shared" si="39"/>
        <v>6928.56</v>
      </c>
      <c r="AZ30" s="384">
        <f t="shared" si="40"/>
        <v>41</v>
      </c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</row>
    <row r="31" spans="1:149" s="394" customFormat="1" ht="12.75">
      <c r="A31" s="382">
        <v>24</v>
      </c>
      <c r="B31" s="383" t="s">
        <v>307</v>
      </c>
      <c r="C31" s="384">
        <f>'[1]Table 8 Membership'!R31</f>
        <v>4133</v>
      </c>
      <c r="D31" s="384">
        <f>'[1]Table 8 Membership'!Y31</f>
        <v>4133</v>
      </c>
      <c r="E31" s="384">
        <f>'[1]4-MFP_&amp;_Other_Funded'!BK36+'[1]LEP'!F33</f>
        <v>3423</v>
      </c>
      <c r="F31" s="384">
        <f t="shared" si="1"/>
        <v>650</v>
      </c>
      <c r="G31" s="384">
        <f>'[5]Sheet1'!C26</f>
        <v>1561.5</v>
      </c>
      <c r="H31" s="384">
        <f t="shared" si="2"/>
        <v>78</v>
      </c>
      <c r="I31" s="384">
        <f>'[4]mfpLeaSums'!G27</f>
        <v>579</v>
      </c>
      <c r="J31" s="384">
        <f t="shared" si="3"/>
        <v>869</v>
      </c>
      <c r="K31" s="384">
        <f>'[4]mfpLeaSums'!C27</f>
        <v>90</v>
      </c>
      <c r="L31" s="384">
        <f t="shared" si="4"/>
        <v>54</v>
      </c>
      <c r="M31" s="384">
        <f t="shared" si="5"/>
        <v>3367</v>
      </c>
      <c r="N31" s="386">
        <f t="shared" si="6"/>
        <v>0.08979</v>
      </c>
      <c r="O31" s="384">
        <f t="shared" si="7"/>
        <v>371</v>
      </c>
      <c r="P31" s="384">
        <f t="shared" si="8"/>
        <v>2022</v>
      </c>
      <c r="Q31" s="384">
        <f t="shared" si="9"/>
        <v>6155</v>
      </c>
      <c r="R31" s="387">
        <f t="shared" si="10"/>
        <v>3652</v>
      </c>
      <c r="S31" s="387">
        <f t="shared" si="11"/>
        <v>22478060</v>
      </c>
      <c r="T31" s="388">
        <f>'[1]Table 6 Local Wealth Factor'!L31</f>
        <v>1.73126234</v>
      </c>
      <c r="U31" s="388">
        <f t="shared" si="12"/>
        <v>0.00687425</v>
      </c>
      <c r="V31" s="388">
        <f t="shared" si="13"/>
        <v>0.01190113</v>
      </c>
      <c r="W31" s="387">
        <f t="shared" si="14"/>
        <v>13620390</v>
      </c>
      <c r="X31" s="389">
        <f t="shared" si="15"/>
        <v>0.6059</v>
      </c>
      <c r="Y31" s="390">
        <f t="shared" si="16"/>
        <v>8857670</v>
      </c>
      <c r="Z31" s="389">
        <f t="shared" si="17"/>
        <v>0.3941</v>
      </c>
      <c r="AA31" s="391">
        <f>'[1]Table 7 Local Revenue'!AR30</f>
        <v>23234952</v>
      </c>
      <c r="AB31" s="387">
        <f t="shared" si="41"/>
        <v>9614562</v>
      </c>
      <c r="AC31" s="392">
        <f t="shared" si="19"/>
        <v>0</v>
      </c>
      <c r="AD31" s="387">
        <f t="shared" si="20"/>
        <v>7417760</v>
      </c>
      <c r="AE31" s="393">
        <f t="shared" si="21"/>
        <v>7417760</v>
      </c>
      <c r="AF31" s="390">
        <f t="shared" si="22"/>
        <v>0</v>
      </c>
      <c r="AG31" s="389">
        <f t="shared" si="23"/>
        <v>0</v>
      </c>
      <c r="AH31" s="387">
        <f t="shared" si="24"/>
        <v>0</v>
      </c>
      <c r="AI31" s="387">
        <f t="shared" si="25"/>
        <v>7417760</v>
      </c>
      <c r="AJ31" s="387">
        <f t="shared" si="26"/>
        <v>8857670</v>
      </c>
      <c r="AK31" s="387">
        <f t="shared" si="27"/>
        <v>2143.16</v>
      </c>
      <c r="AL31" s="390">
        <f>'[1]Table 4 Level 3'!Y31</f>
        <v>4399672</v>
      </c>
      <c r="AM31" s="387">
        <f t="shared" si="28"/>
        <v>1064.52</v>
      </c>
      <c r="AN31" s="390">
        <f t="shared" si="29"/>
        <v>13257342</v>
      </c>
      <c r="AO31" s="390">
        <f t="shared" si="30"/>
        <v>3208</v>
      </c>
      <c r="AP31" s="384">
        <f t="shared" si="31"/>
        <v>64</v>
      </c>
      <c r="AQ31" s="392">
        <f>AN31-'[1]Table 2 Distribution &amp; Adjusts'!I28</f>
        <v>953068</v>
      </c>
      <c r="AR31" s="389">
        <f t="shared" si="32"/>
        <v>0.3866</v>
      </c>
      <c r="AS31" s="384">
        <f t="shared" si="33"/>
        <v>66</v>
      </c>
      <c r="AT31" s="387">
        <f t="shared" si="34"/>
        <v>21038150</v>
      </c>
      <c r="AU31" s="387">
        <f t="shared" si="35"/>
        <v>5090.29</v>
      </c>
      <c r="AV31" s="384">
        <f t="shared" si="36"/>
        <v>2</v>
      </c>
      <c r="AW31" s="389">
        <f t="shared" si="37"/>
        <v>0.6134</v>
      </c>
      <c r="AX31" s="387">
        <f t="shared" si="38"/>
        <v>34295492</v>
      </c>
      <c r="AY31" s="387">
        <f t="shared" si="39"/>
        <v>8297.97</v>
      </c>
      <c r="AZ31" s="384">
        <f t="shared" si="40"/>
        <v>7</v>
      </c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</row>
    <row r="32" spans="1:149" s="405" customFormat="1" ht="12.75">
      <c r="A32" s="395">
        <v>25</v>
      </c>
      <c r="B32" s="396" t="s">
        <v>308</v>
      </c>
      <c r="C32" s="397">
        <f>'[1]Table 8 Membership'!R32</f>
        <v>2186</v>
      </c>
      <c r="D32" s="397">
        <f>'[1]Table 8 Membership'!Y32</f>
        <v>2186</v>
      </c>
      <c r="E32" s="397">
        <f>'[1]4-MFP_&amp;_Other_Funded'!BK37+'[1]LEP'!F34</f>
        <v>1216</v>
      </c>
      <c r="F32" s="397">
        <f t="shared" si="1"/>
        <v>231</v>
      </c>
      <c r="G32" s="397">
        <f>'[5]Sheet1'!C27</f>
        <v>1025</v>
      </c>
      <c r="H32" s="397">
        <f t="shared" si="2"/>
        <v>51</v>
      </c>
      <c r="I32" s="397">
        <f>'[4]mfpLeaSums'!G28</f>
        <v>242</v>
      </c>
      <c r="J32" s="397">
        <f t="shared" si="3"/>
        <v>363</v>
      </c>
      <c r="K32" s="397">
        <f>'[4]mfpLeaSums'!C28</f>
        <v>43</v>
      </c>
      <c r="L32" s="397">
        <f t="shared" si="4"/>
        <v>26</v>
      </c>
      <c r="M32" s="397">
        <f t="shared" si="5"/>
        <v>5314</v>
      </c>
      <c r="N32" s="398">
        <f t="shared" si="6"/>
        <v>0.14171</v>
      </c>
      <c r="O32" s="397">
        <f t="shared" si="7"/>
        <v>310</v>
      </c>
      <c r="P32" s="397">
        <f t="shared" si="8"/>
        <v>981</v>
      </c>
      <c r="Q32" s="384">
        <f t="shared" si="9"/>
        <v>3167</v>
      </c>
      <c r="R32" s="399">
        <f t="shared" si="10"/>
        <v>3652</v>
      </c>
      <c r="S32" s="399">
        <f t="shared" si="11"/>
        <v>11565884</v>
      </c>
      <c r="T32" s="400">
        <f>'[1]Table 6 Local Wealth Factor'!L32</f>
        <v>1.15694868</v>
      </c>
      <c r="U32" s="400">
        <f t="shared" si="12"/>
        <v>0.00353709</v>
      </c>
      <c r="V32" s="400">
        <f t="shared" si="13"/>
        <v>0.00409223</v>
      </c>
      <c r="W32" s="399">
        <f t="shared" si="14"/>
        <v>4683401</v>
      </c>
      <c r="X32" s="401">
        <f t="shared" si="15"/>
        <v>0.4049</v>
      </c>
      <c r="Y32" s="402">
        <f t="shared" si="16"/>
        <v>6882483</v>
      </c>
      <c r="Z32" s="401">
        <f t="shared" si="17"/>
        <v>0.5951</v>
      </c>
      <c r="AA32" s="399">
        <f>'[1]Table 7 Local Revenue'!AR31</f>
        <v>11472115</v>
      </c>
      <c r="AB32" s="399">
        <f t="shared" si="41"/>
        <v>6788714</v>
      </c>
      <c r="AC32" s="403">
        <f t="shared" si="19"/>
        <v>0</v>
      </c>
      <c r="AD32" s="399">
        <f t="shared" si="20"/>
        <v>3816742</v>
      </c>
      <c r="AE32" s="404">
        <f t="shared" si="21"/>
        <v>3816742</v>
      </c>
      <c r="AF32" s="402">
        <f t="shared" si="22"/>
        <v>1167277</v>
      </c>
      <c r="AG32" s="401">
        <f t="shared" si="23"/>
        <v>0.3058</v>
      </c>
      <c r="AH32" s="399">
        <f t="shared" si="24"/>
        <v>0</v>
      </c>
      <c r="AI32" s="399">
        <f t="shared" si="25"/>
        <v>4984019</v>
      </c>
      <c r="AJ32" s="399">
        <f t="shared" si="26"/>
        <v>8049760</v>
      </c>
      <c r="AK32" s="399">
        <f t="shared" si="27"/>
        <v>3682.42</v>
      </c>
      <c r="AL32" s="402">
        <f>'[1]Table 4 Level 3'!Y32</f>
        <v>658809</v>
      </c>
      <c r="AM32" s="399">
        <f t="shared" si="28"/>
        <v>301.38</v>
      </c>
      <c r="AN32" s="402">
        <f t="shared" si="29"/>
        <v>8708569</v>
      </c>
      <c r="AO32" s="402">
        <f t="shared" si="30"/>
        <v>3984</v>
      </c>
      <c r="AP32" s="397">
        <f t="shared" si="31"/>
        <v>55</v>
      </c>
      <c r="AQ32" s="403">
        <f>AN32-'[1]Table 2 Distribution &amp; Adjusts'!I29</f>
        <v>-1066943</v>
      </c>
      <c r="AR32" s="401">
        <f t="shared" si="32"/>
        <v>0.5061</v>
      </c>
      <c r="AS32" s="397">
        <f t="shared" si="33"/>
        <v>54</v>
      </c>
      <c r="AT32" s="399">
        <f t="shared" si="34"/>
        <v>8500143</v>
      </c>
      <c r="AU32" s="399">
        <f t="shared" si="35"/>
        <v>3888.45</v>
      </c>
      <c r="AV32" s="397">
        <f t="shared" si="36"/>
        <v>11</v>
      </c>
      <c r="AW32" s="401">
        <f t="shared" si="37"/>
        <v>0.4939</v>
      </c>
      <c r="AX32" s="399">
        <f t="shared" si="38"/>
        <v>17208712</v>
      </c>
      <c r="AY32" s="399">
        <f t="shared" si="39"/>
        <v>7872.24</v>
      </c>
      <c r="AZ32" s="397">
        <f t="shared" si="40"/>
        <v>13</v>
      </c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s="394" customFormat="1" ht="12.75">
      <c r="A33" s="382">
        <v>26</v>
      </c>
      <c r="B33" s="383" t="s">
        <v>309</v>
      </c>
      <c r="C33" s="408">
        <f>'[1]Table 8 Membership'!R33</f>
        <v>40298</v>
      </c>
      <c r="D33" s="408">
        <f>'[1]Table 8 Membership'!Y33</f>
        <v>44717</v>
      </c>
      <c r="E33" s="408">
        <f>D33*'[1]2004-05 Weighted'!D85</f>
        <v>31512.952359867166</v>
      </c>
      <c r="F33" s="384">
        <f t="shared" si="1"/>
        <v>5987</v>
      </c>
      <c r="G33" s="408">
        <f>D33*'[1]2004-05 Weighted'!F85</f>
        <v>9243.103351112006</v>
      </c>
      <c r="H33" s="384">
        <f t="shared" si="2"/>
        <v>462</v>
      </c>
      <c r="I33" s="408">
        <f>D33*'[1]2004-05 Weighted'!H85</f>
        <v>6472.872375968602</v>
      </c>
      <c r="J33" s="384">
        <f t="shared" si="3"/>
        <v>9709</v>
      </c>
      <c r="K33" s="409">
        <f>D33*'[1]2004-05 Weighted'!J85</f>
        <v>2292.3256314783134</v>
      </c>
      <c r="L33" s="384">
        <f t="shared" si="4"/>
        <v>1375</v>
      </c>
      <c r="M33" s="384">
        <f t="shared" si="5"/>
        <v>0</v>
      </c>
      <c r="N33" s="386">
        <f t="shared" si="6"/>
        <v>0</v>
      </c>
      <c r="O33" s="384">
        <f t="shared" si="7"/>
        <v>0</v>
      </c>
      <c r="P33" s="384">
        <f t="shared" si="8"/>
        <v>17533</v>
      </c>
      <c r="Q33" s="406">
        <f t="shared" si="9"/>
        <v>62250</v>
      </c>
      <c r="R33" s="387">
        <f t="shared" si="10"/>
        <v>3652</v>
      </c>
      <c r="S33" s="387">
        <f t="shared" si="11"/>
        <v>227337000</v>
      </c>
      <c r="T33" s="388">
        <f>'[1]Table 6 Local Wealth Factor'!L33</f>
        <v>1.66617621</v>
      </c>
      <c r="U33" s="388">
        <f t="shared" si="12"/>
        <v>0.06952433</v>
      </c>
      <c r="V33" s="388">
        <f t="shared" si="13"/>
        <v>0.11583978</v>
      </c>
      <c r="W33" s="387">
        <f t="shared" si="14"/>
        <v>132574219</v>
      </c>
      <c r="X33" s="389">
        <f t="shared" si="15"/>
        <v>0.5832</v>
      </c>
      <c r="Y33" s="390">
        <f t="shared" si="16"/>
        <v>94762781</v>
      </c>
      <c r="Z33" s="389">
        <f t="shared" si="17"/>
        <v>0.4168</v>
      </c>
      <c r="AA33" s="391">
        <f>'[1]Table 7 Local Revenue'!AR32</f>
        <v>191306649</v>
      </c>
      <c r="AB33" s="387">
        <f t="shared" si="41"/>
        <v>58732430</v>
      </c>
      <c r="AC33" s="392">
        <f t="shared" si="19"/>
        <v>0</v>
      </c>
      <c r="AD33" s="387">
        <f t="shared" si="20"/>
        <v>75021210</v>
      </c>
      <c r="AE33" s="393">
        <f t="shared" si="21"/>
        <v>58732430</v>
      </c>
      <c r="AF33" s="390">
        <f t="shared" si="22"/>
        <v>17283</v>
      </c>
      <c r="AG33" s="389">
        <f t="shared" si="23"/>
        <v>0.0003</v>
      </c>
      <c r="AH33" s="387">
        <f t="shared" si="24"/>
        <v>4794</v>
      </c>
      <c r="AI33" s="387">
        <f t="shared" si="25"/>
        <v>58749713</v>
      </c>
      <c r="AJ33" s="387">
        <f t="shared" si="26"/>
        <v>94780064</v>
      </c>
      <c r="AK33" s="387">
        <f t="shared" si="27"/>
        <v>2119.55</v>
      </c>
      <c r="AL33" s="390">
        <f>'[1]Table 4 Level 3'!Y33</f>
        <v>43419256</v>
      </c>
      <c r="AM33" s="387">
        <f t="shared" si="28"/>
        <v>970.98</v>
      </c>
      <c r="AN33" s="390">
        <f t="shared" si="29"/>
        <v>138199320</v>
      </c>
      <c r="AO33" s="390">
        <f t="shared" si="30"/>
        <v>3091</v>
      </c>
      <c r="AP33" s="384">
        <f t="shared" si="31"/>
        <v>66</v>
      </c>
      <c r="AQ33" s="392">
        <f>AN33-'[1]Table 2 Distribution &amp; Adjusts'!I30</f>
        <v>-2257566</v>
      </c>
      <c r="AR33" s="389">
        <f t="shared" si="32"/>
        <v>0.4194</v>
      </c>
      <c r="AS33" s="384">
        <f t="shared" si="33"/>
        <v>65</v>
      </c>
      <c r="AT33" s="387">
        <f t="shared" si="34"/>
        <v>191306649</v>
      </c>
      <c r="AU33" s="387">
        <f t="shared" si="35"/>
        <v>4278.16</v>
      </c>
      <c r="AV33" s="384">
        <f t="shared" si="36"/>
        <v>8</v>
      </c>
      <c r="AW33" s="389">
        <f t="shared" si="37"/>
        <v>0.5806</v>
      </c>
      <c r="AX33" s="387">
        <f t="shared" si="38"/>
        <v>329505969</v>
      </c>
      <c r="AY33" s="387">
        <f t="shared" si="39"/>
        <v>7368.7</v>
      </c>
      <c r="AZ33" s="384">
        <f t="shared" si="40"/>
        <v>28</v>
      </c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1:149" s="394" customFormat="1" ht="12.75">
      <c r="A34" s="382">
        <v>27</v>
      </c>
      <c r="B34" s="383" t="s">
        <v>310</v>
      </c>
      <c r="C34" s="384">
        <f>'[1]Table 8 Membership'!R34</f>
        <v>5656</v>
      </c>
      <c r="D34" s="384">
        <f>'[1]Table 8 Membership'!Y34</f>
        <v>5656</v>
      </c>
      <c r="E34" s="384">
        <f>'[1]4-MFP_&amp;_Other_Funded'!BK39+'[1]LEP'!F36</f>
        <v>3251</v>
      </c>
      <c r="F34" s="384">
        <f t="shared" si="1"/>
        <v>618</v>
      </c>
      <c r="G34" s="384">
        <f>'[5]Sheet1'!C29</f>
        <v>2206.5</v>
      </c>
      <c r="H34" s="384">
        <f t="shared" si="2"/>
        <v>110</v>
      </c>
      <c r="I34" s="384">
        <f>'[4]mfpLeaSums'!G30</f>
        <v>976</v>
      </c>
      <c r="J34" s="384">
        <f t="shared" si="3"/>
        <v>1464</v>
      </c>
      <c r="K34" s="384">
        <f>'[4]mfpLeaSums'!C30</f>
        <v>109</v>
      </c>
      <c r="L34" s="384">
        <f t="shared" si="4"/>
        <v>65</v>
      </c>
      <c r="M34" s="384">
        <f t="shared" si="5"/>
        <v>1844</v>
      </c>
      <c r="N34" s="386">
        <f t="shared" si="6"/>
        <v>0.04917</v>
      </c>
      <c r="O34" s="384">
        <f t="shared" si="7"/>
        <v>278</v>
      </c>
      <c r="P34" s="384">
        <f t="shared" si="8"/>
        <v>2535</v>
      </c>
      <c r="Q34" s="384">
        <f t="shared" si="9"/>
        <v>8191</v>
      </c>
      <c r="R34" s="387">
        <f t="shared" si="10"/>
        <v>3652</v>
      </c>
      <c r="S34" s="387">
        <f t="shared" si="11"/>
        <v>29913532</v>
      </c>
      <c r="T34" s="388">
        <f>'[1]Table 6 Local Wealth Factor'!L34</f>
        <v>0.63925175</v>
      </c>
      <c r="U34" s="388">
        <f t="shared" si="12"/>
        <v>0.00914817</v>
      </c>
      <c r="V34" s="388">
        <f t="shared" si="13"/>
        <v>0.00584798</v>
      </c>
      <c r="W34" s="387">
        <f t="shared" si="14"/>
        <v>6692791</v>
      </c>
      <c r="X34" s="389">
        <f t="shared" si="15"/>
        <v>0.2237</v>
      </c>
      <c r="Y34" s="390">
        <f t="shared" si="16"/>
        <v>23220741</v>
      </c>
      <c r="Z34" s="389">
        <f t="shared" si="17"/>
        <v>0.7763</v>
      </c>
      <c r="AA34" s="391">
        <f>'[1]Table 7 Local Revenue'!AR33</f>
        <v>13988493</v>
      </c>
      <c r="AB34" s="387">
        <f t="shared" si="41"/>
        <v>7295702</v>
      </c>
      <c r="AC34" s="392">
        <f t="shared" si="19"/>
        <v>0</v>
      </c>
      <c r="AD34" s="387">
        <f t="shared" si="20"/>
        <v>9871466</v>
      </c>
      <c r="AE34" s="393">
        <f t="shared" si="21"/>
        <v>7295702</v>
      </c>
      <c r="AF34" s="390">
        <f t="shared" si="22"/>
        <v>4497428</v>
      </c>
      <c r="AG34" s="389">
        <f t="shared" si="23"/>
        <v>0.6164</v>
      </c>
      <c r="AH34" s="387">
        <f t="shared" si="24"/>
        <v>1587827</v>
      </c>
      <c r="AI34" s="387">
        <f t="shared" si="25"/>
        <v>11793130</v>
      </c>
      <c r="AJ34" s="387">
        <f t="shared" si="26"/>
        <v>27718169</v>
      </c>
      <c r="AK34" s="387">
        <f t="shared" si="27"/>
        <v>4900.67</v>
      </c>
      <c r="AL34" s="390">
        <f>'[1]Table 4 Level 3'!Y34</f>
        <v>2095234</v>
      </c>
      <c r="AM34" s="387">
        <f t="shared" si="28"/>
        <v>370.44</v>
      </c>
      <c r="AN34" s="390">
        <f t="shared" si="29"/>
        <v>29813403</v>
      </c>
      <c r="AO34" s="390">
        <f t="shared" si="30"/>
        <v>5271</v>
      </c>
      <c r="AP34" s="384">
        <f t="shared" si="31"/>
        <v>11</v>
      </c>
      <c r="AQ34" s="392">
        <f>AN34-'[1]Table 2 Distribution &amp; Adjusts'!I31</f>
        <v>1427719</v>
      </c>
      <c r="AR34" s="389">
        <f t="shared" si="32"/>
        <v>0.6806</v>
      </c>
      <c r="AS34" s="384">
        <f t="shared" si="33"/>
        <v>32</v>
      </c>
      <c r="AT34" s="387">
        <f t="shared" si="34"/>
        <v>13988493</v>
      </c>
      <c r="AU34" s="387">
        <f t="shared" si="35"/>
        <v>2473.21</v>
      </c>
      <c r="AV34" s="384">
        <f t="shared" si="36"/>
        <v>32</v>
      </c>
      <c r="AW34" s="389">
        <f t="shared" si="37"/>
        <v>0.3194</v>
      </c>
      <c r="AX34" s="387">
        <f t="shared" si="38"/>
        <v>43801896</v>
      </c>
      <c r="AY34" s="387">
        <f t="shared" si="39"/>
        <v>7744.32</v>
      </c>
      <c r="AZ34" s="384">
        <f t="shared" si="40"/>
        <v>18</v>
      </c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s="394" customFormat="1" ht="12.75">
      <c r="A35" s="382">
        <v>28</v>
      </c>
      <c r="B35" s="383" t="s">
        <v>311</v>
      </c>
      <c r="C35" s="384">
        <f>'[1]Table 8 Membership'!R35</f>
        <v>29310</v>
      </c>
      <c r="D35" s="384">
        <f>'[1]Table 8 Membership'!Y35</f>
        <v>29310</v>
      </c>
      <c r="E35" s="384">
        <f>'[1]4-MFP_&amp;_Other_Funded'!BK40+'[1]LEP'!F37</f>
        <v>15914</v>
      </c>
      <c r="F35" s="384">
        <f t="shared" si="1"/>
        <v>3024</v>
      </c>
      <c r="G35" s="384">
        <f>'[5]Sheet1'!C30</f>
        <v>8172</v>
      </c>
      <c r="H35" s="384">
        <f t="shared" si="2"/>
        <v>409</v>
      </c>
      <c r="I35" s="384">
        <f>'[4]mfpLeaSums'!G31</f>
        <v>2792</v>
      </c>
      <c r="J35" s="384">
        <f t="shared" si="3"/>
        <v>4188</v>
      </c>
      <c r="K35" s="384">
        <f>'[4]mfpLeaSums'!C31</f>
        <v>1132</v>
      </c>
      <c r="L35" s="384">
        <f t="shared" si="4"/>
        <v>679</v>
      </c>
      <c r="M35" s="384">
        <f t="shared" si="5"/>
        <v>0</v>
      </c>
      <c r="N35" s="386">
        <f t="shared" si="6"/>
        <v>0</v>
      </c>
      <c r="O35" s="384">
        <f t="shared" si="7"/>
        <v>0</v>
      </c>
      <c r="P35" s="384">
        <f t="shared" si="8"/>
        <v>8300</v>
      </c>
      <c r="Q35" s="384">
        <f t="shared" si="9"/>
        <v>37610</v>
      </c>
      <c r="R35" s="387">
        <f t="shared" si="10"/>
        <v>3652</v>
      </c>
      <c r="S35" s="387">
        <f t="shared" si="11"/>
        <v>137351720</v>
      </c>
      <c r="T35" s="388">
        <f>'[1]Table 6 Local Wealth Factor'!L35</f>
        <v>1.36818141</v>
      </c>
      <c r="U35" s="388">
        <f t="shared" si="12"/>
        <v>0.04200498</v>
      </c>
      <c r="V35" s="388">
        <f t="shared" si="13"/>
        <v>0.05747043</v>
      </c>
      <c r="W35" s="387">
        <f t="shared" si="14"/>
        <v>65772719</v>
      </c>
      <c r="X35" s="389">
        <f t="shared" si="15"/>
        <v>0.4789</v>
      </c>
      <c r="Y35" s="390">
        <f t="shared" si="16"/>
        <v>71579001</v>
      </c>
      <c r="Z35" s="389">
        <f t="shared" si="17"/>
        <v>0.5211</v>
      </c>
      <c r="AA35" s="391">
        <f>'[1]Table 7 Local Revenue'!AR34</f>
        <v>108311210</v>
      </c>
      <c r="AB35" s="387">
        <f t="shared" si="41"/>
        <v>42538491</v>
      </c>
      <c r="AC35" s="392">
        <f t="shared" si="19"/>
        <v>0</v>
      </c>
      <c r="AD35" s="387">
        <f t="shared" si="20"/>
        <v>45326068</v>
      </c>
      <c r="AE35" s="393">
        <f t="shared" si="21"/>
        <v>42538491</v>
      </c>
      <c r="AF35" s="390">
        <f t="shared" si="22"/>
        <v>7618267</v>
      </c>
      <c r="AG35" s="389">
        <f t="shared" si="23"/>
        <v>0.1791</v>
      </c>
      <c r="AH35" s="387">
        <f t="shared" si="24"/>
        <v>499231</v>
      </c>
      <c r="AI35" s="387">
        <f t="shared" si="25"/>
        <v>50156758</v>
      </c>
      <c r="AJ35" s="387">
        <f t="shared" si="26"/>
        <v>79197268</v>
      </c>
      <c r="AK35" s="387">
        <f t="shared" si="27"/>
        <v>2702.06</v>
      </c>
      <c r="AL35" s="390">
        <f>'[1]Table 4 Level 3'!Y35</f>
        <v>13070364</v>
      </c>
      <c r="AM35" s="387">
        <f t="shared" si="28"/>
        <v>445.94</v>
      </c>
      <c r="AN35" s="390">
        <f t="shared" si="29"/>
        <v>92267632</v>
      </c>
      <c r="AO35" s="390">
        <f t="shared" si="30"/>
        <v>3148</v>
      </c>
      <c r="AP35" s="384">
        <f t="shared" si="31"/>
        <v>65</v>
      </c>
      <c r="AQ35" s="392">
        <f>AN35-'[1]Table 2 Distribution &amp; Adjusts'!I32</f>
        <v>239215</v>
      </c>
      <c r="AR35" s="389">
        <f t="shared" si="32"/>
        <v>0.46</v>
      </c>
      <c r="AS35" s="384">
        <f t="shared" si="33"/>
        <v>63</v>
      </c>
      <c r="AT35" s="387">
        <f t="shared" si="34"/>
        <v>108311210</v>
      </c>
      <c r="AU35" s="387">
        <f t="shared" si="35"/>
        <v>3695.37</v>
      </c>
      <c r="AV35" s="384">
        <f t="shared" si="36"/>
        <v>13</v>
      </c>
      <c r="AW35" s="389">
        <f t="shared" si="37"/>
        <v>0.54</v>
      </c>
      <c r="AX35" s="387">
        <f t="shared" si="38"/>
        <v>200578842</v>
      </c>
      <c r="AY35" s="387">
        <f t="shared" si="39"/>
        <v>6843.36</v>
      </c>
      <c r="AZ35" s="384">
        <f t="shared" si="40"/>
        <v>47</v>
      </c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s="394" customFormat="1" ht="12.75">
      <c r="A36" s="382">
        <v>29</v>
      </c>
      <c r="B36" s="383" t="s">
        <v>312</v>
      </c>
      <c r="C36" s="384">
        <f>'[1]Table 8 Membership'!R36</f>
        <v>14314</v>
      </c>
      <c r="D36" s="384">
        <f>'[1]Table 8 Membership'!Y36</f>
        <v>14314</v>
      </c>
      <c r="E36" s="384">
        <f>'[1]4-MFP_&amp;_Other_Funded'!BK41+'[1]LEP'!F38</f>
        <v>8304</v>
      </c>
      <c r="F36" s="384">
        <f t="shared" si="1"/>
        <v>1578</v>
      </c>
      <c r="G36" s="384">
        <f>'[5]Sheet1'!C31</f>
        <v>6069.5</v>
      </c>
      <c r="H36" s="384">
        <f t="shared" si="2"/>
        <v>303</v>
      </c>
      <c r="I36" s="384">
        <f>'[4]mfpLeaSums'!G32</f>
        <v>1933</v>
      </c>
      <c r="J36" s="384">
        <f t="shared" si="3"/>
        <v>2900</v>
      </c>
      <c r="K36" s="384">
        <f>'[4]mfpLeaSums'!C32</f>
        <v>209</v>
      </c>
      <c r="L36" s="384">
        <f t="shared" si="4"/>
        <v>125</v>
      </c>
      <c r="M36" s="384">
        <f t="shared" si="5"/>
        <v>0</v>
      </c>
      <c r="N36" s="386">
        <f t="shared" si="6"/>
        <v>0</v>
      </c>
      <c r="O36" s="384">
        <f t="shared" si="7"/>
        <v>0</v>
      </c>
      <c r="P36" s="384">
        <f t="shared" si="8"/>
        <v>4906</v>
      </c>
      <c r="Q36" s="384">
        <f t="shared" si="9"/>
        <v>19220</v>
      </c>
      <c r="R36" s="387">
        <f t="shared" si="10"/>
        <v>3652</v>
      </c>
      <c r="S36" s="387">
        <f t="shared" si="11"/>
        <v>70191440</v>
      </c>
      <c r="T36" s="388">
        <f>'[1]Table 6 Local Wealth Factor'!L36</f>
        <v>0.91166338</v>
      </c>
      <c r="U36" s="388">
        <f t="shared" si="12"/>
        <v>0.02146599</v>
      </c>
      <c r="V36" s="388">
        <f t="shared" si="13"/>
        <v>0.01956976</v>
      </c>
      <c r="W36" s="387">
        <f t="shared" si="14"/>
        <v>22396845</v>
      </c>
      <c r="X36" s="389">
        <f t="shared" si="15"/>
        <v>0.3191</v>
      </c>
      <c r="Y36" s="390">
        <f t="shared" si="16"/>
        <v>47794595</v>
      </c>
      <c r="Z36" s="389">
        <f t="shared" si="17"/>
        <v>0.6809</v>
      </c>
      <c r="AA36" s="391">
        <f>'[1]Table 7 Local Revenue'!AR35</f>
        <v>39468975</v>
      </c>
      <c r="AB36" s="387">
        <f t="shared" si="41"/>
        <v>17072130</v>
      </c>
      <c r="AC36" s="392">
        <f t="shared" si="19"/>
        <v>0</v>
      </c>
      <c r="AD36" s="387">
        <f t="shared" si="20"/>
        <v>23163175</v>
      </c>
      <c r="AE36" s="393">
        <f t="shared" si="21"/>
        <v>17072130</v>
      </c>
      <c r="AF36" s="390">
        <f t="shared" si="22"/>
        <v>7733709</v>
      </c>
      <c r="AG36" s="389">
        <f t="shared" si="23"/>
        <v>0.453</v>
      </c>
      <c r="AH36" s="387">
        <f t="shared" si="24"/>
        <v>2759255</v>
      </c>
      <c r="AI36" s="387">
        <f t="shared" si="25"/>
        <v>24805839</v>
      </c>
      <c r="AJ36" s="387">
        <f t="shared" si="26"/>
        <v>55528304</v>
      </c>
      <c r="AK36" s="387">
        <f t="shared" si="27"/>
        <v>3879.3</v>
      </c>
      <c r="AL36" s="390">
        <f>'[1]Table 4 Level 3'!Y36</f>
        <v>6293191</v>
      </c>
      <c r="AM36" s="387">
        <f t="shared" si="28"/>
        <v>439.65</v>
      </c>
      <c r="AN36" s="390">
        <f t="shared" si="29"/>
        <v>61821495</v>
      </c>
      <c r="AO36" s="390">
        <f t="shared" si="30"/>
        <v>4319</v>
      </c>
      <c r="AP36" s="384">
        <f t="shared" si="31"/>
        <v>46</v>
      </c>
      <c r="AQ36" s="392">
        <f>AN36-'[1]Table 2 Distribution &amp; Adjusts'!I33</f>
        <v>2116273</v>
      </c>
      <c r="AR36" s="389">
        <f t="shared" si="32"/>
        <v>0.6103</v>
      </c>
      <c r="AS36" s="384">
        <f t="shared" si="33"/>
        <v>43</v>
      </c>
      <c r="AT36" s="387">
        <f t="shared" si="34"/>
        <v>39468975</v>
      </c>
      <c r="AU36" s="387">
        <f t="shared" si="35"/>
        <v>2757.37</v>
      </c>
      <c r="AV36" s="384">
        <f t="shared" si="36"/>
        <v>26</v>
      </c>
      <c r="AW36" s="389">
        <f t="shared" si="37"/>
        <v>0.3897</v>
      </c>
      <c r="AX36" s="387">
        <f t="shared" si="38"/>
        <v>101290470</v>
      </c>
      <c r="AY36" s="387">
        <f t="shared" si="39"/>
        <v>7076.32</v>
      </c>
      <c r="AZ36" s="384">
        <f t="shared" si="40"/>
        <v>36</v>
      </c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s="405" customFormat="1" ht="12.75">
      <c r="A37" s="395">
        <v>30</v>
      </c>
      <c r="B37" s="396" t="s">
        <v>313</v>
      </c>
      <c r="C37" s="397">
        <f>'[1]Table 8 Membership'!R37</f>
        <v>2517</v>
      </c>
      <c r="D37" s="397">
        <f>'[1]Table 8 Membership'!Y37</f>
        <v>2517</v>
      </c>
      <c r="E37" s="397">
        <f>'[1]4-MFP_&amp;_Other_Funded'!BK42+'[1]LEP'!F39</f>
        <v>1362</v>
      </c>
      <c r="F37" s="397">
        <f t="shared" si="1"/>
        <v>259</v>
      </c>
      <c r="G37" s="397">
        <f>'[5]Sheet1'!C32</f>
        <v>987</v>
      </c>
      <c r="H37" s="397">
        <f t="shared" si="2"/>
        <v>49</v>
      </c>
      <c r="I37" s="397">
        <f>'[4]mfpLeaSums'!G33</f>
        <v>270</v>
      </c>
      <c r="J37" s="397">
        <f t="shared" si="3"/>
        <v>405</v>
      </c>
      <c r="K37" s="397">
        <f>'[4]mfpLeaSums'!C33</f>
        <v>35</v>
      </c>
      <c r="L37" s="397">
        <f t="shared" si="4"/>
        <v>21</v>
      </c>
      <c r="M37" s="397">
        <f t="shared" si="5"/>
        <v>4983</v>
      </c>
      <c r="N37" s="398">
        <f t="shared" si="6"/>
        <v>0.13288</v>
      </c>
      <c r="O37" s="397">
        <f t="shared" si="7"/>
        <v>334</v>
      </c>
      <c r="P37" s="397">
        <f t="shared" si="8"/>
        <v>1068</v>
      </c>
      <c r="Q37" s="384">
        <f t="shared" si="9"/>
        <v>3585</v>
      </c>
      <c r="R37" s="399">
        <f t="shared" si="10"/>
        <v>3652</v>
      </c>
      <c r="S37" s="399">
        <f t="shared" si="11"/>
        <v>13092420</v>
      </c>
      <c r="T37" s="400">
        <f>'[1]Table 6 Local Wealth Factor'!L37</f>
        <v>0.56349363</v>
      </c>
      <c r="U37" s="400">
        <f t="shared" si="12"/>
        <v>0.00400393</v>
      </c>
      <c r="V37" s="400">
        <f t="shared" si="13"/>
        <v>0.00225619</v>
      </c>
      <c r="W37" s="399">
        <f t="shared" si="14"/>
        <v>2582124</v>
      </c>
      <c r="X37" s="401">
        <f t="shared" si="15"/>
        <v>0.1972</v>
      </c>
      <c r="Y37" s="402">
        <f t="shared" si="16"/>
        <v>10510296</v>
      </c>
      <c r="Z37" s="401">
        <f t="shared" si="17"/>
        <v>0.8028</v>
      </c>
      <c r="AA37" s="399">
        <f>'[1]Table 7 Local Revenue'!AR36</f>
        <v>4936352</v>
      </c>
      <c r="AB37" s="399">
        <f t="shared" si="41"/>
        <v>2354228</v>
      </c>
      <c r="AC37" s="403">
        <f t="shared" si="19"/>
        <v>0</v>
      </c>
      <c r="AD37" s="399">
        <f t="shared" si="20"/>
        <v>4320499</v>
      </c>
      <c r="AE37" s="404">
        <f t="shared" si="21"/>
        <v>2354228</v>
      </c>
      <c r="AF37" s="402">
        <f t="shared" si="22"/>
        <v>1558273</v>
      </c>
      <c r="AG37" s="401">
        <f t="shared" si="23"/>
        <v>0.6619</v>
      </c>
      <c r="AH37" s="399">
        <f t="shared" si="24"/>
        <v>1301482</v>
      </c>
      <c r="AI37" s="399">
        <f t="shared" si="25"/>
        <v>3912501</v>
      </c>
      <c r="AJ37" s="399">
        <f t="shared" si="26"/>
        <v>12068569</v>
      </c>
      <c r="AK37" s="399">
        <f t="shared" si="27"/>
        <v>4794.82</v>
      </c>
      <c r="AL37" s="402">
        <f>'[1]Table 4 Level 3'!Y37</f>
        <v>920684</v>
      </c>
      <c r="AM37" s="399">
        <f t="shared" si="28"/>
        <v>365.79</v>
      </c>
      <c r="AN37" s="402">
        <f t="shared" si="29"/>
        <v>12989253</v>
      </c>
      <c r="AO37" s="402">
        <f t="shared" si="30"/>
        <v>5161</v>
      </c>
      <c r="AP37" s="397">
        <f t="shared" si="31"/>
        <v>18</v>
      </c>
      <c r="AQ37" s="403">
        <f>AN37-'[1]Table 2 Distribution &amp; Adjusts'!I34</f>
        <v>1022839</v>
      </c>
      <c r="AR37" s="401">
        <f t="shared" si="32"/>
        <v>0.7246</v>
      </c>
      <c r="AS37" s="397">
        <f t="shared" si="33"/>
        <v>25</v>
      </c>
      <c r="AT37" s="399">
        <f t="shared" si="34"/>
        <v>4936352</v>
      </c>
      <c r="AU37" s="399">
        <f t="shared" si="35"/>
        <v>1961.2</v>
      </c>
      <c r="AV37" s="397">
        <f t="shared" si="36"/>
        <v>43</v>
      </c>
      <c r="AW37" s="401">
        <f t="shared" si="37"/>
        <v>0.2754</v>
      </c>
      <c r="AX37" s="399">
        <f t="shared" si="38"/>
        <v>17925605</v>
      </c>
      <c r="AY37" s="399">
        <f t="shared" si="39"/>
        <v>7121.81</v>
      </c>
      <c r="AZ37" s="397">
        <f t="shared" si="40"/>
        <v>35</v>
      </c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s="394" customFormat="1" ht="12.75">
      <c r="A38" s="382">
        <v>31</v>
      </c>
      <c r="B38" s="383" t="s">
        <v>314</v>
      </c>
      <c r="C38" s="384">
        <f>'[1]Table 8 Membership'!R38</f>
        <v>6609</v>
      </c>
      <c r="D38" s="384">
        <f>'[1]Table 8 Membership'!Y38</f>
        <v>6609</v>
      </c>
      <c r="E38" s="384">
        <f>'[1]4-MFP_&amp;_Other_Funded'!BK43+'[1]LEP'!F40</f>
        <v>3783</v>
      </c>
      <c r="F38" s="384">
        <f t="shared" si="1"/>
        <v>719</v>
      </c>
      <c r="G38" s="384">
        <f>'[5]Sheet1'!C33</f>
        <v>2249.5</v>
      </c>
      <c r="H38" s="384">
        <f t="shared" si="2"/>
        <v>112</v>
      </c>
      <c r="I38" s="384">
        <f>'[4]mfpLeaSums'!G34</f>
        <v>880</v>
      </c>
      <c r="J38" s="384">
        <f t="shared" si="3"/>
        <v>1320</v>
      </c>
      <c r="K38" s="384">
        <f>'[4]mfpLeaSums'!C34</f>
        <v>210</v>
      </c>
      <c r="L38" s="384">
        <f t="shared" si="4"/>
        <v>126</v>
      </c>
      <c r="M38" s="384">
        <f t="shared" si="5"/>
        <v>891</v>
      </c>
      <c r="N38" s="386">
        <f t="shared" si="6"/>
        <v>0.02376</v>
      </c>
      <c r="O38" s="384">
        <f t="shared" si="7"/>
        <v>157</v>
      </c>
      <c r="P38" s="384">
        <f t="shared" si="8"/>
        <v>2434</v>
      </c>
      <c r="Q38" s="406">
        <f t="shared" si="9"/>
        <v>9043</v>
      </c>
      <c r="R38" s="387">
        <f t="shared" si="10"/>
        <v>3652</v>
      </c>
      <c r="S38" s="387">
        <f t="shared" si="11"/>
        <v>33025036</v>
      </c>
      <c r="T38" s="388">
        <f>'[1]Table 6 Local Wealth Factor'!L38</f>
        <v>0.92763772</v>
      </c>
      <c r="U38" s="388">
        <f t="shared" si="12"/>
        <v>0.01009974</v>
      </c>
      <c r="V38" s="388">
        <f t="shared" si="13"/>
        <v>0.0093689</v>
      </c>
      <c r="W38" s="387">
        <f t="shared" si="14"/>
        <v>10722349</v>
      </c>
      <c r="X38" s="389">
        <f t="shared" si="15"/>
        <v>0.3247</v>
      </c>
      <c r="Y38" s="390">
        <f t="shared" si="16"/>
        <v>22302687</v>
      </c>
      <c r="Z38" s="389">
        <f t="shared" si="17"/>
        <v>0.6753</v>
      </c>
      <c r="AA38" s="391">
        <f>'[1]Table 7 Local Revenue'!AR37</f>
        <v>20775273</v>
      </c>
      <c r="AB38" s="387">
        <f t="shared" si="41"/>
        <v>10052924</v>
      </c>
      <c r="AC38" s="392">
        <f t="shared" si="19"/>
        <v>0</v>
      </c>
      <c r="AD38" s="387">
        <f t="shared" si="20"/>
        <v>10898262</v>
      </c>
      <c r="AE38" s="393">
        <f t="shared" si="21"/>
        <v>10052924</v>
      </c>
      <c r="AF38" s="390">
        <f t="shared" si="22"/>
        <v>4457641</v>
      </c>
      <c r="AG38" s="389">
        <f t="shared" si="23"/>
        <v>0.4434</v>
      </c>
      <c r="AH38" s="387">
        <f t="shared" si="24"/>
        <v>374838</v>
      </c>
      <c r="AI38" s="387">
        <f t="shared" si="25"/>
        <v>14510565</v>
      </c>
      <c r="AJ38" s="387">
        <f t="shared" si="26"/>
        <v>26760328</v>
      </c>
      <c r="AK38" s="387">
        <f t="shared" si="27"/>
        <v>4049.07</v>
      </c>
      <c r="AL38" s="390">
        <f>'[1]Table 4 Level 3'!Y38</f>
        <v>1854506</v>
      </c>
      <c r="AM38" s="387">
        <f t="shared" si="28"/>
        <v>280.6</v>
      </c>
      <c r="AN38" s="390">
        <f t="shared" si="29"/>
        <v>28614834</v>
      </c>
      <c r="AO38" s="390">
        <f t="shared" si="30"/>
        <v>4330</v>
      </c>
      <c r="AP38" s="384">
        <f t="shared" si="31"/>
        <v>45</v>
      </c>
      <c r="AQ38" s="392">
        <f>AN38-'[1]Table 2 Distribution &amp; Adjusts'!I35</f>
        <v>3781231</v>
      </c>
      <c r="AR38" s="389">
        <f t="shared" si="32"/>
        <v>0.5794</v>
      </c>
      <c r="AS38" s="384">
        <f t="shared" si="33"/>
        <v>44</v>
      </c>
      <c r="AT38" s="387">
        <f t="shared" si="34"/>
        <v>20775273</v>
      </c>
      <c r="AU38" s="387">
        <f t="shared" si="35"/>
        <v>3143.48</v>
      </c>
      <c r="AV38" s="384">
        <f t="shared" si="36"/>
        <v>24</v>
      </c>
      <c r="AW38" s="389">
        <f t="shared" si="37"/>
        <v>0.4206</v>
      </c>
      <c r="AX38" s="387">
        <f t="shared" si="38"/>
        <v>49390107</v>
      </c>
      <c r="AY38" s="387">
        <f t="shared" si="39"/>
        <v>7473.16</v>
      </c>
      <c r="AZ38" s="384">
        <f t="shared" si="40"/>
        <v>24</v>
      </c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spans="1:149" s="394" customFormat="1" ht="12.75">
      <c r="A39" s="382">
        <v>32</v>
      </c>
      <c r="B39" s="383" t="s">
        <v>315</v>
      </c>
      <c r="C39" s="384">
        <f>'[1]Table 8 Membership'!R39</f>
        <v>22220</v>
      </c>
      <c r="D39" s="384">
        <f>'[1]Table 8 Membership'!Y39</f>
        <v>22220</v>
      </c>
      <c r="E39" s="384">
        <f>'[1]4-MFP_&amp;_Other_Funded'!BK44+'[1]LEP'!F41</f>
        <v>10497</v>
      </c>
      <c r="F39" s="384">
        <f t="shared" si="1"/>
        <v>1994</v>
      </c>
      <c r="G39" s="384">
        <f>'[5]Sheet1'!C34</f>
        <v>5874.5</v>
      </c>
      <c r="H39" s="384">
        <f t="shared" si="2"/>
        <v>294</v>
      </c>
      <c r="I39" s="384">
        <f>'[4]mfpLeaSums'!G35</f>
        <v>2773</v>
      </c>
      <c r="J39" s="384">
        <f t="shared" si="3"/>
        <v>4160</v>
      </c>
      <c r="K39" s="384">
        <f>'[4]mfpLeaSums'!C35</f>
        <v>523</v>
      </c>
      <c r="L39" s="384">
        <f t="shared" si="4"/>
        <v>314</v>
      </c>
      <c r="M39" s="384">
        <f t="shared" si="5"/>
        <v>0</v>
      </c>
      <c r="N39" s="386">
        <f t="shared" si="6"/>
        <v>0</v>
      </c>
      <c r="O39" s="384">
        <f t="shared" si="7"/>
        <v>0</v>
      </c>
      <c r="P39" s="384">
        <f t="shared" si="8"/>
        <v>6762</v>
      </c>
      <c r="Q39" s="384">
        <f t="shared" si="9"/>
        <v>28982</v>
      </c>
      <c r="R39" s="387">
        <f t="shared" si="10"/>
        <v>3652</v>
      </c>
      <c r="S39" s="387">
        <f t="shared" si="11"/>
        <v>105842264</v>
      </c>
      <c r="T39" s="388">
        <f>'[1]Table 6 Local Wealth Factor'!L39</f>
        <v>0.42009241</v>
      </c>
      <c r="U39" s="388">
        <f t="shared" si="12"/>
        <v>0.03236874</v>
      </c>
      <c r="V39" s="388">
        <f t="shared" si="13"/>
        <v>0.01359786</v>
      </c>
      <c r="W39" s="387">
        <f t="shared" si="14"/>
        <v>15562233</v>
      </c>
      <c r="X39" s="389">
        <f t="shared" si="15"/>
        <v>0.147</v>
      </c>
      <c r="Y39" s="390">
        <f t="shared" si="16"/>
        <v>90280031</v>
      </c>
      <c r="Z39" s="389">
        <f t="shared" si="17"/>
        <v>0.853</v>
      </c>
      <c r="AA39" s="391">
        <f>'[1]Table 7 Local Revenue'!AR38</f>
        <v>31007985</v>
      </c>
      <c r="AB39" s="387">
        <f t="shared" si="41"/>
        <v>15445752</v>
      </c>
      <c r="AC39" s="392">
        <f t="shared" si="19"/>
        <v>0</v>
      </c>
      <c r="AD39" s="387">
        <f t="shared" si="20"/>
        <v>34927947</v>
      </c>
      <c r="AE39" s="393">
        <f t="shared" si="21"/>
        <v>15445752</v>
      </c>
      <c r="AF39" s="390">
        <f t="shared" si="22"/>
        <v>11552566</v>
      </c>
      <c r="AG39" s="389">
        <f t="shared" si="23"/>
        <v>0.7479</v>
      </c>
      <c r="AH39" s="387">
        <f t="shared" si="24"/>
        <v>14571602</v>
      </c>
      <c r="AI39" s="387">
        <f t="shared" si="25"/>
        <v>26998318</v>
      </c>
      <c r="AJ39" s="387">
        <f t="shared" si="26"/>
        <v>101832597</v>
      </c>
      <c r="AK39" s="387">
        <f t="shared" si="27"/>
        <v>4582.93</v>
      </c>
      <c r="AL39" s="390">
        <f>'[1]Table 4 Level 3'!Y39</f>
        <v>6034792</v>
      </c>
      <c r="AM39" s="387">
        <f t="shared" si="28"/>
        <v>271.59</v>
      </c>
      <c r="AN39" s="390">
        <f t="shared" si="29"/>
        <v>107867389</v>
      </c>
      <c r="AO39" s="390">
        <f t="shared" si="30"/>
        <v>4855</v>
      </c>
      <c r="AP39" s="384">
        <f t="shared" si="31"/>
        <v>27</v>
      </c>
      <c r="AQ39" s="392">
        <f>AN39-'[1]Table 2 Distribution &amp; Adjusts'!I36</f>
        <v>7960703</v>
      </c>
      <c r="AR39" s="389">
        <f t="shared" si="32"/>
        <v>0.7767</v>
      </c>
      <c r="AS39" s="384">
        <f t="shared" si="33"/>
        <v>10</v>
      </c>
      <c r="AT39" s="387">
        <f t="shared" si="34"/>
        <v>31007985</v>
      </c>
      <c r="AU39" s="387">
        <f t="shared" si="35"/>
        <v>1395.5</v>
      </c>
      <c r="AV39" s="384">
        <f t="shared" si="36"/>
        <v>61</v>
      </c>
      <c r="AW39" s="389">
        <f t="shared" si="37"/>
        <v>0.2233</v>
      </c>
      <c r="AX39" s="387">
        <f t="shared" si="38"/>
        <v>138875374</v>
      </c>
      <c r="AY39" s="387">
        <f t="shared" si="39"/>
        <v>6250.02</v>
      </c>
      <c r="AZ39" s="384">
        <f t="shared" si="40"/>
        <v>60</v>
      </c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spans="1:149" s="394" customFormat="1" ht="12.75">
      <c r="A40" s="382">
        <v>33</v>
      </c>
      <c r="B40" s="383" t="s">
        <v>316</v>
      </c>
      <c r="C40" s="384">
        <f>'[1]Table 8 Membership'!R40</f>
        <v>2164</v>
      </c>
      <c r="D40" s="384">
        <f>'[1]Table 8 Membership'!Y40</f>
        <v>2164</v>
      </c>
      <c r="E40" s="384">
        <f>'[1]4-MFP_&amp;_Other_Funded'!BK45+'[1]LEP'!F42</f>
        <v>1755</v>
      </c>
      <c r="F40" s="384">
        <f aca="true" t="shared" si="42" ref="F40:F71">ROUND($F$4*E40,0)</f>
        <v>333</v>
      </c>
      <c r="G40" s="384">
        <f>'[5]Sheet1'!C35</f>
        <v>399</v>
      </c>
      <c r="H40" s="384">
        <f aca="true" t="shared" si="43" ref="H40:H71">ROUND($H$4*G40,0)</f>
        <v>20</v>
      </c>
      <c r="I40" s="384">
        <f>'[4]mfpLeaSums'!G36</f>
        <v>245</v>
      </c>
      <c r="J40" s="384">
        <f aca="true" t="shared" si="44" ref="J40:J71">ROUND($J$4*I40,0)</f>
        <v>368</v>
      </c>
      <c r="K40" s="384">
        <f>'[4]mfpLeaSums'!C36</f>
        <v>11</v>
      </c>
      <c r="L40" s="384">
        <f aca="true" t="shared" si="45" ref="L40:L71">ROUND($L$4*K40,0)</f>
        <v>7</v>
      </c>
      <c r="M40" s="384">
        <f aca="true" t="shared" si="46" ref="M40:M75">IF(D40&lt;$M$4,$M$4-D40,0)</f>
        <v>5336</v>
      </c>
      <c r="N40" s="386">
        <f aca="true" t="shared" si="47" ref="N40:N71">ROUND(M40/$N$4,5)</f>
        <v>0.14229</v>
      </c>
      <c r="O40" s="384">
        <f aca="true" t="shared" si="48" ref="O40:O71">ROUND(D40*N40,0)</f>
        <v>308</v>
      </c>
      <c r="P40" s="384">
        <f aca="true" t="shared" si="49" ref="P40:P71">F40+H40+J40+L40+O40</f>
        <v>1036</v>
      </c>
      <c r="Q40" s="384">
        <f aca="true" t="shared" si="50" ref="Q40:Q71">P40+D40</f>
        <v>3200</v>
      </c>
      <c r="R40" s="387">
        <f aca="true" t="shared" si="51" ref="R40:R76">$R$4</f>
        <v>3652</v>
      </c>
      <c r="S40" s="387">
        <f aca="true" t="shared" si="52" ref="S40:S71">ROUND(Q40*R40,0)</f>
        <v>11686400</v>
      </c>
      <c r="T40" s="388">
        <f>'[1]Table 6 Local Wealth Factor'!L40</f>
        <v>0.50405527</v>
      </c>
      <c r="U40" s="388">
        <f aca="true" t="shared" si="53" ref="U40:U71">ROUND(Q40/Q$76,8)</f>
        <v>0.00357394</v>
      </c>
      <c r="V40" s="388">
        <f aca="true" t="shared" si="54" ref="V40:V71">ROUND(T40*U40,8)</f>
        <v>0.00180146</v>
      </c>
      <c r="W40" s="387">
        <f aca="true" t="shared" si="55" ref="W40:W71">IF(S$76*V40*W$4&lt;S40,ROUND(S$76*V40*W$4,0),S40)</f>
        <v>2061702</v>
      </c>
      <c r="X40" s="389">
        <f aca="true" t="shared" si="56" ref="X40:X71">ROUND(W40/S40,4)</f>
        <v>0.1764</v>
      </c>
      <c r="Y40" s="390">
        <f aca="true" t="shared" si="57" ref="Y40:Y75">IF(S40-W40&gt;0,S40-W40,0)</f>
        <v>9624698</v>
      </c>
      <c r="Z40" s="389">
        <f aca="true" t="shared" si="58" ref="Z40:Z71">ROUND(Y40/S40,4)</f>
        <v>0.8236</v>
      </c>
      <c r="AA40" s="391">
        <f>'[1]Table 7 Local Revenue'!AR39</f>
        <v>2202236</v>
      </c>
      <c r="AB40" s="387">
        <f t="shared" si="41"/>
        <v>140534</v>
      </c>
      <c r="AC40" s="392">
        <f aca="true" t="shared" si="59" ref="AC40:AC75">IF(AA40-W40&lt;0,AA40-W40,0)</f>
        <v>0</v>
      </c>
      <c r="AD40" s="387">
        <f aca="true" t="shared" si="60" ref="AD40:AD75">ROUND(S40*AD$4,0)</f>
        <v>3856512</v>
      </c>
      <c r="AE40" s="393">
        <f aca="true" t="shared" si="61" ref="AE40:AE71">IF(AB40&lt;AD40,AB40,AD40)</f>
        <v>140534</v>
      </c>
      <c r="AF40" s="390">
        <f aca="true" t="shared" si="62" ref="AF40:AF71">IF((1-((1-AF$4)*T40))*AE40&gt;0,ROUND((1-((1-AF$4)*T40))*AE40,0),0)</f>
        <v>98032</v>
      </c>
      <c r="AG40" s="389">
        <f aca="true" t="shared" si="63" ref="AG40:AG71">IF(AE40=0,0,ROUND(AF40/AE40,4))</f>
        <v>0.6976</v>
      </c>
      <c r="AH40" s="387">
        <f aca="true" t="shared" si="64" ref="AH40:AH75">IF(((1-((1-AH$4)*T40))*AD40)-AF40&gt;0,ROUND(((1-((1-AH$4)*T40))*AD40)-AF40,0),0)</f>
        <v>2592143</v>
      </c>
      <c r="AI40" s="387">
        <f aca="true" t="shared" si="65" ref="AI40:AI75">AE40+AF40</f>
        <v>238566</v>
      </c>
      <c r="AJ40" s="387">
        <f aca="true" t="shared" si="66" ref="AJ40:AJ75">+AF40+Y40</f>
        <v>9722730</v>
      </c>
      <c r="AK40" s="387">
        <f aca="true" t="shared" si="67" ref="AK40:AK71">ROUND(AJ40/D40,2)</f>
        <v>4492.94</v>
      </c>
      <c r="AL40" s="390">
        <f>'[1]Table 4 Level 3'!Y40</f>
        <v>994162</v>
      </c>
      <c r="AM40" s="387">
        <f aca="true" t="shared" si="68" ref="AM40:AM71">ROUND(AL40/D40,2)</f>
        <v>459.41</v>
      </c>
      <c r="AN40" s="390">
        <f aca="true" t="shared" si="69" ref="AN40:AN75">+AJ40+AL40</f>
        <v>10716892</v>
      </c>
      <c r="AO40" s="390">
        <f aca="true" t="shared" si="70" ref="AO40:AO71">ROUND(AN40/D40,0)</f>
        <v>4952</v>
      </c>
      <c r="AP40" s="384">
        <f aca="true" t="shared" si="71" ref="AP40:AP71">RANK(AO40,$AO$8:$AO$75)</f>
        <v>24</v>
      </c>
      <c r="AQ40" s="392">
        <f>AN40-'[1]Table 2 Distribution &amp; Adjusts'!I37</f>
        <v>659485</v>
      </c>
      <c r="AR40" s="389">
        <f aca="true" t="shared" si="72" ref="AR40:AR76">ROUND(AN40/AX40,4)</f>
        <v>0.8295</v>
      </c>
      <c r="AS40" s="384">
        <f aca="true" t="shared" si="73" ref="AS40:AS71">RANK(AR40,$AR$8:$AR$75)</f>
        <v>2</v>
      </c>
      <c r="AT40" s="387">
        <f aca="true" t="shared" si="74" ref="AT40:AT75">ROUND(W40+AE40,2)</f>
        <v>2202236</v>
      </c>
      <c r="AU40" s="387">
        <f aca="true" t="shared" si="75" ref="AU40:AU71">ROUND(AT40/D40,2)</f>
        <v>1017.67</v>
      </c>
      <c r="AV40" s="384">
        <f aca="true" t="shared" si="76" ref="AV40:AV71">RANK(AU40,$AU$8:$AU$75)</f>
        <v>67</v>
      </c>
      <c r="AW40" s="389">
        <f aca="true" t="shared" si="77" ref="AW40:AW71">ROUND(AT40/AX40,4)</f>
        <v>0.1705</v>
      </c>
      <c r="AX40" s="387">
        <f aca="true" t="shared" si="78" ref="AX40:AX75">ROUND(AN40+AT40,2)</f>
        <v>12919128</v>
      </c>
      <c r="AY40" s="387">
        <f aca="true" t="shared" si="79" ref="AY40:AY71">ROUND(AX40/D40,2)</f>
        <v>5970.02</v>
      </c>
      <c r="AZ40" s="384">
        <f aca="true" t="shared" si="80" ref="AZ40:AZ71">RANK(AY40,$AY$8:$AY$75)</f>
        <v>65</v>
      </c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s="394" customFormat="1" ht="12.75">
      <c r="A41" s="382">
        <v>34</v>
      </c>
      <c r="B41" s="383" t="s">
        <v>317</v>
      </c>
      <c r="C41" s="384">
        <f>'[1]Table 8 Membership'!R41</f>
        <v>4868</v>
      </c>
      <c r="D41" s="384">
        <f>'[1]Table 8 Membership'!Y41</f>
        <v>4868</v>
      </c>
      <c r="E41" s="384">
        <f>'[1]4-MFP_&amp;_Other_Funded'!BK46+'[1]LEP'!F43</f>
        <v>3639</v>
      </c>
      <c r="F41" s="384">
        <f t="shared" si="42"/>
        <v>691</v>
      </c>
      <c r="G41" s="384">
        <f>'[5]Sheet1'!C36</f>
        <v>1584.5</v>
      </c>
      <c r="H41" s="384">
        <f t="shared" si="43"/>
        <v>79</v>
      </c>
      <c r="I41" s="384">
        <f>'[4]mfpLeaSums'!G37</f>
        <v>729</v>
      </c>
      <c r="J41" s="384">
        <f t="shared" si="44"/>
        <v>1094</v>
      </c>
      <c r="K41" s="384">
        <f>'[4]mfpLeaSums'!C37</f>
        <v>45</v>
      </c>
      <c r="L41" s="384">
        <f t="shared" si="45"/>
        <v>27</v>
      </c>
      <c r="M41" s="384">
        <f t="shared" si="46"/>
        <v>2632</v>
      </c>
      <c r="N41" s="386">
        <f t="shared" si="47"/>
        <v>0.07019</v>
      </c>
      <c r="O41" s="384">
        <f t="shared" si="48"/>
        <v>342</v>
      </c>
      <c r="P41" s="384">
        <f t="shared" si="49"/>
        <v>2233</v>
      </c>
      <c r="Q41" s="384">
        <f t="shared" si="50"/>
        <v>7101</v>
      </c>
      <c r="R41" s="387">
        <f t="shared" si="51"/>
        <v>3652</v>
      </c>
      <c r="S41" s="387">
        <f t="shared" si="52"/>
        <v>25932852</v>
      </c>
      <c r="T41" s="388">
        <f>'[1]Table 6 Local Wealth Factor'!L41</f>
        <v>0.73172887</v>
      </c>
      <c r="U41" s="388">
        <f t="shared" si="53"/>
        <v>0.0079308</v>
      </c>
      <c r="V41" s="388">
        <f t="shared" si="54"/>
        <v>0.0058032</v>
      </c>
      <c r="W41" s="387">
        <f t="shared" si="55"/>
        <v>6641541</v>
      </c>
      <c r="X41" s="389">
        <f t="shared" si="56"/>
        <v>0.2561</v>
      </c>
      <c r="Y41" s="390">
        <f t="shared" si="57"/>
        <v>19291311</v>
      </c>
      <c r="Z41" s="389">
        <f t="shared" si="58"/>
        <v>0.7439</v>
      </c>
      <c r="AA41" s="391">
        <f>'[1]Table 7 Local Revenue'!AR40</f>
        <v>11169719</v>
      </c>
      <c r="AB41" s="387">
        <f t="shared" si="41"/>
        <v>4528178</v>
      </c>
      <c r="AC41" s="392">
        <f t="shared" si="59"/>
        <v>0</v>
      </c>
      <c r="AD41" s="387">
        <f t="shared" si="60"/>
        <v>8557841</v>
      </c>
      <c r="AE41" s="393">
        <f t="shared" si="61"/>
        <v>4528178</v>
      </c>
      <c r="AF41" s="390">
        <f t="shared" si="62"/>
        <v>2540139</v>
      </c>
      <c r="AG41" s="389">
        <f t="shared" si="63"/>
        <v>0.561</v>
      </c>
      <c r="AH41" s="387">
        <f t="shared" si="64"/>
        <v>2260490</v>
      </c>
      <c r="AI41" s="387">
        <f t="shared" si="65"/>
        <v>7068317</v>
      </c>
      <c r="AJ41" s="387">
        <f t="shared" si="66"/>
        <v>21831450</v>
      </c>
      <c r="AK41" s="387">
        <f t="shared" si="67"/>
        <v>4484.69</v>
      </c>
      <c r="AL41" s="390">
        <f>'[1]Table 4 Level 3'!Y41</f>
        <v>1900705</v>
      </c>
      <c r="AM41" s="387">
        <f t="shared" si="68"/>
        <v>390.45</v>
      </c>
      <c r="AN41" s="390">
        <f t="shared" si="69"/>
        <v>23732155</v>
      </c>
      <c r="AO41" s="390">
        <f t="shared" si="70"/>
        <v>4875</v>
      </c>
      <c r="AP41" s="384">
        <f t="shared" si="71"/>
        <v>26</v>
      </c>
      <c r="AQ41" s="392">
        <f>AN41-'[1]Table 2 Distribution &amp; Adjusts'!I38</f>
        <v>767888</v>
      </c>
      <c r="AR41" s="389">
        <f t="shared" si="72"/>
        <v>0.68</v>
      </c>
      <c r="AS41" s="384">
        <f t="shared" si="73"/>
        <v>33</v>
      </c>
      <c r="AT41" s="387">
        <f t="shared" si="74"/>
        <v>11169719</v>
      </c>
      <c r="AU41" s="387">
        <f t="shared" si="75"/>
        <v>2294.52</v>
      </c>
      <c r="AV41" s="384">
        <f t="shared" si="76"/>
        <v>38</v>
      </c>
      <c r="AW41" s="389">
        <f t="shared" si="77"/>
        <v>0.32</v>
      </c>
      <c r="AX41" s="387">
        <f t="shared" si="78"/>
        <v>34901874</v>
      </c>
      <c r="AY41" s="387">
        <f t="shared" si="79"/>
        <v>7169.65</v>
      </c>
      <c r="AZ41" s="384">
        <f t="shared" si="80"/>
        <v>34</v>
      </c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s="405" customFormat="1" ht="12.75">
      <c r="A42" s="395">
        <v>35</v>
      </c>
      <c r="B42" s="396" t="s">
        <v>318</v>
      </c>
      <c r="C42" s="397">
        <f>'[1]Table 8 Membership'!R42</f>
        <v>6544</v>
      </c>
      <c r="D42" s="397">
        <f>'[1]Table 8 Membership'!Y42</f>
        <v>6544</v>
      </c>
      <c r="E42" s="397">
        <f>'[1]4-MFP_&amp;_Other_Funded'!BK47+'[1]LEP'!F44</f>
        <v>4565</v>
      </c>
      <c r="F42" s="397">
        <f t="shared" si="42"/>
        <v>867</v>
      </c>
      <c r="G42" s="397">
        <f>'[5]Sheet1'!C37</f>
        <v>1562</v>
      </c>
      <c r="H42" s="397">
        <f t="shared" si="43"/>
        <v>78</v>
      </c>
      <c r="I42" s="397">
        <f>'[4]mfpLeaSums'!G38</f>
        <v>763</v>
      </c>
      <c r="J42" s="397">
        <f t="shared" si="44"/>
        <v>1145</v>
      </c>
      <c r="K42" s="397">
        <f>'[4]mfpLeaSums'!C38</f>
        <v>225</v>
      </c>
      <c r="L42" s="397">
        <f t="shared" si="45"/>
        <v>135</v>
      </c>
      <c r="M42" s="397">
        <f t="shared" si="46"/>
        <v>956</v>
      </c>
      <c r="N42" s="398">
        <f t="shared" si="47"/>
        <v>0.02549</v>
      </c>
      <c r="O42" s="397">
        <f t="shared" si="48"/>
        <v>167</v>
      </c>
      <c r="P42" s="397">
        <f t="shared" si="49"/>
        <v>2392</v>
      </c>
      <c r="Q42" s="384">
        <f t="shared" si="50"/>
        <v>8936</v>
      </c>
      <c r="R42" s="399">
        <f t="shared" si="51"/>
        <v>3652</v>
      </c>
      <c r="S42" s="399">
        <f t="shared" si="52"/>
        <v>32634272</v>
      </c>
      <c r="T42" s="400">
        <f>'[1]Table 6 Local Wealth Factor'!L42</f>
        <v>0.7716894</v>
      </c>
      <c r="U42" s="400">
        <f t="shared" si="53"/>
        <v>0.00998023</v>
      </c>
      <c r="V42" s="400">
        <f t="shared" si="54"/>
        <v>0.00770164</v>
      </c>
      <c r="W42" s="399">
        <f t="shared" si="55"/>
        <v>8814234</v>
      </c>
      <c r="X42" s="401">
        <f t="shared" si="56"/>
        <v>0.2701</v>
      </c>
      <c r="Y42" s="402">
        <f t="shared" si="57"/>
        <v>23820038</v>
      </c>
      <c r="Z42" s="401">
        <f t="shared" si="58"/>
        <v>0.7299</v>
      </c>
      <c r="AA42" s="399">
        <f>'[1]Table 7 Local Revenue'!AR41</f>
        <v>16288687</v>
      </c>
      <c r="AB42" s="399">
        <f t="shared" si="41"/>
        <v>7474453</v>
      </c>
      <c r="AC42" s="403">
        <f t="shared" si="59"/>
        <v>0</v>
      </c>
      <c r="AD42" s="399">
        <f t="shared" si="60"/>
        <v>10769310</v>
      </c>
      <c r="AE42" s="404">
        <f t="shared" si="61"/>
        <v>7474453</v>
      </c>
      <c r="AF42" s="402">
        <f t="shared" si="62"/>
        <v>4013679</v>
      </c>
      <c r="AG42" s="401">
        <f t="shared" si="63"/>
        <v>0.537</v>
      </c>
      <c r="AH42" s="399">
        <f t="shared" si="64"/>
        <v>1769294</v>
      </c>
      <c r="AI42" s="399">
        <f t="shared" si="65"/>
        <v>11488132</v>
      </c>
      <c r="AJ42" s="399">
        <f t="shared" si="66"/>
        <v>27833717</v>
      </c>
      <c r="AK42" s="399">
        <f t="shared" si="67"/>
        <v>4253.32</v>
      </c>
      <c r="AL42" s="402">
        <f>'[1]Table 4 Level 3'!Y42</f>
        <v>2181790</v>
      </c>
      <c r="AM42" s="399">
        <f t="shared" si="68"/>
        <v>333.4</v>
      </c>
      <c r="AN42" s="402">
        <f t="shared" si="69"/>
        <v>30015507</v>
      </c>
      <c r="AO42" s="402">
        <f t="shared" si="70"/>
        <v>4587</v>
      </c>
      <c r="AP42" s="397">
        <f t="shared" si="71"/>
        <v>38</v>
      </c>
      <c r="AQ42" s="403">
        <f>AN42-'[1]Table 2 Distribution &amp; Adjusts'!I39</f>
        <v>2391616</v>
      </c>
      <c r="AR42" s="401">
        <f t="shared" si="72"/>
        <v>0.6482</v>
      </c>
      <c r="AS42" s="397">
        <f t="shared" si="73"/>
        <v>39</v>
      </c>
      <c r="AT42" s="399">
        <f t="shared" si="74"/>
        <v>16288687</v>
      </c>
      <c r="AU42" s="399">
        <f t="shared" si="75"/>
        <v>2489.1</v>
      </c>
      <c r="AV42" s="397">
        <f t="shared" si="76"/>
        <v>30</v>
      </c>
      <c r="AW42" s="401">
        <f t="shared" si="77"/>
        <v>0.3518</v>
      </c>
      <c r="AX42" s="399">
        <f t="shared" si="78"/>
        <v>46304194</v>
      </c>
      <c r="AY42" s="399">
        <f t="shared" si="79"/>
        <v>7075.82</v>
      </c>
      <c r="AZ42" s="397">
        <f t="shared" si="80"/>
        <v>37</v>
      </c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s="394" customFormat="1" ht="12.75">
      <c r="A43" s="382">
        <v>36</v>
      </c>
      <c r="B43" s="383" t="s">
        <v>319</v>
      </c>
      <c r="C43" s="408">
        <f>'[1]Table 8 Membership'!R43+'[1]4-MFP_&amp;_Other_Funded'!E107</f>
        <v>11249</v>
      </c>
      <c r="D43" s="408">
        <f>'[1]Table 8 Membership'!Y43</f>
        <v>21885</v>
      </c>
      <c r="E43" s="408">
        <f>D43*'[1]2004-05 Weighted'!D86</f>
        <v>16777.135009355658</v>
      </c>
      <c r="F43" s="384">
        <f t="shared" si="42"/>
        <v>3188</v>
      </c>
      <c r="G43" s="408">
        <f>D43*'[1]2004-05 Weighted'!F86</f>
        <v>3494.726047114139</v>
      </c>
      <c r="H43" s="384">
        <f t="shared" si="43"/>
        <v>175</v>
      </c>
      <c r="I43" s="408">
        <f>D43*'[1]2004-05 Weighted'!H86</f>
        <v>2383.833661181212</v>
      </c>
      <c r="J43" s="384">
        <f t="shared" si="44"/>
        <v>3576</v>
      </c>
      <c r="K43" s="408">
        <f>D43*'[1]2004-05 Weighted'!J86</f>
        <v>1536.1394712853235</v>
      </c>
      <c r="L43" s="408">
        <f t="shared" si="45"/>
        <v>922</v>
      </c>
      <c r="M43" s="384">
        <f t="shared" si="46"/>
        <v>0</v>
      </c>
      <c r="N43" s="386">
        <f t="shared" si="47"/>
        <v>0</v>
      </c>
      <c r="O43" s="384">
        <f t="shared" si="48"/>
        <v>0</v>
      </c>
      <c r="P43" s="384">
        <f t="shared" si="49"/>
        <v>7861</v>
      </c>
      <c r="Q43" s="406">
        <f t="shared" si="50"/>
        <v>29746</v>
      </c>
      <c r="R43" s="387">
        <f t="shared" si="51"/>
        <v>3652</v>
      </c>
      <c r="S43" s="387">
        <f t="shared" si="52"/>
        <v>108632392</v>
      </c>
      <c r="T43" s="388">
        <f>'[1]Table 6 Local Wealth Factor'!L43</f>
        <v>1.13629105</v>
      </c>
      <c r="U43" s="388">
        <f t="shared" si="53"/>
        <v>0.03322202</v>
      </c>
      <c r="V43" s="388">
        <f t="shared" si="54"/>
        <v>0.03774988</v>
      </c>
      <c r="W43" s="387">
        <f t="shared" si="55"/>
        <v>43203301</v>
      </c>
      <c r="X43" s="389">
        <f t="shared" si="56"/>
        <v>0.3977</v>
      </c>
      <c r="Y43" s="390">
        <f t="shared" si="57"/>
        <v>65429091</v>
      </c>
      <c r="Z43" s="389">
        <f t="shared" si="58"/>
        <v>0.6023</v>
      </c>
      <c r="AA43" s="391">
        <f>'[1]Table 7 Local Revenue'!AR42</f>
        <v>72241096</v>
      </c>
      <c r="AB43" s="387">
        <f t="shared" si="41"/>
        <v>29037795</v>
      </c>
      <c r="AC43" s="392">
        <f t="shared" si="59"/>
        <v>0</v>
      </c>
      <c r="AD43" s="387">
        <f t="shared" si="60"/>
        <v>35848689</v>
      </c>
      <c r="AE43" s="393">
        <f t="shared" si="61"/>
        <v>29037795</v>
      </c>
      <c r="AF43" s="390">
        <f t="shared" si="62"/>
        <v>9240563</v>
      </c>
      <c r="AG43" s="389">
        <f t="shared" si="63"/>
        <v>0.3182</v>
      </c>
      <c r="AH43" s="387">
        <f t="shared" si="64"/>
        <v>2167399</v>
      </c>
      <c r="AI43" s="387">
        <f t="shared" si="65"/>
        <v>38278358</v>
      </c>
      <c r="AJ43" s="387">
        <f t="shared" si="66"/>
        <v>74669654</v>
      </c>
      <c r="AK43" s="387">
        <f t="shared" si="67"/>
        <v>3411.91</v>
      </c>
      <c r="AL43" s="390">
        <f>'[1]Table 4 Level 3'!Y43</f>
        <v>6001741</v>
      </c>
      <c r="AM43" s="387">
        <f t="shared" si="68"/>
        <v>274.24</v>
      </c>
      <c r="AN43" s="390">
        <f t="shared" si="69"/>
        <v>80671395</v>
      </c>
      <c r="AO43" s="390">
        <f t="shared" si="70"/>
        <v>3686</v>
      </c>
      <c r="AP43" s="384">
        <f t="shared" si="71"/>
        <v>59</v>
      </c>
      <c r="AQ43" s="392">
        <f>AN43-'[1]Table 2 Distribution &amp; Adjusts'!I40</f>
        <v>-20580733.66666667</v>
      </c>
      <c r="AR43" s="389">
        <f t="shared" si="72"/>
        <v>0.5276</v>
      </c>
      <c r="AS43" s="384">
        <f t="shared" si="73"/>
        <v>53</v>
      </c>
      <c r="AT43" s="387">
        <f t="shared" si="74"/>
        <v>72241096</v>
      </c>
      <c r="AU43" s="387">
        <f t="shared" si="75"/>
        <v>3300.94</v>
      </c>
      <c r="AV43" s="384">
        <f t="shared" si="76"/>
        <v>21</v>
      </c>
      <c r="AW43" s="389">
        <f t="shared" si="77"/>
        <v>0.4724</v>
      </c>
      <c r="AX43" s="387">
        <f t="shared" si="78"/>
        <v>152912491</v>
      </c>
      <c r="AY43" s="387">
        <f t="shared" si="79"/>
        <v>6987.09</v>
      </c>
      <c r="AZ43" s="384">
        <f t="shared" si="80"/>
        <v>40</v>
      </c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s="394" customFormat="1" ht="12.75">
      <c r="A44" s="382">
        <v>37</v>
      </c>
      <c r="B44" s="383" t="s">
        <v>320</v>
      </c>
      <c r="C44" s="384">
        <f>'[1]Table 8 Membership'!R44</f>
        <v>18013</v>
      </c>
      <c r="D44" s="384">
        <f>'[1]Table 8 Membership'!Y44</f>
        <v>18013</v>
      </c>
      <c r="E44" s="384">
        <f>'[1]4-MFP_&amp;_Other_Funded'!BK49+'[1]LEP'!F46</f>
        <v>8440</v>
      </c>
      <c r="F44" s="384">
        <f t="shared" si="42"/>
        <v>1604</v>
      </c>
      <c r="G44" s="384">
        <f>'[5]Sheet1'!C39</f>
        <v>4483.5</v>
      </c>
      <c r="H44" s="384">
        <f t="shared" si="43"/>
        <v>224</v>
      </c>
      <c r="I44" s="384">
        <f>'[4]mfpLeaSums'!G40</f>
        <v>2429</v>
      </c>
      <c r="J44" s="384">
        <f t="shared" si="44"/>
        <v>3644</v>
      </c>
      <c r="K44" s="384">
        <f>'[4]mfpLeaSums'!C40</f>
        <v>1072</v>
      </c>
      <c r="L44" s="384">
        <f t="shared" si="45"/>
        <v>643</v>
      </c>
      <c r="M44" s="384">
        <f t="shared" si="46"/>
        <v>0</v>
      </c>
      <c r="N44" s="386">
        <f t="shared" si="47"/>
        <v>0</v>
      </c>
      <c r="O44" s="384">
        <f t="shared" si="48"/>
        <v>0</v>
      </c>
      <c r="P44" s="384">
        <f t="shared" si="49"/>
        <v>6115</v>
      </c>
      <c r="Q44" s="384">
        <f t="shared" si="50"/>
        <v>24128</v>
      </c>
      <c r="R44" s="387">
        <f t="shared" si="51"/>
        <v>3652</v>
      </c>
      <c r="S44" s="387">
        <f t="shared" si="52"/>
        <v>88115456</v>
      </c>
      <c r="T44" s="388">
        <f>'[1]Table 6 Local Wealth Factor'!L44</f>
        <v>0.64758209</v>
      </c>
      <c r="U44" s="388">
        <f t="shared" si="53"/>
        <v>0.02694752</v>
      </c>
      <c r="V44" s="388">
        <f t="shared" si="54"/>
        <v>0.01745073</v>
      </c>
      <c r="W44" s="387">
        <f t="shared" si="55"/>
        <v>19971696</v>
      </c>
      <c r="X44" s="389">
        <f t="shared" si="56"/>
        <v>0.2267</v>
      </c>
      <c r="Y44" s="390">
        <f t="shared" si="57"/>
        <v>68143760</v>
      </c>
      <c r="Z44" s="389">
        <f t="shared" si="58"/>
        <v>0.7733</v>
      </c>
      <c r="AA44" s="391">
        <f>'[1]Table 7 Local Revenue'!AR43</f>
        <v>45473183</v>
      </c>
      <c r="AB44" s="387">
        <f t="shared" si="41"/>
        <v>25501487</v>
      </c>
      <c r="AC44" s="392">
        <f t="shared" si="59"/>
        <v>0</v>
      </c>
      <c r="AD44" s="387">
        <f t="shared" si="60"/>
        <v>29078100</v>
      </c>
      <c r="AE44" s="393">
        <f t="shared" si="61"/>
        <v>25501487</v>
      </c>
      <c r="AF44" s="390">
        <f t="shared" si="62"/>
        <v>15592903</v>
      </c>
      <c r="AG44" s="389">
        <f t="shared" si="63"/>
        <v>0.6115</v>
      </c>
      <c r="AH44" s="387">
        <f t="shared" si="64"/>
        <v>2186923</v>
      </c>
      <c r="AI44" s="387">
        <f t="shared" si="65"/>
        <v>41094390</v>
      </c>
      <c r="AJ44" s="387">
        <f t="shared" si="66"/>
        <v>83736663</v>
      </c>
      <c r="AK44" s="387">
        <f t="shared" si="67"/>
        <v>4648.68</v>
      </c>
      <c r="AL44" s="390">
        <f>'[1]Table 4 Level 3'!Y44</f>
        <v>5386134</v>
      </c>
      <c r="AM44" s="387">
        <f t="shared" si="68"/>
        <v>299.01</v>
      </c>
      <c r="AN44" s="390">
        <f t="shared" si="69"/>
        <v>89122797</v>
      </c>
      <c r="AO44" s="390">
        <f t="shared" si="70"/>
        <v>4948</v>
      </c>
      <c r="AP44" s="384">
        <f t="shared" si="71"/>
        <v>25</v>
      </c>
      <c r="AQ44" s="392">
        <f>AN44-'[1]Table 2 Distribution &amp; Adjusts'!I41</f>
        <v>5722485</v>
      </c>
      <c r="AR44" s="389">
        <f t="shared" si="72"/>
        <v>0.6622</v>
      </c>
      <c r="AS44" s="384">
        <f t="shared" si="73"/>
        <v>36</v>
      </c>
      <c r="AT44" s="387">
        <f t="shared" si="74"/>
        <v>45473183</v>
      </c>
      <c r="AU44" s="387">
        <f t="shared" si="75"/>
        <v>2524.46</v>
      </c>
      <c r="AV44" s="384">
        <f t="shared" si="76"/>
        <v>29</v>
      </c>
      <c r="AW44" s="389">
        <f t="shared" si="77"/>
        <v>0.3378</v>
      </c>
      <c r="AX44" s="387">
        <f t="shared" si="78"/>
        <v>134595980</v>
      </c>
      <c r="AY44" s="387">
        <f t="shared" si="79"/>
        <v>7472.16</v>
      </c>
      <c r="AZ44" s="384">
        <f t="shared" si="80"/>
        <v>25</v>
      </c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s="394" customFormat="1" ht="12.75">
      <c r="A45" s="382">
        <v>38</v>
      </c>
      <c r="B45" s="383" t="s">
        <v>321</v>
      </c>
      <c r="C45" s="408">
        <f>'[1]Table 8 Membership'!R45</f>
        <v>2995</v>
      </c>
      <c r="D45" s="408">
        <f>'[1]Table 8 Membership'!Y45</f>
        <v>3599</v>
      </c>
      <c r="E45" s="408">
        <f>D45*'[1]2004-05 Weighted'!D87</f>
        <v>2354.5771154647773</v>
      </c>
      <c r="F45" s="384">
        <f t="shared" si="42"/>
        <v>447</v>
      </c>
      <c r="G45" s="408">
        <f>D45*'[1]2004-05 Weighted'!F87</f>
        <v>743.3532721967487</v>
      </c>
      <c r="H45" s="384">
        <f t="shared" si="43"/>
        <v>37</v>
      </c>
      <c r="I45" s="408">
        <f>D45*'[1]2004-05 Weighted'!H87</f>
        <v>480.06669445602336</v>
      </c>
      <c r="J45" s="384">
        <f t="shared" si="44"/>
        <v>720</v>
      </c>
      <c r="K45" s="408">
        <f>D45*'[1]2004-05 Weighted'!J87</f>
        <v>99.76385994164235</v>
      </c>
      <c r="L45" s="384">
        <f t="shared" si="45"/>
        <v>60</v>
      </c>
      <c r="M45" s="384">
        <f t="shared" si="46"/>
        <v>3901</v>
      </c>
      <c r="N45" s="386">
        <f t="shared" si="47"/>
        <v>0.10403</v>
      </c>
      <c r="O45" s="384">
        <f t="shared" si="48"/>
        <v>374</v>
      </c>
      <c r="P45" s="384">
        <f t="shared" si="49"/>
        <v>1638</v>
      </c>
      <c r="Q45" s="384">
        <f t="shared" si="50"/>
        <v>5237</v>
      </c>
      <c r="R45" s="387">
        <f t="shared" si="51"/>
        <v>3652</v>
      </c>
      <c r="S45" s="387">
        <f t="shared" si="52"/>
        <v>19125524</v>
      </c>
      <c r="T45" s="388">
        <f>'[1]Table 6 Local Wealth Factor'!L45</f>
        <v>2.47834201</v>
      </c>
      <c r="U45" s="388">
        <f t="shared" si="53"/>
        <v>0.00584898</v>
      </c>
      <c r="V45" s="388">
        <f t="shared" si="54"/>
        <v>0.01449577</v>
      </c>
      <c r="W45" s="387">
        <f t="shared" si="55"/>
        <v>16589857</v>
      </c>
      <c r="X45" s="389">
        <f t="shared" si="56"/>
        <v>0.8674</v>
      </c>
      <c r="Y45" s="390">
        <f t="shared" si="57"/>
        <v>2535667</v>
      </c>
      <c r="Z45" s="389">
        <f t="shared" si="58"/>
        <v>0.1326</v>
      </c>
      <c r="AA45" s="391">
        <f>'[1]Table 7 Local Revenue'!AR44</f>
        <v>20826956</v>
      </c>
      <c r="AB45" s="387">
        <f t="shared" si="41"/>
        <v>4237099</v>
      </c>
      <c r="AC45" s="392">
        <f t="shared" si="59"/>
        <v>0</v>
      </c>
      <c r="AD45" s="387">
        <f t="shared" si="60"/>
        <v>6311423</v>
      </c>
      <c r="AE45" s="393">
        <f t="shared" si="61"/>
        <v>4237099</v>
      </c>
      <c r="AF45" s="390">
        <f t="shared" si="62"/>
        <v>0</v>
      </c>
      <c r="AG45" s="389">
        <f t="shared" si="63"/>
        <v>0</v>
      </c>
      <c r="AH45" s="387">
        <f t="shared" si="64"/>
        <v>0</v>
      </c>
      <c r="AI45" s="387">
        <f t="shared" si="65"/>
        <v>4237099</v>
      </c>
      <c r="AJ45" s="387">
        <f t="shared" si="66"/>
        <v>2535667</v>
      </c>
      <c r="AK45" s="387">
        <f t="shared" si="67"/>
        <v>704.55</v>
      </c>
      <c r="AL45" s="390">
        <f>'[1]Table 4 Level 3'!Y45</f>
        <v>6681082</v>
      </c>
      <c r="AM45" s="387">
        <f t="shared" si="68"/>
        <v>1856.37</v>
      </c>
      <c r="AN45" s="390">
        <f t="shared" si="69"/>
        <v>9216749</v>
      </c>
      <c r="AO45" s="390">
        <f t="shared" si="70"/>
        <v>2561</v>
      </c>
      <c r="AP45" s="384">
        <f t="shared" si="71"/>
        <v>68</v>
      </c>
      <c r="AQ45" s="392">
        <f>AN45-'[1]Table 2 Distribution &amp; Adjusts'!I42</f>
        <v>-3438892.666666666</v>
      </c>
      <c r="AR45" s="389">
        <f t="shared" si="72"/>
        <v>0.3068</v>
      </c>
      <c r="AS45" s="384">
        <f t="shared" si="73"/>
        <v>68</v>
      </c>
      <c r="AT45" s="387">
        <f t="shared" si="74"/>
        <v>20826956</v>
      </c>
      <c r="AU45" s="387">
        <f t="shared" si="75"/>
        <v>5786.87</v>
      </c>
      <c r="AV45" s="384">
        <f t="shared" si="76"/>
        <v>1</v>
      </c>
      <c r="AW45" s="389">
        <f t="shared" si="77"/>
        <v>0.6932</v>
      </c>
      <c r="AX45" s="387">
        <f t="shared" si="78"/>
        <v>30043705</v>
      </c>
      <c r="AY45" s="387">
        <f t="shared" si="79"/>
        <v>8347.79</v>
      </c>
      <c r="AZ45" s="384">
        <f t="shared" si="80"/>
        <v>6</v>
      </c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s="394" customFormat="1" ht="12.75">
      <c r="A46" s="382">
        <v>39</v>
      </c>
      <c r="B46" s="383" t="s">
        <v>322</v>
      </c>
      <c r="C46" s="384">
        <f>'[1]Table 8 Membership'!R46</f>
        <v>2899</v>
      </c>
      <c r="D46" s="384">
        <f>'[1]Table 8 Membership'!Y46</f>
        <v>2899</v>
      </c>
      <c r="E46" s="384">
        <f>'[1]4-MFP_&amp;_Other_Funded'!BK51+'[1]LEP'!F48</f>
        <v>2219</v>
      </c>
      <c r="F46" s="384">
        <f t="shared" si="42"/>
        <v>422</v>
      </c>
      <c r="G46" s="384">
        <f>'[5]Sheet1'!C41</f>
        <v>958.5</v>
      </c>
      <c r="H46" s="384">
        <f t="shared" si="43"/>
        <v>48</v>
      </c>
      <c r="I46" s="384">
        <f>'[4]mfpLeaSums'!G42</f>
        <v>575</v>
      </c>
      <c r="J46" s="384">
        <f t="shared" si="44"/>
        <v>863</v>
      </c>
      <c r="K46" s="384">
        <f>'[4]mfpLeaSums'!C42</f>
        <v>11</v>
      </c>
      <c r="L46" s="384">
        <f t="shared" si="45"/>
        <v>7</v>
      </c>
      <c r="M46" s="384">
        <f t="shared" si="46"/>
        <v>4601</v>
      </c>
      <c r="N46" s="386">
        <f t="shared" si="47"/>
        <v>0.12269</v>
      </c>
      <c r="O46" s="384">
        <f t="shared" si="48"/>
        <v>356</v>
      </c>
      <c r="P46" s="384">
        <f t="shared" si="49"/>
        <v>1696</v>
      </c>
      <c r="Q46" s="384">
        <f t="shared" si="50"/>
        <v>4595</v>
      </c>
      <c r="R46" s="387">
        <f t="shared" si="51"/>
        <v>3652</v>
      </c>
      <c r="S46" s="387">
        <f t="shared" si="52"/>
        <v>16780940</v>
      </c>
      <c r="T46" s="388">
        <f>'[1]Table 6 Local Wealth Factor'!L46</f>
        <v>1.52499551</v>
      </c>
      <c r="U46" s="388">
        <f t="shared" si="53"/>
        <v>0.00513196</v>
      </c>
      <c r="V46" s="388">
        <f t="shared" si="54"/>
        <v>0.00782622</v>
      </c>
      <c r="W46" s="387">
        <f t="shared" si="55"/>
        <v>8956811</v>
      </c>
      <c r="X46" s="389">
        <f t="shared" si="56"/>
        <v>0.5337</v>
      </c>
      <c r="Y46" s="390">
        <f t="shared" si="57"/>
        <v>7824129</v>
      </c>
      <c r="Z46" s="389">
        <f t="shared" si="58"/>
        <v>0.4663</v>
      </c>
      <c r="AA46" s="391">
        <f>'[1]Table 7 Local Revenue'!AR45</f>
        <v>10299272</v>
      </c>
      <c r="AB46" s="387">
        <f t="shared" si="41"/>
        <v>1342461</v>
      </c>
      <c r="AC46" s="392">
        <f t="shared" si="59"/>
        <v>0</v>
      </c>
      <c r="AD46" s="387">
        <f t="shared" si="60"/>
        <v>5537710</v>
      </c>
      <c r="AE46" s="393">
        <f t="shared" si="61"/>
        <v>1342461</v>
      </c>
      <c r="AF46" s="390">
        <f t="shared" si="62"/>
        <v>114113</v>
      </c>
      <c r="AG46" s="389">
        <f t="shared" si="63"/>
        <v>0.085</v>
      </c>
      <c r="AH46" s="387">
        <f t="shared" si="64"/>
        <v>356607</v>
      </c>
      <c r="AI46" s="387">
        <f t="shared" si="65"/>
        <v>1456574</v>
      </c>
      <c r="AJ46" s="387">
        <f t="shared" si="66"/>
        <v>7938242</v>
      </c>
      <c r="AK46" s="387">
        <f t="shared" si="67"/>
        <v>2738.27</v>
      </c>
      <c r="AL46" s="390">
        <f>'[1]Table 4 Level 3'!Y46</f>
        <v>1610825</v>
      </c>
      <c r="AM46" s="387">
        <f t="shared" si="68"/>
        <v>555.65</v>
      </c>
      <c r="AN46" s="390">
        <f t="shared" si="69"/>
        <v>9549067</v>
      </c>
      <c r="AO46" s="390">
        <f t="shared" si="70"/>
        <v>3294</v>
      </c>
      <c r="AP46" s="384">
        <f t="shared" si="71"/>
        <v>63</v>
      </c>
      <c r="AQ46" s="392">
        <f>AN46-'[1]Table 2 Distribution &amp; Adjusts'!I43</f>
        <v>-487887</v>
      </c>
      <c r="AR46" s="389">
        <f t="shared" si="72"/>
        <v>0.4811</v>
      </c>
      <c r="AS46" s="384">
        <f t="shared" si="73"/>
        <v>59</v>
      </c>
      <c r="AT46" s="387">
        <f t="shared" si="74"/>
        <v>10299272</v>
      </c>
      <c r="AU46" s="387">
        <f t="shared" si="75"/>
        <v>3552.7</v>
      </c>
      <c r="AV46" s="384">
        <f t="shared" si="76"/>
        <v>16</v>
      </c>
      <c r="AW46" s="389">
        <f t="shared" si="77"/>
        <v>0.5189</v>
      </c>
      <c r="AX46" s="387">
        <f t="shared" si="78"/>
        <v>19848339</v>
      </c>
      <c r="AY46" s="387">
        <f t="shared" si="79"/>
        <v>6846.62</v>
      </c>
      <c r="AZ46" s="384">
        <f t="shared" si="80"/>
        <v>46</v>
      </c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s="405" customFormat="1" ht="12.75">
      <c r="A47" s="395">
        <v>40</v>
      </c>
      <c r="B47" s="396" t="s">
        <v>323</v>
      </c>
      <c r="C47" s="397">
        <f>'[1]Table 8 Membership'!R47</f>
        <v>22627</v>
      </c>
      <c r="D47" s="397">
        <f>'[1]Table 8 Membership'!Y47</f>
        <v>22627</v>
      </c>
      <c r="E47" s="397">
        <f>'[1]4-MFP_&amp;_Other_Funded'!BK52+'[1]LEP'!F49</f>
        <v>14770</v>
      </c>
      <c r="F47" s="397">
        <f t="shared" si="42"/>
        <v>2806</v>
      </c>
      <c r="G47" s="397">
        <f>'[5]Sheet1'!C42</f>
        <v>6163.5</v>
      </c>
      <c r="H47" s="397">
        <f t="shared" si="43"/>
        <v>308</v>
      </c>
      <c r="I47" s="397">
        <f>'[4]mfpLeaSums'!G43</f>
        <v>3440</v>
      </c>
      <c r="J47" s="397">
        <f t="shared" si="44"/>
        <v>5160</v>
      </c>
      <c r="K47" s="397">
        <f>'[4]mfpLeaSums'!C43</f>
        <v>411</v>
      </c>
      <c r="L47" s="397">
        <f t="shared" si="45"/>
        <v>247</v>
      </c>
      <c r="M47" s="397">
        <f t="shared" si="46"/>
        <v>0</v>
      </c>
      <c r="N47" s="398">
        <f t="shared" si="47"/>
        <v>0</v>
      </c>
      <c r="O47" s="397">
        <f t="shared" si="48"/>
        <v>0</v>
      </c>
      <c r="P47" s="397">
        <f t="shared" si="49"/>
        <v>8521</v>
      </c>
      <c r="Q47" s="384">
        <f t="shared" si="50"/>
        <v>31148</v>
      </c>
      <c r="R47" s="399">
        <f t="shared" si="51"/>
        <v>3652</v>
      </c>
      <c r="S47" s="399">
        <f t="shared" si="52"/>
        <v>113752496</v>
      </c>
      <c r="T47" s="400">
        <f>'[1]Table 6 Local Wealth Factor'!L47</f>
        <v>0.85915575</v>
      </c>
      <c r="U47" s="400">
        <f t="shared" si="53"/>
        <v>0.03478785</v>
      </c>
      <c r="V47" s="400">
        <f t="shared" si="54"/>
        <v>0.02988818</v>
      </c>
      <c r="W47" s="399">
        <f t="shared" si="55"/>
        <v>34205884</v>
      </c>
      <c r="X47" s="401">
        <f t="shared" si="56"/>
        <v>0.3007</v>
      </c>
      <c r="Y47" s="402">
        <f t="shared" si="57"/>
        <v>79546612</v>
      </c>
      <c r="Z47" s="401">
        <f t="shared" si="58"/>
        <v>0.6993</v>
      </c>
      <c r="AA47" s="399">
        <f>'[1]Table 7 Local Revenue'!AR46</f>
        <v>55326392</v>
      </c>
      <c r="AB47" s="399">
        <f t="shared" si="41"/>
        <v>21120508</v>
      </c>
      <c r="AC47" s="403">
        <f t="shared" si="59"/>
        <v>0</v>
      </c>
      <c r="AD47" s="399">
        <f t="shared" si="60"/>
        <v>37538324</v>
      </c>
      <c r="AE47" s="404">
        <f t="shared" si="61"/>
        <v>21120508</v>
      </c>
      <c r="AF47" s="402">
        <f t="shared" si="62"/>
        <v>10233024</v>
      </c>
      <c r="AG47" s="401">
        <f t="shared" si="63"/>
        <v>0.4845</v>
      </c>
      <c r="AH47" s="399">
        <f t="shared" si="64"/>
        <v>7954540</v>
      </c>
      <c r="AI47" s="399">
        <f t="shared" si="65"/>
        <v>31353532</v>
      </c>
      <c r="AJ47" s="399">
        <f t="shared" si="66"/>
        <v>89779636</v>
      </c>
      <c r="AK47" s="399">
        <f t="shared" si="67"/>
        <v>3967.81</v>
      </c>
      <c r="AL47" s="402">
        <f>'[1]Table 4 Level 3'!Y47</f>
        <v>10372360</v>
      </c>
      <c r="AM47" s="399">
        <f t="shared" si="68"/>
        <v>458.41</v>
      </c>
      <c r="AN47" s="402">
        <f t="shared" si="69"/>
        <v>100151996</v>
      </c>
      <c r="AO47" s="402">
        <f t="shared" si="70"/>
        <v>4426</v>
      </c>
      <c r="AP47" s="397">
        <f t="shared" si="71"/>
        <v>44</v>
      </c>
      <c r="AQ47" s="403">
        <f>AN47-'[1]Table 2 Distribution &amp; Adjusts'!I44</f>
        <v>8042255</v>
      </c>
      <c r="AR47" s="401">
        <f t="shared" si="72"/>
        <v>0.6442</v>
      </c>
      <c r="AS47" s="397">
        <f t="shared" si="73"/>
        <v>40</v>
      </c>
      <c r="AT47" s="399">
        <f t="shared" si="74"/>
        <v>55326392</v>
      </c>
      <c r="AU47" s="399">
        <f t="shared" si="75"/>
        <v>2445.15</v>
      </c>
      <c r="AV47" s="397">
        <f t="shared" si="76"/>
        <v>33</v>
      </c>
      <c r="AW47" s="401">
        <f t="shared" si="77"/>
        <v>0.3558</v>
      </c>
      <c r="AX47" s="399">
        <f t="shared" si="78"/>
        <v>155478388</v>
      </c>
      <c r="AY47" s="399">
        <f t="shared" si="79"/>
        <v>6871.37</v>
      </c>
      <c r="AZ47" s="397">
        <f t="shared" si="80"/>
        <v>42</v>
      </c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s="394" customFormat="1" ht="12.75">
      <c r="A48" s="382">
        <v>41</v>
      </c>
      <c r="B48" s="383" t="s">
        <v>324</v>
      </c>
      <c r="C48" s="384">
        <f>'[1]Table 8 Membership'!R48</f>
        <v>1452</v>
      </c>
      <c r="D48" s="384">
        <f>'[1]Table 8 Membership'!Y48</f>
        <v>1452</v>
      </c>
      <c r="E48" s="384">
        <f>'[1]4-MFP_&amp;_Other_Funded'!BK53+'[1]LEP'!F50</f>
        <v>1253</v>
      </c>
      <c r="F48" s="384">
        <f t="shared" si="42"/>
        <v>238</v>
      </c>
      <c r="G48" s="384">
        <f>'[5]Sheet1'!C43</f>
        <v>481</v>
      </c>
      <c r="H48" s="384">
        <f t="shared" si="43"/>
        <v>24</v>
      </c>
      <c r="I48" s="384">
        <f>'[4]mfpLeaSums'!G44</f>
        <v>192</v>
      </c>
      <c r="J48" s="384">
        <f t="shared" si="44"/>
        <v>288</v>
      </c>
      <c r="K48" s="384">
        <f>'[4]mfpLeaSums'!C44</f>
        <v>5</v>
      </c>
      <c r="L48" s="384">
        <f t="shared" si="45"/>
        <v>3</v>
      </c>
      <c r="M48" s="384">
        <f t="shared" si="46"/>
        <v>6048</v>
      </c>
      <c r="N48" s="386">
        <f t="shared" si="47"/>
        <v>0.16128</v>
      </c>
      <c r="O48" s="384">
        <f t="shared" si="48"/>
        <v>234</v>
      </c>
      <c r="P48" s="384">
        <f t="shared" si="49"/>
        <v>787</v>
      </c>
      <c r="Q48" s="406">
        <f t="shared" si="50"/>
        <v>2239</v>
      </c>
      <c r="R48" s="387">
        <f t="shared" si="51"/>
        <v>3652</v>
      </c>
      <c r="S48" s="387">
        <f t="shared" si="52"/>
        <v>8176828</v>
      </c>
      <c r="T48" s="388">
        <f>'[1]Table 6 Local Wealth Factor'!L48</f>
        <v>0.47444823</v>
      </c>
      <c r="U48" s="388">
        <f t="shared" si="53"/>
        <v>0.00250064</v>
      </c>
      <c r="V48" s="388">
        <f t="shared" si="54"/>
        <v>0.00118642</v>
      </c>
      <c r="W48" s="387">
        <f t="shared" si="55"/>
        <v>1357813</v>
      </c>
      <c r="X48" s="389">
        <f t="shared" si="56"/>
        <v>0.1661</v>
      </c>
      <c r="Y48" s="390">
        <f t="shared" si="57"/>
        <v>6819015</v>
      </c>
      <c r="Z48" s="389">
        <f t="shared" si="58"/>
        <v>0.8339</v>
      </c>
      <c r="AA48" s="391">
        <f>'[1]Table 7 Local Revenue'!AR47</f>
        <v>3500259</v>
      </c>
      <c r="AB48" s="387">
        <f t="shared" si="41"/>
        <v>2142446</v>
      </c>
      <c r="AC48" s="392">
        <f t="shared" si="59"/>
        <v>0</v>
      </c>
      <c r="AD48" s="387">
        <f t="shared" si="60"/>
        <v>2698353</v>
      </c>
      <c r="AE48" s="393">
        <f t="shared" si="61"/>
        <v>2142446</v>
      </c>
      <c r="AF48" s="390">
        <f t="shared" si="62"/>
        <v>1532558</v>
      </c>
      <c r="AG48" s="389">
        <f t="shared" si="63"/>
        <v>0.7153</v>
      </c>
      <c r="AH48" s="387">
        <f t="shared" si="64"/>
        <v>397658</v>
      </c>
      <c r="AI48" s="387">
        <f t="shared" si="65"/>
        <v>3675004</v>
      </c>
      <c r="AJ48" s="387">
        <f t="shared" si="66"/>
        <v>8351573</v>
      </c>
      <c r="AK48" s="387">
        <f t="shared" si="67"/>
        <v>5751.77</v>
      </c>
      <c r="AL48" s="390">
        <f>'[1]Table 4 Level 3'!Y48</f>
        <v>788230</v>
      </c>
      <c r="AM48" s="387">
        <f t="shared" si="68"/>
        <v>542.86</v>
      </c>
      <c r="AN48" s="390">
        <f t="shared" si="69"/>
        <v>9139803</v>
      </c>
      <c r="AO48" s="390">
        <f t="shared" si="70"/>
        <v>6295</v>
      </c>
      <c r="AP48" s="384">
        <f t="shared" si="71"/>
        <v>1</v>
      </c>
      <c r="AQ48" s="392">
        <f>AN48-'[1]Table 2 Distribution &amp; Adjusts'!I45</f>
        <v>312998</v>
      </c>
      <c r="AR48" s="389">
        <f t="shared" si="72"/>
        <v>0.7231</v>
      </c>
      <c r="AS48" s="384">
        <f t="shared" si="73"/>
        <v>26</v>
      </c>
      <c r="AT48" s="387">
        <f t="shared" si="74"/>
        <v>3500259</v>
      </c>
      <c r="AU48" s="387">
        <f t="shared" si="75"/>
        <v>2410.65</v>
      </c>
      <c r="AV48" s="384">
        <f t="shared" si="76"/>
        <v>34</v>
      </c>
      <c r="AW48" s="389">
        <f t="shared" si="77"/>
        <v>0.2769</v>
      </c>
      <c r="AX48" s="387">
        <f t="shared" si="78"/>
        <v>12640062</v>
      </c>
      <c r="AY48" s="387">
        <f t="shared" si="79"/>
        <v>8705.28</v>
      </c>
      <c r="AZ48" s="384">
        <f t="shared" si="80"/>
        <v>2</v>
      </c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s="394" customFormat="1" ht="12.75">
      <c r="A49" s="382">
        <v>42</v>
      </c>
      <c r="B49" s="383" t="s">
        <v>325</v>
      </c>
      <c r="C49" s="384">
        <f>'[1]Table 8 Membership'!R49</f>
        <v>3327</v>
      </c>
      <c r="D49" s="384">
        <f>'[1]Table 8 Membership'!Y49</f>
        <v>3327</v>
      </c>
      <c r="E49" s="384">
        <f>'[1]4-MFP_&amp;_Other_Funded'!BK54+'[1]LEP'!F51</f>
        <v>2453</v>
      </c>
      <c r="F49" s="384">
        <f t="shared" si="42"/>
        <v>466</v>
      </c>
      <c r="G49" s="384">
        <f>'[5]Sheet1'!C44</f>
        <v>993</v>
      </c>
      <c r="H49" s="384">
        <f t="shared" si="43"/>
        <v>50</v>
      </c>
      <c r="I49" s="384">
        <f>'[4]mfpLeaSums'!G45</f>
        <v>471</v>
      </c>
      <c r="J49" s="384">
        <f t="shared" si="44"/>
        <v>707</v>
      </c>
      <c r="K49" s="384">
        <f>'[4]mfpLeaSums'!C45</f>
        <v>66</v>
      </c>
      <c r="L49" s="384">
        <f t="shared" si="45"/>
        <v>40</v>
      </c>
      <c r="M49" s="384">
        <f t="shared" si="46"/>
        <v>4173</v>
      </c>
      <c r="N49" s="386">
        <f t="shared" si="47"/>
        <v>0.11128</v>
      </c>
      <c r="O49" s="384">
        <f t="shared" si="48"/>
        <v>370</v>
      </c>
      <c r="P49" s="384">
        <f t="shared" si="49"/>
        <v>1633</v>
      </c>
      <c r="Q49" s="384">
        <f t="shared" si="50"/>
        <v>4960</v>
      </c>
      <c r="R49" s="387">
        <f t="shared" si="51"/>
        <v>3652</v>
      </c>
      <c r="S49" s="387">
        <f t="shared" si="52"/>
        <v>18113920</v>
      </c>
      <c r="T49" s="388">
        <f>'[1]Table 6 Local Wealth Factor'!L49</f>
        <v>0.54083528</v>
      </c>
      <c r="U49" s="388">
        <f t="shared" si="53"/>
        <v>0.00553961</v>
      </c>
      <c r="V49" s="388">
        <f t="shared" si="54"/>
        <v>0.00299602</v>
      </c>
      <c r="W49" s="387">
        <f t="shared" si="55"/>
        <v>3428831</v>
      </c>
      <c r="X49" s="389">
        <f t="shared" si="56"/>
        <v>0.1893</v>
      </c>
      <c r="Y49" s="390">
        <f t="shared" si="57"/>
        <v>14685089</v>
      </c>
      <c r="Z49" s="389">
        <f t="shared" si="58"/>
        <v>0.8107</v>
      </c>
      <c r="AA49" s="391">
        <f>'[1]Table 7 Local Revenue'!AR48</f>
        <v>5250033</v>
      </c>
      <c r="AB49" s="387">
        <f t="shared" si="41"/>
        <v>1821202</v>
      </c>
      <c r="AC49" s="392">
        <f t="shared" si="59"/>
        <v>0</v>
      </c>
      <c r="AD49" s="387">
        <f t="shared" si="60"/>
        <v>5977594</v>
      </c>
      <c r="AE49" s="393">
        <f t="shared" si="61"/>
        <v>1821202</v>
      </c>
      <c r="AF49" s="390">
        <f t="shared" si="62"/>
        <v>1230220</v>
      </c>
      <c r="AG49" s="389">
        <f t="shared" si="63"/>
        <v>0.6755</v>
      </c>
      <c r="AH49" s="387">
        <f t="shared" si="64"/>
        <v>2807638</v>
      </c>
      <c r="AI49" s="387">
        <f t="shared" si="65"/>
        <v>3051422</v>
      </c>
      <c r="AJ49" s="387">
        <f t="shared" si="66"/>
        <v>15915309</v>
      </c>
      <c r="AK49" s="387">
        <f t="shared" si="67"/>
        <v>4783.68</v>
      </c>
      <c r="AL49" s="390">
        <f>'[1]Table 4 Level 3'!Y49</f>
        <v>996747</v>
      </c>
      <c r="AM49" s="387">
        <f t="shared" si="68"/>
        <v>299.59</v>
      </c>
      <c r="AN49" s="390">
        <f t="shared" si="69"/>
        <v>16912056</v>
      </c>
      <c r="AO49" s="390">
        <f t="shared" si="70"/>
        <v>5083</v>
      </c>
      <c r="AP49" s="384">
        <f t="shared" si="71"/>
        <v>20</v>
      </c>
      <c r="AQ49" s="392">
        <f>AN49-'[1]Table 2 Distribution &amp; Adjusts'!I46</f>
        <v>275997</v>
      </c>
      <c r="AR49" s="389">
        <f t="shared" si="72"/>
        <v>0.7631</v>
      </c>
      <c r="AS49" s="384">
        <f t="shared" si="73"/>
        <v>15</v>
      </c>
      <c r="AT49" s="387">
        <f t="shared" si="74"/>
        <v>5250033</v>
      </c>
      <c r="AU49" s="387">
        <f t="shared" si="75"/>
        <v>1578.01</v>
      </c>
      <c r="AV49" s="384">
        <f t="shared" si="76"/>
        <v>53</v>
      </c>
      <c r="AW49" s="389">
        <f t="shared" si="77"/>
        <v>0.2369</v>
      </c>
      <c r="AX49" s="387">
        <f t="shared" si="78"/>
        <v>22162089</v>
      </c>
      <c r="AY49" s="387">
        <f t="shared" si="79"/>
        <v>6661.28</v>
      </c>
      <c r="AZ49" s="384">
        <f t="shared" si="80"/>
        <v>52</v>
      </c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s="394" customFormat="1" ht="12.75">
      <c r="A50" s="382">
        <v>43</v>
      </c>
      <c r="B50" s="383" t="s">
        <v>326</v>
      </c>
      <c r="C50" s="384">
        <f>'[1]Table 8 Membership'!R50</f>
        <v>4028</v>
      </c>
      <c r="D50" s="384">
        <f>'[1]Table 8 Membership'!Y50</f>
        <v>4028</v>
      </c>
      <c r="E50" s="384">
        <f>'[1]4-MFP_&amp;_Other_Funded'!BK55+'[1]LEP'!F52</f>
        <v>2607</v>
      </c>
      <c r="F50" s="384">
        <f t="shared" si="42"/>
        <v>495</v>
      </c>
      <c r="G50" s="384">
        <f>'[5]Sheet1'!C45</f>
        <v>1513</v>
      </c>
      <c r="H50" s="384">
        <f t="shared" si="43"/>
        <v>76</v>
      </c>
      <c r="I50" s="384">
        <f>'[4]mfpLeaSums'!G46</f>
        <v>629</v>
      </c>
      <c r="J50" s="384">
        <f t="shared" si="44"/>
        <v>944</v>
      </c>
      <c r="K50" s="384">
        <f>'[4]mfpLeaSums'!C46</f>
        <v>85</v>
      </c>
      <c r="L50" s="384">
        <f t="shared" si="45"/>
        <v>51</v>
      </c>
      <c r="M50" s="384">
        <f t="shared" si="46"/>
        <v>3472</v>
      </c>
      <c r="N50" s="386">
        <f t="shared" si="47"/>
        <v>0.09259</v>
      </c>
      <c r="O50" s="384">
        <f t="shared" si="48"/>
        <v>373</v>
      </c>
      <c r="P50" s="384">
        <f t="shared" si="49"/>
        <v>1939</v>
      </c>
      <c r="Q50" s="384">
        <f t="shared" si="50"/>
        <v>5967</v>
      </c>
      <c r="R50" s="387">
        <f t="shared" si="51"/>
        <v>3652</v>
      </c>
      <c r="S50" s="387">
        <f t="shared" si="52"/>
        <v>21791484</v>
      </c>
      <c r="T50" s="388">
        <f>'[1]Table 6 Local Wealth Factor'!L50</f>
        <v>0.60767091</v>
      </c>
      <c r="U50" s="388">
        <f t="shared" si="53"/>
        <v>0.00666428</v>
      </c>
      <c r="V50" s="388">
        <f t="shared" si="54"/>
        <v>0.00404969</v>
      </c>
      <c r="W50" s="387">
        <f t="shared" si="55"/>
        <v>4634716</v>
      </c>
      <c r="X50" s="389">
        <f t="shared" si="56"/>
        <v>0.2127</v>
      </c>
      <c r="Y50" s="390">
        <f t="shared" si="57"/>
        <v>17156768</v>
      </c>
      <c r="Z50" s="389">
        <f t="shared" si="58"/>
        <v>0.7873</v>
      </c>
      <c r="AA50" s="391">
        <f>'[1]Table 7 Local Revenue'!AR49</f>
        <v>7379298</v>
      </c>
      <c r="AB50" s="387">
        <f aca="true" t="shared" si="81" ref="AB50:AB75">IF(AA50-W50&gt;0,AA50-W50,0)</f>
        <v>2744582</v>
      </c>
      <c r="AC50" s="392">
        <f t="shared" si="59"/>
        <v>0</v>
      </c>
      <c r="AD50" s="387">
        <f t="shared" si="60"/>
        <v>7191190</v>
      </c>
      <c r="AE50" s="393">
        <f t="shared" si="61"/>
        <v>2744582</v>
      </c>
      <c r="AF50" s="390">
        <f t="shared" si="62"/>
        <v>1743900</v>
      </c>
      <c r="AG50" s="389">
        <f t="shared" si="63"/>
        <v>0.6354</v>
      </c>
      <c r="AH50" s="387">
        <f t="shared" si="64"/>
        <v>2825364</v>
      </c>
      <c r="AI50" s="387">
        <f t="shared" si="65"/>
        <v>4488482</v>
      </c>
      <c r="AJ50" s="387">
        <f t="shared" si="66"/>
        <v>18900668</v>
      </c>
      <c r="AK50" s="387">
        <f t="shared" si="67"/>
        <v>4692.32</v>
      </c>
      <c r="AL50" s="390">
        <f>'[1]Table 4 Level 3'!Y50</f>
        <v>1238264</v>
      </c>
      <c r="AM50" s="387">
        <f t="shared" si="68"/>
        <v>307.41</v>
      </c>
      <c r="AN50" s="390">
        <f t="shared" si="69"/>
        <v>20138932</v>
      </c>
      <c r="AO50" s="390">
        <f t="shared" si="70"/>
        <v>5000</v>
      </c>
      <c r="AP50" s="384">
        <f t="shared" si="71"/>
        <v>22</v>
      </c>
      <c r="AQ50" s="392">
        <f>AN50-'[1]Table 2 Distribution &amp; Adjusts'!I47</f>
        <v>776090</v>
      </c>
      <c r="AR50" s="389">
        <f t="shared" si="72"/>
        <v>0.7318</v>
      </c>
      <c r="AS50" s="384">
        <f t="shared" si="73"/>
        <v>22</v>
      </c>
      <c r="AT50" s="387">
        <f t="shared" si="74"/>
        <v>7379298</v>
      </c>
      <c r="AU50" s="387">
        <f t="shared" si="75"/>
        <v>1832</v>
      </c>
      <c r="AV50" s="384">
        <f t="shared" si="76"/>
        <v>49</v>
      </c>
      <c r="AW50" s="389">
        <f t="shared" si="77"/>
        <v>0.2682</v>
      </c>
      <c r="AX50" s="387">
        <f t="shared" si="78"/>
        <v>27518230</v>
      </c>
      <c r="AY50" s="387">
        <f t="shared" si="79"/>
        <v>6831.74</v>
      </c>
      <c r="AZ50" s="384">
        <f t="shared" si="80"/>
        <v>49</v>
      </c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s="394" customFormat="1" ht="12.75">
      <c r="A51" s="382">
        <v>44</v>
      </c>
      <c r="B51" s="383" t="s">
        <v>327</v>
      </c>
      <c r="C51" s="408">
        <f>'[1]Table 8 Membership'!R51</f>
        <v>2114</v>
      </c>
      <c r="D51" s="408">
        <f>'[1]Table 8 Membership'!Y51</f>
        <v>3000</v>
      </c>
      <c r="E51" s="408">
        <f>D51*'[1]2004-05 Weighted'!D88</f>
        <v>1712.9629629629628</v>
      </c>
      <c r="F51" s="384">
        <f t="shared" si="42"/>
        <v>325</v>
      </c>
      <c r="G51" s="408">
        <f>D51*'[1]2004-05 Weighted'!F88</f>
        <v>363.960113960114</v>
      </c>
      <c r="H51" s="384">
        <f t="shared" si="43"/>
        <v>18</v>
      </c>
      <c r="I51" s="408">
        <f>D51*'[1]2004-05 Weighted'!H88</f>
        <v>440.8831908831909</v>
      </c>
      <c r="J51" s="384">
        <f t="shared" si="44"/>
        <v>661</v>
      </c>
      <c r="K51" s="408">
        <f>D51*'[1]2004-05 Weighted'!J88</f>
        <v>117.16524216524218</v>
      </c>
      <c r="L51" s="384">
        <f t="shared" si="45"/>
        <v>70</v>
      </c>
      <c r="M51" s="384">
        <f t="shared" si="46"/>
        <v>4500</v>
      </c>
      <c r="N51" s="386">
        <f t="shared" si="47"/>
        <v>0.12</v>
      </c>
      <c r="O51" s="384">
        <f t="shared" si="48"/>
        <v>360</v>
      </c>
      <c r="P51" s="384">
        <f t="shared" si="49"/>
        <v>1434</v>
      </c>
      <c r="Q51" s="384">
        <f t="shared" si="50"/>
        <v>4434</v>
      </c>
      <c r="R51" s="387">
        <f t="shared" si="51"/>
        <v>3652</v>
      </c>
      <c r="S51" s="387">
        <f t="shared" si="52"/>
        <v>16192968</v>
      </c>
      <c r="T51" s="388">
        <f>'[1]Table 6 Local Wealth Factor'!L51</f>
        <v>1.02699175</v>
      </c>
      <c r="U51" s="388">
        <f t="shared" si="53"/>
        <v>0.00495214</v>
      </c>
      <c r="V51" s="388">
        <f t="shared" si="54"/>
        <v>0.00508581</v>
      </c>
      <c r="W51" s="387">
        <f t="shared" si="55"/>
        <v>5820516</v>
      </c>
      <c r="X51" s="389">
        <f t="shared" si="56"/>
        <v>0.3594</v>
      </c>
      <c r="Y51" s="390">
        <f t="shared" si="57"/>
        <v>10372452</v>
      </c>
      <c r="Z51" s="389">
        <f t="shared" si="58"/>
        <v>0.6406</v>
      </c>
      <c r="AA51" s="391">
        <f>'[1]Table 7 Local Revenue'!AR50</f>
        <v>10586602</v>
      </c>
      <c r="AB51" s="387">
        <f t="shared" si="81"/>
        <v>4766086</v>
      </c>
      <c r="AC51" s="392">
        <f t="shared" si="59"/>
        <v>0</v>
      </c>
      <c r="AD51" s="387">
        <f t="shared" si="60"/>
        <v>5343679</v>
      </c>
      <c r="AE51" s="393">
        <f t="shared" si="61"/>
        <v>4766086</v>
      </c>
      <c r="AF51" s="390">
        <f t="shared" si="62"/>
        <v>1829247</v>
      </c>
      <c r="AG51" s="389">
        <f t="shared" si="63"/>
        <v>0.3838</v>
      </c>
      <c r="AH51" s="387">
        <f t="shared" si="64"/>
        <v>221683</v>
      </c>
      <c r="AI51" s="387">
        <f t="shared" si="65"/>
        <v>6595333</v>
      </c>
      <c r="AJ51" s="387">
        <f t="shared" si="66"/>
        <v>12201699</v>
      </c>
      <c r="AK51" s="387">
        <f t="shared" si="67"/>
        <v>4067.23</v>
      </c>
      <c r="AL51" s="390">
        <f>'[1]Table 4 Level 3'!Y51</f>
        <v>582373</v>
      </c>
      <c r="AM51" s="387">
        <f t="shared" si="68"/>
        <v>194.12</v>
      </c>
      <c r="AN51" s="390">
        <f t="shared" si="69"/>
        <v>12784072</v>
      </c>
      <c r="AO51" s="390">
        <f t="shared" si="70"/>
        <v>4261</v>
      </c>
      <c r="AP51" s="384">
        <f t="shared" si="71"/>
        <v>48</v>
      </c>
      <c r="AQ51" s="392">
        <f>AN51-'[1]Table 2 Distribution &amp; Adjusts'!I48</f>
        <v>-6777728.666666668</v>
      </c>
      <c r="AR51" s="389">
        <f t="shared" si="72"/>
        <v>0.547</v>
      </c>
      <c r="AS51" s="384">
        <f t="shared" si="73"/>
        <v>52</v>
      </c>
      <c r="AT51" s="387">
        <f t="shared" si="74"/>
        <v>10586602</v>
      </c>
      <c r="AU51" s="387">
        <f t="shared" si="75"/>
        <v>3528.87</v>
      </c>
      <c r="AV51" s="384">
        <f t="shared" si="76"/>
        <v>17</v>
      </c>
      <c r="AW51" s="389">
        <f t="shared" si="77"/>
        <v>0.453</v>
      </c>
      <c r="AX51" s="387">
        <f t="shared" si="78"/>
        <v>23370674</v>
      </c>
      <c r="AY51" s="387">
        <f t="shared" si="79"/>
        <v>7790.22</v>
      </c>
      <c r="AZ51" s="384">
        <f t="shared" si="80"/>
        <v>15</v>
      </c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s="405" customFormat="1" ht="12.75">
      <c r="A52" s="395">
        <v>45</v>
      </c>
      <c r="B52" s="396" t="s">
        <v>328</v>
      </c>
      <c r="C52" s="397">
        <f>'[1]Table 8 Membership'!R52</f>
        <v>9471</v>
      </c>
      <c r="D52" s="397">
        <f>'[1]Table 8 Membership'!Y52</f>
        <v>9471</v>
      </c>
      <c r="E52" s="397">
        <f>'[1]4-MFP_&amp;_Other_Funded'!BK57+'[1]LEP'!F54</f>
        <v>4650</v>
      </c>
      <c r="F52" s="397">
        <f t="shared" si="42"/>
        <v>884</v>
      </c>
      <c r="G52" s="397">
        <f>'[5]Sheet1'!C47</f>
        <v>2261.5</v>
      </c>
      <c r="H52" s="397">
        <f t="shared" si="43"/>
        <v>113</v>
      </c>
      <c r="I52" s="397">
        <f>'[4]mfpLeaSums'!G48</f>
        <v>1118</v>
      </c>
      <c r="J52" s="397">
        <f t="shared" si="44"/>
        <v>1677</v>
      </c>
      <c r="K52" s="397">
        <f>'[4]mfpLeaSums'!C48</f>
        <v>642</v>
      </c>
      <c r="L52" s="397">
        <f t="shared" si="45"/>
        <v>385</v>
      </c>
      <c r="M52" s="397">
        <f t="shared" si="46"/>
        <v>0</v>
      </c>
      <c r="N52" s="398">
        <f t="shared" si="47"/>
        <v>0</v>
      </c>
      <c r="O52" s="397">
        <f t="shared" si="48"/>
        <v>0</v>
      </c>
      <c r="P52" s="397">
        <f t="shared" si="49"/>
        <v>3059</v>
      </c>
      <c r="Q52" s="384">
        <f t="shared" si="50"/>
        <v>12530</v>
      </c>
      <c r="R52" s="399">
        <f t="shared" si="51"/>
        <v>3652</v>
      </c>
      <c r="S52" s="399">
        <f t="shared" si="52"/>
        <v>45759560</v>
      </c>
      <c r="T52" s="400">
        <f>'[1]Table 6 Local Wealth Factor'!L52</f>
        <v>1.88351427</v>
      </c>
      <c r="U52" s="400">
        <f t="shared" si="53"/>
        <v>0.01399421</v>
      </c>
      <c r="V52" s="400">
        <f t="shared" si="54"/>
        <v>0.02635829</v>
      </c>
      <c r="W52" s="399">
        <f t="shared" si="55"/>
        <v>30166060</v>
      </c>
      <c r="X52" s="401">
        <f t="shared" si="56"/>
        <v>0.6592</v>
      </c>
      <c r="Y52" s="402">
        <f t="shared" si="57"/>
        <v>15593500</v>
      </c>
      <c r="Z52" s="401">
        <f t="shared" si="58"/>
        <v>0.3408</v>
      </c>
      <c r="AA52" s="399">
        <f>'[1]Table 7 Local Revenue'!AR51</f>
        <v>74789072</v>
      </c>
      <c r="AB52" s="399">
        <f t="shared" si="81"/>
        <v>44623012</v>
      </c>
      <c r="AC52" s="403">
        <f t="shared" si="59"/>
        <v>0</v>
      </c>
      <c r="AD52" s="399">
        <f t="shared" si="60"/>
        <v>15100655</v>
      </c>
      <c r="AE52" s="404">
        <f t="shared" si="61"/>
        <v>15100655</v>
      </c>
      <c r="AF52" s="402">
        <f t="shared" si="62"/>
        <v>0</v>
      </c>
      <c r="AG52" s="401">
        <f t="shared" si="63"/>
        <v>0</v>
      </c>
      <c r="AH52" s="399">
        <f t="shared" si="64"/>
        <v>0</v>
      </c>
      <c r="AI52" s="399">
        <f t="shared" si="65"/>
        <v>15100655</v>
      </c>
      <c r="AJ52" s="399">
        <f t="shared" si="66"/>
        <v>15593500</v>
      </c>
      <c r="AK52" s="399">
        <f t="shared" si="67"/>
        <v>1646.45</v>
      </c>
      <c r="AL52" s="402">
        <f>'[1]Table 4 Level 3'!Y52</f>
        <v>12673878</v>
      </c>
      <c r="AM52" s="399">
        <f t="shared" si="68"/>
        <v>1338.18</v>
      </c>
      <c r="AN52" s="402">
        <f t="shared" si="69"/>
        <v>28267378</v>
      </c>
      <c r="AO52" s="402">
        <f t="shared" si="70"/>
        <v>2985</v>
      </c>
      <c r="AP52" s="397">
        <f t="shared" si="71"/>
        <v>67</v>
      </c>
      <c r="AQ52" s="403">
        <f>AN52-'[1]Table 2 Distribution &amp; Adjusts'!I49</f>
        <v>2065793</v>
      </c>
      <c r="AR52" s="401">
        <f t="shared" si="72"/>
        <v>0.3844</v>
      </c>
      <c r="AS52" s="397">
        <f t="shared" si="73"/>
        <v>67</v>
      </c>
      <c r="AT52" s="399">
        <f t="shared" si="74"/>
        <v>45266715</v>
      </c>
      <c r="AU52" s="399">
        <f t="shared" si="75"/>
        <v>4779.51</v>
      </c>
      <c r="AV52" s="397">
        <f t="shared" si="76"/>
        <v>4</v>
      </c>
      <c r="AW52" s="401">
        <f t="shared" si="77"/>
        <v>0.6156</v>
      </c>
      <c r="AX52" s="399">
        <f t="shared" si="78"/>
        <v>73534093</v>
      </c>
      <c r="AY52" s="399">
        <f t="shared" si="79"/>
        <v>7764.13</v>
      </c>
      <c r="AZ52" s="397">
        <f t="shared" si="80"/>
        <v>17</v>
      </c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s="394" customFormat="1" ht="12.75">
      <c r="A53" s="382">
        <v>46</v>
      </c>
      <c r="B53" s="383" t="s">
        <v>329</v>
      </c>
      <c r="C53" s="384">
        <f>'[1]Table 8 Membership'!R53</f>
        <v>1438</v>
      </c>
      <c r="D53" s="384">
        <f>'[1]Table 8 Membership'!Y53</f>
        <v>1438</v>
      </c>
      <c r="E53" s="384">
        <f>'[1]4-MFP_&amp;_Other_Funded'!BK58+'[1]LEP'!F55</f>
        <v>1253</v>
      </c>
      <c r="F53" s="384">
        <f t="shared" si="42"/>
        <v>238</v>
      </c>
      <c r="G53" s="384">
        <f>'[5]Sheet1'!C48</f>
        <v>389.5</v>
      </c>
      <c r="H53" s="384">
        <f t="shared" si="43"/>
        <v>19</v>
      </c>
      <c r="I53" s="384">
        <f>'[4]mfpLeaSums'!G49</f>
        <v>229</v>
      </c>
      <c r="J53" s="384">
        <f t="shared" si="44"/>
        <v>344</v>
      </c>
      <c r="K53" s="384">
        <f>'[4]mfpLeaSums'!C49</f>
        <v>6</v>
      </c>
      <c r="L53" s="384">
        <f t="shared" si="45"/>
        <v>4</v>
      </c>
      <c r="M53" s="384">
        <f t="shared" si="46"/>
        <v>6062</v>
      </c>
      <c r="N53" s="386">
        <f t="shared" si="47"/>
        <v>0.16165</v>
      </c>
      <c r="O53" s="384">
        <f t="shared" si="48"/>
        <v>232</v>
      </c>
      <c r="P53" s="384">
        <f t="shared" si="49"/>
        <v>837</v>
      </c>
      <c r="Q53" s="406">
        <f t="shared" si="50"/>
        <v>2275</v>
      </c>
      <c r="R53" s="387">
        <f t="shared" si="51"/>
        <v>3652</v>
      </c>
      <c r="S53" s="387">
        <f t="shared" si="52"/>
        <v>8308300</v>
      </c>
      <c r="T53" s="388">
        <f>'[1]Table 6 Local Wealth Factor'!L53</f>
        <v>0.4819756</v>
      </c>
      <c r="U53" s="388">
        <f t="shared" si="53"/>
        <v>0.00254085</v>
      </c>
      <c r="V53" s="388">
        <f t="shared" si="54"/>
        <v>0.00122463</v>
      </c>
      <c r="W53" s="387">
        <f t="shared" si="55"/>
        <v>1401542</v>
      </c>
      <c r="X53" s="389">
        <f t="shared" si="56"/>
        <v>0.1687</v>
      </c>
      <c r="Y53" s="390">
        <f t="shared" si="57"/>
        <v>6906758</v>
      </c>
      <c r="Z53" s="389">
        <f t="shared" si="58"/>
        <v>0.8313</v>
      </c>
      <c r="AA53" s="391">
        <f>'[1]Table 7 Local Revenue'!AR52</f>
        <v>1643871</v>
      </c>
      <c r="AB53" s="387">
        <f t="shared" si="81"/>
        <v>242329</v>
      </c>
      <c r="AC53" s="392">
        <f t="shared" si="59"/>
        <v>0</v>
      </c>
      <c r="AD53" s="387">
        <f t="shared" si="60"/>
        <v>2741739</v>
      </c>
      <c r="AE53" s="393">
        <f t="shared" si="61"/>
        <v>242329</v>
      </c>
      <c r="AF53" s="390">
        <f t="shared" si="62"/>
        <v>172251</v>
      </c>
      <c r="AG53" s="389">
        <f t="shared" si="63"/>
        <v>0.7108</v>
      </c>
      <c r="AH53" s="387">
        <f t="shared" si="64"/>
        <v>1776617</v>
      </c>
      <c r="AI53" s="387">
        <f t="shared" si="65"/>
        <v>414580</v>
      </c>
      <c r="AJ53" s="387">
        <f t="shared" si="66"/>
        <v>7079009</v>
      </c>
      <c r="AK53" s="387">
        <f t="shared" si="67"/>
        <v>4922.82</v>
      </c>
      <c r="AL53" s="390">
        <f>'[1]Table 4 Level 3'!Y53</f>
        <v>634428</v>
      </c>
      <c r="AM53" s="387">
        <f t="shared" si="68"/>
        <v>441.19</v>
      </c>
      <c r="AN53" s="390">
        <f t="shared" si="69"/>
        <v>7713437</v>
      </c>
      <c r="AO53" s="390">
        <f t="shared" si="70"/>
        <v>5364</v>
      </c>
      <c r="AP53" s="384">
        <f t="shared" si="71"/>
        <v>9</v>
      </c>
      <c r="AQ53" s="392">
        <f>AN53-'[1]Table 2 Distribution &amp; Adjusts'!I50</f>
        <v>952589</v>
      </c>
      <c r="AR53" s="389">
        <f t="shared" si="72"/>
        <v>0.8243</v>
      </c>
      <c r="AS53" s="384">
        <f t="shared" si="73"/>
        <v>3</v>
      </c>
      <c r="AT53" s="387">
        <f t="shared" si="74"/>
        <v>1643871</v>
      </c>
      <c r="AU53" s="387">
        <f t="shared" si="75"/>
        <v>1143.16</v>
      </c>
      <c r="AV53" s="384">
        <f t="shared" si="76"/>
        <v>65</v>
      </c>
      <c r="AW53" s="389">
        <f t="shared" si="77"/>
        <v>0.1757</v>
      </c>
      <c r="AX53" s="387">
        <f t="shared" si="78"/>
        <v>9357308</v>
      </c>
      <c r="AY53" s="387">
        <f t="shared" si="79"/>
        <v>6507.17</v>
      </c>
      <c r="AZ53" s="384">
        <f t="shared" si="80"/>
        <v>56</v>
      </c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s="394" customFormat="1" ht="12.75">
      <c r="A54" s="382">
        <v>47</v>
      </c>
      <c r="B54" s="383" t="s">
        <v>330</v>
      </c>
      <c r="C54" s="384">
        <f>'[1]Table 8 Membership'!R54</f>
        <v>3811</v>
      </c>
      <c r="D54" s="384">
        <f>'[1]Table 8 Membership'!Y54</f>
        <v>3811</v>
      </c>
      <c r="E54" s="384">
        <f>'[1]4-MFP_&amp;_Other_Funded'!BK59+'[1]LEP'!F56</f>
        <v>2621</v>
      </c>
      <c r="F54" s="384">
        <f t="shared" si="42"/>
        <v>498</v>
      </c>
      <c r="G54" s="384">
        <f>'[5]Sheet1'!C49</f>
        <v>1004.5</v>
      </c>
      <c r="H54" s="384">
        <f t="shared" si="43"/>
        <v>50</v>
      </c>
      <c r="I54" s="384">
        <f>'[4]mfpLeaSums'!G50</f>
        <v>576</v>
      </c>
      <c r="J54" s="384">
        <f t="shared" si="44"/>
        <v>864</v>
      </c>
      <c r="K54" s="384">
        <f>'[4]mfpLeaSums'!C50</f>
        <v>96</v>
      </c>
      <c r="L54" s="384">
        <f t="shared" si="45"/>
        <v>58</v>
      </c>
      <c r="M54" s="384">
        <f t="shared" si="46"/>
        <v>3689</v>
      </c>
      <c r="N54" s="386">
        <f t="shared" si="47"/>
        <v>0.09837</v>
      </c>
      <c r="O54" s="384">
        <f t="shared" si="48"/>
        <v>375</v>
      </c>
      <c r="P54" s="384">
        <f t="shared" si="49"/>
        <v>1845</v>
      </c>
      <c r="Q54" s="384">
        <f t="shared" si="50"/>
        <v>5656</v>
      </c>
      <c r="R54" s="387">
        <f t="shared" si="51"/>
        <v>3652</v>
      </c>
      <c r="S54" s="387">
        <f t="shared" si="52"/>
        <v>20655712</v>
      </c>
      <c r="T54" s="388">
        <f>'[1]Table 6 Local Wealth Factor'!L54</f>
        <v>1.38277409</v>
      </c>
      <c r="U54" s="388">
        <f t="shared" si="53"/>
        <v>0.00631694</v>
      </c>
      <c r="V54" s="388">
        <f t="shared" si="54"/>
        <v>0.0087349</v>
      </c>
      <c r="W54" s="387">
        <f t="shared" si="55"/>
        <v>9996761</v>
      </c>
      <c r="X54" s="389">
        <f t="shared" si="56"/>
        <v>0.484</v>
      </c>
      <c r="Y54" s="390">
        <f t="shared" si="57"/>
        <v>10658951</v>
      </c>
      <c r="Z54" s="389">
        <f t="shared" si="58"/>
        <v>0.516</v>
      </c>
      <c r="AA54" s="391">
        <f>'[1]Table 7 Local Revenue'!AR53</f>
        <v>21265621</v>
      </c>
      <c r="AB54" s="387">
        <f t="shared" si="81"/>
        <v>11268860</v>
      </c>
      <c r="AC54" s="392">
        <f t="shared" si="59"/>
        <v>0</v>
      </c>
      <c r="AD54" s="387">
        <f t="shared" si="60"/>
        <v>6816385</v>
      </c>
      <c r="AE54" s="393">
        <f t="shared" si="61"/>
        <v>6816385</v>
      </c>
      <c r="AF54" s="390">
        <f t="shared" si="62"/>
        <v>1161073</v>
      </c>
      <c r="AG54" s="389">
        <f t="shared" si="63"/>
        <v>0.1703</v>
      </c>
      <c r="AH54" s="387">
        <f t="shared" si="64"/>
        <v>0</v>
      </c>
      <c r="AI54" s="387">
        <f t="shared" si="65"/>
        <v>7977458</v>
      </c>
      <c r="AJ54" s="387">
        <f t="shared" si="66"/>
        <v>11820024</v>
      </c>
      <c r="AK54" s="387">
        <f t="shared" si="67"/>
        <v>3101.55</v>
      </c>
      <c r="AL54" s="390">
        <f>'[1]Table 4 Level 3'!Y54</f>
        <v>3773373</v>
      </c>
      <c r="AM54" s="387">
        <f t="shared" si="68"/>
        <v>990.13</v>
      </c>
      <c r="AN54" s="390">
        <f t="shared" si="69"/>
        <v>15593397</v>
      </c>
      <c r="AO54" s="390">
        <f t="shared" si="70"/>
        <v>4092</v>
      </c>
      <c r="AP54" s="384">
        <f t="shared" si="71"/>
        <v>54</v>
      </c>
      <c r="AQ54" s="392">
        <f>AN54-'[1]Table 2 Distribution &amp; Adjusts'!I51</f>
        <v>1725140</v>
      </c>
      <c r="AR54" s="389">
        <f t="shared" si="72"/>
        <v>0.4812</v>
      </c>
      <c r="AS54" s="384">
        <f t="shared" si="73"/>
        <v>58</v>
      </c>
      <c r="AT54" s="387">
        <f t="shared" si="74"/>
        <v>16813146</v>
      </c>
      <c r="AU54" s="387">
        <f t="shared" si="75"/>
        <v>4411.74</v>
      </c>
      <c r="AV54" s="384">
        <f t="shared" si="76"/>
        <v>6</v>
      </c>
      <c r="AW54" s="389">
        <f t="shared" si="77"/>
        <v>0.5188</v>
      </c>
      <c r="AX54" s="387">
        <f t="shared" si="78"/>
        <v>32406543</v>
      </c>
      <c r="AY54" s="387">
        <f t="shared" si="79"/>
        <v>8503.42</v>
      </c>
      <c r="AZ54" s="384">
        <f t="shared" si="80"/>
        <v>4</v>
      </c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s="394" customFormat="1" ht="12.75">
      <c r="A55" s="382">
        <v>48</v>
      </c>
      <c r="B55" s="383" t="s">
        <v>331</v>
      </c>
      <c r="C55" s="384">
        <f>'[1]Table 8 Membership'!R55</f>
        <v>6555</v>
      </c>
      <c r="D55" s="384">
        <f>'[1]Table 8 Membership'!Y55</f>
        <v>6555</v>
      </c>
      <c r="E55" s="384">
        <f>'[1]4-MFP_&amp;_Other_Funded'!BK60+'[1]LEP'!F57</f>
        <v>5462</v>
      </c>
      <c r="F55" s="384">
        <f t="shared" si="42"/>
        <v>1038</v>
      </c>
      <c r="G55" s="384">
        <f>'[5]Sheet1'!C50</f>
        <v>1629.5</v>
      </c>
      <c r="H55" s="384">
        <f t="shared" si="43"/>
        <v>81</v>
      </c>
      <c r="I55" s="384">
        <f>'[4]mfpLeaSums'!G51</f>
        <v>1178</v>
      </c>
      <c r="J55" s="384">
        <f t="shared" si="44"/>
        <v>1767</v>
      </c>
      <c r="K55" s="384">
        <f>'[4]mfpLeaSums'!C51</f>
        <v>131</v>
      </c>
      <c r="L55" s="384">
        <f t="shared" si="45"/>
        <v>79</v>
      </c>
      <c r="M55" s="384">
        <f t="shared" si="46"/>
        <v>945</v>
      </c>
      <c r="N55" s="386">
        <f t="shared" si="47"/>
        <v>0.0252</v>
      </c>
      <c r="O55" s="384">
        <f t="shared" si="48"/>
        <v>165</v>
      </c>
      <c r="P55" s="384">
        <f t="shared" si="49"/>
        <v>3130</v>
      </c>
      <c r="Q55" s="384">
        <f t="shared" si="50"/>
        <v>9685</v>
      </c>
      <c r="R55" s="387">
        <f t="shared" si="51"/>
        <v>3652</v>
      </c>
      <c r="S55" s="387">
        <f t="shared" si="52"/>
        <v>35369620</v>
      </c>
      <c r="T55" s="388">
        <f>'[1]Table 6 Local Wealth Factor'!L55</f>
        <v>0.9643325</v>
      </c>
      <c r="U55" s="388">
        <f t="shared" si="53"/>
        <v>0.01081676</v>
      </c>
      <c r="V55" s="388">
        <f t="shared" si="54"/>
        <v>0.01043095</v>
      </c>
      <c r="W55" s="387">
        <f t="shared" si="55"/>
        <v>11937825</v>
      </c>
      <c r="X55" s="389">
        <f t="shared" si="56"/>
        <v>0.3375</v>
      </c>
      <c r="Y55" s="390">
        <f t="shared" si="57"/>
        <v>23431795</v>
      </c>
      <c r="Z55" s="389">
        <f t="shared" si="58"/>
        <v>0.6625</v>
      </c>
      <c r="AA55" s="391">
        <f>'[1]Table 7 Local Revenue'!AR54</f>
        <v>23346339</v>
      </c>
      <c r="AB55" s="387">
        <f t="shared" si="81"/>
        <v>11408514</v>
      </c>
      <c r="AC55" s="392">
        <f t="shared" si="59"/>
        <v>0</v>
      </c>
      <c r="AD55" s="387">
        <f t="shared" si="60"/>
        <v>11671975</v>
      </c>
      <c r="AE55" s="393">
        <f t="shared" si="61"/>
        <v>11408514</v>
      </c>
      <c r="AF55" s="390">
        <f t="shared" si="62"/>
        <v>4807554</v>
      </c>
      <c r="AG55" s="389">
        <f t="shared" si="63"/>
        <v>0.4214</v>
      </c>
      <c r="AH55" s="387">
        <f t="shared" si="64"/>
        <v>111022</v>
      </c>
      <c r="AI55" s="387">
        <f t="shared" si="65"/>
        <v>16216068</v>
      </c>
      <c r="AJ55" s="387">
        <f t="shared" si="66"/>
        <v>28239349</v>
      </c>
      <c r="AK55" s="387">
        <f t="shared" si="67"/>
        <v>4308.06</v>
      </c>
      <c r="AL55" s="390">
        <f>'[1]Table 4 Level 3'!Y55</f>
        <v>3250295</v>
      </c>
      <c r="AM55" s="387">
        <f t="shared" si="68"/>
        <v>495.85</v>
      </c>
      <c r="AN55" s="390">
        <f t="shared" si="69"/>
        <v>31489644</v>
      </c>
      <c r="AO55" s="390">
        <f t="shared" si="70"/>
        <v>4804</v>
      </c>
      <c r="AP55" s="384">
        <f t="shared" si="71"/>
        <v>28</v>
      </c>
      <c r="AQ55" s="392">
        <f>AN55-'[1]Table 2 Distribution &amp; Adjusts'!I52</f>
        <v>1288127</v>
      </c>
      <c r="AR55" s="389">
        <f t="shared" si="72"/>
        <v>0.5743</v>
      </c>
      <c r="AS55" s="384">
        <f t="shared" si="73"/>
        <v>48</v>
      </c>
      <c r="AT55" s="387">
        <f t="shared" si="74"/>
        <v>23346339</v>
      </c>
      <c r="AU55" s="387">
        <f t="shared" si="75"/>
        <v>3561.61</v>
      </c>
      <c r="AV55" s="384">
        <f t="shared" si="76"/>
        <v>15</v>
      </c>
      <c r="AW55" s="389">
        <f t="shared" si="77"/>
        <v>0.4257</v>
      </c>
      <c r="AX55" s="387">
        <f t="shared" si="78"/>
        <v>54835983</v>
      </c>
      <c r="AY55" s="387">
        <f t="shared" si="79"/>
        <v>8365.52</v>
      </c>
      <c r="AZ55" s="384">
        <f t="shared" si="80"/>
        <v>5</v>
      </c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s="394" customFormat="1" ht="12.75">
      <c r="A56" s="382">
        <v>49</v>
      </c>
      <c r="B56" s="383" t="s">
        <v>332</v>
      </c>
      <c r="C56" s="384">
        <f>'[1]Table 8 Membership'!R56</f>
        <v>14880</v>
      </c>
      <c r="D56" s="384">
        <f>'[1]Table 8 Membership'!Y56</f>
        <v>14880</v>
      </c>
      <c r="E56" s="384">
        <f>'[1]4-MFP_&amp;_Other_Funded'!BK61+'[1]LEP'!F58</f>
        <v>11777</v>
      </c>
      <c r="F56" s="384">
        <f t="shared" si="42"/>
        <v>2238</v>
      </c>
      <c r="G56" s="384">
        <f>'[5]Sheet1'!C51</f>
        <v>4799</v>
      </c>
      <c r="H56" s="384">
        <f t="shared" si="43"/>
        <v>240</v>
      </c>
      <c r="I56" s="384">
        <f>'[4]mfpLeaSums'!G52</f>
        <v>2256</v>
      </c>
      <c r="J56" s="384">
        <f t="shared" si="44"/>
        <v>3384</v>
      </c>
      <c r="K56" s="384">
        <f>'[4]mfpLeaSums'!C52</f>
        <v>264</v>
      </c>
      <c r="L56" s="384">
        <f t="shared" si="45"/>
        <v>158</v>
      </c>
      <c r="M56" s="384">
        <f t="shared" si="46"/>
        <v>0</v>
      </c>
      <c r="N56" s="386">
        <f t="shared" si="47"/>
        <v>0</v>
      </c>
      <c r="O56" s="384">
        <f t="shared" si="48"/>
        <v>0</v>
      </c>
      <c r="P56" s="384">
        <f t="shared" si="49"/>
        <v>6020</v>
      </c>
      <c r="Q56" s="384">
        <f t="shared" si="50"/>
        <v>20900</v>
      </c>
      <c r="R56" s="387">
        <f t="shared" si="51"/>
        <v>3652</v>
      </c>
      <c r="S56" s="387">
        <f t="shared" si="52"/>
        <v>76326800</v>
      </c>
      <c r="T56" s="388">
        <f>'[1]Table 6 Local Wealth Factor'!L56</f>
        <v>0.68182756</v>
      </c>
      <c r="U56" s="388">
        <f t="shared" si="53"/>
        <v>0.02334231</v>
      </c>
      <c r="V56" s="388">
        <f t="shared" si="54"/>
        <v>0.01591543</v>
      </c>
      <c r="W56" s="387">
        <f t="shared" si="55"/>
        <v>18214604</v>
      </c>
      <c r="X56" s="389">
        <f t="shared" si="56"/>
        <v>0.2386</v>
      </c>
      <c r="Y56" s="390">
        <f t="shared" si="57"/>
        <v>58112196</v>
      </c>
      <c r="Z56" s="389">
        <f t="shared" si="58"/>
        <v>0.7614</v>
      </c>
      <c r="AA56" s="391">
        <f>'[1]Table 7 Local Revenue'!AR55</f>
        <v>27383347</v>
      </c>
      <c r="AB56" s="387">
        <f t="shared" si="81"/>
        <v>9168743</v>
      </c>
      <c r="AC56" s="392">
        <f t="shared" si="59"/>
        <v>0</v>
      </c>
      <c r="AD56" s="387">
        <f t="shared" si="60"/>
        <v>25187844</v>
      </c>
      <c r="AE56" s="393">
        <f t="shared" si="61"/>
        <v>9168743</v>
      </c>
      <c r="AF56" s="390">
        <f t="shared" si="62"/>
        <v>5417842</v>
      </c>
      <c r="AG56" s="389">
        <f t="shared" si="63"/>
        <v>0.5909</v>
      </c>
      <c r="AH56" s="387">
        <f t="shared" si="64"/>
        <v>9465742</v>
      </c>
      <c r="AI56" s="387">
        <f t="shared" si="65"/>
        <v>14586585</v>
      </c>
      <c r="AJ56" s="387">
        <f t="shared" si="66"/>
        <v>63530038</v>
      </c>
      <c r="AK56" s="387">
        <f t="shared" si="67"/>
        <v>4269.49</v>
      </c>
      <c r="AL56" s="390">
        <f>'[1]Table 4 Level 3'!Y56</f>
        <v>4768007</v>
      </c>
      <c r="AM56" s="387">
        <f t="shared" si="68"/>
        <v>320.43</v>
      </c>
      <c r="AN56" s="390">
        <f t="shared" si="69"/>
        <v>68298045</v>
      </c>
      <c r="AO56" s="390">
        <f t="shared" si="70"/>
        <v>4590</v>
      </c>
      <c r="AP56" s="384">
        <f t="shared" si="71"/>
        <v>37</v>
      </c>
      <c r="AQ56" s="392">
        <f>AN56-'[1]Table 2 Distribution &amp; Adjusts'!I53</f>
        <v>2861520</v>
      </c>
      <c r="AR56" s="389">
        <f t="shared" si="72"/>
        <v>0.7138</v>
      </c>
      <c r="AS56" s="384">
        <f t="shared" si="73"/>
        <v>28</v>
      </c>
      <c r="AT56" s="387">
        <f t="shared" si="74"/>
        <v>27383347</v>
      </c>
      <c r="AU56" s="387">
        <f t="shared" si="75"/>
        <v>1840.28</v>
      </c>
      <c r="AV56" s="384">
        <f t="shared" si="76"/>
        <v>48</v>
      </c>
      <c r="AW56" s="389">
        <f t="shared" si="77"/>
        <v>0.2862</v>
      </c>
      <c r="AX56" s="387">
        <f t="shared" si="78"/>
        <v>95681392</v>
      </c>
      <c r="AY56" s="387">
        <f t="shared" si="79"/>
        <v>6430.2</v>
      </c>
      <c r="AZ56" s="384">
        <f t="shared" si="80"/>
        <v>58</v>
      </c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s="405" customFormat="1" ht="12.75">
      <c r="A57" s="395">
        <v>50</v>
      </c>
      <c r="B57" s="396" t="s">
        <v>333</v>
      </c>
      <c r="C57" s="397">
        <f>'[1]Table 8 Membership'!R57</f>
        <v>8133</v>
      </c>
      <c r="D57" s="397">
        <f>'[1]Table 8 Membership'!Y57</f>
        <v>8133</v>
      </c>
      <c r="E57" s="397">
        <f>'[1]4-MFP_&amp;_Other_Funded'!BK62+'[1]LEP'!F59</f>
        <v>5756</v>
      </c>
      <c r="F57" s="397">
        <f t="shared" si="42"/>
        <v>1094</v>
      </c>
      <c r="G57" s="397">
        <f>'[5]Sheet1'!C52</f>
        <v>3355.5</v>
      </c>
      <c r="H57" s="397">
        <f t="shared" si="43"/>
        <v>168</v>
      </c>
      <c r="I57" s="397">
        <f>'[4]mfpLeaSums'!G53</f>
        <v>1187</v>
      </c>
      <c r="J57" s="397">
        <f t="shared" si="44"/>
        <v>1781</v>
      </c>
      <c r="K57" s="397">
        <f>'[4]mfpLeaSums'!C53</f>
        <v>89</v>
      </c>
      <c r="L57" s="397">
        <f t="shared" si="45"/>
        <v>53</v>
      </c>
      <c r="M57" s="397">
        <f t="shared" si="46"/>
        <v>0</v>
      </c>
      <c r="N57" s="398">
        <f t="shared" si="47"/>
        <v>0</v>
      </c>
      <c r="O57" s="397">
        <f t="shared" si="48"/>
        <v>0</v>
      </c>
      <c r="P57" s="397">
        <f t="shared" si="49"/>
        <v>3096</v>
      </c>
      <c r="Q57" s="384">
        <f t="shared" si="50"/>
        <v>11229</v>
      </c>
      <c r="R57" s="399">
        <f t="shared" si="51"/>
        <v>3652</v>
      </c>
      <c r="S57" s="399">
        <f t="shared" si="52"/>
        <v>41008308</v>
      </c>
      <c r="T57" s="400">
        <f>'[1]Table 6 Local Wealth Factor'!L57</f>
        <v>0.58233896</v>
      </c>
      <c r="U57" s="400">
        <f t="shared" si="53"/>
        <v>0.01254118</v>
      </c>
      <c r="V57" s="400">
        <f t="shared" si="54"/>
        <v>0.00730322</v>
      </c>
      <c r="W57" s="399">
        <f t="shared" si="55"/>
        <v>8358257</v>
      </c>
      <c r="X57" s="401">
        <f t="shared" si="56"/>
        <v>0.2038</v>
      </c>
      <c r="Y57" s="402">
        <f t="shared" si="57"/>
        <v>32650051</v>
      </c>
      <c r="Z57" s="401">
        <f t="shared" si="58"/>
        <v>0.7962</v>
      </c>
      <c r="AA57" s="399">
        <f>'[1]Table 7 Local Revenue'!AR56</f>
        <v>13755085</v>
      </c>
      <c r="AB57" s="399">
        <f t="shared" si="81"/>
        <v>5396828</v>
      </c>
      <c r="AC57" s="403">
        <f t="shared" si="59"/>
        <v>0</v>
      </c>
      <c r="AD57" s="399">
        <f t="shared" si="60"/>
        <v>13532742</v>
      </c>
      <c r="AE57" s="404">
        <f t="shared" si="61"/>
        <v>5396828</v>
      </c>
      <c r="AF57" s="402">
        <f t="shared" si="62"/>
        <v>3511158</v>
      </c>
      <c r="AG57" s="401">
        <f t="shared" si="63"/>
        <v>0.6506</v>
      </c>
      <c r="AH57" s="399">
        <f t="shared" si="64"/>
        <v>5293198</v>
      </c>
      <c r="AI57" s="399">
        <f t="shared" si="65"/>
        <v>8907986</v>
      </c>
      <c r="AJ57" s="399">
        <f t="shared" si="66"/>
        <v>36161209</v>
      </c>
      <c r="AK57" s="399">
        <f t="shared" si="67"/>
        <v>4446.23</v>
      </c>
      <c r="AL57" s="402">
        <f>'[1]Table 4 Level 3'!Y57</f>
        <v>2905606</v>
      </c>
      <c r="AM57" s="399">
        <f t="shared" si="68"/>
        <v>357.26</v>
      </c>
      <c r="AN57" s="402">
        <f t="shared" si="69"/>
        <v>39066815</v>
      </c>
      <c r="AO57" s="402">
        <f t="shared" si="70"/>
        <v>4803</v>
      </c>
      <c r="AP57" s="397">
        <f t="shared" si="71"/>
        <v>29</v>
      </c>
      <c r="AQ57" s="403">
        <f>AN57-'[1]Table 2 Distribution &amp; Adjusts'!I54</f>
        <v>1745149</v>
      </c>
      <c r="AR57" s="401">
        <f t="shared" si="72"/>
        <v>0.7396</v>
      </c>
      <c r="AS57" s="397">
        <f t="shared" si="73"/>
        <v>19</v>
      </c>
      <c r="AT57" s="399">
        <f t="shared" si="74"/>
        <v>13755085</v>
      </c>
      <c r="AU57" s="399">
        <f t="shared" si="75"/>
        <v>1691.27</v>
      </c>
      <c r="AV57" s="397">
        <f t="shared" si="76"/>
        <v>51</v>
      </c>
      <c r="AW57" s="401">
        <f t="shared" si="77"/>
        <v>0.2604</v>
      </c>
      <c r="AX57" s="399">
        <f t="shared" si="78"/>
        <v>52821900</v>
      </c>
      <c r="AY57" s="399">
        <f t="shared" si="79"/>
        <v>6494.76</v>
      </c>
      <c r="AZ57" s="397">
        <f t="shared" si="80"/>
        <v>57</v>
      </c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s="394" customFormat="1" ht="12.75">
      <c r="A58" s="382">
        <v>51</v>
      </c>
      <c r="B58" s="383" t="s">
        <v>334</v>
      </c>
      <c r="C58" s="384">
        <f>'[1]Table 8 Membership'!R58</f>
        <v>9643</v>
      </c>
      <c r="D58" s="384">
        <f>'[1]Table 8 Membership'!Y58</f>
        <v>9643</v>
      </c>
      <c r="E58" s="384">
        <f>'[1]4-MFP_&amp;_Other_Funded'!BK63+'[1]LEP'!F60</f>
        <v>6085</v>
      </c>
      <c r="F58" s="384">
        <f t="shared" si="42"/>
        <v>1156</v>
      </c>
      <c r="G58" s="384">
        <f>'[5]Sheet1'!C53</f>
        <v>3825</v>
      </c>
      <c r="H58" s="384">
        <f t="shared" si="43"/>
        <v>191</v>
      </c>
      <c r="I58" s="384">
        <f>'[4]mfpLeaSums'!G54</f>
        <v>1617</v>
      </c>
      <c r="J58" s="384">
        <f t="shared" si="44"/>
        <v>2426</v>
      </c>
      <c r="K58" s="384">
        <f>'[4]mfpLeaSums'!C54</f>
        <v>316</v>
      </c>
      <c r="L58" s="384">
        <f t="shared" si="45"/>
        <v>190</v>
      </c>
      <c r="M58" s="384">
        <f t="shared" si="46"/>
        <v>0</v>
      </c>
      <c r="N58" s="386">
        <f t="shared" si="47"/>
        <v>0</v>
      </c>
      <c r="O58" s="384">
        <f t="shared" si="48"/>
        <v>0</v>
      </c>
      <c r="P58" s="384">
        <f t="shared" si="49"/>
        <v>3963</v>
      </c>
      <c r="Q58" s="406">
        <f t="shared" si="50"/>
        <v>13606</v>
      </c>
      <c r="R58" s="387">
        <f t="shared" si="51"/>
        <v>3652</v>
      </c>
      <c r="S58" s="387">
        <f t="shared" si="52"/>
        <v>49689112</v>
      </c>
      <c r="T58" s="388">
        <f>'[1]Table 6 Local Wealth Factor'!L58</f>
        <v>0.89854656</v>
      </c>
      <c r="U58" s="388">
        <f t="shared" si="53"/>
        <v>0.01519595</v>
      </c>
      <c r="V58" s="388">
        <f t="shared" si="54"/>
        <v>0.01365427</v>
      </c>
      <c r="W58" s="387">
        <f t="shared" si="55"/>
        <v>15626792</v>
      </c>
      <c r="X58" s="389">
        <f t="shared" si="56"/>
        <v>0.3145</v>
      </c>
      <c r="Y58" s="390">
        <f t="shared" si="57"/>
        <v>34062320</v>
      </c>
      <c r="Z58" s="389">
        <f t="shared" si="58"/>
        <v>0.6855</v>
      </c>
      <c r="AA58" s="391">
        <f>'[1]Table 7 Local Revenue'!AR57</f>
        <v>24559519</v>
      </c>
      <c r="AB58" s="387">
        <f t="shared" si="81"/>
        <v>8932727</v>
      </c>
      <c r="AC58" s="392">
        <f t="shared" si="59"/>
        <v>0</v>
      </c>
      <c r="AD58" s="387">
        <f t="shared" si="60"/>
        <v>16397407</v>
      </c>
      <c r="AE58" s="393">
        <f t="shared" si="61"/>
        <v>8932727</v>
      </c>
      <c r="AF58" s="390">
        <f t="shared" si="62"/>
        <v>4116844</v>
      </c>
      <c r="AG58" s="389">
        <f t="shared" si="63"/>
        <v>0.4609</v>
      </c>
      <c r="AH58" s="387">
        <f t="shared" si="64"/>
        <v>3440263</v>
      </c>
      <c r="AI58" s="387">
        <f t="shared" si="65"/>
        <v>13049571</v>
      </c>
      <c r="AJ58" s="387">
        <f t="shared" si="66"/>
        <v>38179164</v>
      </c>
      <c r="AK58" s="387">
        <f t="shared" si="67"/>
        <v>3959.26</v>
      </c>
      <c r="AL58" s="390">
        <f>'[1]Table 4 Level 3'!Y58</f>
        <v>3188304</v>
      </c>
      <c r="AM58" s="387">
        <f t="shared" si="68"/>
        <v>330.63</v>
      </c>
      <c r="AN58" s="390">
        <f t="shared" si="69"/>
        <v>41367468</v>
      </c>
      <c r="AO58" s="390">
        <f t="shared" si="70"/>
        <v>4290</v>
      </c>
      <c r="AP58" s="384">
        <f t="shared" si="71"/>
        <v>47</v>
      </c>
      <c r="AQ58" s="392">
        <f>AN58-'[1]Table 2 Distribution &amp; Adjusts'!I55</f>
        <v>1692393</v>
      </c>
      <c r="AR58" s="389">
        <f t="shared" si="72"/>
        <v>0.6275</v>
      </c>
      <c r="AS58" s="384">
        <f t="shared" si="73"/>
        <v>42</v>
      </c>
      <c r="AT58" s="387">
        <f t="shared" si="74"/>
        <v>24559519</v>
      </c>
      <c r="AU58" s="387">
        <f t="shared" si="75"/>
        <v>2546.88</v>
      </c>
      <c r="AV58" s="384">
        <f t="shared" si="76"/>
        <v>28</v>
      </c>
      <c r="AW58" s="389">
        <f t="shared" si="77"/>
        <v>0.3725</v>
      </c>
      <c r="AX58" s="387">
        <f t="shared" si="78"/>
        <v>65926987</v>
      </c>
      <c r="AY58" s="387">
        <f t="shared" si="79"/>
        <v>6836.77</v>
      </c>
      <c r="AZ58" s="384">
        <f t="shared" si="80"/>
        <v>48</v>
      </c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s="394" customFormat="1" ht="12.75">
      <c r="A59" s="382">
        <v>52</v>
      </c>
      <c r="B59" s="383" t="s">
        <v>335</v>
      </c>
      <c r="C59" s="383">
        <f>'[1]Table 8 Membership'!R59</f>
        <v>34240</v>
      </c>
      <c r="D59" s="383">
        <f>'[1]Table 8 Membership'!Y59</f>
        <v>34240</v>
      </c>
      <c r="E59" s="383">
        <f>'[1]4-MFP_&amp;_Other_Funded'!BK64+'[1]LEP'!F61</f>
        <v>15229</v>
      </c>
      <c r="F59" s="384">
        <f t="shared" si="42"/>
        <v>2894</v>
      </c>
      <c r="G59" s="383">
        <f>'[5]Sheet1'!C54</f>
        <v>18056</v>
      </c>
      <c r="H59" s="384">
        <f t="shared" si="43"/>
        <v>903</v>
      </c>
      <c r="I59" s="383">
        <f>'[4]mfpLeaSums'!G55</f>
        <v>5664</v>
      </c>
      <c r="J59" s="384">
        <f t="shared" si="44"/>
        <v>8496</v>
      </c>
      <c r="K59" s="383">
        <f>'[4]mfpLeaSums'!C55</f>
        <v>2955</v>
      </c>
      <c r="L59" s="384">
        <f t="shared" si="45"/>
        <v>1773</v>
      </c>
      <c r="M59" s="384">
        <f t="shared" si="46"/>
        <v>0</v>
      </c>
      <c r="N59" s="386">
        <f t="shared" si="47"/>
        <v>0</v>
      </c>
      <c r="O59" s="384">
        <f t="shared" si="48"/>
        <v>0</v>
      </c>
      <c r="P59" s="384">
        <f t="shared" si="49"/>
        <v>14066</v>
      </c>
      <c r="Q59" s="384">
        <f t="shared" si="50"/>
        <v>48306</v>
      </c>
      <c r="R59" s="387">
        <f t="shared" si="51"/>
        <v>3652</v>
      </c>
      <c r="S59" s="387">
        <f t="shared" si="52"/>
        <v>176413512</v>
      </c>
      <c r="T59" s="388">
        <f>'[1]Table 6 Local Wealth Factor'!L59</f>
        <v>0.95185268</v>
      </c>
      <c r="U59" s="388">
        <f t="shared" si="53"/>
        <v>0.05395088</v>
      </c>
      <c r="V59" s="388">
        <f t="shared" si="54"/>
        <v>0.05135329</v>
      </c>
      <c r="W59" s="387">
        <f t="shared" si="55"/>
        <v>58771886</v>
      </c>
      <c r="X59" s="389">
        <f t="shared" si="56"/>
        <v>0.3331</v>
      </c>
      <c r="Y59" s="390">
        <f t="shared" si="57"/>
        <v>117641626</v>
      </c>
      <c r="Z59" s="389">
        <f t="shared" si="58"/>
        <v>0.6669</v>
      </c>
      <c r="AA59" s="391">
        <f>'[1]Table 7 Local Revenue'!AR58</f>
        <v>128869710</v>
      </c>
      <c r="AB59" s="387">
        <f t="shared" si="81"/>
        <v>70097824</v>
      </c>
      <c r="AC59" s="392">
        <f t="shared" si="59"/>
        <v>0</v>
      </c>
      <c r="AD59" s="387">
        <f t="shared" si="60"/>
        <v>58216459</v>
      </c>
      <c r="AE59" s="393">
        <f t="shared" si="61"/>
        <v>58216459</v>
      </c>
      <c r="AF59" s="390">
        <f t="shared" si="62"/>
        <v>24968363</v>
      </c>
      <c r="AG59" s="389">
        <f t="shared" si="63"/>
        <v>0.4289</v>
      </c>
      <c r="AH59" s="387">
        <f t="shared" si="64"/>
        <v>0</v>
      </c>
      <c r="AI59" s="387">
        <f t="shared" si="65"/>
        <v>83184822</v>
      </c>
      <c r="AJ59" s="387">
        <f t="shared" si="66"/>
        <v>142609989</v>
      </c>
      <c r="AK59" s="387">
        <f t="shared" si="67"/>
        <v>4165.01</v>
      </c>
      <c r="AL59" s="390">
        <f>'[1]Table 4 Level 3'!Y59</f>
        <v>10528509</v>
      </c>
      <c r="AM59" s="387">
        <f t="shared" si="68"/>
        <v>307.49</v>
      </c>
      <c r="AN59" s="390">
        <f t="shared" si="69"/>
        <v>153138498</v>
      </c>
      <c r="AO59" s="390">
        <f t="shared" si="70"/>
        <v>4473</v>
      </c>
      <c r="AP59" s="384">
        <f t="shared" si="71"/>
        <v>42</v>
      </c>
      <c r="AQ59" s="392">
        <f>AN59-'[1]Table 2 Distribution &amp; Adjusts'!I56</f>
        <v>-454095</v>
      </c>
      <c r="AR59" s="389">
        <f t="shared" si="72"/>
        <v>0.5669</v>
      </c>
      <c r="AS59" s="384">
        <f t="shared" si="73"/>
        <v>50</v>
      </c>
      <c r="AT59" s="387">
        <f t="shared" si="74"/>
        <v>116988345</v>
      </c>
      <c r="AU59" s="387">
        <f t="shared" si="75"/>
        <v>3416.72</v>
      </c>
      <c r="AV59" s="384">
        <f t="shared" si="76"/>
        <v>19</v>
      </c>
      <c r="AW59" s="389">
        <f t="shared" si="77"/>
        <v>0.4331</v>
      </c>
      <c r="AX59" s="387">
        <f t="shared" si="78"/>
        <v>270126843</v>
      </c>
      <c r="AY59" s="387">
        <f t="shared" si="79"/>
        <v>7889.22</v>
      </c>
      <c r="AZ59" s="384">
        <f t="shared" si="80"/>
        <v>12</v>
      </c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s="394" customFormat="1" ht="12.75">
      <c r="A60" s="382">
        <v>53</v>
      </c>
      <c r="B60" s="383" t="s">
        <v>336</v>
      </c>
      <c r="C60" s="384">
        <f>'[1]Table 8 Membership'!R60</f>
        <v>18534</v>
      </c>
      <c r="D60" s="384">
        <f>'[1]Table 8 Membership'!Y60</f>
        <v>18534</v>
      </c>
      <c r="E60" s="384">
        <f>'[1]4-MFP_&amp;_Other_Funded'!BK65+'[1]LEP'!F62</f>
        <v>13130</v>
      </c>
      <c r="F60" s="384">
        <f t="shared" si="42"/>
        <v>2495</v>
      </c>
      <c r="G60" s="384">
        <f>'[5]Sheet1'!C55</f>
        <v>4987.5</v>
      </c>
      <c r="H60" s="384">
        <f t="shared" si="43"/>
        <v>249</v>
      </c>
      <c r="I60" s="384">
        <f>'[4]mfpLeaSums'!G56</f>
        <v>2654</v>
      </c>
      <c r="J60" s="384">
        <f t="shared" si="44"/>
        <v>3981</v>
      </c>
      <c r="K60" s="384">
        <f>'[4]mfpLeaSums'!C56</f>
        <v>345</v>
      </c>
      <c r="L60" s="384">
        <f t="shared" si="45"/>
        <v>207</v>
      </c>
      <c r="M60" s="384">
        <f t="shared" si="46"/>
        <v>0</v>
      </c>
      <c r="N60" s="386">
        <f t="shared" si="47"/>
        <v>0</v>
      </c>
      <c r="O60" s="384">
        <f t="shared" si="48"/>
        <v>0</v>
      </c>
      <c r="P60" s="384">
        <f t="shared" si="49"/>
        <v>6932</v>
      </c>
      <c r="Q60" s="384">
        <f t="shared" si="50"/>
        <v>25466</v>
      </c>
      <c r="R60" s="387">
        <f t="shared" si="51"/>
        <v>3652</v>
      </c>
      <c r="S60" s="387">
        <f t="shared" si="52"/>
        <v>93001832</v>
      </c>
      <c r="T60" s="388">
        <f>'[1]Table 6 Local Wealth Factor'!L60</f>
        <v>0.6489054400000001</v>
      </c>
      <c r="U60" s="388">
        <f t="shared" si="53"/>
        <v>0.02844187</v>
      </c>
      <c r="V60" s="388">
        <f t="shared" si="54"/>
        <v>0.01845608</v>
      </c>
      <c r="W60" s="387">
        <f t="shared" si="55"/>
        <v>21122281</v>
      </c>
      <c r="X60" s="389">
        <f t="shared" si="56"/>
        <v>0.2271</v>
      </c>
      <c r="Y60" s="390">
        <f t="shared" si="57"/>
        <v>71879551</v>
      </c>
      <c r="Z60" s="389">
        <f t="shared" si="58"/>
        <v>0.7729</v>
      </c>
      <c r="AA60" s="391">
        <f>'[1]Table 7 Local Revenue'!AR59</f>
        <v>29318107</v>
      </c>
      <c r="AB60" s="387">
        <f t="shared" si="81"/>
        <v>8195826</v>
      </c>
      <c r="AC60" s="392">
        <f t="shared" si="59"/>
        <v>0</v>
      </c>
      <c r="AD60" s="387">
        <f t="shared" si="60"/>
        <v>30690605</v>
      </c>
      <c r="AE60" s="393">
        <f t="shared" si="61"/>
        <v>8195826</v>
      </c>
      <c r="AF60" s="390">
        <f t="shared" si="62"/>
        <v>5004836</v>
      </c>
      <c r="AG60" s="389">
        <f t="shared" si="63"/>
        <v>0.6107</v>
      </c>
      <c r="AH60" s="387">
        <f t="shared" si="64"/>
        <v>13736589</v>
      </c>
      <c r="AI60" s="387">
        <f t="shared" si="65"/>
        <v>13200662</v>
      </c>
      <c r="AJ60" s="387">
        <f t="shared" si="66"/>
        <v>76884387</v>
      </c>
      <c r="AK60" s="387">
        <f t="shared" si="67"/>
        <v>4148.29</v>
      </c>
      <c r="AL60" s="390">
        <f>'[1]Table 4 Level 3'!Y60</f>
        <v>7213450</v>
      </c>
      <c r="AM60" s="387">
        <f t="shared" si="68"/>
        <v>389.2</v>
      </c>
      <c r="AN60" s="390">
        <f t="shared" si="69"/>
        <v>84097837</v>
      </c>
      <c r="AO60" s="390">
        <f t="shared" si="70"/>
        <v>4537</v>
      </c>
      <c r="AP60" s="384">
        <f t="shared" si="71"/>
        <v>41</v>
      </c>
      <c r="AQ60" s="392">
        <f>AN60-'[1]Table 2 Distribution &amp; Adjusts'!I57</f>
        <v>6405560</v>
      </c>
      <c r="AR60" s="389">
        <f t="shared" si="72"/>
        <v>0.7415</v>
      </c>
      <c r="AS60" s="384">
        <f t="shared" si="73"/>
        <v>18</v>
      </c>
      <c r="AT60" s="387">
        <f t="shared" si="74"/>
        <v>29318107</v>
      </c>
      <c r="AU60" s="387">
        <f t="shared" si="75"/>
        <v>1581.86</v>
      </c>
      <c r="AV60" s="384">
        <f t="shared" si="76"/>
        <v>52</v>
      </c>
      <c r="AW60" s="389">
        <f t="shared" si="77"/>
        <v>0.2585</v>
      </c>
      <c r="AX60" s="387">
        <f t="shared" si="78"/>
        <v>113415944</v>
      </c>
      <c r="AY60" s="387">
        <f t="shared" si="79"/>
        <v>6119.35</v>
      </c>
      <c r="AZ60" s="384">
        <f t="shared" si="80"/>
        <v>62</v>
      </c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s="394" customFormat="1" ht="12.75">
      <c r="A61" s="382">
        <v>54</v>
      </c>
      <c r="B61" s="383" t="s">
        <v>337</v>
      </c>
      <c r="C61" s="384">
        <f>'[1]Table 8 Membership'!R61</f>
        <v>791</v>
      </c>
      <c r="D61" s="384">
        <f>'[1]Table 8 Membership'!Y61</f>
        <v>791</v>
      </c>
      <c r="E61" s="384">
        <f>'[1]4-MFP_&amp;_Other_Funded'!BK66+'[1]LEP'!F63</f>
        <v>707</v>
      </c>
      <c r="F61" s="384">
        <f t="shared" si="42"/>
        <v>134</v>
      </c>
      <c r="G61" s="384">
        <f>'[5]Sheet1'!C56</f>
        <v>290.5</v>
      </c>
      <c r="H61" s="384">
        <f t="shared" si="43"/>
        <v>15</v>
      </c>
      <c r="I61" s="384">
        <f>'[4]mfpLeaSums'!G57</f>
        <v>164</v>
      </c>
      <c r="J61" s="384">
        <f t="shared" si="44"/>
        <v>246</v>
      </c>
      <c r="K61" s="384">
        <f>'[4]mfpLeaSums'!C57</f>
        <v>19</v>
      </c>
      <c r="L61" s="384">
        <f t="shared" si="45"/>
        <v>11</v>
      </c>
      <c r="M61" s="384">
        <f t="shared" si="46"/>
        <v>6709</v>
      </c>
      <c r="N61" s="386">
        <f t="shared" si="47"/>
        <v>0.17891</v>
      </c>
      <c r="O61" s="384">
        <f t="shared" si="48"/>
        <v>142</v>
      </c>
      <c r="P61" s="384">
        <f t="shared" si="49"/>
        <v>548</v>
      </c>
      <c r="Q61" s="384">
        <f t="shared" si="50"/>
        <v>1339</v>
      </c>
      <c r="R61" s="387">
        <f t="shared" si="51"/>
        <v>3652</v>
      </c>
      <c r="S61" s="387">
        <f t="shared" si="52"/>
        <v>4890028</v>
      </c>
      <c r="T61" s="388">
        <f>'[1]Table 6 Local Wealth Factor'!L61</f>
        <v>0.85387134</v>
      </c>
      <c r="U61" s="388">
        <f t="shared" si="53"/>
        <v>0.00149547</v>
      </c>
      <c r="V61" s="388">
        <f t="shared" si="54"/>
        <v>0.00127694</v>
      </c>
      <c r="W61" s="387">
        <f t="shared" si="55"/>
        <v>1461409</v>
      </c>
      <c r="X61" s="389">
        <f t="shared" si="56"/>
        <v>0.2989</v>
      </c>
      <c r="Y61" s="390">
        <f t="shared" si="57"/>
        <v>3428619</v>
      </c>
      <c r="Z61" s="389">
        <f t="shared" si="58"/>
        <v>0.7011</v>
      </c>
      <c r="AA61" s="391">
        <f>'[1]Table 7 Local Revenue'!AR60</f>
        <v>1959354</v>
      </c>
      <c r="AB61" s="387">
        <f t="shared" si="81"/>
        <v>497945</v>
      </c>
      <c r="AC61" s="392">
        <f t="shared" si="59"/>
        <v>0</v>
      </c>
      <c r="AD61" s="387">
        <f t="shared" si="60"/>
        <v>1613709</v>
      </c>
      <c r="AE61" s="393">
        <f t="shared" si="61"/>
        <v>497945</v>
      </c>
      <c r="AF61" s="390">
        <f t="shared" si="62"/>
        <v>242836</v>
      </c>
      <c r="AG61" s="389">
        <f t="shared" si="63"/>
        <v>0.4877</v>
      </c>
      <c r="AH61" s="387">
        <f t="shared" si="64"/>
        <v>544133</v>
      </c>
      <c r="AI61" s="387">
        <f t="shared" si="65"/>
        <v>740781</v>
      </c>
      <c r="AJ61" s="387">
        <f t="shared" si="66"/>
        <v>3671455</v>
      </c>
      <c r="AK61" s="387">
        <f t="shared" si="67"/>
        <v>4641.54</v>
      </c>
      <c r="AL61" s="390">
        <f>'[1]Table 4 Level 3'!Y61</f>
        <v>416976</v>
      </c>
      <c r="AM61" s="387">
        <f t="shared" si="68"/>
        <v>527.15</v>
      </c>
      <c r="AN61" s="390">
        <f t="shared" si="69"/>
        <v>4088431</v>
      </c>
      <c r="AO61" s="390">
        <f t="shared" si="70"/>
        <v>5169</v>
      </c>
      <c r="AP61" s="384">
        <f t="shared" si="71"/>
        <v>16</v>
      </c>
      <c r="AQ61" s="392">
        <f>AN61-'[1]Table 2 Distribution &amp; Adjusts'!I58</f>
        <v>-113210</v>
      </c>
      <c r="AR61" s="389">
        <f t="shared" si="72"/>
        <v>0.676</v>
      </c>
      <c r="AS61" s="384">
        <f t="shared" si="73"/>
        <v>35</v>
      </c>
      <c r="AT61" s="387">
        <f t="shared" si="74"/>
        <v>1959354</v>
      </c>
      <c r="AU61" s="387">
        <f t="shared" si="75"/>
        <v>2477.06</v>
      </c>
      <c r="AV61" s="384">
        <f t="shared" si="76"/>
        <v>31</v>
      </c>
      <c r="AW61" s="389">
        <f t="shared" si="77"/>
        <v>0.324</v>
      </c>
      <c r="AX61" s="387">
        <f t="shared" si="78"/>
        <v>6047785</v>
      </c>
      <c r="AY61" s="387">
        <f t="shared" si="79"/>
        <v>7645.75</v>
      </c>
      <c r="AZ61" s="384">
        <f t="shared" si="80"/>
        <v>22</v>
      </c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s="405" customFormat="1" ht="12.75">
      <c r="A62" s="395">
        <v>55</v>
      </c>
      <c r="B62" s="396" t="s">
        <v>338</v>
      </c>
      <c r="C62" s="397">
        <f>'[1]Table 8 Membership'!R62</f>
        <v>18822</v>
      </c>
      <c r="D62" s="397">
        <f>'[1]Table 8 Membership'!Y62</f>
        <v>18822</v>
      </c>
      <c r="E62" s="397">
        <f>'[1]4-MFP_&amp;_Other_Funded'!BK67+'[1]LEP'!F64</f>
        <v>12722</v>
      </c>
      <c r="F62" s="397">
        <f t="shared" si="42"/>
        <v>2417</v>
      </c>
      <c r="G62" s="397">
        <f>'[5]Sheet1'!C57</f>
        <v>7546.5</v>
      </c>
      <c r="H62" s="397">
        <f t="shared" si="43"/>
        <v>377</v>
      </c>
      <c r="I62" s="397">
        <f>'[4]mfpLeaSums'!G58</f>
        <v>3011</v>
      </c>
      <c r="J62" s="397">
        <f t="shared" si="44"/>
        <v>4517</v>
      </c>
      <c r="K62" s="397">
        <f>'[4]mfpLeaSums'!C58</f>
        <v>854</v>
      </c>
      <c r="L62" s="397">
        <f t="shared" si="45"/>
        <v>512</v>
      </c>
      <c r="M62" s="397">
        <f t="shared" si="46"/>
        <v>0</v>
      </c>
      <c r="N62" s="398">
        <f t="shared" si="47"/>
        <v>0</v>
      </c>
      <c r="O62" s="397">
        <f t="shared" si="48"/>
        <v>0</v>
      </c>
      <c r="P62" s="397">
        <f t="shared" si="49"/>
        <v>7823</v>
      </c>
      <c r="Q62" s="384">
        <f t="shared" si="50"/>
        <v>26645</v>
      </c>
      <c r="R62" s="399">
        <f t="shared" si="51"/>
        <v>3652</v>
      </c>
      <c r="S62" s="399">
        <f t="shared" si="52"/>
        <v>97307540</v>
      </c>
      <c r="T62" s="400">
        <f>'[1]Table 6 Local Wealth Factor'!L62</f>
        <v>0.92147407</v>
      </c>
      <c r="U62" s="400">
        <f t="shared" si="53"/>
        <v>0.02975865</v>
      </c>
      <c r="V62" s="400">
        <f t="shared" si="54"/>
        <v>0.02742182</v>
      </c>
      <c r="W62" s="399">
        <f t="shared" si="55"/>
        <v>31383229</v>
      </c>
      <c r="X62" s="401">
        <f t="shared" si="56"/>
        <v>0.3225</v>
      </c>
      <c r="Y62" s="402">
        <f t="shared" si="57"/>
        <v>65924311</v>
      </c>
      <c r="Z62" s="401">
        <f t="shared" si="58"/>
        <v>0.6775</v>
      </c>
      <c r="AA62" s="399">
        <f>'[1]Table 7 Local Revenue'!AR61</f>
        <v>41791639</v>
      </c>
      <c r="AB62" s="399">
        <f t="shared" si="81"/>
        <v>10408410</v>
      </c>
      <c r="AC62" s="403">
        <f t="shared" si="59"/>
        <v>0</v>
      </c>
      <c r="AD62" s="399">
        <f t="shared" si="60"/>
        <v>32111488</v>
      </c>
      <c r="AE62" s="404">
        <f t="shared" si="61"/>
        <v>10408410</v>
      </c>
      <c r="AF62" s="402">
        <f t="shared" si="62"/>
        <v>4653762</v>
      </c>
      <c r="AG62" s="401">
        <f t="shared" si="63"/>
        <v>0.4471</v>
      </c>
      <c r="AH62" s="399">
        <f t="shared" si="64"/>
        <v>9703784</v>
      </c>
      <c r="AI62" s="399">
        <f t="shared" si="65"/>
        <v>15062172</v>
      </c>
      <c r="AJ62" s="399">
        <f t="shared" si="66"/>
        <v>70578073</v>
      </c>
      <c r="AK62" s="399">
        <f t="shared" si="67"/>
        <v>3749.76</v>
      </c>
      <c r="AL62" s="402">
        <f>'[1]Table 4 Level 3'!Y62</f>
        <v>8297495</v>
      </c>
      <c r="AM62" s="399">
        <f t="shared" si="68"/>
        <v>440.84</v>
      </c>
      <c r="AN62" s="402">
        <f t="shared" si="69"/>
        <v>78875568</v>
      </c>
      <c r="AO62" s="402">
        <f t="shared" si="70"/>
        <v>4191</v>
      </c>
      <c r="AP62" s="397">
        <f t="shared" si="71"/>
        <v>49</v>
      </c>
      <c r="AQ62" s="403">
        <f>AN62-'[1]Table 2 Distribution &amp; Adjusts'!I59</f>
        <v>4005211</v>
      </c>
      <c r="AR62" s="401">
        <f t="shared" si="72"/>
        <v>0.6537</v>
      </c>
      <c r="AS62" s="397">
        <f t="shared" si="73"/>
        <v>38</v>
      </c>
      <c r="AT62" s="399">
        <f t="shared" si="74"/>
        <v>41791639</v>
      </c>
      <c r="AU62" s="399">
        <f t="shared" si="75"/>
        <v>2220.36</v>
      </c>
      <c r="AV62" s="397">
        <f t="shared" si="76"/>
        <v>40</v>
      </c>
      <c r="AW62" s="401">
        <f t="shared" si="77"/>
        <v>0.3463</v>
      </c>
      <c r="AX62" s="399">
        <f t="shared" si="78"/>
        <v>120667207</v>
      </c>
      <c r="AY62" s="399">
        <f t="shared" si="79"/>
        <v>6410.97</v>
      </c>
      <c r="AZ62" s="397">
        <f t="shared" si="80"/>
        <v>59</v>
      </c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s="394" customFormat="1" ht="12.75">
      <c r="A63" s="382">
        <v>56</v>
      </c>
      <c r="B63" s="383" t="s">
        <v>339</v>
      </c>
      <c r="C63" s="384">
        <f>'[1]Table 8 Membership'!R63</f>
        <v>3040</v>
      </c>
      <c r="D63" s="384">
        <f>'[1]Table 8 Membership'!Y63</f>
        <v>3040</v>
      </c>
      <c r="E63" s="384">
        <f>'[1]4-MFP_&amp;_Other_Funded'!BK68+'[1]LEP'!F65</f>
        <v>1356</v>
      </c>
      <c r="F63" s="384">
        <f t="shared" si="42"/>
        <v>258</v>
      </c>
      <c r="G63" s="384">
        <f>'[5]Sheet1'!C58</f>
        <v>1388.5</v>
      </c>
      <c r="H63" s="384">
        <f t="shared" si="43"/>
        <v>69</v>
      </c>
      <c r="I63" s="384">
        <f>'[4]mfpLeaSums'!G59</f>
        <v>441</v>
      </c>
      <c r="J63" s="384">
        <f t="shared" si="44"/>
        <v>662</v>
      </c>
      <c r="K63" s="384">
        <f>'[4]mfpLeaSums'!C59</f>
        <v>24</v>
      </c>
      <c r="L63" s="384">
        <f t="shared" si="45"/>
        <v>14</v>
      </c>
      <c r="M63" s="384">
        <f t="shared" si="46"/>
        <v>4460</v>
      </c>
      <c r="N63" s="386">
        <f t="shared" si="47"/>
        <v>0.11893</v>
      </c>
      <c r="O63" s="384">
        <f t="shared" si="48"/>
        <v>362</v>
      </c>
      <c r="P63" s="384">
        <f t="shared" si="49"/>
        <v>1365</v>
      </c>
      <c r="Q63" s="406">
        <f t="shared" si="50"/>
        <v>4405</v>
      </c>
      <c r="R63" s="387">
        <f t="shared" si="51"/>
        <v>3652</v>
      </c>
      <c r="S63" s="387">
        <f t="shared" si="52"/>
        <v>16087060</v>
      </c>
      <c r="T63" s="388">
        <f>'[1]Table 6 Local Wealth Factor'!L63</f>
        <v>0.77193163</v>
      </c>
      <c r="U63" s="388">
        <f t="shared" si="53"/>
        <v>0.00491975</v>
      </c>
      <c r="V63" s="388">
        <f t="shared" si="54"/>
        <v>0.00379771</v>
      </c>
      <c r="W63" s="387">
        <f t="shared" si="55"/>
        <v>4346335</v>
      </c>
      <c r="X63" s="389">
        <f t="shared" si="56"/>
        <v>0.2702</v>
      </c>
      <c r="Y63" s="390">
        <f t="shared" si="57"/>
        <v>11740725</v>
      </c>
      <c r="Z63" s="389">
        <f t="shared" si="58"/>
        <v>0.7298</v>
      </c>
      <c r="AA63" s="391">
        <f>'[1]Table 7 Local Revenue'!AR62</f>
        <v>4240886</v>
      </c>
      <c r="AB63" s="387">
        <f t="shared" si="81"/>
        <v>0</v>
      </c>
      <c r="AC63" s="392">
        <f t="shared" si="59"/>
        <v>-105449</v>
      </c>
      <c r="AD63" s="387">
        <f t="shared" si="60"/>
        <v>5308730</v>
      </c>
      <c r="AE63" s="393">
        <f t="shared" si="61"/>
        <v>0</v>
      </c>
      <c r="AF63" s="390">
        <f t="shared" si="62"/>
        <v>0</v>
      </c>
      <c r="AG63" s="389">
        <f t="shared" si="63"/>
        <v>0</v>
      </c>
      <c r="AH63" s="387">
        <f t="shared" si="64"/>
        <v>2849944</v>
      </c>
      <c r="AI63" s="387">
        <f t="shared" si="65"/>
        <v>0</v>
      </c>
      <c r="AJ63" s="387">
        <f t="shared" si="66"/>
        <v>11740725</v>
      </c>
      <c r="AK63" s="387">
        <f t="shared" si="67"/>
        <v>3862.08</v>
      </c>
      <c r="AL63" s="390">
        <f>'[1]Table 4 Level 3'!Y63</f>
        <v>822466</v>
      </c>
      <c r="AM63" s="387">
        <f t="shared" si="68"/>
        <v>270.55</v>
      </c>
      <c r="AN63" s="390">
        <f t="shared" si="69"/>
        <v>12563191</v>
      </c>
      <c r="AO63" s="390">
        <f t="shared" si="70"/>
        <v>4133</v>
      </c>
      <c r="AP63" s="384">
        <f t="shared" si="71"/>
        <v>52</v>
      </c>
      <c r="AQ63" s="392">
        <f>AN63-'[1]Table 2 Distribution &amp; Adjusts'!I60</f>
        <v>-732934</v>
      </c>
      <c r="AR63" s="389">
        <f t="shared" si="72"/>
        <v>0.743</v>
      </c>
      <c r="AS63" s="384">
        <f t="shared" si="73"/>
        <v>17</v>
      </c>
      <c r="AT63" s="387">
        <f t="shared" si="74"/>
        <v>4346335</v>
      </c>
      <c r="AU63" s="387">
        <f t="shared" si="75"/>
        <v>1429.72</v>
      </c>
      <c r="AV63" s="384">
        <f t="shared" si="76"/>
        <v>57</v>
      </c>
      <c r="AW63" s="389">
        <f t="shared" si="77"/>
        <v>0.257</v>
      </c>
      <c r="AX63" s="387">
        <f t="shared" si="78"/>
        <v>16909526</v>
      </c>
      <c r="AY63" s="387">
        <f t="shared" si="79"/>
        <v>5562.34</v>
      </c>
      <c r="AZ63" s="384">
        <f t="shared" si="80"/>
        <v>68</v>
      </c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s="394" customFormat="1" ht="12.75">
      <c r="A64" s="382">
        <v>57</v>
      </c>
      <c r="B64" s="383" t="s">
        <v>340</v>
      </c>
      <c r="C64" s="384">
        <f>'[1]Table 8 Membership'!R64</f>
        <v>8540</v>
      </c>
      <c r="D64" s="384">
        <f>'[1]Table 8 Membership'!Y64</f>
        <v>8540</v>
      </c>
      <c r="E64" s="384">
        <f>'[1]4-MFP_&amp;_Other_Funded'!BK69+'[1]LEP'!F66</f>
        <v>4856</v>
      </c>
      <c r="F64" s="384">
        <f t="shared" si="42"/>
        <v>923</v>
      </c>
      <c r="G64" s="384">
        <f>'[5]Sheet1'!C59</f>
        <v>3204</v>
      </c>
      <c r="H64" s="384">
        <f t="shared" si="43"/>
        <v>160</v>
      </c>
      <c r="I64" s="384">
        <f>'[4]mfpLeaSums'!G60</f>
        <v>1328</v>
      </c>
      <c r="J64" s="384">
        <f t="shared" si="44"/>
        <v>1992</v>
      </c>
      <c r="K64" s="384">
        <f>'[4]mfpLeaSums'!C60</f>
        <v>85</v>
      </c>
      <c r="L64" s="384">
        <f t="shared" si="45"/>
        <v>51</v>
      </c>
      <c r="M64" s="384">
        <f t="shared" si="46"/>
        <v>0</v>
      </c>
      <c r="N64" s="386">
        <f t="shared" si="47"/>
        <v>0</v>
      </c>
      <c r="O64" s="384">
        <f t="shared" si="48"/>
        <v>0</v>
      </c>
      <c r="P64" s="384">
        <f t="shared" si="49"/>
        <v>3126</v>
      </c>
      <c r="Q64" s="384">
        <f t="shared" si="50"/>
        <v>11666</v>
      </c>
      <c r="R64" s="387">
        <f t="shared" si="51"/>
        <v>3652</v>
      </c>
      <c r="S64" s="387">
        <f t="shared" si="52"/>
        <v>42604232</v>
      </c>
      <c r="T64" s="388">
        <f>'[1]Table 6 Local Wealth Factor'!L64</f>
        <v>0.86578145</v>
      </c>
      <c r="U64" s="388">
        <f t="shared" si="53"/>
        <v>0.01302925</v>
      </c>
      <c r="V64" s="388">
        <f t="shared" si="54"/>
        <v>0.01128048</v>
      </c>
      <c r="W64" s="387">
        <f t="shared" si="55"/>
        <v>12910080</v>
      </c>
      <c r="X64" s="389">
        <f t="shared" si="56"/>
        <v>0.303</v>
      </c>
      <c r="Y64" s="390">
        <f t="shared" si="57"/>
        <v>29694152</v>
      </c>
      <c r="Z64" s="389">
        <f t="shared" si="58"/>
        <v>0.697</v>
      </c>
      <c r="AA64" s="391">
        <f>'[1]Table 7 Local Revenue'!AR63</f>
        <v>16387307</v>
      </c>
      <c r="AB64" s="387">
        <f t="shared" si="81"/>
        <v>3477227</v>
      </c>
      <c r="AC64" s="392">
        <f t="shared" si="59"/>
        <v>0</v>
      </c>
      <c r="AD64" s="387">
        <f t="shared" si="60"/>
        <v>14059397</v>
      </c>
      <c r="AE64" s="393">
        <f t="shared" si="61"/>
        <v>3477227</v>
      </c>
      <c r="AF64" s="390">
        <f t="shared" si="62"/>
        <v>1670916</v>
      </c>
      <c r="AG64" s="389">
        <f t="shared" si="63"/>
        <v>0.4805</v>
      </c>
      <c r="AH64" s="387">
        <f t="shared" si="64"/>
        <v>5085062</v>
      </c>
      <c r="AI64" s="387">
        <f t="shared" si="65"/>
        <v>5148143</v>
      </c>
      <c r="AJ64" s="387">
        <f t="shared" si="66"/>
        <v>31365068</v>
      </c>
      <c r="AK64" s="387">
        <f t="shared" si="67"/>
        <v>3672.72</v>
      </c>
      <c r="AL64" s="390">
        <f>'[1]Table 4 Level 3'!Y64</f>
        <v>3829824</v>
      </c>
      <c r="AM64" s="387">
        <f t="shared" si="68"/>
        <v>448.46</v>
      </c>
      <c r="AN64" s="390">
        <f t="shared" si="69"/>
        <v>35194892</v>
      </c>
      <c r="AO64" s="390">
        <f t="shared" si="70"/>
        <v>4121</v>
      </c>
      <c r="AP64" s="384">
        <f t="shared" si="71"/>
        <v>53</v>
      </c>
      <c r="AQ64" s="392">
        <f>AN64-'[1]Table 2 Distribution &amp; Adjusts'!I61</f>
        <v>2159565</v>
      </c>
      <c r="AR64" s="389">
        <f t="shared" si="72"/>
        <v>0.6823</v>
      </c>
      <c r="AS64" s="384">
        <f t="shared" si="73"/>
        <v>31</v>
      </c>
      <c r="AT64" s="387">
        <f t="shared" si="74"/>
        <v>16387307</v>
      </c>
      <c r="AU64" s="387">
        <f t="shared" si="75"/>
        <v>1918.89</v>
      </c>
      <c r="AV64" s="384">
        <f t="shared" si="76"/>
        <v>45</v>
      </c>
      <c r="AW64" s="389">
        <f t="shared" si="77"/>
        <v>0.3177</v>
      </c>
      <c r="AX64" s="387">
        <f t="shared" si="78"/>
        <v>51582199</v>
      </c>
      <c r="AY64" s="387">
        <f t="shared" si="79"/>
        <v>6040.07</v>
      </c>
      <c r="AZ64" s="384">
        <f t="shared" si="80"/>
        <v>63</v>
      </c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s="394" customFormat="1" ht="12.75">
      <c r="A65" s="382">
        <v>58</v>
      </c>
      <c r="B65" s="383" t="s">
        <v>341</v>
      </c>
      <c r="C65" s="384">
        <f>'[1]Table 8 Membership'!R65</f>
        <v>9232</v>
      </c>
      <c r="D65" s="384">
        <f>'[1]Table 8 Membership'!Y65</f>
        <v>9232</v>
      </c>
      <c r="E65" s="384">
        <f>'[1]4-MFP_&amp;_Other_Funded'!BK70+'[1]LEP'!F67</f>
        <v>4744</v>
      </c>
      <c r="F65" s="384">
        <f t="shared" si="42"/>
        <v>901</v>
      </c>
      <c r="G65" s="384">
        <f>'[5]Sheet1'!C60</f>
        <v>2383</v>
      </c>
      <c r="H65" s="384">
        <f t="shared" si="43"/>
        <v>119</v>
      </c>
      <c r="I65" s="384">
        <f>'[4]mfpLeaSums'!G61</f>
        <v>1337</v>
      </c>
      <c r="J65" s="384">
        <f t="shared" si="44"/>
        <v>2006</v>
      </c>
      <c r="K65" s="384">
        <f>'[4]mfpLeaSums'!C61</f>
        <v>336</v>
      </c>
      <c r="L65" s="384">
        <f t="shared" si="45"/>
        <v>202</v>
      </c>
      <c r="M65" s="384">
        <f t="shared" si="46"/>
        <v>0</v>
      </c>
      <c r="N65" s="386">
        <f t="shared" si="47"/>
        <v>0</v>
      </c>
      <c r="O65" s="384">
        <f t="shared" si="48"/>
        <v>0</v>
      </c>
      <c r="P65" s="384">
        <f t="shared" si="49"/>
        <v>3228</v>
      </c>
      <c r="Q65" s="384">
        <f t="shared" si="50"/>
        <v>12460</v>
      </c>
      <c r="R65" s="387">
        <f t="shared" si="51"/>
        <v>3652</v>
      </c>
      <c r="S65" s="387">
        <f t="shared" si="52"/>
        <v>45503920</v>
      </c>
      <c r="T65" s="388">
        <f>'[1]Table 6 Local Wealth Factor'!L65</f>
        <v>0.48635833</v>
      </c>
      <c r="U65" s="388">
        <f t="shared" si="53"/>
        <v>0.01391603</v>
      </c>
      <c r="V65" s="388">
        <f t="shared" si="54"/>
        <v>0.00676818</v>
      </c>
      <c r="W65" s="387">
        <f t="shared" si="55"/>
        <v>7745924</v>
      </c>
      <c r="X65" s="389">
        <f t="shared" si="56"/>
        <v>0.1702</v>
      </c>
      <c r="Y65" s="390">
        <f t="shared" si="57"/>
        <v>37757996</v>
      </c>
      <c r="Z65" s="389">
        <f t="shared" si="58"/>
        <v>0.8298</v>
      </c>
      <c r="AA65" s="391">
        <f>'[1]Table 7 Local Revenue'!AR64</f>
        <v>14431463</v>
      </c>
      <c r="AB65" s="387">
        <f t="shared" si="81"/>
        <v>6685539</v>
      </c>
      <c r="AC65" s="392">
        <f t="shared" si="59"/>
        <v>0</v>
      </c>
      <c r="AD65" s="387">
        <f t="shared" si="60"/>
        <v>15016294</v>
      </c>
      <c r="AE65" s="393">
        <f t="shared" si="61"/>
        <v>6685539</v>
      </c>
      <c r="AF65" s="390">
        <f t="shared" si="62"/>
        <v>4734598</v>
      </c>
      <c r="AG65" s="389">
        <f t="shared" si="63"/>
        <v>0.7082</v>
      </c>
      <c r="AH65" s="387">
        <f t="shared" si="64"/>
        <v>5899716</v>
      </c>
      <c r="AI65" s="387">
        <f t="shared" si="65"/>
        <v>11420137</v>
      </c>
      <c r="AJ65" s="387">
        <f t="shared" si="66"/>
        <v>42492594</v>
      </c>
      <c r="AK65" s="387">
        <f t="shared" si="67"/>
        <v>4602.75</v>
      </c>
      <c r="AL65" s="390">
        <f>'[1]Table 4 Level 3'!Y65</f>
        <v>4379518</v>
      </c>
      <c r="AM65" s="387">
        <f t="shared" si="68"/>
        <v>474.38</v>
      </c>
      <c r="AN65" s="390">
        <f t="shared" si="69"/>
        <v>46872112</v>
      </c>
      <c r="AO65" s="390">
        <f t="shared" si="70"/>
        <v>5077</v>
      </c>
      <c r="AP65" s="384">
        <f t="shared" si="71"/>
        <v>21</v>
      </c>
      <c r="AQ65" s="392">
        <f>AN65-'[1]Table 2 Distribution &amp; Adjusts'!I62</f>
        <v>919546</v>
      </c>
      <c r="AR65" s="389">
        <f t="shared" si="72"/>
        <v>0.7646</v>
      </c>
      <c r="AS65" s="384">
        <f t="shared" si="73"/>
        <v>14</v>
      </c>
      <c r="AT65" s="387">
        <f t="shared" si="74"/>
        <v>14431463</v>
      </c>
      <c r="AU65" s="387">
        <f t="shared" si="75"/>
        <v>1563.2</v>
      </c>
      <c r="AV65" s="384">
        <f t="shared" si="76"/>
        <v>55</v>
      </c>
      <c r="AW65" s="389">
        <f t="shared" si="77"/>
        <v>0.2354</v>
      </c>
      <c r="AX65" s="387">
        <f t="shared" si="78"/>
        <v>61303575</v>
      </c>
      <c r="AY65" s="387">
        <f t="shared" si="79"/>
        <v>6640.34</v>
      </c>
      <c r="AZ65" s="384">
        <f t="shared" si="80"/>
        <v>53</v>
      </c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s="394" customFormat="1" ht="12.75">
      <c r="A66" s="382">
        <v>59</v>
      </c>
      <c r="B66" s="383" t="s">
        <v>342</v>
      </c>
      <c r="C66" s="384">
        <f>'[1]Table 8 Membership'!R66</f>
        <v>4710</v>
      </c>
      <c r="D66" s="384">
        <f>'[1]Table 8 Membership'!Y66</f>
        <v>4710</v>
      </c>
      <c r="E66" s="384">
        <f>'[1]4-MFP_&amp;_Other_Funded'!BK71+'[1]LEP'!F68</f>
        <v>4068</v>
      </c>
      <c r="F66" s="384">
        <f t="shared" si="42"/>
        <v>773</v>
      </c>
      <c r="G66" s="384">
        <f>'[5]Sheet1'!C61</f>
        <v>1651.5</v>
      </c>
      <c r="H66" s="384">
        <f t="shared" si="43"/>
        <v>83</v>
      </c>
      <c r="I66" s="384">
        <f>'[4]mfpLeaSums'!G62</f>
        <v>807</v>
      </c>
      <c r="J66" s="384">
        <f t="shared" si="44"/>
        <v>1211</v>
      </c>
      <c r="K66" s="384">
        <f>'[4]mfpLeaSums'!C62</f>
        <v>98</v>
      </c>
      <c r="L66" s="384">
        <f t="shared" si="45"/>
        <v>59</v>
      </c>
      <c r="M66" s="384">
        <f t="shared" si="46"/>
        <v>2790</v>
      </c>
      <c r="N66" s="386">
        <f t="shared" si="47"/>
        <v>0.0744</v>
      </c>
      <c r="O66" s="384">
        <f t="shared" si="48"/>
        <v>350</v>
      </c>
      <c r="P66" s="384">
        <f t="shared" si="49"/>
        <v>2476</v>
      </c>
      <c r="Q66" s="384">
        <f t="shared" si="50"/>
        <v>7186</v>
      </c>
      <c r="R66" s="387">
        <f t="shared" si="51"/>
        <v>3652</v>
      </c>
      <c r="S66" s="387">
        <f t="shared" si="52"/>
        <v>26243272</v>
      </c>
      <c r="T66" s="388">
        <f>'[1]Table 6 Local Wealth Factor'!L66</f>
        <v>0.36660237</v>
      </c>
      <c r="U66" s="388">
        <f t="shared" si="53"/>
        <v>0.00802573</v>
      </c>
      <c r="V66" s="388">
        <f t="shared" si="54"/>
        <v>0.00294225</v>
      </c>
      <c r="W66" s="387">
        <f t="shared" si="55"/>
        <v>3367293</v>
      </c>
      <c r="X66" s="389">
        <f t="shared" si="56"/>
        <v>0.1283</v>
      </c>
      <c r="Y66" s="390">
        <f t="shared" si="57"/>
        <v>22875979</v>
      </c>
      <c r="Z66" s="389">
        <f t="shared" si="58"/>
        <v>0.8717</v>
      </c>
      <c r="AA66" s="391">
        <f>'[1]Table 7 Local Revenue'!AR65</f>
        <v>6650712</v>
      </c>
      <c r="AB66" s="387">
        <f t="shared" si="81"/>
        <v>3283419</v>
      </c>
      <c r="AC66" s="392">
        <f t="shared" si="59"/>
        <v>0</v>
      </c>
      <c r="AD66" s="387">
        <f t="shared" si="60"/>
        <v>8660280</v>
      </c>
      <c r="AE66" s="393">
        <f t="shared" si="61"/>
        <v>3283419</v>
      </c>
      <c r="AF66" s="390">
        <f t="shared" si="62"/>
        <v>2561193</v>
      </c>
      <c r="AG66" s="389">
        <f t="shared" si="63"/>
        <v>0.78</v>
      </c>
      <c r="AH66" s="387">
        <f t="shared" si="64"/>
        <v>4194159</v>
      </c>
      <c r="AI66" s="387">
        <f t="shared" si="65"/>
        <v>5844612</v>
      </c>
      <c r="AJ66" s="387">
        <f t="shared" si="66"/>
        <v>25437172</v>
      </c>
      <c r="AK66" s="387">
        <f t="shared" si="67"/>
        <v>5400.67</v>
      </c>
      <c r="AL66" s="390">
        <f>'[1]Table 4 Level 3'!Y66</f>
        <v>2061813</v>
      </c>
      <c r="AM66" s="387">
        <f t="shared" si="68"/>
        <v>437.75</v>
      </c>
      <c r="AN66" s="390">
        <f t="shared" si="69"/>
        <v>27498985</v>
      </c>
      <c r="AO66" s="390">
        <f t="shared" si="70"/>
        <v>5838</v>
      </c>
      <c r="AP66" s="384">
        <f t="shared" si="71"/>
        <v>2</v>
      </c>
      <c r="AQ66" s="392">
        <f>AN66-'[1]Table 2 Distribution &amp; Adjusts'!I63</f>
        <v>2802886</v>
      </c>
      <c r="AR66" s="389">
        <f t="shared" si="72"/>
        <v>0.8052</v>
      </c>
      <c r="AS66" s="384">
        <f t="shared" si="73"/>
        <v>6</v>
      </c>
      <c r="AT66" s="387">
        <f t="shared" si="74"/>
        <v>6650712</v>
      </c>
      <c r="AU66" s="387">
        <f t="shared" si="75"/>
        <v>1412.04</v>
      </c>
      <c r="AV66" s="384">
        <f t="shared" si="76"/>
        <v>59</v>
      </c>
      <c r="AW66" s="389">
        <f t="shared" si="77"/>
        <v>0.1948</v>
      </c>
      <c r="AX66" s="387">
        <f t="shared" si="78"/>
        <v>34149697</v>
      </c>
      <c r="AY66" s="387">
        <f t="shared" si="79"/>
        <v>7250.47</v>
      </c>
      <c r="AZ66" s="384">
        <f t="shared" si="80"/>
        <v>31</v>
      </c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s="405" customFormat="1" ht="12.75">
      <c r="A67" s="395">
        <v>60</v>
      </c>
      <c r="B67" s="396" t="s">
        <v>343</v>
      </c>
      <c r="C67" s="397">
        <f>'[1]Table 8 Membership'!R67</f>
        <v>7065</v>
      </c>
      <c r="D67" s="397">
        <f>'[1]Table 8 Membership'!Y67</f>
        <v>7065</v>
      </c>
      <c r="E67" s="397">
        <f>'[1]4-MFP_&amp;_Other_Funded'!BK72+'[1]LEP'!F69</f>
        <v>4174</v>
      </c>
      <c r="F67" s="397">
        <f t="shared" si="42"/>
        <v>793</v>
      </c>
      <c r="G67" s="397">
        <f>'[5]Sheet1'!C62</f>
        <v>2263.5</v>
      </c>
      <c r="H67" s="397">
        <f t="shared" si="43"/>
        <v>113</v>
      </c>
      <c r="I67" s="397">
        <f>'[4]mfpLeaSums'!G63</f>
        <v>1021</v>
      </c>
      <c r="J67" s="397">
        <f t="shared" si="44"/>
        <v>1532</v>
      </c>
      <c r="K67" s="397">
        <f>'[4]mfpLeaSums'!C63</f>
        <v>127</v>
      </c>
      <c r="L67" s="397">
        <f t="shared" si="45"/>
        <v>76</v>
      </c>
      <c r="M67" s="397">
        <f t="shared" si="46"/>
        <v>435</v>
      </c>
      <c r="N67" s="398">
        <f t="shared" si="47"/>
        <v>0.0116</v>
      </c>
      <c r="O67" s="397">
        <f t="shared" si="48"/>
        <v>82</v>
      </c>
      <c r="P67" s="397">
        <f t="shared" si="49"/>
        <v>2596</v>
      </c>
      <c r="Q67" s="384">
        <f t="shared" si="50"/>
        <v>9661</v>
      </c>
      <c r="R67" s="399">
        <f t="shared" si="51"/>
        <v>3652</v>
      </c>
      <c r="S67" s="399">
        <f t="shared" si="52"/>
        <v>35281972</v>
      </c>
      <c r="T67" s="400">
        <f>'[1]Table 6 Local Wealth Factor'!L67</f>
        <v>0.75285304</v>
      </c>
      <c r="U67" s="400">
        <f t="shared" si="53"/>
        <v>0.01078995</v>
      </c>
      <c r="V67" s="400">
        <f t="shared" si="54"/>
        <v>0.00812325</v>
      </c>
      <c r="W67" s="399">
        <f t="shared" si="55"/>
        <v>9296750</v>
      </c>
      <c r="X67" s="401">
        <f t="shared" si="56"/>
        <v>0.2635</v>
      </c>
      <c r="Y67" s="402">
        <f t="shared" si="57"/>
        <v>25985222</v>
      </c>
      <c r="Z67" s="401">
        <f t="shared" si="58"/>
        <v>0.7365</v>
      </c>
      <c r="AA67" s="399">
        <f>'[1]Table 7 Local Revenue'!AR66</f>
        <v>19030478</v>
      </c>
      <c r="AB67" s="399">
        <f t="shared" si="81"/>
        <v>9733728</v>
      </c>
      <c r="AC67" s="403">
        <f t="shared" si="59"/>
        <v>0</v>
      </c>
      <c r="AD67" s="399">
        <f t="shared" si="60"/>
        <v>11643051</v>
      </c>
      <c r="AE67" s="404">
        <f t="shared" si="61"/>
        <v>9733728</v>
      </c>
      <c r="AF67" s="402">
        <f t="shared" si="62"/>
        <v>5336888</v>
      </c>
      <c r="AG67" s="401">
        <f t="shared" si="63"/>
        <v>0.5483</v>
      </c>
      <c r="AH67" s="399">
        <f t="shared" si="64"/>
        <v>1046859</v>
      </c>
      <c r="AI67" s="399">
        <f t="shared" si="65"/>
        <v>15070616</v>
      </c>
      <c r="AJ67" s="399">
        <f t="shared" si="66"/>
        <v>31322110</v>
      </c>
      <c r="AK67" s="399">
        <f t="shared" si="67"/>
        <v>4433.42</v>
      </c>
      <c r="AL67" s="402">
        <f>'[1]Table 4 Level 3'!Y67</f>
        <v>2117543</v>
      </c>
      <c r="AM67" s="399">
        <f t="shared" si="68"/>
        <v>299.72</v>
      </c>
      <c r="AN67" s="402">
        <f t="shared" si="69"/>
        <v>33439653</v>
      </c>
      <c r="AO67" s="402">
        <f t="shared" si="70"/>
        <v>4733</v>
      </c>
      <c r="AP67" s="397">
        <f t="shared" si="71"/>
        <v>30</v>
      </c>
      <c r="AQ67" s="403">
        <f>AN67-'[1]Table 2 Distribution &amp; Adjusts'!I64</f>
        <v>2145142</v>
      </c>
      <c r="AR67" s="401">
        <f t="shared" si="72"/>
        <v>0.6373</v>
      </c>
      <c r="AS67" s="397">
        <f t="shared" si="73"/>
        <v>41</v>
      </c>
      <c r="AT67" s="399">
        <f t="shared" si="74"/>
        <v>19030478</v>
      </c>
      <c r="AU67" s="399">
        <f t="shared" si="75"/>
        <v>2693.63</v>
      </c>
      <c r="AV67" s="397">
        <f t="shared" si="76"/>
        <v>27</v>
      </c>
      <c r="AW67" s="401">
        <f t="shared" si="77"/>
        <v>0.3627</v>
      </c>
      <c r="AX67" s="399">
        <f t="shared" si="78"/>
        <v>52470131</v>
      </c>
      <c r="AY67" s="399">
        <f t="shared" si="79"/>
        <v>7426.77</v>
      </c>
      <c r="AZ67" s="397">
        <f t="shared" si="80"/>
        <v>26</v>
      </c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  <row r="68" spans="1:149" s="394" customFormat="1" ht="12.75">
      <c r="A68" s="382">
        <v>61</v>
      </c>
      <c r="B68" s="383" t="s">
        <v>344</v>
      </c>
      <c r="C68" s="384">
        <f>'[1]Table 8 Membership'!R68</f>
        <v>3357</v>
      </c>
      <c r="D68" s="384">
        <f>'[1]Table 8 Membership'!Y68</f>
        <v>3357</v>
      </c>
      <c r="E68" s="384">
        <f>'[1]4-MFP_&amp;_Other_Funded'!BK73+'[1]LEP'!F70</f>
        <v>2190</v>
      </c>
      <c r="F68" s="384">
        <f t="shared" si="42"/>
        <v>416</v>
      </c>
      <c r="G68" s="384">
        <f>'[5]Sheet1'!C63</f>
        <v>864</v>
      </c>
      <c r="H68" s="384">
        <f t="shared" si="43"/>
        <v>43</v>
      </c>
      <c r="I68" s="384">
        <f>'[4]mfpLeaSums'!G64</f>
        <v>451</v>
      </c>
      <c r="J68" s="384">
        <f t="shared" si="44"/>
        <v>677</v>
      </c>
      <c r="K68" s="384">
        <f>'[4]mfpLeaSums'!C64</f>
        <v>163</v>
      </c>
      <c r="L68" s="384">
        <f t="shared" si="45"/>
        <v>98</v>
      </c>
      <c r="M68" s="384">
        <f t="shared" si="46"/>
        <v>4143</v>
      </c>
      <c r="N68" s="386">
        <f t="shared" si="47"/>
        <v>0.11048</v>
      </c>
      <c r="O68" s="384">
        <f t="shared" si="48"/>
        <v>371</v>
      </c>
      <c r="P68" s="384">
        <f t="shared" si="49"/>
        <v>1605</v>
      </c>
      <c r="Q68" s="406">
        <f t="shared" si="50"/>
        <v>4962</v>
      </c>
      <c r="R68" s="387">
        <f t="shared" si="51"/>
        <v>3652</v>
      </c>
      <c r="S68" s="387">
        <f t="shared" si="52"/>
        <v>18121224</v>
      </c>
      <c r="T68" s="388">
        <f>'[1]Table 6 Local Wealth Factor'!L68</f>
        <v>1.4304459</v>
      </c>
      <c r="U68" s="388">
        <f t="shared" si="53"/>
        <v>0.00554184</v>
      </c>
      <c r="V68" s="388">
        <f t="shared" si="54"/>
        <v>0.0079273</v>
      </c>
      <c r="W68" s="387">
        <f t="shared" si="55"/>
        <v>9072493</v>
      </c>
      <c r="X68" s="389">
        <f t="shared" si="56"/>
        <v>0.5007</v>
      </c>
      <c r="Y68" s="390">
        <f t="shared" si="57"/>
        <v>9048731</v>
      </c>
      <c r="Z68" s="389">
        <f t="shared" si="58"/>
        <v>0.4993</v>
      </c>
      <c r="AA68" s="391">
        <f>'[1]Table 7 Local Revenue'!AR67</f>
        <v>12923369</v>
      </c>
      <c r="AB68" s="387">
        <f t="shared" si="81"/>
        <v>3850876</v>
      </c>
      <c r="AC68" s="392">
        <f t="shared" si="59"/>
        <v>0</v>
      </c>
      <c r="AD68" s="387">
        <f t="shared" si="60"/>
        <v>5980004</v>
      </c>
      <c r="AE68" s="393">
        <f t="shared" si="61"/>
        <v>3850876</v>
      </c>
      <c r="AF68" s="390">
        <f t="shared" si="62"/>
        <v>545794</v>
      </c>
      <c r="AG68" s="389">
        <f t="shared" si="63"/>
        <v>0.1417</v>
      </c>
      <c r="AH68" s="387">
        <f t="shared" si="64"/>
        <v>301767</v>
      </c>
      <c r="AI68" s="387">
        <f t="shared" si="65"/>
        <v>4396670</v>
      </c>
      <c r="AJ68" s="387">
        <f t="shared" si="66"/>
        <v>9594525</v>
      </c>
      <c r="AK68" s="387">
        <f t="shared" si="67"/>
        <v>2858.07</v>
      </c>
      <c r="AL68" s="390">
        <f>'[1]Table 4 Level 3'!Y68</f>
        <v>1581317</v>
      </c>
      <c r="AM68" s="387">
        <f t="shared" si="68"/>
        <v>471.05</v>
      </c>
      <c r="AN68" s="390">
        <f t="shared" si="69"/>
        <v>11175842</v>
      </c>
      <c r="AO68" s="390">
        <f t="shared" si="70"/>
        <v>3329</v>
      </c>
      <c r="AP68" s="384">
        <f t="shared" si="71"/>
        <v>62</v>
      </c>
      <c r="AQ68" s="392">
        <f>AN68-'[1]Table 2 Distribution &amp; Adjusts'!I65</f>
        <v>424165</v>
      </c>
      <c r="AR68" s="389">
        <f t="shared" si="72"/>
        <v>0.4637</v>
      </c>
      <c r="AS68" s="384">
        <f t="shared" si="73"/>
        <v>62</v>
      </c>
      <c r="AT68" s="387">
        <f t="shared" si="74"/>
        <v>12923369</v>
      </c>
      <c r="AU68" s="387">
        <f t="shared" si="75"/>
        <v>3849.68</v>
      </c>
      <c r="AV68" s="384">
        <f t="shared" si="76"/>
        <v>12</v>
      </c>
      <c r="AW68" s="389">
        <f t="shared" si="77"/>
        <v>0.5363</v>
      </c>
      <c r="AX68" s="387">
        <f t="shared" si="78"/>
        <v>24099211</v>
      </c>
      <c r="AY68" s="387">
        <f t="shared" si="79"/>
        <v>7178.79</v>
      </c>
      <c r="AZ68" s="384">
        <f t="shared" si="80"/>
        <v>33</v>
      </c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</row>
    <row r="69" spans="1:149" s="394" customFormat="1" ht="12.75">
      <c r="A69" s="382">
        <v>62</v>
      </c>
      <c r="B69" s="383" t="s">
        <v>345</v>
      </c>
      <c r="C69" s="384">
        <f>'[1]Table 8 Membership'!R69</f>
        <v>2177</v>
      </c>
      <c r="D69" s="384">
        <f>'[1]Table 8 Membership'!Y69</f>
        <v>2177</v>
      </c>
      <c r="E69" s="384">
        <f>'[1]4-MFP_&amp;_Other_Funded'!BK74+'[1]LEP'!F71</f>
        <v>1575</v>
      </c>
      <c r="F69" s="384">
        <f t="shared" si="42"/>
        <v>299</v>
      </c>
      <c r="G69" s="384">
        <f>'[5]Sheet1'!C64</f>
        <v>1127</v>
      </c>
      <c r="H69" s="384">
        <f t="shared" si="43"/>
        <v>56</v>
      </c>
      <c r="I69" s="384">
        <f>'[4]mfpLeaSums'!G65</f>
        <v>260</v>
      </c>
      <c r="J69" s="384">
        <f t="shared" si="44"/>
        <v>390</v>
      </c>
      <c r="K69" s="384">
        <f>'[4]mfpLeaSums'!C65</f>
        <v>31</v>
      </c>
      <c r="L69" s="384">
        <f t="shared" si="45"/>
        <v>19</v>
      </c>
      <c r="M69" s="384">
        <f t="shared" si="46"/>
        <v>5323</v>
      </c>
      <c r="N69" s="386">
        <f t="shared" si="47"/>
        <v>0.14195</v>
      </c>
      <c r="O69" s="384">
        <f t="shared" si="48"/>
        <v>309</v>
      </c>
      <c r="P69" s="384">
        <f t="shared" si="49"/>
        <v>1073</v>
      </c>
      <c r="Q69" s="384">
        <f t="shared" si="50"/>
        <v>3250</v>
      </c>
      <c r="R69" s="387">
        <f t="shared" si="51"/>
        <v>3652</v>
      </c>
      <c r="S69" s="387">
        <f t="shared" si="52"/>
        <v>11869000</v>
      </c>
      <c r="T69" s="388">
        <f>'[1]Table 6 Local Wealth Factor'!L69</f>
        <v>0.48564059</v>
      </c>
      <c r="U69" s="388">
        <f t="shared" si="53"/>
        <v>0.00362978</v>
      </c>
      <c r="V69" s="388">
        <f t="shared" si="54"/>
        <v>0.00176277</v>
      </c>
      <c r="W69" s="387">
        <f t="shared" si="55"/>
        <v>2017423</v>
      </c>
      <c r="X69" s="389">
        <f t="shared" si="56"/>
        <v>0.17</v>
      </c>
      <c r="Y69" s="390">
        <f t="shared" si="57"/>
        <v>9851577</v>
      </c>
      <c r="Z69" s="389">
        <f t="shared" si="58"/>
        <v>0.83</v>
      </c>
      <c r="AA69" s="391">
        <f>'[1]Table 7 Local Revenue'!AR68</f>
        <v>2977154</v>
      </c>
      <c r="AB69" s="387">
        <f t="shared" si="81"/>
        <v>959731</v>
      </c>
      <c r="AC69" s="392">
        <f t="shared" si="59"/>
        <v>0</v>
      </c>
      <c r="AD69" s="387">
        <f t="shared" si="60"/>
        <v>3916770</v>
      </c>
      <c r="AE69" s="393">
        <f t="shared" si="61"/>
        <v>959731</v>
      </c>
      <c r="AF69" s="390">
        <f t="shared" si="62"/>
        <v>680080</v>
      </c>
      <c r="AG69" s="389">
        <f t="shared" si="63"/>
        <v>0.7086</v>
      </c>
      <c r="AH69" s="387">
        <f t="shared" si="64"/>
        <v>2095405</v>
      </c>
      <c r="AI69" s="387">
        <f t="shared" si="65"/>
        <v>1639811</v>
      </c>
      <c r="AJ69" s="387">
        <f t="shared" si="66"/>
        <v>10531657</v>
      </c>
      <c r="AK69" s="387">
        <f t="shared" si="67"/>
        <v>4837.69</v>
      </c>
      <c r="AL69" s="390">
        <f>'[1]Table 4 Level 3'!Y69</f>
        <v>663866</v>
      </c>
      <c r="AM69" s="387">
        <f t="shared" si="68"/>
        <v>304.95</v>
      </c>
      <c r="AN69" s="390">
        <f t="shared" si="69"/>
        <v>11195523</v>
      </c>
      <c r="AO69" s="390">
        <f t="shared" si="70"/>
        <v>5143</v>
      </c>
      <c r="AP69" s="384">
        <f t="shared" si="71"/>
        <v>19</v>
      </c>
      <c r="AQ69" s="392">
        <f>AN69-'[1]Table 2 Distribution &amp; Adjusts'!I66</f>
        <v>561909</v>
      </c>
      <c r="AR69" s="389">
        <f t="shared" si="72"/>
        <v>0.7899</v>
      </c>
      <c r="AS69" s="384">
        <f t="shared" si="73"/>
        <v>8</v>
      </c>
      <c r="AT69" s="387">
        <f t="shared" si="74"/>
        <v>2977154</v>
      </c>
      <c r="AU69" s="387">
        <f t="shared" si="75"/>
        <v>1367.55</v>
      </c>
      <c r="AV69" s="384">
        <f t="shared" si="76"/>
        <v>62</v>
      </c>
      <c r="AW69" s="389">
        <f t="shared" si="77"/>
        <v>0.2101</v>
      </c>
      <c r="AX69" s="387">
        <f t="shared" si="78"/>
        <v>14172677</v>
      </c>
      <c r="AY69" s="387">
        <f t="shared" si="79"/>
        <v>6510.19</v>
      </c>
      <c r="AZ69" s="384">
        <f t="shared" si="80"/>
        <v>55</v>
      </c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</row>
    <row r="70" spans="1:149" s="394" customFormat="1" ht="12.75">
      <c r="A70" s="382">
        <v>63</v>
      </c>
      <c r="B70" s="383" t="s">
        <v>346</v>
      </c>
      <c r="C70" s="384">
        <f>'[1]Table 8 Membership'!R70</f>
        <v>2281</v>
      </c>
      <c r="D70" s="384">
        <f>'[1]Table 8 Membership'!Y70</f>
        <v>2281</v>
      </c>
      <c r="E70" s="384">
        <f>'[1]4-MFP_&amp;_Other_Funded'!BK75+'[1]LEP'!F72</f>
        <v>1068</v>
      </c>
      <c r="F70" s="384">
        <f t="shared" si="42"/>
        <v>203</v>
      </c>
      <c r="G70" s="384">
        <f>'[5]Sheet1'!C65</f>
        <v>515.5</v>
      </c>
      <c r="H70" s="384">
        <f t="shared" si="43"/>
        <v>26</v>
      </c>
      <c r="I70" s="384">
        <f>'[4]mfpLeaSums'!G66</f>
        <v>320</v>
      </c>
      <c r="J70" s="384">
        <f t="shared" si="44"/>
        <v>480</v>
      </c>
      <c r="K70" s="384">
        <f>'[4]mfpLeaSums'!C66</f>
        <v>165</v>
      </c>
      <c r="L70" s="384">
        <f t="shared" si="45"/>
        <v>99</v>
      </c>
      <c r="M70" s="384">
        <f t="shared" si="46"/>
        <v>5219</v>
      </c>
      <c r="N70" s="386">
        <f t="shared" si="47"/>
        <v>0.13917</v>
      </c>
      <c r="O70" s="384">
        <f t="shared" si="48"/>
        <v>317</v>
      </c>
      <c r="P70" s="384">
        <f t="shared" si="49"/>
        <v>1125</v>
      </c>
      <c r="Q70" s="384">
        <f t="shared" si="50"/>
        <v>3406</v>
      </c>
      <c r="R70" s="387">
        <f t="shared" si="51"/>
        <v>3652</v>
      </c>
      <c r="S70" s="387">
        <f t="shared" si="52"/>
        <v>12438712</v>
      </c>
      <c r="T70" s="388">
        <f>'[1]Table 6 Local Wealth Factor'!L70</f>
        <v>1.95738381</v>
      </c>
      <c r="U70" s="388">
        <f t="shared" si="53"/>
        <v>0.00380401</v>
      </c>
      <c r="V70" s="388">
        <f t="shared" si="54"/>
        <v>0.00744591</v>
      </c>
      <c r="W70" s="387">
        <f t="shared" si="55"/>
        <v>8521561</v>
      </c>
      <c r="X70" s="389">
        <f t="shared" si="56"/>
        <v>0.6851</v>
      </c>
      <c r="Y70" s="390">
        <f t="shared" si="57"/>
        <v>3917151</v>
      </c>
      <c r="Z70" s="389">
        <f t="shared" si="58"/>
        <v>0.3149</v>
      </c>
      <c r="AA70" s="391">
        <f>'[1]Table 7 Local Revenue'!AR69</f>
        <v>11046882</v>
      </c>
      <c r="AB70" s="387">
        <f t="shared" si="81"/>
        <v>2525321</v>
      </c>
      <c r="AC70" s="392">
        <f t="shared" si="59"/>
        <v>0</v>
      </c>
      <c r="AD70" s="387">
        <f t="shared" si="60"/>
        <v>4104775</v>
      </c>
      <c r="AE70" s="393">
        <f t="shared" si="61"/>
        <v>2525321</v>
      </c>
      <c r="AF70" s="390">
        <f t="shared" si="62"/>
        <v>0</v>
      </c>
      <c r="AG70" s="389">
        <f t="shared" si="63"/>
        <v>0</v>
      </c>
      <c r="AH70" s="387">
        <f t="shared" si="64"/>
        <v>0</v>
      </c>
      <c r="AI70" s="387">
        <f t="shared" si="65"/>
        <v>2525321</v>
      </c>
      <c r="AJ70" s="387">
        <f t="shared" si="66"/>
        <v>3917151</v>
      </c>
      <c r="AK70" s="387">
        <f t="shared" si="67"/>
        <v>1717.3</v>
      </c>
      <c r="AL70" s="390">
        <f>'[1]Table 4 Level 3'!Y70</f>
        <v>6653308</v>
      </c>
      <c r="AM70" s="387">
        <f t="shared" si="68"/>
        <v>2916.84</v>
      </c>
      <c r="AN70" s="390">
        <f t="shared" si="69"/>
        <v>10570459</v>
      </c>
      <c r="AO70" s="390">
        <f t="shared" si="70"/>
        <v>4634</v>
      </c>
      <c r="AP70" s="384">
        <f t="shared" si="71"/>
        <v>35</v>
      </c>
      <c r="AQ70" s="392">
        <f>AN70-'[1]Table 2 Distribution &amp; Adjusts'!I67</f>
        <v>584597</v>
      </c>
      <c r="AR70" s="389">
        <f t="shared" si="72"/>
        <v>0.489</v>
      </c>
      <c r="AS70" s="384">
        <f t="shared" si="73"/>
        <v>56</v>
      </c>
      <c r="AT70" s="387">
        <f t="shared" si="74"/>
        <v>11046882</v>
      </c>
      <c r="AU70" s="387">
        <f t="shared" si="75"/>
        <v>4843</v>
      </c>
      <c r="AV70" s="384">
        <f t="shared" si="76"/>
        <v>3</v>
      </c>
      <c r="AW70" s="389">
        <f t="shared" si="77"/>
        <v>0.511</v>
      </c>
      <c r="AX70" s="387">
        <f t="shared" si="78"/>
        <v>21617341</v>
      </c>
      <c r="AY70" s="387">
        <f t="shared" si="79"/>
        <v>9477.13</v>
      </c>
      <c r="AZ70" s="384">
        <f t="shared" si="80"/>
        <v>1</v>
      </c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</row>
    <row r="71" spans="1:149" s="394" customFormat="1" ht="12.75">
      <c r="A71" s="382">
        <v>64</v>
      </c>
      <c r="B71" s="383" t="s">
        <v>347</v>
      </c>
      <c r="C71" s="384">
        <f>'[1]Table 8 Membership'!R71</f>
        <v>2594</v>
      </c>
      <c r="D71" s="384">
        <f>'[1]Table 8 Membership'!Y71</f>
        <v>2594</v>
      </c>
      <c r="E71" s="384">
        <f>'[1]4-MFP_&amp;_Other_Funded'!BK76+'[1]LEP'!F73</f>
        <v>1737</v>
      </c>
      <c r="F71" s="384">
        <f t="shared" si="42"/>
        <v>330</v>
      </c>
      <c r="G71" s="384">
        <f>'[5]Sheet1'!C66</f>
        <v>1397.5</v>
      </c>
      <c r="H71" s="384">
        <f t="shared" si="43"/>
        <v>70</v>
      </c>
      <c r="I71" s="384">
        <f>'[4]mfpLeaSums'!G67</f>
        <v>340</v>
      </c>
      <c r="J71" s="384">
        <f t="shared" si="44"/>
        <v>510</v>
      </c>
      <c r="K71" s="384">
        <f>'[4]mfpLeaSums'!C67</f>
        <v>96</v>
      </c>
      <c r="L71" s="384">
        <f t="shared" si="45"/>
        <v>58</v>
      </c>
      <c r="M71" s="384">
        <f t="shared" si="46"/>
        <v>4906</v>
      </c>
      <c r="N71" s="386">
        <f t="shared" si="47"/>
        <v>0.13083</v>
      </c>
      <c r="O71" s="384">
        <f t="shared" si="48"/>
        <v>339</v>
      </c>
      <c r="P71" s="384">
        <f t="shared" si="49"/>
        <v>1307</v>
      </c>
      <c r="Q71" s="384">
        <f t="shared" si="50"/>
        <v>3901</v>
      </c>
      <c r="R71" s="387">
        <f t="shared" si="51"/>
        <v>3652</v>
      </c>
      <c r="S71" s="387">
        <f t="shared" si="52"/>
        <v>14246452</v>
      </c>
      <c r="T71" s="388">
        <f>'[1]Table 6 Local Wealth Factor'!L71</f>
        <v>0.67017316</v>
      </c>
      <c r="U71" s="388">
        <f t="shared" si="53"/>
        <v>0.00435686</v>
      </c>
      <c r="V71" s="388">
        <f t="shared" si="54"/>
        <v>0.00291985</v>
      </c>
      <c r="W71" s="387">
        <f t="shared" si="55"/>
        <v>3341657</v>
      </c>
      <c r="X71" s="389">
        <f t="shared" si="56"/>
        <v>0.2346</v>
      </c>
      <c r="Y71" s="390">
        <f t="shared" si="57"/>
        <v>10904795</v>
      </c>
      <c r="Z71" s="389">
        <f t="shared" si="58"/>
        <v>0.7654</v>
      </c>
      <c r="AA71" s="391">
        <f>'[1]Table 7 Local Revenue'!AR70</f>
        <v>6040063</v>
      </c>
      <c r="AB71" s="387">
        <f t="shared" si="81"/>
        <v>2698406</v>
      </c>
      <c r="AC71" s="392">
        <f t="shared" si="59"/>
        <v>0</v>
      </c>
      <c r="AD71" s="387">
        <f t="shared" si="60"/>
        <v>4701329</v>
      </c>
      <c r="AE71" s="393">
        <f t="shared" si="61"/>
        <v>2698406</v>
      </c>
      <c r="AF71" s="390">
        <f t="shared" si="62"/>
        <v>1613366</v>
      </c>
      <c r="AG71" s="389">
        <f t="shared" si="63"/>
        <v>0.5979</v>
      </c>
      <c r="AH71" s="387">
        <f t="shared" si="64"/>
        <v>1197540</v>
      </c>
      <c r="AI71" s="387">
        <f t="shared" si="65"/>
        <v>4311772</v>
      </c>
      <c r="AJ71" s="387">
        <f t="shared" si="66"/>
        <v>12518161</v>
      </c>
      <c r="AK71" s="387">
        <f t="shared" si="67"/>
        <v>4825.81</v>
      </c>
      <c r="AL71" s="390">
        <f>'[1]Table 4 Level 3'!Y71</f>
        <v>912776</v>
      </c>
      <c r="AM71" s="387">
        <f t="shared" si="68"/>
        <v>351.88</v>
      </c>
      <c r="AN71" s="390">
        <f t="shared" si="69"/>
        <v>13430937</v>
      </c>
      <c r="AO71" s="390">
        <f t="shared" si="70"/>
        <v>5178</v>
      </c>
      <c r="AP71" s="384">
        <f t="shared" si="71"/>
        <v>15</v>
      </c>
      <c r="AQ71" s="392">
        <f>AN71-'[1]Table 2 Distribution &amp; Adjusts'!I68</f>
        <v>500111</v>
      </c>
      <c r="AR71" s="389">
        <f t="shared" si="72"/>
        <v>0.6898</v>
      </c>
      <c r="AS71" s="384">
        <f t="shared" si="73"/>
        <v>30</v>
      </c>
      <c r="AT71" s="387">
        <f t="shared" si="74"/>
        <v>6040063</v>
      </c>
      <c r="AU71" s="387">
        <f t="shared" si="75"/>
        <v>2328.47</v>
      </c>
      <c r="AV71" s="384">
        <f t="shared" si="76"/>
        <v>37</v>
      </c>
      <c r="AW71" s="389">
        <f t="shared" si="77"/>
        <v>0.3102</v>
      </c>
      <c r="AX71" s="387">
        <f t="shared" si="78"/>
        <v>19471000</v>
      </c>
      <c r="AY71" s="387">
        <f t="shared" si="79"/>
        <v>7506.17</v>
      </c>
      <c r="AZ71" s="384">
        <f t="shared" si="80"/>
        <v>23</v>
      </c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</row>
    <row r="72" spans="1:149" s="394" customFormat="1" ht="12.75">
      <c r="A72" s="395">
        <v>65</v>
      </c>
      <c r="B72" s="396" t="s">
        <v>348</v>
      </c>
      <c r="C72" s="397">
        <f>'[1]Table 8 Membership'!R72</f>
        <v>8767</v>
      </c>
      <c r="D72" s="397">
        <f>'[1]Table 8 Membership'!Y72</f>
        <v>8767</v>
      </c>
      <c r="E72" s="397">
        <f>'[1]4-MFP_&amp;_Other_Funded'!BK77+'[1]LEP'!F74</f>
        <v>6963</v>
      </c>
      <c r="F72" s="397">
        <f>ROUND($F$4*E72,0)</f>
        <v>1323</v>
      </c>
      <c r="G72" s="397">
        <f>'[5]Sheet1'!C67</f>
        <v>2192</v>
      </c>
      <c r="H72" s="397">
        <f>ROUND($H$4*G72,0)</f>
        <v>110</v>
      </c>
      <c r="I72" s="397">
        <f>'[4]mfpLeaSums'!G68</f>
        <v>1344</v>
      </c>
      <c r="J72" s="397">
        <f>ROUND($J$4*I72,0)</f>
        <v>2016</v>
      </c>
      <c r="K72" s="397">
        <f>'[4]mfpLeaSums'!C68</f>
        <v>445</v>
      </c>
      <c r="L72" s="397">
        <f>ROUND($L$4*K72,0)</f>
        <v>267</v>
      </c>
      <c r="M72" s="397">
        <f t="shared" si="46"/>
        <v>0</v>
      </c>
      <c r="N72" s="398">
        <f>ROUND(M72/$N$4,5)</f>
        <v>0</v>
      </c>
      <c r="O72" s="397">
        <f>ROUND(D72*N72,0)</f>
        <v>0</v>
      </c>
      <c r="P72" s="397">
        <f>F72+H72+J72+L72+O72</f>
        <v>3716</v>
      </c>
      <c r="Q72" s="397">
        <f>P72+D72</f>
        <v>12483</v>
      </c>
      <c r="R72" s="399">
        <f t="shared" si="51"/>
        <v>3652</v>
      </c>
      <c r="S72" s="399">
        <f>ROUND(Q72*R72,0)</f>
        <v>45587916</v>
      </c>
      <c r="T72" s="400">
        <f>'[1]Table 6 Local Wealth Factor'!L72</f>
        <v>1.28689664</v>
      </c>
      <c r="U72" s="400">
        <f aca="true" t="shared" si="82" ref="U72:U77">ROUND(Q72/Q$76,8)</f>
        <v>0.01394172</v>
      </c>
      <c r="V72" s="400">
        <f>ROUND(T72*U72,8)</f>
        <v>0.01794155</v>
      </c>
      <c r="W72" s="399">
        <f>IF(S$76*V72*W$4&lt;S72,ROUND(S$76*V72*W$4,0),S72)</f>
        <v>20533421</v>
      </c>
      <c r="X72" s="401">
        <f>ROUND(W72/S72,4)</f>
        <v>0.4504</v>
      </c>
      <c r="Y72" s="402">
        <f t="shared" si="57"/>
        <v>25054495</v>
      </c>
      <c r="Z72" s="401">
        <f>ROUND(Y72/S72,4)</f>
        <v>0.5496</v>
      </c>
      <c r="AA72" s="399">
        <f>'[1]Table 7 Local Revenue'!AR71</f>
        <v>36381954</v>
      </c>
      <c r="AB72" s="399">
        <f t="shared" si="81"/>
        <v>15848533</v>
      </c>
      <c r="AC72" s="403">
        <f t="shared" si="59"/>
        <v>0</v>
      </c>
      <c r="AD72" s="399">
        <f t="shared" si="60"/>
        <v>15044012</v>
      </c>
      <c r="AE72" s="404">
        <f>IF(AB72&lt;AD72,AB72,AD72)</f>
        <v>15044012</v>
      </c>
      <c r="AF72" s="402">
        <f>IF((1-((1-AF$4)*T72))*AE72&gt;0,ROUND((1-((1-AF$4)*T72))*AE72,0),0)</f>
        <v>3427959</v>
      </c>
      <c r="AG72" s="401">
        <f>IF(AE72=0,0,ROUND(AF72/AE72,4))</f>
        <v>0.2279</v>
      </c>
      <c r="AH72" s="399">
        <f t="shared" si="64"/>
        <v>0</v>
      </c>
      <c r="AI72" s="399">
        <f t="shared" si="65"/>
        <v>18471971</v>
      </c>
      <c r="AJ72" s="399">
        <f t="shared" si="66"/>
        <v>28482454</v>
      </c>
      <c r="AK72" s="399">
        <f>ROUND(AJ72/D72,2)</f>
        <v>3248.83</v>
      </c>
      <c r="AL72" s="402">
        <f>'[1]Table 4 Level 3'!Y72</f>
        <v>4087886</v>
      </c>
      <c r="AM72" s="399">
        <f>ROUND(AL72/D72,2)</f>
        <v>466.28</v>
      </c>
      <c r="AN72" s="402">
        <f t="shared" si="69"/>
        <v>32570340</v>
      </c>
      <c r="AO72" s="402">
        <f>ROUND(AN72/D72,0)</f>
        <v>3715</v>
      </c>
      <c r="AP72" s="397">
        <f>RANK(AO72,$AO$8:$AO$75)</f>
        <v>58</v>
      </c>
      <c r="AQ72" s="403">
        <f>AN72-'[1]Table 2 Distribution &amp; Adjusts'!I69</f>
        <v>1249355</v>
      </c>
      <c r="AR72" s="401">
        <f t="shared" si="72"/>
        <v>0.4779</v>
      </c>
      <c r="AS72" s="397">
        <f>RANK(AR72,$AR$8:$AR$75)</f>
        <v>60</v>
      </c>
      <c r="AT72" s="399">
        <f t="shared" si="74"/>
        <v>35577433</v>
      </c>
      <c r="AU72" s="399">
        <f>ROUND(AT72/D72,2)</f>
        <v>4058.11</v>
      </c>
      <c r="AV72" s="397">
        <f>RANK(AU72,$AU$8:$AU$75)</f>
        <v>10</v>
      </c>
      <c r="AW72" s="401">
        <f>ROUND(AT72/AX72,4)</f>
        <v>0.5221</v>
      </c>
      <c r="AX72" s="399">
        <f t="shared" si="78"/>
        <v>68147773</v>
      </c>
      <c r="AY72" s="399">
        <f>ROUND(AX72/D72,2)</f>
        <v>7773.21</v>
      </c>
      <c r="AZ72" s="397">
        <f>RANK(AY72,$AY$8:$AY$75)</f>
        <v>16</v>
      </c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</row>
    <row r="73" spans="1:149" s="394" customFormat="1" ht="12.75">
      <c r="A73" s="382">
        <v>66</v>
      </c>
      <c r="B73" s="383" t="s">
        <v>349</v>
      </c>
      <c r="C73" s="408">
        <f>'[1]Table 8 Membership'!R73</f>
        <v>2315</v>
      </c>
      <c r="D73" s="408">
        <f>'[1]Table 8 Membership'!Y73</f>
        <v>2491</v>
      </c>
      <c r="E73" s="408">
        <f>D73*'[1]2004-05 Weighted'!D89</f>
        <v>2076.133309248555</v>
      </c>
      <c r="F73" s="384">
        <f>ROUND($F$4*E73,0)</f>
        <v>394</v>
      </c>
      <c r="G73" s="408">
        <f>D73*'[1]2004-05 Weighted'!F89</f>
        <v>667.746387283237</v>
      </c>
      <c r="H73" s="384">
        <f>ROUND($H$4*G73,0)</f>
        <v>33</v>
      </c>
      <c r="I73" s="408">
        <f>D73*'[1]2004-05 Weighted'!H89</f>
        <v>595.7521676300578</v>
      </c>
      <c r="J73" s="384">
        <f>ROUND($J$4*I73,0)</f>
        <v>894</v>
      </c>
      <c r="K73" s="409">
        <f>D73*'[1]2004-05 Weighted'!J89</f>
        <v>179.985549132948</v>
      </c>
      <c r="L73" s="384">
        <f>ROUND($L$4*K73,0)</f>
        <v>108</v>
      </c>
      <c r="M73" s="384">
        <f t="shared" si="46"/>
        <v>5009</v>
      </c>
      <c r="N73" s="386">
        <f>ROUND(M73/$N$4,5)</f>
        <v>0.13357</v>
      </c>
      <c r="O73" s="384">
        <f>ROUND(D73*N73,0)</f>
        <v>333</v>
      </c>
      <c r="P73" s="384">
        <f>F73+H73+J73+L73+O73</f>
        <v>1762</v>
      </c>
      <c r="Q73" s="384">
        <f>P73+D73</f>
        <v>4253</v>
      </c>
      <c r="R73" s="387">
        <f t="shared" si="51"/>
        <v>3652</v>
      </c>
      <c r="S73" s="387">
        <f>ROUND(Q73*R73,0)</f>
        <v>15531956</v>
      </c>
      <c r="T73" s="388">
        <f>'[1]Table 6 Local Wealth Factor'!L73</f>
        <v>0.63791943</v>
      </c>
      <c r="U73" s="388">
        <f t="shared" si="82"/>
        <v>0.00474999</v>
      </c>
      <c r="V73" s="388">
        <f>ROUND(T73*U73,8)</f>
        <v>0.00303011</v>
      </c>
      <c r="W73" s="387">
        <f>IF(S$76*V73*W$4&lt;S73,ROUND(S$76*V73*W$4,0),S73)</f>
        <v>3467846</v>
      </c>
      <c r="X73" s="389">
        <f>ROUND(W73/S73,4)</f>
        <v>0.2233</v>
      </c>
      <c r="Y73" s="390">
        <f t="shared" si="57"/>
        <v>12064110</v>
      </c>
      <c r="Z73" s="389">
        <f>ROUND(Y73/S73,4)</f>
        <v>0.7767</v>
      </c>
      <c r="AA73" s="391">
        <f>'[1]Table 7 Local Revenue'!AR72</f>
        <v>5171758</v>
      </c>
      <c r="AB73" s="387">
        <f t="shared" si="81"/>
        <v>1703912</v>
      </c>
      <c r="AC73" s="392">
        <f t="shared" si="59"/>
        <v>0</v>
      </c>
      <c r="AD73" s="387">
        <f t="shared" si="60"/>
        <v>5125545</v>
      </c>
      <c r="AE73" s="393">
        <f>IF(AB73&lt;AD73,AB73,AD73)</f>
        <v>1703912</v>
      </c>
      <c r="AF73" s="390">
        <f>IF((1-((1-AF$4)*T73))*AE73&gt;0,ROUND((1-((1-AF$4)*T73))*AE73,0),0)</f>
        <v>1051737</v>
      </c>
      <c r="AG73" s="389">
        <f>IF(AE73=0,0,ROUND(AF73/AE73,4))</f>
        <v>0.6172</v>
      </c>
      <c r="AH73" s="387">
        <f t="shared" si="64"/>
        <v>2111997</v>
      </c>
      <c r="AI73" s="387">
        <f t="shared" si="65"/>
        <v>2755649</v>
      </c>
      <c r="AJ73" s="387">
        <f t="shared" si="66"/>
        <v>13115847</v>
      </c>
      <c r="AK73" s="387">
        <f>ROUND(AJ73/D73,2)</f>
        <v>5265.29</v>
      </c>
      <c r="AL73" s="390">
        <f>'[1]Table 4 Level 3'!Y73</f>
        <v>769567</v>
      </c>
      <c r="AM73" s="387">
        <f>ROUND(AL73/D73,2)</f>
        <v>308.94</v>
      </c>
      <c r="AN73" s="390">
        <f t="shared" si="69"/>
        <v>13885414</v>
      </c>
      <c r="AO73" s="390">
        <f>ROUND(AN73/D73,0)</f>
        <v>5574</v>
      </c>
      <c r="AP73" s="384">
        <f>RANK(AO73,$AO$8:$AO$75)</f>
        <v>5</v>
      </c>
      <c r="AQ73" s="392">
        <f>AN73-'[1]Table 2 Distribution &amp; Adjusts'!I70</f>
        <v>245309</v>
      </c>
      <c r="AR73" s="389">
        <f t="shared" si="72"/>
        <v>0.7286</v>
      </c>
      <c r="AS73" s="384">
        <f>RANK(AR73,$AR$8:$AR$75)</f>
        <v>23</v>
      </c>
      <c r="AT73" s="387">
        <f t="shared" si="74"/>
        <v>5171758</v>
      </c>
      <c r="AU73" s="387">
        <f>ROUND(AT73/D73,2)</f>
        <v>2076.18</v>
      </c>
      <c r="AV73" s="384">
        <f>RANK(AU73,$AU$8:$AU$75)</f>
        <v>42</v>
      </c>
      <c r="AW73" s="389">
        <f>ROUND(AT73/AX73,4)</f>
        <v>0.2714</v>
      </c>
      <c r="AX73" s="387">
        <f t="shared" si="78"/>
        <v>19057172</v>
      </c>
      <c r="AY73" s="387">
        <f>ROUND(AX73/D73,2)</f>
        <v>7650.41</v>
      </c>
      <c r="AZ73" s="384">
        <f>RANK(AY73,$AY$8:$AY$75)</f>
        <v>21</v>
      </c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</row>
    <row r="74" spans="1:149" s="394" customFormat="1" ht="12.75">
      <c r="A74" s="382">
        <v>67</v>
      </c>
      <c r="B74" s="410" t="s">
        <v>350</v>
      </c>
      <c r="C74" s="411">
        <f>'[1]Table 8 Membership'!R74</f>
        <v>3443</v>
      </c>
      <c r="D74" s="411">
        <f>'[1]Table 8 Membership'!Y74</f>
        <v>3443</v>
      </c>
      <c r="E74" s="384">
        <f>'[1]4-MFP_&amp;_Other_Funded'!BK79+'[1]LEP'!F76</f>
        <v>1441</v>
      </c>
      <c r="F74" s="384">
        <f>ROUND($F$4*E74,0)</f>
        <v>274</v>
      </c>
      <c r="G74" s="384">
        <f>'[5]Sheet1'!C69</f>
        <v>908.5</v>
      </c>
      <c r="H74" s="384">
        <f>ROUND($H$4*G74,0)</f>
        <v>45</v>
      </c>
      <c r="I74" s="384">
        <f>'[4]mfpLeaSums'!G70</f>
        <v>372</v>
      </c>
      <c r="J74" s="384">
        <f>ROUND($J$4*I74,0)</f>
        <v>558</v>
      </c>
      <c r="K74" s="384">
        <f>'[4]mfpLeaSums'!C70</f>
        <v>161</v>
      </c>
      <c r="L74" s="384">
        <f>ROUND($L$4*K74,0)</f>
        <v>97</v>
      </c>
      <c r="M74" s="384">
        <f t="shared" si="46"/>
        <v>4057</v>
      </c>
      <c r="N74" s="386">
        <f>ROUND(M74/$N$4,5)</f>
        <v>0.10819</v>
      </c>
      <c r="O74" s="384">
        <f>ROUND(D74*N74,0)</f>
        <v>372</v>
      </c>
      <c r="P74" s="384">
        <f>F74+H74+J74+L74+O74</f>
        <v>1346</v>
      </c>
      <c r="Q74" s="384">
        <f>P74+D74</f>
        <v>4789</v>
      </c>
      <c r="R74" s="387">
        <f t="shared" si="51"/>
        <v>3652</v>
      </c>
      <c r="S74" s="387">
        <f>ROUND(Q74*R74,0)</f>
        <v>17489428</v>
      </c>
      <c r="T74" s="388">
        <f>'[1]Table 6 Local Wealth Factor'!L74</f>
        <v>0.94106854</v>
      </c>
      <c r="U74" s="388">
        <f t="shared" si="82"/>
        <v>0.00534863</v>
      </c>
      <c r="V74" s="388">
        <f>ROUND(T74*U74,8)</f>
        <v>0.00503343</v>
      </c>
      <c r="W74" s="387">
        <f>IF(S$76*V74*W$4&lt;S74,ROUND(S$76*V74*W$4,0),S74)</f>
        <v>5760569</v>
      </c>
      <c r="X74" s="389">
        <f>ROUND(W74/S74,4)</f>
        <v>0.3294</v>
      </c>
      <c r="Y74" s="390">
        <f t="shared" si="57"/>
        <v>11728859</v>
      </c>
      <c r="Z74" s="389">
        <f>ROUND(Y74/S74,4)</f>
        <v>0.6706</v>
      </c>
      <c r="AA74" s="391">
        <f>'[1]Table 7 Local Revenue'!AR73</f>
        <v>13816077</v>
      </c>
      <c r="AB74" s="387">
        <f t="shared" si="81"/>
        <v>8055508</v>
      </c>
      <c r="AC74" s="392">
        <f t="shared" si="59"/>
        <v>0</v>
      </c>
      <c r="AD74" s="387">
        <f t="shared" si="60"/>
        <v>5771511</v>
      </c>
      <c r="AE74" s="393">
        <f>IF(AB74&lt;AD74,AB74,AD74)</f>
        <v>5771511</v>
      </c>
      <c r="AF74" s="390">
        <f>IF((1-((1-AF$4)*T74))*AE74&gt;0,ROUND((1-((1-AF$4)*T74))*AE74,0),0)</f>
        <v>2512679</v>
      </c>
      <c r="AG74" s="389">
        <f>IF(AE74=0,0,ROUND(AF74/AE74,4))</f>
        <v>0.4354</v>
      </c>
      <c r="AH74" s="387">
        <f t="shared" si="64"/>
        <v>0</v>
      </c>
      <c r="AI74" s="387">
        <f t="shared" si="65"/>
        <v>8284190</v>
      </c>
      <c r="AJ74" s="387">
        <f t="shared" si="66"/>
        <v>14241538</v>
      </c>
      <c r="AK74" s="387">
        <f>ROUND(AJ74/D74,2)</f>
        <v>4136.37</v>
      </c>
      <c r="AL74" s="390">
        <f>'[1]Table 4 Level 3'!Y74</f>
        <v>1532453</v>
      </c>
      <c r="AM74" s="387">
        <f>ROUND(AL74/D74,2)</f>
        <v>445.09</v>
      </c>
      <c r="AN74" s="390">
        <f t="shared" si="69"/>
        <v>15773991</v>
      </c>
      <c r="AO74" s="390">
        <f>ROUND(AN74/D74,0)</f>
        <v>4581</v>
      </c>
      <c r="AP74" s="384">
        <f>RANK(AO74,$AO$8:$AO$75)</f>
        <v>39</v>
      </c>
      <c r="AQ74" s="392">
        <f>AN74-'[1]Table 2 Distribution &amp; Adjusts'!I71</f>
        <v>2242330</v>
      </c>
      <c r="AR74" s="389">
        <f t="shared" si="72"/>
        <v>0.5777</v>
      </c>
      <c r="AS74" s="384">
        <f>RANK(AR74,$AR$8:$AR$75)</f>
        <v>45</v>
      </c>
      <c r="AT74" s="387">
        <f t="shared" si="74"/>
        <v>11532080</v>
      </c>
      <c r="AU74" s="387">
        <f>ROUND(AT74/D74,2)</f>
        <v>3349.43</v>
      </c>
      <c r="AV74" s="384">
        <f>RANK(AU74,$AU$8:$AU$75)</f>
        <v>20</v>
      </c>
      <c r="AW74" s="389">
        <f>ROUND(AT74/AX74,4)</f>
        <v>0.4223</v>
      </c>
      <c r="AX74" s="387">
        <f t="shared" si="78"/>
        <v>27306071</v>
      </c>
      <c r="AY74" s="387">
        <f>ROUND(AX74/D74,2)</f>
        <v>7930.89</v>
      </c>
      <c r="AZ74" s="384">
        <f>RANK(AY74,$AY$8:$AY$75)</f>
        <v>10</v>
      </c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</row>
    <row r="75" spans="1:52" ht="12.75">
      <c r="A75" s="412">
        <v>68</v>
      </c>
      <c r="B75" s="413" t="s">
        <v>351</v>
      </c>
      <c r="C75" s="411">
        <f>'[1]Table 8 Membership'!R75</f>
        <v>2182</v>
      </c>
      <c r="D75" s="411">
        <f>'[1]Table 8 Membership'!Y75</f>
        <v>2182</v>
      </c>
      <c r="E75" s="384">
        <f>'[1]4-MFP_&amp;_Other_Funded'!BK80+'[1]LEP'!F77</f>
        <v>1523</v>
      </c>
      <c r="F75" s="384">
        <f>ROUND($F$4*E75,0)</f>
        <v>289</v>
      </c>
      <c r="G75" s="384">
        <f>'[5]Sheet1'!C70</f>
        <v>733.5</v>
      </c>
      <c r="H75" s="384">
        <f>ROUND($H$4*G75,0)</f>
        <v>37</v>
      </c>
      <c r="I75" s="384">
        <f>'[4]mfpLeaSums'!G71</f>
        <v>207</v>
      </c>
      <c r="J75" s="384">
        <f>ROUND($J$4*I75,0)</f>
        <v>311</v>
      </c>
      <c r="K75" s="384">
        <f>'[4]mfpLeaSums'!C71</f>
        <v>8</v>
      </c>
      <c r="L75" s="384">
        <f>ROUND($L$4*K75,0)</f>
        <v>5</v>
      </c>
      <c r="M75" s="384">
        <f t="shared" si="46"/>
        <v>5318</v>
      </c>
      <c r="N75" s="386">
        <f>ROUND(M75/$N$4,5)</f>
        <v>0.14181</v>
      </c>
      <c r="O75" s="384">
        <f>ROUND(D75*N75,0)</f>
        <v>309</v>
      </c>
      <c r="P75" s="384">
        <f>F75+H75+J75+L75+O75</f>
        <v>951</v>
      </c>
      <c r="Q75" s="384">
        <f>P75+D75</f>
        <v>3133</v>
      </c>
      <c r="R75" s="387">
        <f t="shared" si="51"/>
        <v>3652</v>
      </c>
      <c r="S75" s="387">
        <f>ROUND(Q75*R75,0)</f>
        <v>11441716</v>
      </c>
      <c r="T75" s="388">
        <f>'[1]Table 6 Local Wealth Factor'!L75</f>
        <v>0.53644805</v>
      </c>
      <c r="U75" s="388">
        <f t="shared" si="82"/>
        <v>0.00349911</v>
      </c>
      <c r="V75" s="388">
        <f>ROUND(T75*U75,8)</f>
        <v>0.00187709</v>
      </c>
      <c r="W75" s="387">
        <f>IF(S$76*V75*W$4&lt;S75,ROUND(S$76*V75*W$4,0),S75)</f>
        <v>2148258</v>
      </c>
      <c r="X75" s="389">
        <f>ROUND(W75/S75,4)</f>
        <v>0.1878</v>
      </c>
      <c r="Y75" s="390">
        <f t="shared" si="57"/>
        <v>9293458</v>
      </c>
      <c r="Z75" s="389">
        <f>ROUND(Y75/S75,4)</f>
        <v>0.8122</v>
      </c>
      <c r="AA75" s="391">
        <f>'[1]Table 7 Local Revenue'!AR74</f>
        <v>3761127</v>
      </c>
      <c r="AB75" s="387">
        <f t="shared" si="81"/>
        <v>1612869</v>
      </c>
      <c r="AC75" s="392">
        <f t="shared" si="59"/>
        <v>0</v>
      </c>
      <c r="AD75" s="387">
        <f t="shared" si="60"/>
        <v>3775766</v>
      </c>
      <c r="AE75" s="393">
        <f>IF(AB75&lt;AD75,AB75,AD75)</f>
        <v>1612869</v>
      </c>
      <c r="AF75" s="390">
        <f>IF((1-((1-AF$4)*T75))*AE75&gt;0,ROUND((1-((1-AF$4)*T75))*AE75,0),0)</f>
        <v>1093737</v>
      </c>
      <c r="AG75" s="389">
        <f>IF(AE75=0,0,ROUND(AF75/AE75,4))</f>
        <v>0.6781</v>
      </c>
      <c r="AH75" s="387">
        <f t="shared" si="64"/>
        <v>1466728</v>
      </c>
      <c r="AI75" s="387">
        <f t="shared" si="65"/>
        <v>2706606</v>
      </c>
      <c r="AJ75" s="387">
        <f t="shared" si="66"/>
        <v>10387195</v>
      </c>
      <c r="AK75" s="387">
        <f>ROUND(AJ75/D75,2)</f>
        <v>4760.4</v>
      </c>
      <c r="AL75" s="390">
        <f>'[1]Table 4 Level 3'!Y75</f>
        <v>1112775</v>
      </c>
      <c r="AM75" s="387">
        <f>ROUND(AL75/D75,2)</f>
        <v>509.98</v>
      </c>
      <c r="AN75" s="390">
        <f t="shared" si="69"/>
        <v>11499970</v>
      </c>
      <c r="AO75" s="390">
        <f>ROUND(AN75/D75,0)</f>
        <v>5270</v>
      </c>
      <c r="AP75" s="384">
        <f>RANK(AO75,$AO$8:$AO$75)</f>
        <v>12</v>
      </c>
      <c r="AQ75" s="392">
        <f>AN75-'[1]Table 2 Distribution &amp; Adjusts'!I72</f>
        <v>383738</v>
      </c>
      <c r="AR75" s="389">
        <f t="shared" si="72"/>
        <v>0.7535</v>
      </c>
      <c r="AS75" s="384">
        <f>RANK(AR75,$AR$8:$AR$75)</f>
        <v>16</v>
      </c>
      <c r="AT75" s="387">
        <f t="shared" si="74"/>
        <v>3761127</v>
      </c>
      <c r="AU75" s="387">
        <f>ROUND(AT75/D75,2)</f>
        <v>1723.71</v>
      </c>
      <c r="AV75" s="384">
        <f>RANK(AU75,$AU$8:$AU$75)</f>
        <v>50</v>
      </c>
      <c r="AW75" s="389">
        <f>ROUND(AT75/AX75,4)</f>
        <v>0.2465</v>
      </c>
      <c r="AX75" s="387">
        <f t="shared" si="78"/>
        <v>15261097</v>
      </c>
      <c r="AY75" s="387">
        <f>ROUND(AX75/D75,2)</f>
        <v>6994.09</v>
      </c>
      <c r="AZ75" s="384">
        <f>RANK(AY75,$AY$8:$AY$75)</f>
        <v>39</v>
      </c>
    </row>
    <row r="76" spans="1:52" ht="13.5" thickBot="1">
      <c r="A76" s="414"/>
      <c r="B76" s="415" t="s">
        <v>352</v>
      </c>
      <c r="C76" s="416">
        <f aca="true" t="shared" si="83" ref="C76:M76">SUM(C8:C75)</f>
        <v>628864</v>
      </c>
      <c r="D76" s="416">
        <f t="shared" si="83"/>
        <v>645747</v>
      </c>
      <c r="E76" s="416">
        <f t="shared" si="83"/>
        <v>405966.19034594024</v>
      </c>
      <c r="F76" s="416">
        <f t="shared" si="83"/>
        <v>77133</v>
      </c>
      <c r="G76" s="416">
        <f t="shared" si="83"/>
        <v>199074.50725385803</v>
      </c>
      <c r="H76" s="416">
        <f t="shared" si="83"/>
        <v>9952</v>
      </c>
      <c r="I76" s="416">
        <f t="shared" si="83"/>
        <v>90530.50124080402</v>
      </c>
      <c r="J76" s="416">
        <f t="shared" si="83"/>
        <v>135813</v>
      </c>
      <c r="K76" s="416">
        <f t="shared" si="83"/>
        <v>22349.90578140073</v>
      </c>
      <c r="L76" s="416">
        <f t="shared" si="83"/>
        <v>13411</v>
      </c>
      <c r="M76" s="416">
        <f t="shared" si="83"/>
        <v>175816</v>
      </c>
      <c r="N76" s="417"/>
      <c r="O76" s="416">
        <f>SUM(O8:O75)</f>
        <v>13314</v>
      </c>
      <c r="P76" s="416">
        <f>SUM(P8:P75)</f>
        <v>249623</v>
      </c>
      <c r="Q76" s="416">
        <f>SUM(Q8:Q75)</f>
        <v>895370</v>
      </c>
      <c r="R76" s="418">
        <f t="shared" si="51"/>
        <v>3652</v>
      </c>
      <c r="S76" s="419">
        <f>SUM(S8:S75)</f>
        <v>3269891240</v>
      </c>
      <c r="T76" s="420">
        <f>'[1]Table 6 Local Wealth Factor'!L77</f>
        <v>1</v>
      </c>
      <c r="U76" s="420">
        <f t="shared" si="82"/>
        <v>1</v>
      </c>
      <c r="V76" s="420">
        <f>ROUND(T76*U76,8)</f>
        <v>1</v>
      </c>
      <c r="W76" s="419">
        <f>SUM(W8:W75)</f>
        <v>1144460697</v>
      </c>
      <c r="X76" s="421">
        <f>ROUND(W76/S76,4)</f>
        <v>0.35</v>
      </c>
      <c r="Y76" s="419">
        <f>SUM(Y8:Y75)</f>
        <v>2125430543</v>
      </c>
      <c r="Z76" s="421">
        <f>ROUND(Y76/S76,4)</f>
        <v>0.65</v>
      </c>
      <c r="AA76" s="419">
        <f aca="true" t="shared" si="84" ref="AA76:AF76">SUM(AA8:AA75)</f>
        <v>1998194617</v>
      </c>
      <c r="AB76" s="419">
        <f t="shared" si="84"/>
        <v>853678928</v>
      </c>
      <c r="AC76" s="419">
        <f t="shared" si="84"/>
        <v>-105449</v>
      </c>
      <c r="AD76" s="419">
        <f t="shared" si="84"/>
        <v>1079064113</v>
      </c>
      <c r="AE76" s="419">
        <f t="shared" si="84"/>
        <v>767348703</v>
      </c>
      <c r="AF76" s="422">
        <f t="shared" si="84"/>
        <v>269072895</v>
      </c>
      <c r="AG76" s="421">
        <f>IF(AE76=0,0,ROUND(AF76/AE76,4))</f>
        <v>0.3507</v>
      </c>
      <c r="AH76" s="419">
        <f>SUM(AH8:AH75)</f>
        <v>168595323</v>
      </c>
      <c r="AI76" s="419">
        <f>SUM(AI8:AI75)</f>
        <v>1036421598</v>
      </c>
      <c r="AJ76" s="419">
        <f>SUM(AJ8:AJ75)</f>
        <v>2394503438</v>
      </c>
      <c r="AK76" s="419">
        <f>ROUND(AJ76/D76,2)</f>
        <v>3708.11</v>
      </c>
      <c r="AL76" s="419">
        <f>SUM(AL8:AL75)</f>
        <v>322649607</v>
      </c>
      <c r="AM76" s="418">
        <f>ROUND(AL76/D76,2)</f>
        <v>499.65</v>
      </c>
      <c r="AN76" s="422">
        <f>SUM(AN8:AN75)</f>
        <v>2717153045</v>
      </c>
      <c r="AO76" s="422">
        <f>ROUND(AN76/D76,0)</f>
        <v>4208</v>
      </c>
      <c r="AP76" s="423"/>
      <c r="AQ76" s="418">
        <f>SUM(AQ8:AQ75)</f>
        <v>93967650</v>
      </c>
      <c r="AR76" s="421">
        <f t="shared" si="72"/>
        <v>0.587</v>
      </c>
      <c r="AS76" s="423"/>
      <c r="AT76" s="418">
        <f>SUM(AT8:AT75)</f>
        <v>1911809400</v>
      </c>
      <c r="AU76" s="418">
        <f>ROUND(AT76/D76,2)</f>
        <v>2960.62</v>
      </c>
      <c r="AV76" s="423"/>
      <c r="AW76" s="424">
        <f>ROUND(AT76/AX76,4)</f>
        <v>0.413</v>
      </c>
      <c r="AX76" s="418">
        <f>SUM(AX8:AX75)</f>
        <v>4628962445</v>
      </c>
      <c r="AY76" s="418">
        <f>ROUND(AX76/D76,2)</f>
        <v>7168.38</v>
      </c>
      <c r="AZ76" s="423"/>
    </row>
    <row r="77" spans="1:45" ht="13.5" thickTop="1">
      <c r="A77" s="425"/>
      <c r="B77" s="426"/>
      <c r="C77" s="426"/>
      <c r="D77" s="427"/>
      <c r="E77" s="279"/>
      <c r="F77" s="428"/>
      <c r="G77" s="427"/>
      <c r="H77" s="279"/>
      <c r="I77" s="279"/>
      <c r="J77" s="279"/>
      <c r="K77" s="279"/>
      <c r="P77" s="394"/>
      <c r="Q77" s="394"/>
      <c r="R77" s="430"/>
      <c r="T77" s="429" t="s">
        <v>227</v>
      </c>
      <c r="U77" s="429">
        <f t="shared" si="82"/>
        <v>0</v>
      </c>
      <c r="AJ77" s="304"/>
      <c r="AK77" s="304"/>
      <c r="AL77" s="304"/>
      <c r="AM77" s="304"/>
      <c r="AN77" s="304"/>
      <c r="AR77" s="431"/>
      <c r="AS77" s="431"/>
    </row>
    <row r="78" spans="1:18" s="438" customFormat="1" ht="12.75">
      <c r="A78" s="432"/>
      <c r="B78" s="433"/>
      <c r="C78" s="440"/>
      <c r="D78" s="434"/>
      <c r="E78" s="435"/>
      <c r="F78" s="433"/>
      <c r="G78" s="436"/>
      <c r="H78" s="433"/>
      <c r="I78" s="435"/>
      <c r="J78" s="437"/>
      <c r="K78" s="435"/>
      <c r="R78" s="439"/>
    </row>
    <row r="79" spans="1:40" ht="12.75">
      <c r="A79" s="425"/>
      <c r="B79" s="279"/>
      <c r="C79" s="279"/>
      <c r="D79" s="440"/>
      <c r="E79" s="441"/>
      <c r="F79" s="442"/>
      <c r="G79" s="279"/>
      <c r="H79" s="279"/>
      <c r="I79" s="443"/>
      <c r="J79" s="444"/>
      <c r="K79" s="443"/>
      <c r="R79" s="445"/>
      <c r="T79" s="429"/>
      <c r="U79" s="429"/>
      <c r="Y79" s="304"/>
      <c r="AJ79" s="446"/>
      <c r="AK79" s="446"/>
      <c r="AL79" s="446"/>
      <c r="AM79" s="446"/>
      <c r="AN79" s="446"/>
    </row>
    <row r="80" spans="1:40" ht="12.75">
      <c r="A80" s="425"/>
      <c r="B80" s="279"/>
      <c r="C80" s="279"/>
      <c r="D80" s="447"/>
      <c r="E80" s="427"/>
      <c r="F80" s="279"/>
      <c r="G80" s="279"/>
      <c r="H80" s="279"/>
      <c r="I80" s="435"/>
      <c r="J80" s="443"/>
      <c r="K80" s="435">
        <f>J76+L76</f>
        <v>149224</v>
      </c>
      <c r="R80" s="448"/>
      <c r="T80" s="429"/>
      <c r="U80" s="429"/>
      <c r="AJ80" s="304"/>
      <c r="AK80" s="304"/>
      <c r="AL80" s="304"/>
      <c r="AM80" s="304"/>
      <c r="AN80" s="304"/>
    </row>
    <row r="81" spans="1:40" ht="12.75">
      <c r="A81" s="425"/>
      <c r="B81" s="279"/>
      <c r="C81" s="279"/>
      <c r="D81" s="447"/>
      <c r="E81" s="279"/>
      <c r="F81" s="279"/>
      <c r="G81" s="279"/>
      <c r="H81" s="279"/>
      <c r="I81" s="443"/>
      <c r="J81" s="443"/>
      <c r="K81" s="443"/>
      <c r="T81" s="429"/>
      <c r="U81" s="429"/>
      <c r="AJ81" s="304"/>
      <c r="AK81" s="304"/>
      <c r="AL81" s="304"/>
      <c r="AM81" s="304"/>
      <c r="AN81" s="304"/>
    </row>
    <row r="82" spans="1:51" ht="12.75">
      <c r="A82" s="425"/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T82" s="429"/>
      <c r="U82" s="429"/>
      <c r="AJ82" s="304"/>
      <c r="AK82" s="304"/>
      <c r="AL82" s="304"/>
      <c r="AM82" s="304"/>
      <c r="AN82" s="304"/>
      <c r="AO82" s="431"/>
      <c r="AP82" s="431"/>
      <c r="AQ82" s="431"/>
      <c r="AU82" s="431"/>
      <c r="AV82" s="431"/>
      <c r="AY82" s="431"/>
    </row>
    <row r="83" spans="1:40" ht="12.75">
      <c r="A83" s="425"/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T83" s="429"/>
      <c r="U83" s="429"/>
      <c r="AJ83" s="304"/>
      <c r="AK83" s="304"/>
      <c r="AL83" s="304"/>
      <c r="AM83" s="304"/>
      <c r="AN83" s="304"/>
    </row>
    <row r="84" spans="1:40" ht="12.75">
      <c r="A84" s="425"/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T84" s="429"/>
      <c r="U84" s="429"/>
      <c r="AJ84" s="304"/>
      <c r="AK84" s="304"/>
      <c r="AL84" s="304"/>
      <c r="AM84" s="304"/>
      <c r="AN84" s="304"/>
    </row>
    <row r="85" spans="1:40" ht="12.75">
      <c r="A85" s="425"/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T85" s="429"/>
      <c r="U85" s="429"/>
      <c r="AJ85" s="304"/>
      <c r="AK85" s="304"/>
      <c r="AL85" s="304"/>
      <c r="AM85" s="304"/>
      <c r="AN85" s="304"/>
    </row>
    <row r="86" spans="1:40" ht="12.75">
      <c r="A86" s="425"/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T86" s="429"/>
      <c r="U86" s="429"/>
      <c r="AJ86" s="304"/>
      <c r="AK86" s="304"/>
      <c r="AL86" s="304"/>
      <c r="AM86" s="304"/>
      <c r="AN86" s="304"/>
    </row>
    <row r="87" spans="1:40" ht="12.75">
      <c r="A87" s="425"/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T87" s="429"/>
      <c r="U87" s="429"/>
      <c r="AJ87" s="304"/>
      <c r="AK87" s="304"/>
      <c r="AL87" s="304"/>
      <c r="AM87" s="304"/>
      <c r="AN87" s="304"/>
    </row>
    <row r="88" spans="1:40" ht="12.75">
      <c r="A88" s="425"/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T88" s="429"/>
      <c r="U88" s="429"/>
      <c r="AJ88" s="304"/>
      <c r="AK88" s="304"/>
      <c r="AL88" s="304"/>
      <c r="AM88" s="304"/>
      <c r="AN88" s="304"/>
    </row>
    <row r="89" spans="1:40" ht="12.75">
      <c r="A89" s="425"/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T89" s="429"/>
      <c r="U89" s="429"/>
      <c r="AJ89" s="304"/>
      <c r="AK89" s="304"/>
      <c r="AL89" s="304"/>
      <c r="AM89" s="304"/>
      <c r="AN89" s="304"/>
    </row>
    <row r="90" spans="1:40" ht="12.75">
      <c r="A90" s="425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T90" s="429"/>
      <c r="U90" s="429"/>
      <c r="AJ90" s="304"/>
      <c r="AK90" s="304"/>
      <c r="AL90" s="304"/>
      <c r="AM90" s="304"/>
      <c r="AN90" s="304"/>
    </row>
    <row r="91" spans="1:40" ht="12.75">
      <c r="A91" s="425"/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T91" s="429"/>
      <c r="U91" s="429"/>
      <c r="AJ91" s="304"/>
      <c r="AK91" s="304"/>
      <c r="AL91" s="304"/>
      <c r="AM91" s="304"/>
      <c r="AN91" s="304"/>
    </row>
    <row r="92" spans="1:40" ht="12.75">
      <c r="A92" s="425"/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T92" s="429"/>
      <c r="U92" s="429"/>
      <c r="AJ92" s="304"/>
      <c r="AK92" s="304"/>
      <c r="AL92" s="304"/>
      <c r="AM92" s="304"/>
      <c r="AN92" s="304"/>
    </row>
    <row r="93" spans="1:40" ht="12.75">
      <c r="A93" s="425"/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T93" s="429"/>
      <c r="U93" s="429"/>
      <c r="AJ93" s="304"/>
      <c r="AK93" s="304"/>
      <c r="AL93" s="304"/>
      <c r="AM93" s="304"/>
      <c r="AN93" s="304"/>
    </row>
    <row r="94" spans="1:40" ht="12.75">
      <c r="A94" s="425"/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T94" s="429"/>
      <c r="U94" s="429"/>
      <c r="AJ94" s="304"/>
      <c r="AK94" s="304"/>
      <c r="AL94" s="304"/>
      <c r="AM94" s="304"/>
      <c r="AN94" s="304"/>
    </row>
    <row r="95" spans="1:40" ht="12.75">
      <c r="A95" s="425"/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T95" s="429"/>
      <c r="U95" s="429"/>
      <c r="AJ95" s="304"/>
      <c r="AK95" s="304"/>
      <c r="AL95" s="304"/>
      <c r="AM95" s="304"/>
      <c r="AN95" s="304"/>
    </row>
    <row r="96" spans="1:40" ht="12.75">
      <c r="A96" s="425"/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T96" s="429"/>
      <c r="U96" s="429"/>
      <c r="AJ96" s="304"/>
      <c r="AK96" s="304"/>
      <c r="AL96" s="304"/>
      <c r="AM96" s="304"/>
      <c r="AN96" s="304"/>
    </row>
    <row r="97" spans="1:40" ht="12.75">
      <c r="A97" s="425"/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T97" s="429"/>
      <c r="U97" s="429"/>
      <c r="AJ97" s="304"/>
      <c r="AK97" s="304"/>
      <c r="AL97" s="304"/>
      <c r="AM97" s="304"/>
      <c r="AN97" s="304"/>
    </row>
    <row r="98" spans="1:40" ht="12.75">
      <c r="A98" s="425"/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T98" s="429"/>
      <c r="U98" s="429"/>
      <c r="AJ98" s="304"/>
      <c r="AK98" s="304"/>
      <c r="AL98" s="304"/>
      <c r="AM98" s="304"/>
      <c r="AN98" s="304"/>
    </row>
    <row r="99" spans="1:40" ht="12.75">
      <c r="A99" s="425"/>
      <c r="B99" s="279"/>
      <c r="C99" s="279"/>
      <c r="D99" s="279"/>
      <c r="E99" s="279"/>
      <c r="F99" s="279"/>
      <c r="G99" s="279"/>
      <c r="H99" s="279"/>
      <c r="I99" s="279"/>
      <c r="J99" s="279"/>
      <c r="K99" s="279"/>
      <c r="T99" s="429"/>
      <c r="U99" s="429"/>
      <c r="AJ99" s="304"/>
      <c r="AK99" s="304"/>
      <c r="AL99" s="304"/>
      <c r="AM99" s="304"/>
      <c r="AN99" s="304"/>
    </row>
    <row r="100" spans="1:40" ht="12.75">
      <c r="A100" s="425"/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  <c r="T100" s="429"/>
      <c r="U100" s="429"/>
      <c r="AJ100" s="304"/>
      <c r="AK100" s="304"/>
      <c r="AL100" s="304"/>
      <c r="AM100" s="304"/>
      <c r="AN100" s="304"/>
    </row>
    <row r="101" spans="1:40" ht="12.75">
      <c r="A101" s="425"/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  <c r="T101" s="429"/>
      <c r="U101" s="429"/>
      <c r="AJ101" s="304"/>
      <c r="AK101" s="304"/>
      <c r="AL101" s="304"/>
      <c r="AM101" s="304"/>
      <c r="AN101" s="304"/>
    </row>
    <row r="102" spans="1:40" ht="12.75">
      <c r="A102" s="425"/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T102" s="429"/>
      <c r="U102" s="429"/>
      <c r="AJ102" s="304"/>
      <c r="AK102" s="304"/>
      <c r="AL102" s="304"/>
      <c r="AM102" s="304"/>
      <c r="AN102" s="304"/>
    </row>
    <row r="103" spans="1:40" ht="12.75">
      <c r="A103" s="425"/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T103" s="429"/>
      <c r="U103" s="429"/>
      <c r="AJ103" s="304"/>
      <c r="AK103" s="304"/>
      <c r="AL103" s="304"/>
      <c r="AM103" s="304"/>
      <c r="AN103" s="304"/>
    </row>
    <row r="104" spans="1:40" ht="12.75">
      <c r="A104" s="425"/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T104" s="429"/>
      <c r="U104" s="429"/>
      <c r="AJ104" s="304"/>
      <c r="AK104" s="304"/>
      <c r="AL104" s="304"/>
      <c r="AM104" s="304"/>
      <c r="AN104" s="304"/>
    </row>
    <row r="105" spans="1:40" ht="12.75">
      <c r="A105" s="425"/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T105" s="429"/>
      <c r="U105" s="429"/>
      <c r="AJ105" s="304"/>
      <c r="AK105" s="304"/>
      <c r="AL105" s="304"/>
      <c r="AM105" s="304"/>
      <c r="AN105" s="304"/>
    </row>
    <row r="106" spans="1:40" ht="12.75">
      <c r="A106" s="425"/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T106" s="429"/>
      <c r="U106" s="429"/>
      <c r="AJ106" s="304"/>
      <c r="AK106" s="304"/>
      <c r="AL106" s="304"/>
      <c r="AM106" s="304"/>
      <c r="AN106" s="304"/>
    </row>
    <row r="107" spans="1:40" ht="12.75">
      <c r="A107" s="425"/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T107" s="429"/>
      <c r="U107" s="429"/>
      <c r="AJ107" s="304"/>
      <c r="AK107" s="304"/>
      <c r="AL107" s="304"/>
      <c r="AM107" s="304"/>
      <c r="AN107" s="304"/>
    </row>
    <row r="108" spans="1:40" ht="12.75">
      <c r="A108" s="425"/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T108" s="429"/>
      <c r="U108" s="429"/>
      <c r="AJ108" s="304"/>
      <c r="AK108" s="304"/>
      <c r="AL108" s="304"/>
      <c r="AM108" s="304"/>
      <c r="AN108" s="304"/>
    </row>
    <row r="109" spans="1:40" ht="12.75">
      <c r="A109" s="425"/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T109" s="429"/>
      <c r="U109" s="429"/>
      <c r="AJ109" s="304"/>
      <c r="AK109" s="304"/>
      <c r="AL109" s="304"/>
      <c r="AM109" s="304"/>
      <c r="AN109" s="304"/>
    </row>
    <row r="110" spans="1:40" ht="12.75">
      <c r="A110" s="425"/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T110" s="429"/>
      <c r="U110" s="429"/>
      <c r="AJ110" s="304"/>
      <c r="AK110" s="304"/>
      <c r="AL110" s="304"/>
      <c r="AM110" s="304"/>
      <c r="AN110" s="304"/>
    </row>
    <row r="111" spans="1:40" ht="12.75">
      <c r="A111" s="425"/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T111" s="429"/>
      <c r="U111" s="429"/>
      <c r="AJ111" s="304"/>
      <c r="AK111" s="304"/>
      <c r="AL111" s="304"/>
      <c r="AM111" s="304"/>
      <c r="AN111" s="304"/>
    </row>
    <row r="112" spans="1:40" ht="12.75">
      <c r="A112" s="425"/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T112" s="429"/>
      <c r="U112" s="429"/>
      <c r="AJ112" s="304"/>
      <c r="AK112" s="304"/>
      <c r="AL112" s="304"/>
      <c r="AM112" s="304"/>
      <c r="AN112" s="304"/>
    </row>
    <row r="113" spans="1:40" ht="12.75">
      <c r="A113" s="425"/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T113" s="429"/>
      <c r="U113" s="429"/>
      <c r="AJ113" s="304"/>
      <c r="AK113" s="304"/>
      <c r="AL113" s="304"/>
      <c r="AM113" s="304"/>
      <c r="AN113" s="304"/>
    </row>
    <row r="114" spans="1:40" ht="12.75">
      <c r="A114" s="425"/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T114" s="429"/>
      <c r="U114" s="429"/>
      <c r="AJ114" s="304"/>
      <c r="AK114" s="304"/>
      <c r="AL114" s="304"/>
      <c r="AM114" s="304"/>
      <c r="AN114" s="304"/>
    </row>
    <row r="115" spans="1:40" ht="12.75">
      <c r="A115" s="425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T115" s="429"/>
      <c r="U115" s="429"/>
      <c r="AJ115" s="304"/>
      <c r="AK115" s="304"/>
      <c r="AL115" s="304"/>
      <c r="AM115" s="304"/>
      <c r="AN115" s="304"/>
    </row>
    <row r="116" spans="1:40" ht="12.75">
      <c r="A116" s="425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T116" s="429"/>
      <c r="U116" s="429"/>
      <c r="AJ116" s="304"/>
      <c r="AK116" s="304"/>
      <c r="AL116" s="304"/>
      <c r="AM116" s="304"/>
      <c r="AN116" s="304"/>
    </row>
    <row r="117" spans="1:40" ht="12.75">
      <c r="A117" s="425"/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T117" s="429"/>
      <c r="U117" s="429"/>
      <c r="AJ117" s="304"/>
      <c r="AK117" s="304"/>
      <c r="AL117" s="304"/>
      <c r="AM117" s="304"/>
      <c r="AN117" s="304"/>
    </row>
    <row r="118" spans="1:40" ht="12.75">
      <c r="A118" s="425"/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T118" s="429"/>
      <c r="U118" s="429"/>
      <c r="AJ118" s="304"/>
      <c r="AK118" s="304"/>
      <c r="AL118" s="304"/>
      <c r="AM118" s="304"/>
      <c r="AN118" s="304"/>
    </row>
    <row r="119" spans="1:40" ht="12.75">
      <c r="A119" s="425"/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T119" s="429"/>
      <c r="U119" s="429"/>
      <c r="AJ119" s="304"/>
      <c r="AK119" s="304"/>
      <c r="AL119" s="304"/>
      <c r="AM119" s="304"/>
      <c r="AN119" s="304"/>
    </row>
    <row r="120" spans="1:40" ht="12.75">
      <c r="A120" s="425"/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T120" s="429"/>
      <c r="U120" s="429"/>
      <c r="AJ120" s="304"/>
      <c r="AK120" s="304"/>
      <c r="AL120" s="304"/>
      <c r="AM120" s="304"/>
      <c r="AN120" s="304"/>
    </row>
    <row r="121" spans="1:40" ht="12.75">
      <c r="A121" s="425"/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T121" s="429"/>
      <c r="U121" s="429"/>
      <c r="AJ121" s="304"/>
      <c r="AK121" s="304"/>
      <c r="AL121" s="304"/>
      <c r="AM121" s="304"/>
      <c r="AN121" s="304"/>
    </row>
    <row r="122" spans="1:40" ht="12.75">
      <c r="A122" s="425"/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T122" s="429"/>
      <c r="U122" s="429"/>
      <c r="AJ122" s="304"/>
      <c r="AK122" s="304"/>
      <c r="AL122" s="304"/>
      <c r="AM122" s="304"/>
      <c r="AN122" s="304"/>
    </row>
    <row r="123" spans="1:40" ht="12.75">
      <c r="A123" s="425"/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T123" s="429"/>
      <c r="U123" s="429"/>
      <c r="AJ123" s="304"/>
      <c r="AK123" s="304"/>
      <c r="AL123" s="304"/>
      <c r="AM123" s="304"/>
      <c r="AN123" s="304"/>
    </row>
    <row r="124" spans="1:40" ht="12.75">
      <c r="A124" s="425"/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T124" s="429"/>
      <c r="U124" s="429"/>
      <c r="AJ124" s="304"/>
      <c r="AK124" s="304"/>
      <c r="AL124" s="304"/>
      <c r="AM124" s="304"/>
      <c r="AN124" s="304"/>
    </row>
    <row r="125" spans="1:40" ht="12.75">
      <c r="A125" s="425"/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  <c r="T125" s="429"/>
      <c r="U125" s="429"/>
      <c r="AJ125" s="304"/>
      <c r="AK125" s="304"/>
      <c r="AL125" s="304"/>
      <c r="AM125" s="304"/>
      <c r="AN125" s="304"/>
    </row>
    <row r="126" spans="1:40" ht="12.75">
      <c r="A126" s="425"/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T126" s="429"/>
      <c r="U126" s="429"/>
      <c r="AJ126" s="304"/>
      <c r="AK126" s="304"/>
      <c r="AL126" s="304"/>
      <c r="AM126" s="304"/>
      <c r="AN126" s="304"/>
    </row>
    <row r="127" spans="1:40" ht="12.75">
      <c r="A127" s="425"/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T127" s="429"/>
      <c r="U127" s="429"/>
      <c r="AJ127" s="304"/>
      <c r="AK127" s="304"/>
      <c r="AL127" s="304"/>
      <c r="AM127" s="304"/>
      <c r="AN127" s="304"/>
    </row>
    <row r="128" spans="1:40" ht="12.75">
      <c r="A128" s="425"/>
      <c r="B128" s="279"/>
      <c r="C128" s="279"/>
      <c r="D128" s="279"/>
      <c r="E128" s="279"/>
      <c r="F128" s="279"/>
      <c r="G128" s="279"/>
      <c r="H128" s="279"/>
      <c r="I128" s="279"/>
      <c r="J128" s="279"/>
      <c r="K128" s="279"/>
      <c r="T128" s="429"/>
      <c r="U128" s="429"/>
      <c r="AJ128" s="304"/>
      <c r="AK128" s="304"/>
      <c r="AL128" s="304"/>
      <c r="AM128" s="304"/>
      <c r="AN128" s="304"/>
    </row>
    <row r="129" spans="1:40" ht="12.75">
      <c r="A129" s="425"/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T129" s="429"/>
      <c r="U129" s="429"/>
      <c r="AJ129" s="304"/>
      <c r="AK129" s="304"/>
      <c r="AL129" s="304"/>
      <c r="AM129" s="304"/>
      <c r="AN129" s="304"/>
    </row>
    <row r="130" spans="1:40" ht="12.75">
      <c r="A130" s="425"/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AJ130" s="304"/>
      <c r="AK130" s="304"/>
      <c r="AL130" s="304"/>
      <c r="AM130" s="304"/>
      <c r="AN130" s="304"/>
    </row>
    <row r="131" spans="1:40" ht="12.75">
      <c r="A131" s="425"/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AJ131" s="304"/>
      <c r="AK131" s="304"/>
      <c r="AL131" s="304"/>
      <c r="AM131" s="304"/>
      <c r="AN131" s="304"/>
    </row>
    <row r="132" spans="1:40" ht="12.75">
      <c r="A132" s="425"/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  <c r="AJ132" s="304"/>
      <c r="AK132" s="304"/>
      <c r="AL132" s="304"/>
      <c r="AM132" s="304"/>
      <c r="AN132" s="304"/>
    </row>
    <row r="133" spans="1:40" ht="12.75">
      <c r="A133" s="425"/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AJ133" s="304"/>
      <c r="AK133" s="304"/>
      <c r="AL133" s="304"/>
      <c r="AM133" s="304"/>
      <c r="AN133" s="304"/>
    </row>
    <row r="134" spans="1:40" ht="12.75">
      <c r="A134" s="425"/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AJ134" s="304"/>
      <c r="AK134" s="304"/>
      <c r="AL134" s="304"/>
      <c r="AM134" s="304"/>
      <c r="AN134" s="304"/>
    </row>
    <row r="135" spans="1:40" ht="12.75">
      <c r="A135" s="425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AJ135" s="304"/>
      <c r="AK135" s="304"/>
      <c r="AL135" s="304"/>
      <c r="AM135" s="304"/>
      <c r="AN135" s="304"/>
    </row>
    <row r="136" spans="1:40" ht="12.75">
      <c r="A136" s="425"/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AJ136" s="304"/>
      <c r="AK136" s="304"/>
      <c r="AL136" s="304"/>
      <c r="AM136" s="304"/>
      <c r="AN136" s="304"/>
    </row>
    <row r="137" spans="1:40" ht="12.75">
      <c r="A137" s="425"/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AJ137" s="304"/>
      <c r="AK137" s="304"/>
      <c r="AL137" s="304"/>
      <c r="AM137" s="304"/>
      <c r="AN137" s="304"/>
    </row>
    <row r="138" spans="1:40" ht="12.75">
      <c r="A138" s="425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AJ138" s="304"/>
      <c r="AK138" s="304"/>
      <c r="AL138" s="304"/>
      <c r="AM138" s="304"/>
      <c r="AN138" s="304"/>
    </row>
    <row r="139" spans="1:40" ht="12.75">
      <c r="A139" s="425"/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AJ139" s="304"/>
      <c r="AK139" s="304"/>
      <c r="AL139" s="304"/>
      <c r="AM139" s="304"/>
      <c r="AN139" s="304"/>
    </row>
    <row r="140" spans="1:40" ht="12.75">
      <c r="A140" s="425"/>
      <c r="B140" s="279"/>
      <c r="C140" s="279"/>
      <c r="D140" s="279"/>
      <c r="E140" s="279"/>
      <c r="F140" s="279"/>
      <c r="G140" s="279"/>
      <c r="H140" s="279"/>
      <c r="I140" s="279"/>
      <c r="J140" s="279"/>
      <c r="K140" s="279"/>
      <c r="AJ140" s="304"/>
      <c r="AK140" s="304"/>
      <c r="AL140" s="304"/>
      <c r="AM140" s="304"/>
      <c r="AN140" s="304"/>
    </row>
    <row r="141" spans="1:40" ht="12.75">
      <c r="A141" s="425"/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AJ141" s="304"/>
      <c r="AK141" s="304"/>
      <c r="AL141" s="304"/>
      <c r="AM141" s="304"/>
      <c r="AN141" s="304"/>
    </row>
    <row r="142" spans="1:40" ht="12.75">
      <c r="A142" s="425"/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AJ142" s="304"/>
      <c r="AK142" s="304"/>
      <c r="AL142" s="304"/>
      <c r="AM142" s="304"/>
      <c r="AN142" s="304"/>
    </row>
    <row r="143" spans="1:40" ht="12.75">
      <c r="A143" s="425"/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AJ143" s="304"/>
      <c r="AK143" s="304"/>
      <c r="AL143" s="304"/>
      <c r="AM143" s="304"/>
      <c r="AN143" s="304"/>
    </row>
    <row r="144" spans="1:40" ht="12.75">
      <c r="A144" s="425"/>
      <c r="B144" s="279"/>
      <c r="C144" s="279"/>
      <c r="D144" s="279"/>
      <c r="E144" s="279"/>
      <c r="F144" s="279"/>
      <c r="G144" s="279"/>
      <c r="H144" s="279"/>
      <c r="I144" s="279"/>
      <c r="J144" s="279"/>
      <c r="K144" s="279"/>
      <c r="AJ144" s="304"/>
      <c r="AK144" s="304"/>
      <c r="AL144" s="304"/>
      <c r="AM144" s="304"/>
      <c r="AN144" s="304"/>
    </row>
    <row r="145" spans="1:40" ht="12.75">
      <c r="A145" s="425"/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AJ145" s="304"/>
      <c r="AK145" s="304"/>
      <c r="AL145" s="304"/>
      <c r="AM145" s="304"/>
      <c r="AN145" s="304"/>
    </row>
    <row r="146" spans="1:40" ht="12.75">
      <c r="A146" s="425"/>
      <c r="B146" s="279"/>
      <c r="C146" s="279"/>
      <c r="D146" s="279"/>
      <c r="E146" s="279"/>
      <c r="F146" s="279"/>
      <c r="G146" s="279"/>
      <c r="H146" s="279"/>
      <c r="I146" s="279"/>
      <c r="J146" s="279"/>
      <c r="K146" s="279"/>
      <c r="AJ146" s="304"/>
      <c r="AK146" s="304"/>
      <c r="AL146" s="304"/>
      <c r="AM146" s="304"/>
      <c r="AN146" s="304"/>
    </row>
    <row r="147" spans="1:11" ht="12.75">
      <c r="A147" s="425"/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</row>
    <row r="148" spans="1:11" ht="12.75">
      <c r="A148" s="425"/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</row>
    <row r="149" spans="1:11" ht="12.75">
      <c r="A149" s="425"/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</row>
    <row r="150" spans="1:11" ht="12.75">
      <c r="A150" s="425"/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</row>
    <row r="151" spans="1:11" ht="12.75">
      <c r="A151" s="425"/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</row>
    <row r="152" spans="1:11" ht="12.75">
      <c r="A152" s="425"/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</row>
    <row r="153" spans="1:11" ht="12.75">
      <c r="A153" s="425"/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</row>
    <row r="154" spans="1:11" ht="12.75">
      <c r="A154" s="425"/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</row>
    <row r="155" spans="1:11" ht="12.75">
      <c r="A155" s="425"/>
      <c r="B155" s="279"/>
      <c r="C155" s="279"/>
      <c r="D155" s="279"/>
      <c r="E155" s="279"/>
      <c r="F155" s="279"/>
      <c r="G155" s="279"/>
      <c r="H155" s="279"/>
      <c r="I155" s="279"/>
      <c r="J155" s="279"/>
      <c r="K155" s="279"/>
    </row>
    <row r="156" spans="1:11" ht="12.75">
      <c r="A156" s="425"/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</row>
    <row r="157" spans="1:11" ht="12.75">
      <c r="A157" s="425"/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</row>
    <row r="158" spans="1:11" ht="12.75">
      <c r="A158" s="425"/>
      <c r="B158" s="279"/>
      <c r="C158" s="279"/>
      <c r="D158" s="279"/>
      <c r="E158" s="279"/>
      <c r="F158" s="279"/>
      <c r="G158" s="279"/>
      <c r="H158" s="279"/>
      <c r="I158" s="279"/>
      <c r="J158" s="279"/>
      <c r="K158" s="279"/>
    </row>
    <row r="159" spans="1:11" ht="12.75">
      <c r="A159" s="425"/>
      <c r="B159" s="279"/>
      <c r="C159" s="279"/>
      <c r="D159" s="279"/>
      <c r="E159" s="279"/>
      <c r="F159" s="279"/>
      <c r="G159" s="279"/>
      <c r="H159" s="279"/>
      <c r="I159" s="279"/>
      <c r="J159" s="279"/>
      <c r="K159" s="279"/>
    </row>
    <row r="160" spans="1:11" ht="12.75">
      <c r="A160" s="425"/>
      <c r="B160" s="279"/>
      <c r="C160" s="279"/>
      <c r="D160" s="279"/>
      <c r="E160" s="279"/>
      <c r="F160" s="279"/>
      <c r="G160" s="279"/>
      <c r="H160" s="279"/>
      <c r="I160" s="279"/>
      <c r="J160" s="279"/>
      <c r="K160" s="279"/>
    </row>
    <row r="161" spans="1:11" ht="12.75">
      <c r="A161" s="425"/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1:11" ht="12.75">
      <c r="A162" s="425"/>
      <c r="B162" s="279"/>
      <c r="C162" s="279"/>
      <c r="D162" s="279"/>
      <c r="E162" s="279"/>
      <c r="F162" s="279"/>
      <c r="G162" s="279"/>
      <c r="H162" s="279"/>
      <c r="I162" s="279"/>
      <c r="J162" s="279"/>
      <c r="K162" s="279"/>
    </row>
    <row r="163" spans="1:11" ht="12.75">
      <c r="A163" s="425"/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1:11" ht="12.75">
      <c r="A164" s="425"/>
      <c r="B164" s="279"/>
      <c r="C164" s="279"/>
      <c r="D164" s="279"/>
      <c r="E164" s="279"/>
      <c r="F164" s="279"/>
      <c r="G164" s="279"/>
      <c r="H164" s="279"/>
      <c r="I164" s="279"/>
      <c r="J164" s="279"/>
      <c r="K164" s="279"/>
    </row>
    <row r="165" spans="1:11" ht="12.75">
      <c r="A165" s="425"/>
      <c r="B165" s="279"/>
      <c r="C165" s="279"/>
      <c r="D165" s="279"/>
      <c r="E165" s="279"/>
      <c r="F165" s="279"/>
      <c r="G165" s="279"/>
      <c r="H165" s="279"/>
      <c r="I165" s="279"/>
      <c r="J165" s="279"/>
      <c r="K165" s="279"/>
    </row>
    <row r="166" spans="1:11" ht="12.75">
      <c r="A166" s="425"/>
      <c r="B166" s="279"/>
      <c r="C166" s="279"/>
      <c r="D166" s="279"/>
      <c r="E166" s="279"/>
      <c r="F166" s="279"/>
      <c r="G166" s="279"/>
      <c r="H166" s="279"/>
      <c r="I166" s="279"/>
      <c r="J166" s="279"/>
      <c r="K166" s="279"/>
    </row>
    <row r="167" spans="1:11" ht="12.75">
      <c r="A167" s="425"/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</row>
    <row r="168" spans="1:11" ht="12.75">
      <c r="A168" s="425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</row>
    <row r="169" spans="1:11" ht="12.75">
      <c r="A169" s="425"/>
      <c r="B169" s="279"/>
      <c r="C169" s="279"/>
      <c r="D169" s="279"/>
      <c r="E169" s="279"/>
      <c r="F169" s="279"/>
      <c r="G169" s="279"/>
      <c r="H169" s="279"/>
      <c r="I169" s="279"/>
      <c r="J169" s="279"/>
      <c r="K169" s="279"/>
    </row>
    <row r="170" spans="1:11" ht="12.75">
      <c r="A170" s="425"/>
      <c r="B170" s="279"/>
      <c r="C170" s="279"/>
      <c r="D170" s="279"/>
      <c r="E170" s="279"/>
      <c r="F170" s="279"/>
      <c r="G170" s="279"/>
      <c r="H170" s="279"/>
      <c r="I170" s="279"/>
      <c r="J170" s="279"/>
      <c r="K170" s="279"/>
    </row>
    <row r="171" spans="1:11" ht="12.75">
      <c r="A171" s="425"/>
      <c r="B171" s="279"/>
      <c r="C171" s="279"/>
      <c r="D171" s="279"/>
      <c r="E171" s="279"/>
      <c r="F171" s="279"/>
      <c r="G171" s="279"/>
      <c r="H171" s="279"/>
      <c r="I171" s="279"/>
      <c r="J171" s="279"/>
      <c r="K171" s="279"/>
    </row>
    <row r="172" spans="1:11" ht="12.75">
      <c r="A172" s="425"/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</row>
    <row r="173" spans="1:11" ht="12.75">
      <c r="A173" s="425"/>
      <c r="B173" s="279"/>
      <c r="C173" s="279"/>
      <c r="D173" s="279"/>
      <c r="E173" s="279"/>
      <c r="F173" s="279"/>
      <c r="G173" s="279"/>
      <c r="H173" s="279"/>
      <c r="I173" s="279"/>
      <c r="J173" s="279"/>
      <c r="K173" s="279"/>
    </row>
    <row r="174" spans="1:11" ht="12.75">
      <c r="A174" s="425"/>
      <c r="B174" s="279"/>
      <c r="C174" s="279"/>
      <c r="D174" s="279"/>
      <c r="E174" s="279"/>
      <c r="F174" s="279"/>
      <c r="G174" s="279"/>
      <c r="H174" s="279"/>
      <c r="I174" s="279"/>
      <c r="J174" s="279"/>
      <c r="K174" s="279"/>
    </row>
    <row r="175" spans="1:11" ht="12.75">
      <c r="A175" s="425"/>
      <c r="B175" s="279"/>
      <c r="C175" s="279"/>
      <c r="D175" s="279"/>
      <c r="E175" s="279"/>
      <c r="F175" s="279"/>
      <c r="G175" s="279"/>
      <c r="H175" s="279"/>
      <c r="I175" s="279"/>
      <c r="J175" s="279"/>
      <c r="K175" s="279"/>
    </row>
    <row r="176" spans="1:11" ht="12.75">
      <c r="A176" s="425"/>
      <c r="B176" s="279"/>
      <c r="C176" s="279"/>
      <c r="D176" s="279"/>
      <c r="E176" s="279"/>
      <c r="F176" s="279"/>
      <c r="G176" s="279"/>
      <c r="H176" s="279"/>
      <c r="I176" s="279"/>
      <c r="J176" s="279"/>
      <c r="K176" s="279"/>
    </row>
    <row r="177" spans="1:11" ht="12.75">
      <c r="A177" s="425"/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</row>
    <row r="178" spans="1:11" ht="12.75">
      <c r="A178" s="425"/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</row>
    <row r="179" spans="1:11" ht="12.75">
      <c r="A179" s="425"/>
      <c r="B179" s="279"/>
      <c r="C179" s="279"/>
      <c r="D179" s="279"/>
      <c r="E179" s="279"/>
      <c r="F179" s="279"/>
      <c r="G179" s="279"/>
      <c r="H179" s="279"/>
      <c r="I179" s="279"/>
      <c r="J179" s="279"/>
      <c r="K179" s="279"/>
    </row>
    <row r="180" spans="1:11" ht="12.75">
      <c r="A180" s="425"/>
      <c r="B180" s="279"/>
      <c r="C180" s="279"/>
      <c r="D180" s="279"/>
      <c r="E180" s="279"/>
      <c r="F180" s="279"/>
      <c r="G180" s="279"/>
      <c r="H180" s="279"/>
      <c r="I180" s="279"/>
      <c r="J180" s="279"/>
      <c r="K180" s="279"/>
    </row>
    <row r="181" spans="1:11" ht="12.75">
      <c r="A181" s="425"/>
      <c r="B181" s="279"/>
      <c r="C181" s="279"/>
      <c r="D181" s="279"/>
      <c r="E181" s="279"/>
      <c r="F181" s="279"/>
      <c r="G181" s="279"/>
      <c r="H181" s="279"/>
      <c r="I181" s="279"/>
      <c r="J181" s="279"/>
      <c r="K181" s="279"/>
    </row>
    <row r="182" spans="1:11" ht="12.75">
      <c r="A182" s="425"/>
      <c r="B182" s="279"/>
      <c r="C182" s="279"/>
      <c r="D182" s="279"/>
      <c r="E182" s="279"/>
      <c r="F182" s="279"/>
      <c r="G182" s="279"/>
      <c r="H182" s="279"/>
      <c r="I182" s="279"/>
      <c r="J182" s="279"/>
      <c r="K182" s="279"/>
    </row>
    <row r="183" spans="1:11" ht="12.75">
      <c r="A183" s="425"/>
      <c r="B183" s="279"/>
      <c r="C183" s="279"/>
      <c r="D183" s="279"/>
      <c r="E183" s="279"/>
      <c r="F183" s="279"/>
      <c r="G183" s="279"/>
      <c r="H183" s="279"/>
      <c r="I183" s="279"/>
      <c r="J183" s="279"/>
      <c r="K183" s="279"/>
    </row>
    <row r="184" spans="1:11" ht="12.75">
      <c r="A184" s="425"/>
      <c r="B184" s="279"/>
      <c r="C184" s="279"/>
      <c r="D184" s="279"/>
      <c r="E184" s="279"/>
      <c r="F184" s="279"/>
      <c r="G184" s="279"/>
      <c r="H184" s="279"/>
      <c r="I184" s="279"/>
      <c r="J184" s="279"/>
      <c r="K184" s="279"/>
    </row>
    <row r="185" spans="1:11" ht="12.75">
      <c r="A185" s="425"/>
      <c r="B185" s="279"/>
      <c r="C185" s="279"/>
      <c r="D185" s="279"/>
      <c r="E185" s="279"/>
      <c r="F185" s="279"/>
      <c r="G185" s="279"/>
      <c r="H185" s="279"/>
      <c r="I185" s="279"/>
      <c r="J185" s="279"/>
      <c r="K185" s="279"/>
    </row>
    <row r="186" spans="1:24" ht="12.75">
      <c r="A186" s="425"/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X186" s="394"/>
    </row>
    <row r="187" spans="1:11" ht="12.75">
      <c r="A187" s="425"/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</row>
    <row r="188" spans="1:11" ht="12.75">
      <c r="A188" s="425"/>
      <c r="B188" s="279"/>
      <c r="C188" s="279"/>
      <c r="D188" s="279"/>
      <c r="E188" s="279"/>
      <c r="F188" s="279"/>
      <c r="G188" s="279"/>
      <c r="H188" s="279"/>
      <c r="I188" s="279"/>
      <c r="J188" s="279"/>
      <c r="K188" s="279"/>
    </row>
    <row r="189" spans="1:11" ht="12.75">
      <c r="A189" s="425"/>
      <c r="B189" s="279"/>
      <c r="C189" s="279"/>
      <c r="D189" s="279"/>
      <c r="E189" s="279"/>
      <c r="F189" s="279"/>
      <c r="G189" s="279"/>
      <c r="H189" s="279"/>
      <c r="I189" s="279"/>
      <c r="J189" s="279"/>
      <c r="K189" s="279"/>
    </row>
    <row r="190" spans="1:11" ht="12.75">
      <c r="A190" s="425"/>
      <c r="B190" s="279"/>
      <c r="C190" s="279"/>
      <c r="D190" s="279"/>
      <c r="E190" s="279"/>
      <c r="F190" s="279"/>
      <c r="G190" s="279"/>
      <c r="H190" s="279"/>
      <c r="I190" s="279"/>
      <c r="J190" s="279"/>
      <c r="K190" s="279"/>
    </row>
    <row r="191" spans="1:11" ht="12.75">
      <c r="A191" s="425"/>
      <c r="B191" s="279"/>
      <c r="C191" s="279"/>
      <c r="D191" s="279"/>
      <c r="E191" s="279"/>
      <c r="F191" s="279"/>
      <c r="G191" s="279"/>
      <c r="H191" s="279"/>
      <c r="I191" s="279"/>
      <c r="J191" s="279"/>
      <c r="K191" s="279"/>
    </row>
    <row r="192" spans="1:11" ht="12.75">
      <c r="A192" s="425"/>
      <c r="B192" s="279"/>
      <c r="C192" s="279"/>
      <c r="D192" s="279"/>
      <c r="E192" s="279"/>
      <c r="F192" s="279"/>
      <c r="G192" s="279"/>
      <c r="H192" s="279"/>
      <c r="I192" s="279"/>
      <c r="J192" s="279"/>
      <c r="K192" s="279"/>
    </row>
    <row r="193" spans="1:11" ht="12.75">
      <c r="A193" s="425"/>
      <c r="B193" s="279"/>
      <c r="C193" s="279"/>
      <c r="D193" s="279"/>
      <c r="E193" s="279"/>
      <c r="F193" s="279"/>
      <c r="G193" s="279"/>
      <c r="H193" s="279"/>
      <c r="I193" s="279"/>
      <c r="J193" s="279"/>
      <c r="K193" s="279"/>
    </row>
    <row r="194" spans="1:11" ht="12.75">
      <c r="A194" s="425"/>
      <c r="B194" s="279"/>
      <c r="C194" s="279"/>
      <c r="D194" s="279"/>
      <c r="E194" s="279"/>
      <c r="F194" s="279"/>
      <c r="G194" s="279"/>
      <c r="H194" s="279"/>
      <c r="I194" s="279"/>
      <c r="J194" s="279"/>
      <c r="K194" s="279"/>
    </row>
    <row r="195" spans="1:11" ht="12.75">
      <c r="A195" s="425"/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spans="1:24" ht="12.75">
      <c r="A196" s="425"/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X196" s="394"/>
    </row>
    <row r="197" spans="1:11" ht="12.75">
      <c r="A197" s="425"/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pans="1:11" ht="12.75">
      <c r="A198" s="425"/>
      <c r="B198" s="279"/>
      <c r="C198" s="279"/>
      <c r="D198" s="279"/>
      <c r="E198" s="279"/>
      <c r="F198" s="279"/>
      <c r="G198" s="279"/>
      <c r="H198" s="279"/>
      <c r="I198" s="279"/>
      <c r="J198" s="279"/>
      <c r="K198" s="279"/>
    </row>
    <row r="199" spans="1:11" ht="12.75">
      <c r="A199" s="425"/>
      <c r="B199" s="279"/>
      <c r="C199" s="279"/>
      <c r="D199" s="279"/>
      <c r="E199" s="279"/>
      <c r="F199" s="279"/>
      <c r="G199" s="279"/>
      <c r="H199" s="279"/>
      <c r="I199" s="279"/>
      <c r="J199" s="279"/>
      <c r="K199" s="279"/>
    </row>
    <row r="200" spans="1:11" ht="12.75">
      <c r="A200" s="425"/>
      <c r="B200" s="279"/>
      <c r="C200" s="279"/>
      <c r="D200" s="279"/>
      <c r="E200" s="279"/>
      <c r="F200" s="279"/>
      <c r="G200" s="279"/>
      <c r="H200" s="279"/>
      <c r="I200" s="279"/>
      <c r="J200" s="279"/>
      <c r="K200" s="279"/>
    </row>
    <row r="201" spans="1:11" ht="12.75">
      <c r="A201" s="425"/>
      <c r="B201" s="279"/>
      <c r="C201" s="279"/>
      <c r="D201" s="279"/>
      <c r="E201" s="279"/>
      <c r="F201" s="279"/>
      <c r="G201" s="279"/>
      <c r="H201" s="279"/>
      <c r="I201" s="279"/>
      <c r="J201" s="279"/>
      <c r="K201" s="279"/>
    </row>
    <row r="202" spans="1:11" ht="12.75">
      <c r="A202" s="425"/>
      <c r="B202" s="279"/>
      <c r="C202" s="279"/>
      <c r="D202" s="279"/>
      <c r="E202" s="279"/>
      <c r="F202" s="279"/>
      <c r="G202" s="279"/>
      <c r="H202" s="279"/>
      <c r="I202" s="279"/>
      <c r="J202" s="279"/>
      <c r="K202" s="279"/>
    </row>
    <row r="203" spans="1:11" ht="12.75">
      <c r="A203" s="425"/>
      <c r="B203" s="279"/>
      <c r="C203" s="279"/>
      <c r="D203" s="279"/>
      <c r="E203" s="279"/>
      <c r="F203" s="279"/>
      <c r="G203" s="279"/>
      <c r="H203" s="279"/>
      <c r="I203" s="279"/>
      <c r="J203" s="279"/>
      <c r="K203" s="279"/>
    </row>
    <row r="204" spans="1:11" ht="12.75">
      <c r="A204" s="425"/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</row>
    <row r="205" spans="1:11" ht="12.75">
      <c r="A205" s="425"/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</row>
    <row r="206" spans="1:11" ht="12.75">
      <c r="A206" s="425"/>
      <c r="B206" s="279"/>
      <c r="C206" s="279"/>
      <c r="D206" s="279"/>
      <c r="E206" s="279"/>
      <c r="F206" s="279"/>
      <c r="G206" s="279"/>
      <c r="H206" s="279"/>
      <c r="I206" s="279"/>
      <c r="J206" s="279"/>
      <c r="K206" s="279"/>
    </row>
    <row r="207" spans="1:11" ht="12.75">
      <c r="A207" s="425"/>
      <c r="B207" s="279"/>
      <c r="C207" s="279"/>
      <c r="D207" s="279"/>
      <c r="E207" s="279"/>
      <c r="F207" s="279"/>
      <c r="G207" s="279"/>
      <c r="H207" s="279"/>
      <c r="I207" s="279"/>
      <c r="J207" s="279"/>
      <c r="K207" s="279"/>
    </row>
    <row r="208" spans="1:11" ht="12.75">
      <c r="A208" s="425"/>
      <c r="B208" s="279"/>
      <c r="C208" s="279"/>
      <c r="D208" s="279"/>
      <c r="E208" s="279"/>
      <c r="F208" s="279"/>
      <c r="G208" s="279"/>
      <c r="H208" s="279"/>
      <c r="I208" s="279"/>
      <c r="J208" s="279"/>
      <c r="K208" s="279"/>
    </row>
    <row r="209" spans="1:11" ht="12.75">
      <c r="A209" s="425"/>
      <c r="B209" s="279"/>
      <c r="C209" s="279"/>
      <c r="D209" s="279"/>
      <c r="E209" s="279"/>
      <c r="F209" s="279"/>
      <c r="G209" s="279"/>
      <c r="H209" s="279"/>
      <c r="I209" s="279"/>
      <c r="J209" s="279"/>
      <c r="K209" s="279"/>
    </row>
    <row r="210" spans="1:11" ht="12.75">
      <c r="A210" s="425"/>
      <c r="B210" s="279"/>
      <c r="C210" s="279"/>
      <c r="D210" s="279"/>
      <c r="E210" s="279"/>
      <c r="F210" s="279"/>
      <c r="G210" s="279"/>
      <c r="H210" s="279"/>
      <c r="I210" s="279"/>
      <c r="J210" s="279"/>
      <c r="K210" s="279"/>
    </row>
    <row r="211" spans="1:11" ht="12.75">
      <c r="A211" s="425"/>
      <c r="B211" s="279"/>
      <c r="C211" s="279"/>
      <c r="D211" s="279"/>
      <c r="E211" s="279"/>
      <c r="F211" s="279"/>
      <c r="G211" s="279"/>
      <c r="H211" s="279"/>
      <c r="I211" s="279"/>
      <c r="J211" s="279"/>
      <c r="K211" s="279"/>
    </row>
    <row r="212" spans="1:24" ht="12.75">
      <c r="A212" s="425"/>
      <c r="B212" s="279"/>
      <c r="C212" s="279"/>
      <c r="D212" s="279"/>
      <c r="E212" s="279"/>
      <c r="F212" s="279"/>
      <c r="G212" s="279"/>
      <c r="H212" s="279"/>
      <c r="I212" s="279"/>
      <c r="J212" s="279"/>
      <c r="K212" s="279"/>
      <c r="X212" s="394"/>
    </row>
    <row r="213" spans="1:11" ht="12.75">
      <c r="A213" s="425"/>
      <c r="B213" s="279"/>
      <c r="C213" s="279"/>
      <c r="D213" s="279"/>
      <c r="E213" s="279"/>
      <c r="F213" s="279"/>
      <c r="G213" s="279"/>
      <c r="H213" s="279"/>
      <c r="I213" s="279"/>
      <c r="J213" s="279"/>
      <c r="K213" s="279"/>
    </row>
    <row r="214" spans="1:11" ht="12.75">
      <c r="A214" s="425"/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</row>
    <row r="215" spans="1:11" ht="12.75">
      <c r="A215" s="425"/>
      <c r="B215" s="279"/>
      <c r="C215" s="279"/>
      <c r="D215" s="279"/>
      <c r="E215" s="279"/>
      <c r="F215" s="279"/>
      <c r="G215" s="279"/>
      <c r="H215" s="279"/>
      <c r="I215" s="279"/>
      <c r="J215" s="279"/>
      <c r="K215" s="279"/>
    </row>
    <row r="216" spans="1:11" ht="12.75">
      <c r="A216" s="425"/>
      <c r="B216" s="279"/>
      <c r="C216" s="279"/>
      <c r="D216" s="279"/>
      <c r="E216" s="279"/>
      <c r="F216" s="279"/>
      <c r="G216" s="279"/>
      <c r="H216" s="279"/>
      <c r="I216" s="279"/>
      <c r="J216" s="279"/>
      <c r="K216" s="279"/>
    </row>
    <row r="217" spans="1:11" ht="12.75">
      <c r="A217" s="425"/>
      <c r="B217" s="279"/>
      <c r="C217" s="279"/>
      <c r="D217" s="279"/>
      <c r="E217" s="279"/>
      <c r="F217" s="279"/>
      <c r="G217" s="279"/>
      <c r="H217" s="279"/>
      <c r="I217" s="279"/>
      <c r="J217" s="279"/>
      <c r="K217" s="279"/>
    </row>
    <row r="218" spans="1:11" ht="12.75">
      <c r="A218" s="425"/>
      <c r="B218" s="279"/>
      <c r="C218" s="279"/>
      <c r="D218" s="279"/>
      <c r="E218" s="279"/>
      <c r="F218" s="279"/>
      <c r="G218" s="279"/>
      <c r="H218" s="279"/>
      <c r="I218" s="279"/>
      <c r="J218" s="279"/>
      <c r="K218" s="279"/>
    </row>
    <row r="219" spans="1:11" ht="12.75">
      <c r="A219" s="425"/>
      <c r="B219" s="279"/>
      <c r="C219" s="279"/>
      <c r="D219" s="279"/>
      <c r="E219" s="279"/>
      <c r="F219" s="279"/>
      <c r="G219" s="279"/>
      <c r="H219" s="279"/>
      <c r="I219" s="279"/>
      <c r="J219" s="279"/>
      <c r="K219" s="279"/>
    </row>
    <row r="220" spans="1:11" ht="12.75">
      <c r="A220" s="425"/>
      <c r="B220" s="279"/>
      <c r="C220" s="279"/>
      <c r="D220" s="279"/>
      <c r="E220" s="279"/>
      <c r="F220" s="279"/>
      <c r="G220" s="279"/>
      <c r="H220" s="279"/>
      <c r="I220" s="279"/>
      <c r="J220" s="279"/>
      <c r="K220" s="279"/>
    </row>
    <row r="221" spans="1:11" ht="12.75">
      <c r="A221" s="425"/>
      <c r="B221" s="279"/>
      <c r="C221" s="279"/>
      <c r="D221" s="279"/>
      <c r="E221" s="279"/>
      <c r="F221" s="279"/>
      <c r="G221" s="279"/>
      <c r="H221" s="279"/>
      <c r="I221" s="279"/>
      <c r="J221" s="279"/>
      <c r="K221" s="279"/>
    </row>
    <row r="222" spans="1:11" ht="12.75">
      <c r="A222" s="425"/>
      <c r="B222" s="279"/>
      <c r="C222" s="279"/>
      <c r="D222" s="279"/>
      <c r="E222" s="279"/>
      <c r="F222" s="279"/>
      <c r="G222" s="279"/>
      <c r="H222" s="279"/>
      <c r="I222" s="279"/>
      <c r="J222" s="279"/>
      <c r="K222" s="279"/>
    </row>
    <row r="223" spans="1:11" ht="12.75">
      <c r="A223" s="425"/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</row>
    <row r="224" spans="1:11" ht="12.75">
      <c r="A224" s="425"/>
      <c r="B224" s="279"/>
      <c r="C224" s="279"/>
      <c r="D224" s="279"/>
      <c r="E224" s="279"/>
      <c r="F224" s="279"/>
      <c r="G224" s="279"/>
      <c r="H224" s="279"/>
      <c r="I224" s="279"/>
      <c r="J224" s="279"/>
      <c r="K224" s="279"/>
    </row>
    <row r="225" spans="1:11" ht="12.75">
      <c r="A225" s="425"/>
      <c r="B225" s="279"/>
      <c r="C225" s="279"/>
      <c r="D225" s="279"/>
      <c r="E225" s="279"/>
      <c r="F225" s="279"/>
      <c r="G225" s="279"/>
      <c r="H225" s="279"/>
      <c r="I225" s="279"/>
      <c r="J225" s="279"/>
      <c r="K225" s="279"/>
    </row>
    <row r="226" spans="1:11" ht="12.75">
      <c r="A226" s="425"/>
      <c r="B226" s="279"/>
      <c r="C226" s="279"/>
      <c r="D226" s="279"/>
      <c r="E226" s="279"/>
      <c r="F226" s="279"/>
      <c r="G226" s="279"/>
      <c r="H226" s="279"/>
      <c r="I226" s="279"/>
      <c r="J226" s="279"/>
      <c r="K226" s="279"/>
    </row>
    <row r="227" spans="1:11" ht="12.75">
      <c r="A227" s="425"/>
      <c r="B227" s="279"/>
      <c r="C227" s="279"/>
      <c r="D227" s="279"/>
      <c r="E227" s="279"/>
      <c r="F227" s="279"/>
      <c r="G227" s="279"/>
      <c r="H227" s="279"/>
      <c r="I227" s="279"/>
      <c r="J227" s="279"/>
      <c r="K227" s="279"/>
    </row>
    <row r="228" spans="1:28" ht="12.75">
      <c r="A228" s="425"/>
      <c r="B228" s="279"/>
      <c r="C228" s="279"/>
      <c r="D228" s="279"/>
      <c r="E228" s="279"/>
      <c r="F228" s="279"/>
      <c r="G228" s="279"/>
      <c r="H228" s="279"/>
      <c r="I228" s="279"/>
      <c r="J228" s="279"/>
      <c r="K228" s="279"/>
      <c r="W228" s="394"/>
      <c r="X228" s="394"/>
      <c r="AB228" s="394"/>
    </row>
    <row r="229" spans="1:11" ht="12.75">
      <c r="A229" s="425"/>
      <c r="B229" s="279"/>
      <c r="C229" s="279"/>
      <c r="D229" s="279"/>
      <c r="E229" s="279"/>
      <c r="F229" s="279"/>
      <c r="G229" s="279"/>
      <c r="H229" s="279"/>
      <c r="I229" s="279"/>
      <c r="J229" s="279"/>
      <c r="K229" s="279"/>
    </row>
    <row r="230" spans="1:11" ht="12.75">
      <c r="A230" s="425"/>
      <c r="B230" s="279"/>
      <c r="C230" s="279"/>
      <c r="D230" s="279"/>
      <c r="E230" s="279"/>
      <c r="F230" s="279"/>
      <c r="G230" s="279"/>
      <c r="H230" s="279"/>
      <c r="I230" s="279"/>
      <c r="J230" s="279"/>
      <c r="K230" s="279"/>
    </row>
    <row r="231" spans="1:11" ht="12.75">
      <c r="A231" s="425"/>
      <c r="B231" s="279"/>
      <c r="C231" s="279"/>
      <c r="D231" s="279"/>
      <c r="E231" s="279"/>
      <c r="F231" s="279"/>
      <c r="G231" s="279"/>
      <c r="H231" s="279"/>
      <c r="I231" s="279"/>
      <c r="J231" s="279"/>
      <c r="K231" s="279"/>
    </row>
    <row r="232" spans="1:11" ht="12.75">
      <c r="A232" s="425"/>
      <c r="B232" s="279"/>
      <c r="C232" s="279"/>
      <c r="D232" s="279"/>
      <c r="E232" s="279"/>
      <c r="F232" s="279"/>
      <c r="G232" s="279"/>
      <c r="H232" s="279"/>
      <c r="I232" s="279"/>
      <c r="J232" s="279"/>
      <c r="K232" s="279"/>
    </row>
    <row r="233" spans="1:11" ht="12.75">
      <c r="A233" s="425"/>
      <c r="B233" s="279"/>
      <c r="C233" s="279"/>
      <c r="D233" s="279"/>
      <c r="E233" s="279"/>
      <c r="F233" s="279"/>
      <c r="G233" s="279"/>
      <c r="H233" s="279"/>
      <c r="I233" s="279"/>
      <c r="J233" s="279"/>
      <c r="K233" s="279"/>
    </row>
    <row r="234" spans="1:11" ht="12.75">
      <c r="A234" s="425"/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</row>
    <row r="235" spans="1:11" ht="12.75">
      <c r="A235" s="425"/>
      <c r="B235" s="279"/>
      <c r="C235" s="279"/>
      <c r="D235" s="279"/>
      <c r="E235" s="279"/>
      <c r="F235" s="279"/>
      <c r="G235" s="279"/>
      <c r="H235" s="279"/>
      <c r="I235" s="279"/>
      <c r="J235" s="279"/>
      <c r="K235" s="279"/>
    </row>
    <row r="236" spans="1:11" ht="12.75">
      <c r="A236" s="425"/>
      <c r="B236" s="279"/>
      <c r="C236" s="279"/>
      <c r="D236" s="279"/>
      <c r="E236" s="279"/>
      <c r="F236" s="279"/>
      <c r="G236" s="279"/>
      <c r="H236" s="279"/>
      <c r="I236" s="279"/>
      <c r="J236" s="279"/>
      <c r="K236" s="279"/>
    </row>
    <row r="237" spans="1:11" ht="12.75">
      <c r="A237" s="425"/>
      <c r="B237" s="279"/>
      <c r="C237" s="279"/>
      <c r="D237" s="279"/>
      <c r="E237" s="279"/>
      <c r="F237" s="279"/>
      <c r="G237" s="279"/>
      <c r="H237" s="279"/>
      <c r="I237" s="279"/>
      <c r="J237" s="279"/>
      <c r="K237" s="279"/>
    </row>
    <row r="238" spans="1:11" ht="12.75">
      <c r="A238" s="425"/>
      <c r="B238" s="279"/>
      <c r="C238" s="279"/>
      <c r="D238" s="279"/>
      <c r="E238" s="279"/>
      <c r="F238" s="279"/>
      <c r="G238" s="279"/>
      <c r="H238" s="279"/>
      <c r="I238" s="279"/>
      <c r="J238" s="279"/>
      <c r="K238" s="279"/>
    </row>
    <row r="239" spans="1:11" ht="12.75">
      <c r="A239" s="425"/>
      <c r="B239" s="279"/>
      <c r="C239" s="279"/>
      <c r="D239" s="279"/>
      <c r="E239" s="279"/>
      <c r="F239" s="279"/>
      <c r="G239" s="279"/>
      <c r="H239" s="279"/>
      <c r="I239" s="279"/>
      <c r="J239" s="279"/>
      <c r="K239" s="279"/>
    </row>
    <row r="240" spans="1:11" ht="12.75">
      <c r="A240" s="425"/>
      <c r="B240" s="279"/>
      <c r="C240" s="279"/>
      <c r="D240" s="279"/>
      <c r="E240" s="279"/>
      <c r="F240" s="279"/>
      <c r="G240" s="279"/>
      <c r="H240" s="279"/>
      <c r="I240" s="279"/>
      <c r="J240" s="279"/>
      <c r="K240" s="279"/>
    </row>
    <row r="241" spans="1:11" ht="12.75">
      <c r="A241" s="425"/>
      <c r="B241" s="279"/>
      <c r="C241" s="279"/>
      <c r="D241" s="279"/>
      <c r="E241" s="279"/>
      <c r="F241" s="279"/>
      <c r="G241" s="279"/>
      <c r="H241" s="279"/>
      <c r="I241" s="279"/>
      <c r="J241" s="279"/>
      <c r="K241" s="279"/>
    </row>
    <row r="242" spans="1:11" ht="12.75">
      <c r="A242" s="425"/>
      <c r="B242" s="279"/>
      <c r="C242" s="279"/>
      <c r="D242" s="279"/>
      <c r="E242" s="279"/>
      <c r="F242" s="279"/>
      <c r="G242" s="279"/>
      <c r="H242" s="279"/>
      <c r="I242" s="279"/>
      <c r="J242" s="279"/>
      <c r="K242" s="279"/>
    </row>
    <row r="243" spans="1:11" ht="12.75">
      <c r="A243" s="425"/>
      <c r="B243" s="279"/>
      <c r="C243" s="279"/>
      <c r="D243" s="279"/>
      <c r="E243" s="279"/>
      <c r="F243" s="279"/>
      <c r="G243" s="279"/>
      <c r="H243" s="279"/>
      <c r="I243" s="279"/>
      <c r="J243" s="279"/>
      <c r="K243" s="279"/>
    </row>
    <row r="244" spans="1:11" ht="12.75">
      <c r="A244" s="425"/>
      <c r="B244" s="279"/>
      <c r="C244" s="279"/>
      <c r="D244" s="279"/>
      <c r="E244" s="279"/>
      <c r="F244" s="279"/>
      <c r="G244" s="279"/>
      <c r="H244" s="279"/>
      <c r="I244" s="279"/>
      <c r="J244" s="279"/>
      <c r="K244" s="279"/>
    </row>
    <row r="245" spans="1:11" ht="12.75">
      <c r="A245" s="425"/>
      <c r="B245" s="279"/>
      <c r="C245" s="279"/>
      <c r="D245" s="279"/>
      <c r="E245" s="279"/>
      <c r="F245" s="279"/>
      <c r="G245" s="279"/>
      <c r="H245" s="279"/>
      <c r="I245" s="279"/>
      <c r="J245" s="279"/>
      <c r="K245" s="279"/>
    </row>
    <row r="246" spans="1:11" ht="12.75">
      <c r="A246" s="425"/>
      <c r="B246" s="279"/>
      <c r="C246" s="279"/>
      <c r="D246" s="279"/>
      <c r="E246" s="279"/>
      <c r="F246" s="279"/>
      <c r="G246" s="279"/>
      <c r="H246" s="279"/>
      <c r="I246" s="279"/>
      <c r="J246" s="279"/>
      <c r="K246" s="279"/>
    </row>
    <row r="247" spans="1:11" ht="12.75">
      <c r="A247" s="425"/>
      <c r="B247" s="279"/>
      <c r="C247" s="279"/>
      <c r="D247" s="279"/>
      <c r="E247" s="279"/>
      <c r="F247" s="279"/>
      <c r="G247" s="279"/>
      <c r="H247" s="279"/>
      <c r="I247" s="279"/>
      <c r="J247" s="279"/>
      <c r="K247" s="279"/>
    </row>
    <row r="248" spans="1:11" ht="12.75">
      <c r="A248" s="425"/>
      <c r="B248" s="279"/>
      <c r="C248" s="279"/>
      <c r="D248" s="279"/>
      <c r="E248" s="279"/>
      <c r="F248" s="279"/>
      <c r="G248" s="279"/>
      <c r="H248" s="279"/>
      <c r="I248" s="279"/>
      <c r="J248" s="279"/>
      <c r="K248" s="279"/>
    </row>
    <row r="249" spans="1:11" ht="12.75">
      <c r="A249" s="425"/>
      <c r="B249" s="279"/>
      <c r="C249" s="279"/>
      <c r="D249" s="279"/>
      <c r="E249" s="279"/>
      <c r="F249" s="279"/>
      <c r="G249" s="279"/>
      <c r="H249" s="279"/>
      <c r="I249" s="279"/>
      <c r="J249" s="279"/>
      <c r="K249" s="279"/>
    </row>
    <row r="250" spans="1:11" ht="12.75">
      <c r="A250" s="425"/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</row>
    <row r="251" spans="1:11" ht="12.75">
      <c r="A251" s="425"/>
      <c r="B251" s="279"/>
      <c r="C251" s="279"/>
      <c r="D251" s="279"/>
      <c r="E251" s="279"/>
      <c r="F251" s="279"/>
      <c r="G251" s="279"/>
      <c r="H251" s="279"/>
      <c r="I251" s="279"/>
      <c r="J251" s="279"/>
      <c r="K251" s="279"/>
    </row>
    <row r="252" spans="1:11" ht="12.75">
      <c r="A252" s="425"/>
      <c r="B252" s="279"/>
      <c r="C252" s="279"/>
      <c r="D252" s="279"/>
      <c r="E252" s="279"/>
      <c r="F252" s="279"/>
      <c r="G252" s="279"/>
      <c r="H252" s="279"/>
      <c r="I252" s="279"/>
      <c r="J252" s="279"/>
      <c r="K252" s="279"/>
    </row>
    <row r="253" spans="1:11" ht="12.75">
      <c r="A253" s="425"/>
      <c r="B253" s="279"/>
      <c r="C253" s="279"/>
      <c r="D253" s="279"/>
      <c r="E253" s="279"/>
      <c r="F253" s="279"/>
      <c r="G253" s="279"/>
      <c r="H253" s="279"/>
      <c r="I253" s="279"/>
      <c r="J253" s="279"/>
      <c r="K253" s="279"/>
    </row>
    <row r="254" spans="1:11" ht="12.75">
      <c r="A254" s="425"/>
      <c r="B254" s="279"/>
      <c r="C254" s="279"/>
      <c r="D254" s="279"/>
      <c r="E254" s="279"/>
      <c r="F254" s="279"/>
      <c r="G254" s="279"/>
      <c r="H254" s="279"/>
      <c r="I254" s="279"/>
      <c r="J254" s="279"/>
      <c r="K254" s="279"/>
    </row>
    <row r="255" spans="1:11" ht="12.75">
      <c r="A255" s="425"/>
      <c r="B255" s="279"/>
      <c r="C255" s="279"/>
      <c r="D255" s="279"/>
      <c r="E255" s="279"/>
      <c r="F255" s="279"/>
      <c r="G255" s="279"/>
      <c r="H255" s="279"/>
      <c r="I255" s="279"/>
      <c r="J255" s="279"/>
      <c r="K255" s="279"/>
    </row>
    <row r="256" spans="1:11" ht="12.75">
      <c r="A256" s="425"/>
      <c r="B256" s="279"/>
      <c r="C256" s="279"/>
      <c r="D256" s="279"/>
      <c r="E256" s="279"/>
      <c r="F256" s="279"/>
      <c r="G256" s="279"/>
      <c r="H256" s="279"/>
      <c r="I256" s="279"/>
      <c r="J256" s="279"/>
      <c r="K256" s="279"/>
    </row>
    <row r="257" spans="1:11" ht="12.75">
      <c r="A257" s="425"/>
      <c r="B257" s="279"/>
      <c r="C257" s="279"/>
      <c r="D257" s="279"/>
      <c r="E257" s="279"/>
      <c r="F257" s="279"/>
      <c r="G257" s="279"/>
      <c r="H257" s="279"/>
      <c r="I257" s="279"/>
      <c r="J257" s="279"/>
      <c r="K257" s="279"/>
    </row>
    <row r="258" spans="1:11" ht="12.75">
      <c r="A258" s="425"/>
      <c r="B258" s="279"/>
      <c r="C258" s="279"/>
      <c r="D258" s="279"/>
      <c r="E258" s="279"/>
      <c r="F258" s="279"/>
      <c r="G258" s="279"/>
      <c r="H258" s="279"/>
      <c r="I258" s="279"/>
      <c r="J258" s="279"/>
      <c r="K258" s="279"/>
    </row>
    <row r="259" spans="1:11" ht="12.75">
      <c r="A259" s="425"/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</row>
    <row r="260" spans="1:11" ht="12.75">
      <c r="A260" s="425"/>
      <c r="B260" s="279"/>
      <c r="C260" s="279"/>
      <c r="D260" s="279"/>
      <c r="E260" s="279"/>
      <c r="F260" s="279"/>
      <c r="G260" s="279"/>
      <c r="H260" s="279"/>
      <c r="I260" s="279"/>
      <c r="J260" s="279"/>
      <c r="K260" s="279"/>
    </row>
    <row r="261" spans="1:11" ht="12.75">
      <c r="A261" s="425"/>
      <c r="B261" s="279"/>
      <c r="C261" s="279"/>
      <c r="D261" s="279"/>
      <c r="E261" s="279"/>
      <c r="F261" s="279"/>
      <c r="G261" s="279"/>
      <c r="H261" s="279"/>
      <c r="I261" s="279"/>
      <c r="J261" s="279"/>
      <c r="K261" s="279"/>
    </row>
    <row r="262" spans="1:11" ht="12.75">
      <c r="A262" s="425"/>
      <c r="B262" s="279"/>
      <c r="C262" s="279"/>
      <c r="D262" s="279"/>
      <c r="E262" s="279"/>
      <c r="F262" s="279"/>
      <c r="G262" s="279"/>
      <c r="H262" s="279"/>
      <c r="I262" s="279"/>
      <c r="J262" s="279"/>
      <c r="K262" s="279"/>
    </row>
    <row r="263" spans="1:11" ht="12.75">
      <c r="A263" s="425"/>
      <c r="B263" s="279"/>
      <c r="C263" s="279"/>
      <c r="D263" s="279"/>
      <c r="E263" s="279"/>
      <c r="F263" s="279"/>
      <c r="G263" s="279"/>
      <c r="H263" s="279"/>
      <c r="I263" s="279"/>
      <c r="J263" s="279"/>
      <c r="K263" s="279"/>
    </row>
    <row r="264" spans="1:11" ht="12.75">
      <c r="A264" s="425"/>
      <c r="B264" s="279"/>
      <c r="C264" s="279"/>
      <c r="D264" s="279"/>
      <c r="E264" s="279"/>
      <c r="F264" s="279"/>
      <c r="G264" s="279"/>
      <c r="H264" s="279"/>
      <c r="I264" s="279"/>
      <c r="J264" s="279"/>
      <c r="K264" s="279"/>
    </row>
    <row r="265" spans="1:11" ht="12.75">
      <c r="A265" s="425"/>
      <c r="B265" s="279"/>
      <c r="C265" s="279"/>
      <c r="D265" s="279"/>
      <c r="E265" s="279"/>
      <c r="F265" s="279"/>
      <c r="G265" s="279"/>
      <c r="H265" s="279"/>
      <c r="I265" s="279"/>
      <c r="J265" s="279"/>
      <c r="K265" s="279"/>
    </row>
    <row r="266" spans="1:11" ht="12.75">
      <c r="A266" s="425"/>
      <c r="B266" s="279"/>
      <c r="C266" s="279"/>
      <c r="D266" s="279"/>
      <c r="E266" s="279"/>
      <c r="F266" s="279"/>
      <c r="G266" s="279"/>
      <c r="H266" s="279"/>
      <c r="I266" s="279"/>
      <c r="J266" s="279"/>
      <c r="K266" s="279"/>
    </row>
    <row r="267" spans="1:11" ht="12.75">
      <c r="A267" s="425"/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</row>
    <row r="268" spans="1:11" ht="12.75">
      <c r="A268" s="425"/>
      <c r="B268" s="279"/>
      <c r="C268" s="279"/>
      <c r="D268" s="279"/>
      <c r="E268" s="279"/>
      <c r="F268" s="279"/>
      <c r="G268" s="279"/>
      <c r="H268" s="279"/>
      <c r="I268" s="279"/>
      <c r="J268" s="279"/>
      <c r="K268" s="279"/>
    </row>
    <row r="269" spans="1:11" ht="12.75">
      <c r="A269" s="425"/>
      <c r="B269" s="279"/>
      <c r="C269" s="279"/>
      <c r="D269" s="279"/>
      <c r="E269" s="279"/>
      <c r="F269" s="279"/>
      <c r="G269" s="279"/>
      <c r="H269" s="279"/>
      <c r="I269" s="279"/>
      <c r="J269" s="279"/>
      <c r="K269" s="279"/>
    </row>
    <row r="270" spans="1:11" ht="12.75">
      <c r="A270" s="425"/>
      <c r="B270" s="279"/>
      <c r="C270" s="279"/>
      <c r="D270" s="279"/>
      <c r="E270" s="279"/>
      <c r="F270" s="279"/>
      <c r="G270" s="279"/>
      <c r="H270" s="279"/>
      <c r="I270" s="279"/>
      <c r="J270" s="279"/>
      <c r="K270" s="279"/>
    </row>
    <row r="271" spans="1:11" ht="12.75">
      <c r="A271" s="425"/>
      <c r="B271" s="279"/>
      <c r="C271" s="279"/>
      <c r="D271" s="279"/>
      <c r="E271" s="279"/>
      <c r="F271" s="279"/>
      <c r="G271" s="279"/>
      <c r="H271" s="279"/>
      <c r="I271" s="279"/>
      <c r="J271" s="279"/>
      <c r="K271" s="279"/>
    </row>
    <row r="272" spans="1:11" ht="12.75">
      <c r="A272" s="425"/>
      <c r="B272" s="279"/>
      <c r="C272" s="279"/>
      <c r="D272" s="279"/>
      <c r="E272" s="279"/>
      <c r="F272" s="279"/>
      <c r="G272" s="279"/>
      <c r="H272" s="279"/>
      <c r="I272" s="279"/>
      <c r="J272" s="279"/>
      <c r="K272" s="279"/>
    </row>
    <row r="273" spans="1:11" ht="12.75">
      <c r="A273" s="425"/>
      <c r="B273" s="279"/>
      <c r="C273" s="279"/>
      <c r="D273" s="279"/>
      <c r="E273" s="279"/>
      <c r="F273" s="279"/>
      <c r="G273" s="279"/>
      <c r="H273" s="279"/>
      <c r="I273" s="279"/>
      <c r="J273" s="279"/>
      <c r="K273" s="279"/>
    </row>
    <row r="274" spans="1:11" ht="12.75">
      <c r="A274" s="425"/>
      <c r="B274" s="279"/>
      <c r="C274" s="279"/>
      <c r="D274" s="279"/>
      <c r="E274" s="279"/>
      <c r="F274" s="279"/>
      <c r="G274" s="279"/>
      <c r="H274" s="279"/>
      <c r="I274" s="279"/>
      <c r="J274" s="279"/>
      <c r="K274" s="279"/>
    </row>
    <row r="275" spans="1:11" ht="12.75">
      <c r="A275" s="425"/>
      <c r="B275" s="279"/>
      <c r="C275" s="279"/>
      <c r="D275" s="279"/>
      <c r="E275" s="279"/>
      <c r="F275" s="279"/>
      <c r="G275" s="279"/>
      <c r="H275" s="279"/>
      <c r="I275" s="279"/>
      <c r="J275" s="279"/>
      <c r="K275" s="279"/>
    </row>
    <row r="276" spans="1:11" ht="12.75">
      <c r="A276" s="425"/>
      <c r="B276" s="279"/>
      <c r="C276" s="279"/>
      <c r="D276" s="279"/>
      <c r="E276" s="279"/>
      <c r="F276" s="279"/>
      <c r="G276" s="279"/>
      <c r="H276" s="279"/>
      <c r="I276" s="279"/>
      <c r="J276" s="279"/>
      <c r="K276" s="279"/>
    </row>
    <row r="277" spans="1:11" ht="12.75">
      <c r="A277" s="425"/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</row>
    <row r="278" spans="1:11" ht="12.75">
      <c r="A278" s="425"/>
      <c r="B278" s="279"/>
      <c r="C278" s="279"/>
      <c r="D278" s="279"/>
      <c r="E278" s="279"/>
      <c r="F278" s="279"/>
      <c r="G278" s="279"/>
      <c r="H278" s="279"/>
      <c r="I278" s="279"/>
      <c r="J278" s="279"/>
      <c r="K278" s="279"/>
    </row>
    <row r="279" spans="1:11" ht="12.75">
      <c r="A279" s="425"/>
      <c r="B279" s="279"/>
      <c r="C279" s="279"/>
      <c r="D279" s="279"/>
      <c r="E279" s="279"/>
      <c r="F279" s="279"/>
      <c r="G279" s="279"/>
      <c r="H279" s="279"/>
      <c r="I279" s="279"/>
      <c r="J279" s="279"/>
      <c r="K279" s="279"/>
    </row>
    <row r="280" spans="1:11" ht="12.75">
      <c r="A280" s="425"/>
      <c r="B280" s="279"/>
      <c r="C280" s="279"/>
      <c r="D280" s="279"/>
      <c r="E280" s="279"/>
      <c r="F280" s="279"/>
      <c r="G280" s="279"/>
      <c r="H280" s="279"/>
      <c r="I280" s="279"/>
      <c r="J280" s="279"/>
      <c r="K280" s="279"/>
    </row>
    <row r="281" spans="1:11" ht="12.75">
      <c r="A281" s="425"/>
      <c r="B281" s="279"/>
      <c r="C281" s="279"/>
      <c r="D281" s="279"/>
      <c r="E281" s="279"/>
      <c r="F281" s="279"/>
      <c r="G281" s="279"/>
      <c r="H281" s="279"/>
      <c r="I281" s="279"/>
      <c r="J281" s="279"/>
      <c r="K281" s="279"/>
    </row>
    <row r="282" spans="1:11" ht="12.75">
      <c r="A282" s="425"/>
      <c r="B282" s="279"/>
      <c r="C282" s="279"/>
      <c r="D282" s="279"/>
      <c r="E282" s="279"/>
      <c r="F282" s="279"/>
      <c r="G282" s="279"/>
      <c r="H282" s="279"/>
      <c r="I282" s="279"/>
      <c r="J282" s="279"/>
      <c r="K282" s="279"/>
    </row>
    <row r="283" spans="1:11" ht="12.75">
      <c r="A283" s="425"/>
      <c r="B283" s="279"/>
      <c r="C283" s="279"/>
      <c r="D283" s="279"/>
      <c r="E283" s="279"/>
      <c r="F283" s="279"/>
      <c r="G283" s="279"/>
      <c r="H283" s="279"/>
      <c r="I283" s="279"/>
      <c r="J283" s="279"/>
      <c r="K283" s="279"/>
    </row>
    <row r="284" spans="1:11" ht="12.75">
      <c r="A284" s="425"/>
      <c r="B284" s="279"/>
      <c r="C284" s="279"/>
      <c r="D284" s="279"/>
      <c r="E284" s="279"/>
      <c r="F284" s="279"/>
      <c r="G284" s="279"/>
      <c r="H284" s="279"/>
      <c r="I284" s="279"/>
      <c r="J284" s="279"/>
      <c r="K284" s="279"/>
    </row>
    <row r="285" spans="1:11" ht="12.75">
      <c r="A285" s="425"/>
      <c r="B285" s="279"/>
      <c r="C285" s="279"/>
      <c r="D285" s="279"/>
      <c r="E285" s="279"/>
      <c r="F285" s="279"/>
      <c r="G285" s="279"/>
      <c r="H285" s="279"/>
      <c r="I285" s="279"/>
      <c r="J285" s="279"/>
      <c r="K285" s="279"/>
    </row>
    <row r="286" spans="1:11" ht="12.75">
      <c r="A286" s="425"/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</row>
    <row r="287" spans="1:11" ht="12.75">
      <c r="A287" s="425"/>
      <c r="B287" s="279"/>
      <c r="C287" s="279"/>
      <c r="D287" s="279"/>
      <c r="E287" s="279"/>
      <c r="F287" s="279"/>
      <c r="G287" s="279"/>
      <c r="H287" s="279"/>
      <c r="I287" s="279"/>
      <c r="J287" s="279"/>
      <c r="K287" s="279"/>
    </row>
    <row r="288" spans="1:11" ht="12.75">
      <c r="A288" s="425"/>
      <c r="B288" s="279"/>
      <c r="C288" s="279"/>
      <c r="D288" s="279"/>
      <c r="E288" s="279"/>
      <c r="F288" s="279"/>
      <c r="G288" s="279"/>
      <c r="H288" s="279"/>
      <c r="I288" s="279"/>
      <c r="J288" s="279"/>
      <c r="K288" s="279"/>
    </row>
    <row r="289" spans="1:11" ht="12.75">
      <c r="A289" s="425"/>
      <c r="B289" s="279"/>
      <c r="C289" s="279"/>
      <c r="D289" s="279"/>
      <c r="E289" s="279"/>
      <c r="F289" s="279"/>
      <c r="G289" s="279"/>
      <c r="H289" s="279"/>
      <c r="I289" s="279"/>
      <c r="J289" s="279"/>
      <c r="K289" s="279"/>
    </row>
    <row r="290" spans="1:11" ht="12.75">
      <c r="A290" s="425"/>
      <c r="B290" s="279"/>
      <c r="C290" s="279"/>
      <c r="D290" s="279"/>
      <c r="E290" s="279"/>
      <c r="F290" s="279"/>
      <c r="G290" s="279"/>
      <c r="H290" s="279"/>
      <c r="I290" s="279"/>
      <c r="J290" s="279"/>
      <c r="K290" s="279"/>
    </row>
    <row r="291" spans="1:11" ht="12.75">
      <c r="A291" s="425"/>
      <c r="B291" s="279"/>
      <c r="C291" s="279"/>
      <c r="D291" s="279"/>
      <c r="E291" s="279"/>
      <c r="F291" s="279"/>
      <c r="G291" s="279"/>
      <c r="H291" s="279"/>
      <c r="I291" s="279"/>
      <c r="J291" s="279"/>
      <c r="K291" s="279"/>
    </row>
    <row r="292" spans="1:11" ht="12.75">
      <c r="A292" s="425"/>
      <c r="B292" s="279"/>
      <c r="C292" s="279"/>
      <c r="D292" s="279"/>
      <c r="E292" s="279"/>
      <c r="F292" s="279"/>
      <c r="G292" s="279"/>
      <c r="H292" s="279"/>
      <c r="I292" s="279"/>
      <c r="J292" s="279"/>
      <c r="K292" s="279"/>
    </row>
    <row r="293" spans="1:11" ht="12.75">
      <c r="A293" s="425"/>
      <c r="B293" s="279"/>
      <c r="C293" s="279"/>
      <c r="D293" s="279"/>
      <c r="E293" s="279"/>
      <c r="F293" s="279"/>
      <c r="G293" s="279"/>
      <c r="H293" s="279"/>
      <c r="I293" s="279"/>
      <c r="J293" s="279"/>
      <c r="K293" s="279"/>
    </row>
    <row r="294" spans="1:11" ht="12.75">
      <c r="A294" s="425"/>
      <c r="B294" s="279"/>
      <c r="C294" s="279"/>
      <c r="D294" s="279"/>
      <c r="E294" s="279"/>
      <c r="F294" s="279"/>
      <c r="G294" s="279"/>
      <c r="H294" s="279"/>
      <c r="I294" s="279"/>
      <c r="J294" s="279"/>
      <c r="K294" s="279"/>
    </row>
    <row r="295" spans="1:11" ht="12.75">
      <c r="A295" s="425"/>
      <c r="B295" s="279"/>
      <c r="C295" s="279"/>
      <c r="D295" s="279"/>
      <c r="E295" s="279"/>
      <c r="F295" s="279"/>
      <c r="G295" s="279"/>
      <c r="H295" s="279"/>
      <c r="I295" s="279"/>
      <c r="J295" s="279"/>
      <c r="K295" s="279"/>
    </row>
    <row r="296" spans="1:11" ht="12.75">
      <c r="A296" s="425"/>
      <c r="B296" s="279"/>
      <c r="C296" s="279"/>
      <c r="D296" s="279"/>
      <c r="E296" s="279"/>
      <c r="F296" s="279"/>
      <c r="G296" s="279"/>
      <c r="H296" s="279"/>
      <c r="I296" s="279"/>
      <c r="J296" s="279"/>
      <c r="K296" s="279"/>
    </row>
    <row r="297" spans="1:11" ht="12.75">
      <c r="A297" s="425"/>
      <c r="B297" s="279"/>
      <c r="C297" s="279"/>
      <c r="D297" s="279"/>
      <c r="E297" s="279"/>
      <c r="F297" s="279"/>
      <c r="G297" s="279"/>
      <c r="H297" s="279"/>
      <c r="I297" s="279"/>
      <c r="J297" s="279"/>
      <c r="K297" s="279"/>
    </row>
    <row r="298" spans="1:11" ht="12.75">
      <c r="A298" s="425"/>
      <c r="B298" s="279"/>
      <c r="C298" s="279"/>
      <c r="D298" s="279"/>
      <c r="E298" s="279"/>
      <c r="F298" s="279"/>
      <c r="G298" s="279"/>
      <c r="H298" s="279"/>
      <c r="I298" s="279"/>
      <c r="J298" s="279"/>
      <c r="K298" s="279"/>
    </row>
    <row r="299" spans="1:11" ht="12.75">
      <c r="A299" s="425"/>
      <c r="B299" s="279"/>
      <c r="C299" s="279"/>
      <c r="D299" s="279"/>
      <c r="E299" s="279"/>
      <c r="F299" s="279"/>
      <c r="G299" s="279"/>
      <c r="H299" s="279"/>
      <c r="I299" s="279"/>
      <c r="J299" s="279"/>
      <c r="K299" s="279"/>
    </row>
    <row r="300" spans="1:11" ht="12.75">
      <c r="A300" s="425"/>
      <c r="B300" s="279"/>
      <c r="C300" s="279"/>
      <c r="D300" s="279"/>
      <c r="E300" s="279"/>
      <c r="F300" s="279"/>
      <c r="G300" s="279"/>
      <c r="H300" s="279"/>
      <c r="I300" s="279"/>
      <c r="J300" s="279"/>
      <c r="K300" s="279"/>
    </row>
    <row r="301" spans="1:11" ht="12.75">
      <c r="A301" s="425"/>
      <c r="B301" s="279"/>
      <c r="C301" s="279"/>
      <c r="D301" s="279"/>
      <c r="E301" s="279"/>
      <c r="F301" s="279"/>
      <c r="G301" s="279"/>
      <c r="H301" s="279"/>
      <c r="I301" s="279"/>
      <c r="J301" s="279"/>
      <c r="K301" s="279"/>
    </row>
    <row r="302" spans="1:11" ht="12.75">
      <c r="A302" s="425"/>
      <c r="B302" s="279"/>
      <c r="C302" s="279"/>
      <c r="D302" s="279"/>
      <c r="E302" s="279"/>
      <c r="F302" s="279"/>
      <c r="G302" s="279"/>
      <c r="H302" s="279"/>
      <c r="I302" s="279"/>
      <c r="J302" s="279"/>
      <c r="K302" s="279"/>
    </row>
    <row r="303" spans="1:11" ht="12.75">
      <c r="A303" s="425"/>
      <c r="B303" s="279"/>
      <c r="C303" s="279"/>
      <c r="D303" s="279"/>
      <c r="E303" s="279"/>
      <c r="F303" s="279"/>
      <c r="G303" s="279"/>
      <c r="H303" s="279"/>
      <c r="I303" s="279"/>
      <c r="J303" s="279"/>
      <c r="K303" s="279"/>
    </row>
    <row r="304" spans="1:11" ht="12.75">
      <c r="A304" s="425"/>
      <c r="B304" s="279"/>
      <c r="C304" s="279"/>
      <c r="D304" s="279"/>
      <c r="E304" s="279"/>
      <c r="F304" s="279"/>
      <c r="G304" s="279"/>
      <c r="H304" s="279"/>
      <c r="I304" s="279"/>
      <c r="J304" s="279"/>
      <c r="K304" s="279"/>
    </row>
    <row r="305" spans="1:11" ht="12.75">
      <c r="A305" s="425"/>
      <c r="B305" s="279"/>
      <c r="C305" s="279"/>
      <c r="D305" s="279"/>
      <c r="E305" s="279"/>
      <c r="F305" s="279"/>
      <c r="G305" s="279"/>
      <c r="H305" s="279"/>
      <c r="I305" s="279"/>
      <c r="J305" s="279"/>
      <c r="K305" s="279"/>
    </row>
    <row r="306" spans="1:11" ht="12.75">
      <c r="A306" s="425"/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</row>
    <row r="307" spans="1:11" ht="12.75">
      <c r="A307" s="425"/>
      <c r="B307" s="279"/>
      <c r="C307" s="279"/>
      <c r="D307" s="279"/>
      <c r="E307" s="279"/>
      <c r="F307" s="279"/>
      <c r="G307" s="279"/>
      <c r="H307" s="279"/>
      <c r="I307" s="279"/>
      <c r="J307" s="279"/>
      <c r="K307" s="279"/>
    </row>
    <row r="308" spans="1:11" ht="12.75">
      <c r="A308" s="425"/>
      <c r="B308" s="279"/>
      <c r="C308" s="279"/>
      <c r="D308" s="279"/>
      <c r="E308" s="279"/>
      <c r="F308" s="279"/>
      <c r="G308" s="279"/>
      <c r="H308" s="279"/>
      <c r="I308" s="279"/>
      <c r="J308" s="279"/>
      <c r="K308" s="279"/>
    </row>
    <row r="309" spans="1:11" ht="12.75">
      <c r="A309" s="425"/>
      <c r="B309" s="279"/>
      <c r="C309" s="279"/>
      <c r="D309" s="279"/>
      <c r="E309" s="279"/>
      <c r="F309" s="279"/>
      <c r="G309" s="279"/>
      <c r="H309" s="279"/>
      <c r="I309" s="279"/>
      <c r="J309" s="279"/>
      <c r="K309" s="279"/>
    </row>
    <row r="310" spans="1:11" ht="12.75">
      <c r="A310" s="425"/>
      <c r="B310" s="279"/>
      <c r="C310" s="279"/>
      <c r="D310" s="279"/>
      <c r="E310" s="279"/>
      <c r="F310" s="279"/>
      <c r="G310" s="279"/>
      <c r="H310" s="279"/>
      <c r="I310" s="279"/>
      <c r="J310" s="279"/>
      <c r="K310" s="279"/>
    </row>
    <row r="311" spans="1:11" ht="12.75">
      <c r="A311" s="425"/>
      <c r="B311" s="279"/>
      <c r="C311" s="279"/>
      <c r="D311" s="279"/>
      <c r="E311" s="279"/>
      <c r="F311" s="279"/>
      <c r="G311" s="279"/>
      <c r="H311" s="279"/>
      <c r="I311" s="279"/>
      <c r="J311" s="279"/>
      <c r="K311" s="279"/>
    </row>
    <row r="312" spans="1:11" ht="12.75">
      <c r="A312" s="425"/>
      <c r="B312" s="279"/>
      <c r="C312" s="279"/>
      <c r="D312" s="279"/>
      <c r="E312" s="279"/>
      <c r="F312" s="279"/>
      <c r="G312" s="279"/>
      <c r="H312" s="279"/>
      <c r="I312" s="279"/>
      <c r="J312" s="279"/>
      <c r="K312" s="279"/>
    </row>
    <row r="313" spans="1:11" ht="12.75">
      <c r="A313" s="425"/>
      <c r="B313" s="279"/>
      <c r="C313" s="279"/>
      <c r="D313" s="279"/>
      <c r="E313" s="279"/>
      <c r="F313" s="279"/>
      <c r="G313" s="279"/>
      <c r="H313" s="279"/>
      <c r="I313" s="279"/>
      <c r="J313" s="279"/>
      <c r="K313" s="279"/>
    </row>
    <row r="314" spans="1:11" ht="12.75">
      <c r="A314" s="425"/>
      <c r="B314" s="279"/>
      <c r="C314" s="279"/>
      <c r="D314" s="279"/>
      <c r="E314" s="279"/>
      <c r="F314" s="279"/>
      <c r="G314" s="279"/>
      <c r="H314" s="279"/>
      <c r="I314" s="279"/>
      <c r="J314" s="279"/>
      <c r="K314" s="279"/>
    </row>
    <row r="315" spans="1:11" ht="12.75">
      <c r="A315" s="425"/>
      <c r="B315" s="279"/>
      <c r="C315" s="279"/>
      <c r="D315" s="279"/>
      <c r="E315" s="279"/>
      <c r="F315" s="279"/>
      <c r="G315" s="279"/>
      <c r="H315" s="279"/>
      <c r="I315" s="279"/>
      <c r="J315" s="279"/>
      <c r="K315" s="279"/>
    </row>
    <row r="316" spans="1:11" ht="12.75">
      <c r="A316" s="425"/>
      <c r="B316" s="279"/>
      <c r="C316" s="279"/>
      <c r="D316" s="279"/>
      <c r="E316" s="279"/>
      <c r="F316" s="279"/>
      <c r="G316" s="279"/>
      <c r="H316" s="279"/>
      <c r="I316" s="279"/>
      <c r="J316" s="279"/>
      <c r="K316" s="279"/>
    </row>
    <row r="317" spans="1:11" ht="12.75">
      <c r="A317" s="425"/>
      <c r="B317" s="279"/>
      <c r="C317" s="279"/>
      <c r="D317" s="279"/>
      <c r="E317" s="279"/>
      <c r="F317" s="279"/>
      <c r="G317" s="279"/>
      <c r="H317" s="279"/>
      <c r="I317" s="279"/>
      <c r="J317" s="279"/>
      <c r="K317" s="279"/>
    </row>
    <row r="318" spans="1:11" ht="12.75">
      <c r="A318" s="425"/>
      <c r="B318" s="279"/>
      <c r="C318" s="279"/>
      <c r="D318" s="279"/>
      <c r="E318" s="279"/>
      <c r="F318" s="279"/>
      <c r="G318" s="279"/>
      <c r="H318" s="279"/>
      <c r="I318" s="279"/>
      <c r="J318" s="279"/>
      <c r="K318" s="279"/>
    </row>
    <row r="319" spans="1:11" ht="12.75">
      <c r="A319" s="425"/>
      <c r="B319" s="279"/>
      <c r="C319" s="279"/>
      <c r="D319" s="279"/>
      <c r="E319" s="279"/>
      <c r="F319" s="279"/>
      <c r="G319" s="279"/>
      <c r="H319" s="279"/>
      <c r="I319" s="279"/>
      <c r="J319" s="279"/>
      <c r="K319" s="279"/>
    </row>
    <row r="320" spans="1:11" ht="12.75">
      <c r="A320" s="425"/>
      <c r="B320" s="279"/>
      <c r="C320" s="279"/>
      <c r="D320" s="279"/>
      <c r="E320" s="279"/>
      <c r="F320" s="279"/>
      <c r="G320" s="279"/>
      <c r="H320" s="279"/>
      <c r="I320" s="279"/>
      <c r="J320" s="279"/>
      <c r="K320" s="279"/>
    </row>
    <row r="321" spans="1:11" ht="12.75">
      <c r="A321" s="425"/>
      <c r="B321" s="279"/>
      <c r="C321" s="279"/>
      <c r="D321" s="279"/>
      <c r="E321" s="279"/>
      <c r="F321" s="279"/>
      <c r="G321" s="279"/>
      <c r="H321" s="279"/>
      <c r="I321" s="279"/>
      <c r="J321" s="279"/>
      <c r="K321" s="279"/>
    </row>
    <row r="322" spans="1:11" ht="12.75">
      <c r="A322" s="425"/>
      <c r="B322" s="279"/>
      <c r="C322" s="279"/>
      <c r="D322" s="279"/>
      <c r="E322" s="279"/>
      <c r="F322" s="279"/>
      <c r="G322" s="279"/>
      <c r="H322" s="279"/>
      <c r="I322" s="279"/>
      <c r="J322" s="279"/>
      <c r="K322" s="279"/>
    </row>
    <row r="323" spans="1:11" ht="12.75">
      <c r="A323" s="425"/>
      <c r="B323" s="279"/>
      <c r="C323" s="279"/>
      <c r="D323" s="279"/>
      <c r="E323" s="279"/>
      <c r="F323" s="279"/>
      <c r="G323" s="279"/>
      <c r="H323" s="279"/>
      <c r="I323" s="279"/>
      <c r="J323" s="279"/>
      <c r="K323" s="279"/>
    </row>
    <row r="324" spans="1:11" ht="12.75">
      <c r="A324" s="425"/>
      <c r="B324" s="279"/>
      <c r="C324" s="279"/>
      <c r="D324" s="279"/>
      <c r="E324" s="279"/>
      <c r="F324" s="279"/>
      <c r="G324" s="279"/>
      <c r="H324" s="279"/>
      <c r="I324" s="279"/>
      <c r="J324" s="279"/>
      <c r="K324" s="279"/>
    </row>
    <row r="325" spans="1:11" ht="12.75">
      <c r="A325" s="425"/>
      <c r="B325" s="279"/>
      <c r="C325" s="279"/>
      <c r="D325" s="279"/>
      <c r="E325" s="279"/>
      <c r="F325" s="279"/>
      <c r="G325" s="279"/>
      <c r="H325" s="279"/>
      <c r="I325" s="279"/>
      <c r="J325" s="279"/>
      <c r="K325" s="279"/>
    </row>
    <row r="326" spans="1:11" ht="12.75">
      <c r="A326" s="425"/>
      <c r="B326" s="279"/>
      <c r="C326" s="279"/>
      <c r="D326" s="279"/>
      <c r="E326" s="279"/>
      <c r="F326" s="279"/>
      <c r="G326" s="279"/>
      <c r="H326" s="279"/>
      <c r="I326" s="279"/>
      <c r="J326" s="279"/>
      <c r="K326" s="279"/>
    </row>
    <row r="327" spans="1:11" ht="12.75">
      <c r="A327" s="425"/>
      <c r="B327" s="279"/>
      <c r="C327" s="279"/>
      <c r="D327" s="279"/>
      <c r="E327" s="279"/>
      <c r="F327" s="279"/>
      <c r="G327" s="279"/>
      <c r="H327" s="279"/>
      <c r="I327" s="279"/>
      <c r="J327" s="279"/>
      <c r="K327" s="279"/>
    </row>
    <row r="328" spans="1:11" ht="12.75">
      <c r="A328" s="425"/>
      <c r="B328" s="279"/>
      <c r="C328" s="279"/>
      <c r="D328" s="279"/>
      <c r="E328" s="279"/>
      <c r="F328" s="279"/>
      <c r="G328" s="279"/>
      <c r="H328" s="279"/>
      <c r="I328" s="279"/>
      <c r="J328" s="279"/>
      <c r="K328" s="279"/>
    </row>
    <row r="329" spans="1:11" ht="12.75">
      <c r="A329" s="425"/>
      <c r="B329" s="279"/>
      <c r="C329" s="279"/>
      <c r="D329" s="279"/>
      <c r="E329" s="279"/>
      <c r="F329" s="279"/>
      <c r="G329" s="279"/>
      <c r="H329" s="279"/>
      <c r="I329" s="279"/>
      <c r="J329" s="279"/>
      <c r="K329" s="279"/>
    </row>
    <row r="330" spans="1:11" ht="12.75">
      <c r="A330" s="425"/>
      <c r="B330" s="279"/>
      <c r="C330" s="279"/>
      <c r="D330" s="279"/>
      <c r="E330" s="279"/>
      <c r="F330" s="279"/>
      <c r="G330" s="279"/>
      <c r="H330" s="279"/>
      <c r="I330" s="279"/>
      <c r="J330" s="279"/>
      <c r="K330" s="279"/>
    </row>
    <row r="331" spans="1:11" ht="12.75">
      <c r="A331" s="425"/>
      <c r="B331" s="279"/>
      <c r="C331" s="279"/>
      <c r="D331" s="279"/>
      <c r="E331" s="279"/>
      <c r="F331" s="279"/>
      <c r="G331" s="279"/>
      <c r="H331" s="279"/>
      <c r="I331" s="279"/>
      <c r="J331" s="279"/>
      <c r="K331" s="279"/>
    </row>
    <row r="332" spans="1:11" ht="12.75">
      <c r="A332" s="425"/>
      <c r="B332" s="279"/>
      <c r="C332" s="279"/>
      <c r="D332" s="279"/>
      <c r="E332" s="279"/>
      <c r="F332" s="279"/>
      <c r="G332" s="279"/>
      <c r="H332" s="279"/>
      <c r="I332" s="279"/>
      <c r="J332" s="279"/>
      <c r="K332" s="279"/>
    </row>
    <row r="333" spans="1:11" ht="12.75">
      <c r="A333" s="425"/>
      <c r="B333" s="279"/>
      <c r="C333" s="279"/>
      <c r="D333" s="279"/>
      <c r="E333" s="279"/>
      <c r="F333" s="279"/>
      <c r="G333" s="279"/>
      <c r="H333" s="279"/>
      <c r="I333" s="279"/>
      <c r="J333" s="279"/>
      <c r="K333" s="279"/>
    </row>
    <row r="334" spans="1:11" ht="12.75">
      <c r="A334" s="425"/>
      <c r="B334" s="279"/>
      <c r="C334" s="279"/>
      <c r="D334" s="279"/>
      <c r="E334" s="279"/>
      <c r="F334" s="279"/>
      <c r="G334" s="279"/>
      <c r="H334" s="279"/>
      <c r="I334" s="279"/>
      <c r="J334" s="279"/>
      <c r="K334" s="279"/>
    </row>
    <row r="335" spans="1:11" ht="12.75">
      <c r="A335" s="425"/>
      <c r="B335" s="279"/>
      <c r="C335" s="279"/>
      <c r="D335" s="279"/>
      <c r="E335" s="279"/>
      <c r="F335" s="279"/>
      <c r="G335" s="279"/>
      <c r="H335" s="279"/>
      <c r="I335" s="279"/>
      <c r="J335" s="279"/>
      <c r="K335" s="279"/>
    </row>
    <row r="336" spans="1:11" ht="12.75">
      <c r="A336" s="425"/>
      <c r="B336" s="279"/>
      <c r="C336" s="279"/>
      <c r="D336" s="279"/>
      <c r="E336" s="279"/>
      <c r="F336" s="279"/>
      <c r="G336" s="279"/>
      <c r="H336" s="279"/>
      <c r="I336" s="279"/>
      <c r="J336" s="279"/>
      <c r="K336" s="279"/>
    </row>
    <row r="337" spans="1:11" ht="12.75">
      <c r="A337" s="425"/>
      <c r="B337" s="279"/>
      <c r="C337" s="279"/>
      <c r="D337" s="279"/>
      <c r="E337" s="279"/>
      <c r="F337" s="279"/>
      <c r="G337" s="279"/>
      <c r="H337" s="279"/>
      <c r="I337" s="279"/>
      <c r="J337" s="279"/>
      <c r="K337" s="279"/>
    </row>
    <row r="338" spans="1:11" ht="12.75">
      <c r="A338" s="425"/>
      <c r="B338" s="279"/>
      <c r="C338" s="279"/>
      <c r="D338" s="279"/>
      <c r="E338" s="279"/>
      <c r="F338" s="279"/>
      <c r="G338" s="279"/>
      <c r="H338" s="279"/>
      <c r="I338" s="279"/>
      <c r="J338" s="279"/>
      <c r="K338" s="279"/>
    </row>
    <row r="339" spans="1:11" ht="12.75">
      <c r="A339" s="425"/>
      <c r="B339" s="279"/>
      <c r="C339" s="279"/>
      <c r="D339" s="279"/>
      <c r="E339" s="279"/>
      <c r="F339" s="279"/>
      <c r="G339" s="279"/>
      <c r="H339" s="279"/>
      <c r="I339" s="279"/>
      <c r="J339" s="279"/>
      <c r="K339" s="279"/>
    </row>
    <row r="340" spans="1:11" ht="12.75">
      <c r="A340" s="425"/>
      <c r="B340" s="279"/>
      <c r="C340" s="279"/>
      <c r="D340" s="279"/>
      <c r="E340" s="279"/>
      <c r="F340" s="279"/>
      <c r="G340" s="279"/>
      <c r="H340" s="279"/>
      <c r="I340" s="279"/>
      <c r="J340" s="279"/>
      <c r="K340" s="279"/>
    </row>
    <row r="341" spans="1:11" ht="12.75">
      <c r="A341" s="425"/>
      <c r="B341" s="279"/>
      <c r="C341" s="279"/>
      <c r="D341" s="279"/>
      <c r="E341" s="279"/>
      <c r="F341" s="279"/>
      <c r="G341" s="279"/>
      <c r="H341" s="279"/>
      <c r="I341" s="279"/>
      <c r="J341" s="279"/>
      <c r="K341" s="279"/>
    </row>
    <row r="342" spans="1:11" ht="12.75">
      <c r="A342" s="425"/>
      <c r="B342" s="279"/>
      <c r="C342" s="279"/>
      <c r="D342" s="279"/>
      <c r="E342" s="279"/>
      <c r="F342" s="279"/>
      <c r="G342" s="279"/>
      <c r="H342" s="279"/>
      <c r="I342" s="279"/>
      <c r="J342" s="279"/>
      <c r="K342" s="279"/>
    </row>
    <row r="343" spans="1:11" ht="12.75">
      <c r="A343" s="425"/>
      <c r="B343" s="279"/>
      <c r="C343" s="279"/>
      <c r="D343" s="279"/>
      <c r="E343" s="279"/>
      <c r="F343" s="279"/>
      <c r="G343" s="279"/>
      <c r="H343" s="279"/>
      <c r="I343" s="279"/>
      <c r="J343" s="279"/>
      <c r="K343" s="279"/>
    </row>
    <row r="344" spans="1:11" ht="12.75">
      <c r="A344" s="425"/>
      <c r="B344" s="279"/>
      <c r="C344" s="279"/>
      <c r="D344" s="279"/>
      <c r="E344" s="279"/>
      <c r="F344" s="279"/>
      <c r="G344" s="279"/>
      <c r="H344" s="279"/>
      <c r="I344" s="279"/>
      <c r="J344" s="279"/>
      <c r="K344" s="279"/>
    </row>
    <row r="345" spans="1:11" ht="12.75">
      <c r="A345" s="425"/>
      <c r="B345" s="279"/>
      <c r="C345" s="279"/>
      <c r="D345" s="279"/>
      <c r="E345" s="279"/>
      <c r="F345" s="279"/>
      <c r="G345" s="279"/>
      <c r="H345" s="279"/>
      <c r="I345" s="279"/>
      <c r="J345" s="279"/>
      <c r="K345" s="279"/>
    </row>
    <row r="346" spans="1:11" ht="12.75">
      <c r="A346" s="425"/>
      <c r="B346" s="279"/>
      <c r="C346" s="279"/>
      <c r="D346" s="279"/>
      <c r="E346" s="279"/>
      <c r="F346" s="279"/>
      <c r="G346" s="279"/>
      <c r="H346" s="279"/>
      <c r="I346" s="279"/>
      <c r="J346" s="279"/>
      <c r="K346" s="279"/>
    </row>
    <row r="347" spans="1:11" ht="12.75">
      <c r="A347" s="425"/>
      <c r="B347" s="279"/>
      <c r="C347" s="279"/>
      <c r="D347" s="279"/>
      <c r="E347" s="279"/>
      <c r="F347" s="279"/>
      <c r="G347" s="279"/>
      <c r="H347" s="279"/>
      <c r="I347" s="279"/>
      <c r="J347" s="279"/>
      <c r="K347" s="279"/>
    </row>
    <row r="348" spans="1:11" ht="12.75">
      <c r="A348" s="425"/>
      <c r="B348" s="279"/>
      <c r="C348" s="279"/>
      <c r="D348" s="279"/>
      <c r="E348" s="279"/>
      <c r="F348" s="279"/>
      <c r="G348" s="279"/>
      <c r="H348" s="279"/>
      <c r="I348" s="279"/>
      <c r="J348" s="279"/>
      <c r="K348" s="279"/>
    </row>
    <row r="349" spans="1:11" ht="12.75">
      <c r="A349" s="425"/>
      <c r="B349" s="279"/>
      <c r="C349" s="279"/>
      <c r="D349" s="279"/>
      <c r="E349" s="279"/>
      <c r="F349" s="279"/>
      <c r="G349" s="279"/>
      <c r="H349" s="279"/>
      <c r="I349" s="279"/>
      <c r="J349" s="279"/>
      <c r="K349" s="279"/>
    </row>
    <row r="350" spans="1:11" ht="12.75">
      <c r="A350" s="425"/>
      <c r="B350" s="279"/>
      <c r="C350" s="279"/>
      <c r="D350" s="279"/>
      <c r="E350" s="279"/>
      <c r="F350" s="279"/>
      <c r="G350" s="279"/>
      <c r="H350" s="279"/>
      <c r="I350" s="279"/>
      <c r="J350" s="279"/>
      <c r="K350" s="279"/>
    </row>
    <row r="351" spans="1:11" ht="12.75">
      <c r="A351" s="425"/>
      <c r="B351" s="279"/>
      <c r="C351" s="279"/>
      <c r="D351" s="279"/>
      <c r="E351" s="279"/>
      <c r="F351" s="279"/>
      <c r="G351" s="279"/>
      <c r="H351" s="279"/>
      <c r="I351" s="279"/>
      <c r="J351" s="279"/>
      <c r="K351" s="279"/>
    </row>
    <row r="352" spans="1:11" ht="12.75">
      <c r="A352" s="425"/>
      <c r="B352" s="279"/>
      <c r="C352" s="279"/>
      <c r="D352" s="279"/>
      <c r="E352" s="279"/>
      <c r="F352" s="279"/>
      <c r="G352" s="279"/>
      <c r="H352" s="279"/>
      <c r="I352" s="279"/>
      <c r="J352" s="279"/>
      <c r="K352" s="279"/>
    </row>
    <row r="353" spans="1:11" ht="12.75">
      <c r="A353" s="425"/>
      <c r="B353" s="279"/>
      <c r="C353" s="279"/>
      <c r="D353" s="279"/>
      <c r="E353" s="279"/>
      <c r="F353" s="279"/>
      <c r="G353" s="279"/>
      <c r="H353" s="279"/>
      <c r="I353" s="279"/>
      <c r="J353" s="279"/>
      <c r="K353" s="279"/>
    </row>
    <row r="354" spans="1:11" ht="12.75">
      <c r="A354" s="425"/>
      <c r="B354" s="279"/>
      <c r="C354" s="279"/>
      <c r="D354" s="279"/>
      <c r="E354" s="279"/>
      <c r="F354" s="279"/>
      <c r="G354" s="279"/>
      <c r="H354" s="279"/>
      <c r="I354" s="279"/>
      <c r="J354" s="279"/>
      <c r="K354" s="279"/>
    </row>
    <row r="355" spans="1:11" ht="12.75">
      <c r="A355" s="425"/>
      <c r="B355" s="279"/>
      <c r="C355" s="279"/>
      <c r="D355" s="279"/>
      <c r="E355" s="279"/>
      <c r="F355" s="279"/>
      <c r="G355" s="279"/>
      <c r="H355" s="279"/>
      <c r="I355" s="279"/>
      <c r="J355" s="279"/>
      <c r="K355" s="279"/>
    </row>
    <row r="356" spans="1:11" ht="12.75">
      <c r="A356" s="425"/>
      <c r="B356" s="279"/>
      <c r="C356" s="279"/>
      <c r="D356" s="279"/>
      <c r="E356" s="279"/>
      <c r="F356" s="279"/>
      <c r="G356" s="279"/>
      <c r="H356" s="279"/>
      <c r="I356" s="279"/>
      <c r="J356" s="279"/>
      <c r="K356" s="279"/>
    </row>
    <row r="357" spans="1:11" ht="12.75">
      <c r="A357" s="425"/>
      <c r="B357" s="279"/>
      <c r="C357" s="279"/>
      <c r="D357" s="279"/>
      <c r="E357" s="279"/>
      <c r="F357" s="279"/>
      <c r="G357" s="279"/>
      <c r="H357" s="279"/>
      <c r="I357" s="279"/>
      <c r="J357" s="279"/>
      <c r="K357" s="279"/>
    </row>
    <row r="358" spans="1:11" ht="12.75">
      <c r="A358" s="425"/>
      <c r="B358" s="279"/>
      <c r="C358" s="279"/>
      <c r="D358" s="279"/>
      <c r="E358" s="279"/>
      <c r="F358" s="279"/>
      <c r="G358" s="279"/>
      <c r="H358" s="279"/>
      <c r="I358" s="279"/>
      <c r="J358" s="279"/>
      <c r="K358" s="279"/>
    </row>
    <row r="359" spans="1:11" ht="12.75">
      <c r="A359" s="425"/>
      <c r="B359" s="279"/>
      <c r="C359" s="279"/>
      <c r="D359" s="279"/>
      <c r="E359" s="279"/>
      <c r="F359" s="279"/>
      <c r="G359" s="279"/>
      <c r="H359" s="279"/>
      <c r="I359" s="279"/>
      <c r="J359" s="279"/>
      <c r="K359" s="279"/>
    </row>
    <row r="360" spans="1:11" ht="12.75">
      <c r="A360" s="425"/>
      <c r="B360" s="279"/>
      <c r="C360" s="279"/>
      <c r="D360" s="279"/>
      <c r="E360" s="279"/>
      <c r="F360" s="279"/>
      <c r="G360" s="279"/>
      <c r="H360" s="279"/>
      <c r="I360" s="279"/>
      <c r="J360" s="279"/>
      <c r="K360" s="279"/>
    </row>
    <row r="361" spans="1:11" ht="12.75">
      <c r="A361" s="425"/>
      <c r="B361" s="279"/>
      <c r="C361" s="279"/>
      <c r="D361" s="279"/>
      <c r="E361" s="279"/>
      <c r="F361" s="279"/>
      <c r="G361" s="279"/>
      <c r="H361" s="279"/>
      <c r="I361" s="279"/>
      <c r="J361" s="279"/>
      <c r="K361" s="279"/>
    </row>
    <row r="362" spans="1:11" ht="12.75">
      <c r="A362" s="425"/>
      <c r="B362" s="279"/>
      <c r="C362" s="279"/>
      <c r="D362" s="279"/>
      <c r="E362" s="279"/>
      <c r="F362" s="279"/>
      <c r="G362" s="279"/>
      <c r="H362" s="279"/>
      <c r="I362" s="279"/>
      <c r="J362" s="279"/>
      <c r="K362" s="279"/>
    </row>
    <row r="363" spans="1:11" ht="12.75">
      <c r="A363" s="425"/>
      <c r="B363" s="279"/>
      <c r="C363" s="279"/>
      <c r="D363" s="279"/>
      <c r="E363" s="279"/>
      <c r="F363" s="279"/>
      <c r="G363" s="279"/>
      <c r="H363" s="279"/>
      <c r="I363" s="279"/>
      <c r="J363" s="279"/>
      <c r="K363" s="279"/>
    </row>
    <row r="364" spans="1:11" ht="12.75">
      <c r="A364" s="425"/>
      <c r="B364" s="279"/>
      <c r="C364" s="279"/>
      <c r="D364" s="279"/>
      <c r="E364" s="279"/>
      <c r="F364" s="279"/>
      <c r="G364" s="279"/>
      <c r="H364" s="279"/>
      <c r="I364" s="279"/>
      <c r="J364" s="279"/>
      <c r="K364" s="279"/>
    </row>
    <row r="365" spans="1:11" ht="12.75">
      <c r="A365" s="425"/>
      <c r="B365" s="279"/>
      <c r="C365" s="279"/>
      <c r="D365" s="279"/>
      <c r="E365" s="279"/>
      <c r="F365" s="279"/>
      <c r="G365" s="279"/>
      <c r="H365" s="279"/>
      <c r="I365" s="279"/>
      <c r="J365" s="279"/>
      <c r="K365" s="279"/>
    </row>
    <row r="366" spans="1:11" ht="12.75">
      <c r="A366" s="425"/>
      <c r="B366" s="279"/>
      <c r="C366" s="279"/>
      <c r="D366" s="279"/>
      <c r="E366" s="279"/>
      <c r="F366" s="279"/>
      <c r="G366" s="279"/>
      <c r="H366" s="279"/>
      <c r="I366" s="279"/>
      <c r="J366" s="279"/>
      <c r="K366" s="279"/>
    </row>
    <row r="367" spans="1:11" ht="12.75">
      <c r="A367" s="425"/>
      <c r="B367" s="279"/>
      <c r="C367" s="279"/>
      <c r="D367" s="279"/>
      <c r="E367" s="279"/>
      <c r="F367" s="279"/>
      <c r="G367" s="279"/>
      <c r="H367" s="279"/>
      <c r="I367" s="279"/>
      <c r="J367" s="279"/>
      <c r="K367" s="279"/>
    </row>
    <row r="368" spans="1:11" ht="12.75">
      <c r="A368" s="425"/>
      <c r="B368" s="279"/>
      <c r="C368" s="279"/>
      <c r="D368" s="279"/>
      <c r="E368" s="279"/>
      <c r="F368" s="279"/>
      <c r="G368" s="279"/>
      <c r="H368" s="279"/>
      <c r="I368" s="279"/>
      <c r="J368" s="279"/>
      <c r="K368" s="279"/>
    </row>
    <row r="369" spans="1:11" ht="12.75">
      <c r="A369" s="425"/>
      <c r="B369" s="279"/>
      <c r="C369" s="279"/>
      <c r="D369" s="279"/>
      <c r="E369" s="279"/>
      <c r="F369" s="279"/>
      <c r="G369" s="279"/>
      <c r="H369" s="279"/>
      <c r="I369" s="279"/>
      <c r="J369" s="279"/>
      <c r="K369" s="279"/>
    </row>
    <row r="370" spans="1:11" ht="12.75">
      <c r="A370" s="425"/>
      <c r="B370" s="279"/>
      <c r="C370" s="279"/>
      <c r="D370" s="279"/>
      <c r="E370" s="279"/>
      <c r="F370" s="279"/>
      <c r="G370" s="279"/>
      <c r="H370" s="279"/>
      <c r="I370" s="279"/>
      <c r="J370" s="279"/>
      <c r="K370" s="279"/>
    </row>
    <row r="371" spans="1:11" ht="12.75">
      <c r="A371" s="425"/>
      <c r="B371" s="279"/>
      <c r="C371" s="279"/>
      <c r="D371" s="279"/>
      <c r="E371" s="279"/>
      <c r="F371" s="279"/>
      <c r="G371" s="279"/>
      <c r="H371" s="279"/>
      <c r="I371" s="279"/>
      <c r="J371" s="279"/>
      <c r="K371" s="279"/>
    </row>
    <row r="372" spans="1:11" ht="12.75">
      <c r="A372" s="425"/>
      <c r="B372" s="279"/>
      <c r="C372" s="279"/>
      <c r="D372" s="279"/>
      <c r="E372" s="279"/>
      <c r="F372" s="279"/>
      <c r="G372" s="279"/>
      <c r="H372" s="279"/>
      <c r="I372" s="279"/>
      <c r="J372" s="279"/>
      <c r="K372" s="279"/>
    </row>
    <row r="373" spans="1:11" ht="12.75">
      <c r="A373" s="425"/>
      <c r="B373" s="279"/>
      <c r="C373" s="279"/>
      <c r="D373" s="279"/>
      <c r="E373" s="279"/>
      <c r="F373" s="279"/>
      <c r="G373" s="279"/>
      <c r="H373" s="279"/>
      <c r="I373" s="279"/>
      <c r="J373" s="279"/>
      <c r="K373" s="279"/>
    </row>
    <row r="374" spans="1:11" ht="12.75">
      <c r="A374" s="425"/>
      <c r="B374" s="279"/>
      <c r="C374" s="279"/>
      <c r="D374" s="279"/>
      <c r="E374" s="279"/>
      <c r="F374" s="279"/>
      <c r="G374" s="279"/>
      <c r="H374" s="279"/>
      <c r="I374" s="279"/>
      <c r="J374" s="279"/>
      <c r="K374" s="279"/>
    </row>
    <row r="375" spans="1:11" ht="12.75">
      <c r="A375" s="425"/>
      <c r="B375" s="279"/>
      <c r="C375" s="279"/>
      <c r="D375" s="279"/>
      <c r="E375" s="279"/>
      <c r="F375" s="279"/>
      <c r="G375" s="279"/>
      <c r="H375" s="279"/>
      <c r="I375" s="279"/>
      <c r="J375" s="279"/>
      <c r="K375" s="279"/>
    </row>
    <row r="376" spans="1:11" ht="12.75">
      <c r="A376" s="425"/>
      <c r="B376" s="279"/>
      <c r="C376" s="279"/>
      <c r="D376" s="279"/>
      <c r="E376" s="279"/>
      <c r="F376" s="279"/>
      <c r="G376" s="279"/>
      <c r="H376" s="279"/>
      <c r="I376" s="279"/>
      <c r="J376" s="279"/>
      <c r="K376" s="279"/>
    </row>
    <row r="377" spans="1:11" ht="12.75">
      <c r="A377" s="425"/>
      <c r="B377" s="279"/>
      <c r="C377" s="279"/>
      <c r="D377" s="279"/>
      <c r="E377" s="279"/>
      <c r="F377" s="279"/>
      <c r="G377" s="279"/>
      <c r="H377" s="279"/>
      <c r="I377" s="279"/>
      <c r="J377" s="279"/>
      <c r="K377" s="279"/>
    </row>
    <row r="378" spans="1:11" ht="12.75">
      <c r="A378" s="425"/>
      <c r="B378" s="279"/>
      <c r="C378" s="279"/>
      <c r="D378" s="279"/>
      <c r="E378" s="279"/>
      <c r="F378" s="279"/>
      <c r="G378" s="279"/>
      <c r="H378" s="279"/>
      <c r="I378" s="279"/>
      <c r="J378" s="279"/>
      <c r="K378" s="279"/>
    </row>
    <row r="379" spans="1:11" ht="12.75">
      <c r="A379" s="425"/>
      <c r="B379" s="279"/>
      <c r="C379" s="279"/>
      <c r="D379" s="279"/>
      <c r="E379" s="279"/>
      <c r="F379" s="279"/>
      <c r="G379" s="279"/>
      <c r="H379" s="279"/>
      <c r="I379" s="279"/>
      <c r="J379" s="279"/>
      <c r="K379" s="279"/>
    </row>
    <row r="380" spans="1:11" ht="12.75">
      <c r="A380" s="425"/>
      <c r="B380" s="279"/>
      <c r="C380" s="279"/>
      <c r="D380" s="279"/>
      <c r="E380" s="279"/>
      <c r="F380" s="279"/>
      <c r="G380" s="279"/>
      <c r="H380" s="279"/>
      <c r="I380" s="279"/>
      <c r="J380" s="279"/>
      <c r="K380" s="279"/>
    </row>
    <row r="381" spans="1:11" ht="12.75">
      <c r="A381" s="425"/>
      <c r="B381" s="279"/>
      <c r="C381" s="279"/>
      <c r="D381" s="279"/>
      <c r="E381" s="279"/>
      <c r="F381" s="279"/>
      <c r="G381" s="279"/>
      <c r="H381" s="279"/>
      <c r="I381" s="279"/>
      <c r="J381" s="279"/>
      <c r="K381" s="279"/>
    </row>
    <row r="382" spans="1:11" ht="12.75">
      <c r="A382" s="425"/>
      <c r="B382" s="279"/>
      <c r="C382" s="279"/>
      <c r="D382" s="279"/>
      <c r="E382" s="279"/>
      <c r="F382" s="279"/>
      <c r="G382" s="279"/>
      <c r="H382" s="279"/>
      <c r="I382" s="279"/>
      <c r="J382" s="279"/>
      <c r="K382" s="279"/>
    </row>
    <row r="383" spans="1:11" ht="12.75">
      <c r="A383" s="425"/>
      <c r="B383" s="279"/>
      <c r="C383" s="279"/>
      <c r="D383" s="279"/>
      <c r="E383" s="279"/>
      <c r="F383" s="279"/>
      <c r="G383" s="279"/>
      <c r="H383" s="279"/>
      <c r="I383" s="279"/>
      <c r="J383" s="279"/>
      <c r="K383" s="279"/>
    </row>
    <row r="384" spans="1:11" ht="12.75">
      <c r="A384" s="425"/>
      <c r="B384" s="279"/>
      <c r="C384" s="279"/>
      <c r="D384" s="279"/>
      <c r="E384" s="279"/>
      <c r="F384" s="279"/>
      <c r="G384" s="279"/>
      <c r="H384" s="279"/>
      <c r="I384" s="279"/>
      <c r="J384" s="279"/>
      <c r="K384" s="279"/>
    </row>
    <row r="385" spans="1:11" ht="12.75">
      <c r="A385" s="425"/>
      <c r="B385" s="279"/>
      <c r="C385" s="279"/>
      <c r="D385" s="279"/>
      <c r="E385" s="279"/>
      <c r="F385" s="279"/>
      <c r="G385" s="279"/>
      <c r="H385" s="279"/>
      <c r="I385" s="279"/>
      <c r="J385" s="279"/>
      <c r="K385" s="279"/>
    </row>
    <row r="386" spans="1:11" ht="12.75">
      <c r="A386" s="425"/>
      <c r="B386" s="279"/>
      <c r="C386" s="279"/>
      <c r="D386" s="279"/>
      <c r="E386" s="279"/>
      <c r="F386" s="279"/>
      <c r="G386" s="279"/>
      <c r="H386" s="279"/>
      <c r="I386" s="279"/>
      <c r="J386" s="279"/>
      <c r="K386" s="279"/>
    </row>
    <row r="387" spans="1:11" ht="12.75">
      <c r="A387" s="425"/>
      <c r="B387" s="279"/>
      <c r="C387" s="279"/>
      <c r="D387" s="279"/>
      <c r="E387" s="279"/>
      <c r="F387" s="279"/>
      <c r="G387" s="279"/>
      <c r="H387" s="279"/>
      <c r="I387" s="279"/>
      <c r="J387" s="279"/>
      <c r="K387" s="279"/>
    </row>
    <row r="388" spans="1:11" ht="12.75">
      <c r="A388" s="425"/>
      <c r="B388" s="279"/>
      <c r="C388" s="279"/>
      <c r="D388" s="279"/>
      <c r="E388" s="279"/>
      <c r="F388" s="279"/>
      <c r="G388" s="279"/>
      <c r="H388" s="279"/>
      <c r="I388" s="279"/>
      <c r="J388" s="279"/>
      <c r="K388" s="279"/>
    </row>
    <row r="389" spans="1:11" ht="12.75">
      <c r="A389" s="425"/>
      <c r="B389" s="279"/>
      <c r="C389" s="279"/>
      <c r="D389" s="279"/>
      <c r="E389" s="279"/>
      <c r="F389" s="279"/>
      <c r="G389" s="279"/>
      <c r="H389" s="279"/>
      <c r="I389" s="279"/>
      <c r="J389" s="279"/>
      <c r="K389" s="279"/>
    </row>
    <row r="390" spans="1:11" ht="12.75">
      <c r="A390" s="425"/>
      <c r="B390" s="279"/>
      <c r="C390" s="279"/>
      <c r="D390" s="279"/>
      <c r="E390" s="279"/>
      <c r="F390" s="279"/>
      <c r="G390" s="279"/>
      <c r="H390" s="279"/>
      <c r="I390" s="279"/>
      <c r="J390" s="279"/>
      <c r="K390" s="279"/>
    </row>
    <row r="391" spans="1:11" ht="12.75">
      <c r="A391" s="425"/>
      <c r="B391" s="279"/>
      <c r="C391" s="279"/>
      <c r="D391" s="279"/>
      <c r="E391" s="279"/>
      <c r="F391" s="279"/>
      <c r="G391" s="279"/>
      <c r="H391" s="279"/>
      <c r="I391" s="279"/>
      <c r="J391" s="279"/>
      <c r="K391" s="279"/>
    </row>
    <row r="392" spans="1:11" ht="12.75">
      <c r="A392" s="425"/>
      <c r="B392" s="279"/>
      <c r="C392" s="279"/>
      <c r="D392" s="279"/>
      <c r="E392" s="279"/>
      <c r="F392" s="279"/>
      <c r="G392" s="279"/>
      <c r="H392" s="279"/>
      <c r="I392" s="279"/>
      <c r="J392" s="279"/>
      <c r="K392" s="279"/>
    </row>
    <row r="393" spans="1:11" ht="12.75">
      <c r="A393" s="425"/>
      <c r="B393" s="279"/>
      <c r="C393" s="279"/>
      <c r="D393" s="279"/>
      <c r="E393" s="279"/>
      <c r="F393" s="279"/>
      <c r="G393" s="279"/>
      <c r="H393" s="279"/>
      <c r="I393" s="279"/>
      <c r="J393" s="279"/>
      <c r="K393" s="279"/>
    </row>
    <row r="394" spans="1:11" ht="12.75">
      <c r="A394" s="425"/>
      <c r="B394" s="279"/>
      <c r="C394" s="279"/>
      <c r="D394" s="279"/>
      <c r="E394" s="279"/>
      <c r="F394" s="279"/>
      <c r="G394" s="279"/>
      <c r="H394" s="279"/>
      <c r="I394" s="279"/>
      <c r="J394" s="279"/>
      <c r="K394" s="279"/>
    </row>
    <row r="395" spans="1:11" ht="12.75">
      <c r="A395" s="425"/>
      <c r="B395" s="279"/>
      <c r="C395" s="279"/>
      <c r="D395" s="279"/>
      <c r="E395" s="279"/>
      <c r="F395" s="279"/>
      <c r="G395" s="279"/>
      <c r="H395" s="279"/>
      <c r="I395" s="279"/>
      <c r="J395" s="279"/>
      <c r="K395" s="279"/>
    </row>
    <row r="396" spans="1:11" ht="12.75">
      <c r="A396" s="425"/>
      <c r="B396" s="279"/>
      <c r="C396" s="279"/>
      <c r="D396" s="279"/>
      <c r="E396" s="279"/>
      <c r="F396" s="279"/>
      <c r="G396" s="279"/>
      <c r="H396" s="279"/>
      <c r="I396" s="279"/>
      <c r="J396" s="279"/>
      <c r="K396" s="279"/>
    </row>
    <row r="397" spans="1:11" ht="12.75">
      <c r="A397" s="425"/>
      <c r="B397" s="279"/>
      <c r="C397" s="279"/>
      <c r="D397" s="279"/>
      <c r="E397" s="279"/>
      <c r="F397" s="279"/>
      <c r="G397" s="279"/>
      <c r="H397" s="279"/>
      <c r="I397" s="279"/>
      <c r="J397" s="279"/>
      <c r="K397" s="279"/>
    </row>
    <row r="398" spans="1:11" ht="12.75">
      <c r="A398" s="425"/>
      <c r="B398" s="279"/>
      <c r="C398" s="279"/>
      <c r="D398" s="279"/>
      <c r="E398" s="279"/>
      <c r="F398" s="279"/>
      <c r="G398" s="279"/>
      <c r="H398" s="279"/>
      <c r="I398" s="279"/>
      <c r="J398" s="279"/>
      <c r="K398" s="279"/>
    </row>
    <row r="399" spans="1:11" ht="12.75">
      <c r="A399" s="425"/>
      <c r="B399" s="279"/>
      <c r="C399" s="279"/>
      <c r="D399" s="279"/>
      <c r="E399" s="279"/>
      <c r="F399" s="279"/>
      <c r="G399" s="279"/>
      <c r="H399" s="279"/>
      <c r="I399" s="279"/>
      <c r="J399" s="279"/>
      <c r="K399" s="279"/>
    </row>
    <row r="400" spans="1:11" ht="12.75">
      <c r="A400" s="425"/>
      <c r="B400" s="279"/>
      <c r="C400" s="279"/>
      <c r="D400" s="279"/>
      <c r="E400" s="279"/>
      <c r="F400" s="279"/>
      <c r="G400" s="279"/>
      <c r="H400" s="279"/>
      <c r="I400" s="279"/>
      <c r="J400" s="279"/>
      <c r="K400" s="279"/>
    </row>
    <row r="401" spans="1:11" ht="12.75">
      <c r="A401" s="425"/>
      <c r="B401" s="279"/>
      <c r="C401" s="279"/>
      <c r="D401" s="279"/>
      <c r="E401" s="279"/>
      <c r="F401" s="279"/>
      <c r="G401" s="279"/>
      <c r="H401" s="279"/>
      <c r="I401" s="279"/>
      <c r="J401" s="279"/>
      <c r="K401" s="279"/>
    </row>
    <row r="402" spans="1:11" ht="12.75">
      <c r="A402" s="425"/>
      <c r="B402" s="279"/>
      <c r="C402" s="279"/>
      <c r="D402" s="279"/>
      <c r="E402" s="279"/>
      <c r="F402" s="279"/>
      <c r="G402" s="279"/>
      <c r="H402" s="279"/>
      <c r="I402" s="279"/>
      <c r="J402" s="279"/>
      <c r="K402" s="279"/>
    </row>
    <row r="403" spans="1:11" ht="12.75">
      <c r="A403" s="425"/>
      <c r="B403" s="279"/>
      <c r="C403" s="279"/>
      <c r="D403" s="279"/>
      <c r="E403" s="279"/>
      <c r="F403" s="279"/>
      <c r="G403" s="279"/>
      <c r="H403" s="279"/>
      <c r="I403" s="279"/>
      <c r="J403" s="279"/>
      <c r="K403" s="279"/>
    </row>
    <row r="404" spans="1:11" ht="12.75">
      <c r="A404" s="425"/>
      <c r="B404" s="279"/>
      <c r="C404" s="279"/>
      <c r="D404" s="279"/>
      <c r="E404" s="279"/>
      <c r="F404" s="279"/>
      <c r="G404" s="279"/>
      <c r="H404" s="279"/>
      <c r="I404" s="279"/>
      <c r="J404" s="279"/>
      <c r="K404" s="279"/>
    </row>
    <row r="405" spans="1:11" ht="12.75">
      <c r="A405" s="425"/>
      <c r="B405" s="279"/>
      <c r="C405" s="279"/>
      <c r="D405" s="279"/>
      <c r="E405" s="279"/>
      <c r="F405" s="279"/>
      <c r="G405" s="279"/>
      <c r="H405" s="279"/>
      <c r="I405" s="279"/>
      <c r="J405" s="279"/>
      <c r="K405" s="279"/>
    </row>
    <row r="406" spans="1:11" ht="12.75">
      <c r="A406" s="425"/>
      <c r="B406" s="279"/>
      <c r="C406" s="279"/>
      <c r="D406" s="279"/>
      <c r="E406" s="279"/>
      <c r="F406" s="279"/>
      <c r="G406" s="279"/>
      <c r="H406" s="279"/>
      <c r="I406" s="279"/>
      <c r="J406" s="279"/>
      <c r="K406" s="279"/>
    </row>
    <row r="407" spans="1:11" ht="12.75">
      <c r="A407" s="425"/>
      <c r="B407" s="279"/>
      <c r="C407" s="279"/>
      <c r="D407" s="279"/>
      <c r="E407" s="279"/>
      <c r="F407" s="279"/>
      <c r="G407" s="279"/>
      <c r="H407" s="279"/>
      <c r="I407" s="279"/>
      <c r="J407" s="279"/>
      <c r="K407" s="279"/>
    </row>
    <row r="408" spans="1:11" ht="12.75">
      <c r="A408" s="425"/>
      <c r="B408" s="279"/>
      <c r="C408" s="279"/>
      <c r="D408" s="279"/>
      <c r="E408" s="279"/>
      <c r="F408" s="279"/>
      <c r="G408" s="279"/>
      <c r="H408" s="279"/>
      <c r="I408" s="279"/>
      <c r="J408" s="279"/>
      <c r="K408" s="279"/>
    </row>
    <row r="409" spans="1:11" ht="12.75">
      <c r="A409" s="425"/>
      <c r="B409" s="279"/>
      <c r="C409" s="279"/>
      <c r="D409" s="279"/>
      <c r="E409" s="279"/>
      <c r="F409" s="279"/>
      <c r="G409" s="279"/>
      <c r="H409" s="279"/>
      <c r="I409" s="279"/>
      <c r="J409" s="279"/>
      <c r="K409" s="279"/>
    </row>
    <row r="410" spans="1:11" ht="12.75">
      <c r="A410" s="425"/>
      <c r="B410" s="279"/>
      <c r="C410" s="279"/>
      <c r="D410" s="279"/>
      <c r="E410" s="279"/>
      <c r="F410" s="279"/>
      <c r="G410" s="279"/>
      <c r="H410" s="279"/>
      <c r="I410" s="279"/>
      <c r="J410" s="279"/>
      <c r="K410" s="279"/>
    </row>
    <row r="411" spans="1:11" ht="12.75">
      <c r="A411" s="425"/>
      <c r="B411" s="279"/>
      <c r="C411" s="279"/>
      <c r="D411" s="279"/>
      <c r="E411" s="279"/>
      <c r="F411" s="279"/>
      <c r="G411" s="279"/>
      <c r="H411" s="279"/>
      <c r="I411" s="279"/>
      <c r="J411" s="279"/>
      <c r="K411" s="279"/>
    </row>
    <row r="412" spans="1:11" ht="12.75">
      <c r="A412" s="425"/>
      <c r="B412" s="279"/>
      <c r="C412" s="279"/>
      <c r="D412" s="279"/>
      <c r="E412" s="279"/>
      <c r="F412" s="279"/>
      <c r="G412" s="279"/>
      <c r="H412" s="279"/>
      <c r="I412" s="279"/>
      <c r="J412" s="279"/>
      <c r="K412" s="279"/>
    </row>
    <row r="413" spans="1:11" ht="12.75">
      <c r="A413" s="425"/>
      <c r="B413" s="279"/>
      <c r="C413" s="279"/>
      <c r="D413" s="279"/>
      <c r="E413" s="279"/>
      <c r="F413" s="279"/>
      <c r="G413" s="279"/>
      <c r="H413" s="279"/>
      <c r="I413" s="279"/>
      <c r="J413" s="279"/>
      <c r="K413" s="279"/>
    </row>
    <row r="414" spans="1:11" ht="12.75">
      <c r="A414" s="425"/>
      <c r="B414" s="279"/>
      <c r="C414" s="279"/>
      <c r="D414" s="279"/>
      <c r="E414" s="279"/>
      <c r="F414" s="279"/>
      <c r="G414" s="279"/>
      <c r="H414" s="279"/>
      <c r="I414" s="279"/>
      <c r="J414" s="279"/>
      <c r="K414" s="279"/>
    </row>
    <row r="415" spans="1:11" ht="12.75">
      <c r="A415" s="425"/>
      <c r="B415" s="279"/>
      <c r="C415" s="279"/>
      <c r="D415" s="279"/>
      <c r="E415" s="279"/>
      <c r="F415" s="279"/>
      <c r="G415" s="279"/>
      <c r="H415" s="279"/>
      <c r="I415" s="279"/>
      <c r="J415" s="279"/>
      <c r="K415" s="279"/>
    </row>
    <row r="416" spans="1:11" ht="12.75">
      <c r="A416" s="425"/>
      <c r="B416" s="279"/>
      <c r="C416" s="279"/>
      <c r="D416" s="279"/>
      <c r="E416" s="279"/>
      <c r="F416" s="279"/>
      <c r="G416" s="279"/>
      <c r="H416" s="279"/>
      <c r="I416" s="279"/>
      <c r="J416" s="279"/>
      <c r="K416" s="279"/>
    </row>
    <row r="417" spans="1:11" ht="12.75">
      <c r="A417" s="425"/>
      <c r="B417" s="279"/>
      <c r="C417" s="279"/>
      <c r="D417" s="279"/>
      <c r="E417" s="279"/>
      <c r="F417" s="279"/>
      <c r="G417" s="279"/>
      <c r="H417" s="279"/>
      <c r="I417" s="279"/>
      <c r="J417" s="279"/>
      <c r="K417" s="279"/>
    </row>
    <row r="418" spans="1:11" ht="12.75">
      <c r="A418" s="425"/>
      <c r="B418" s="279"/>
      <c r="C418" s="279"/>
      <c r="D418" s="279"/>
      <c r="E418" s="279"/>
      <c r="F418" s="279"/>
      <c r="G418" s="279"/>
      <c r="H418" s="279"/>
      <c r="I418" s="279"/>
      <c r="J418" s="279"/>
      <c r="K418" s="279"/>
    </row>
    <row r="419" spans="1:11" ht="12.75">
      <c r="A419" s="425"/>
      <c r="B419" s="279"/>
      <c r="C419" s="279"/>
      <c r="D419" s="279"/>
      <c r="E419" s="279"/>
      <c r="F419" s="279"/>
      <c r="G419" s="279"/>
      <c r="H419" s="279"/>
      <c r="I419" s="279"/>
      <c r="J419" s="279"/>
      <c r="K419" s="279"/>
    </row>
    <row r="420" spans="1:11" ht="12.75">
      <c r="A420" s="425"/>
      <c r="B420" s="279"/>
      <c r="C420" s="279"/>
      <c r="D420" s="279"/>
      <c r="E420" s="279"/>
      <c r="F420" s="279"/>
      <c r="G420" s="279"/>
      <c r="H420" s="279"/>
      <c r="I420" s="279"/>
      <c r="J420" s="279"/>
      <c r="K420" s="279"/>
    </row>
    <row r="421" spans="1:11" ht="12.75">
      <c r="A421" s="425"/>
      <c r="B421" s="279"/>
      <c r="C421" s="279"/>
      <c r="D421" s="279"/>
      <c r="E421" s="279"/>
      <c r="F421" s="279"/>
      <c r="G421" s="279"/>
      <c r="H421" s="279"/>
      <c r="I421" s="279"/>
      <c r="J421" s="279"/>
      <c r="K421" s="279"/>
    </row>
    <row r="422" spans="1:11" ht="12.75">
      <c r="A422" s="425"/>
      <c r="B422" s="279"/>
      <c r="C422" s="279"/>
      <c r="D422" s="279"/>
      <c r="E422" s="279"/>
      <c r="F422" s="279"/>
      <c r="G422" s="279"/>
      <c r="H422" s="279"/>
      <c r="I422" s="279"/>
      <c r="J422" s="279"/>
      <c r="K422" s="279"/>
    </row>
    <row r="423" spans="1:11" ht="12.75">
      <c r="A423" s="425"/>
      <c r="B423" s="279"/>
      <c r="C423" s="279"/>
      <c r="D423" s="279"/>
      <c r="E423" s="279"/>
      <c r="F423" s="279"/>
      <c r="G423" s="279"/>
      <c r="H423" s="279"/>
      <c r="I423" s="279"/>
      <c r="J423" s="279"/>
      <c r="K423" s="279"/>
    </row>
    <row r="424" spans="1:11" ht="12.75">
      <c r="A424" s="425"/>
      <c r="B424" s="279"/>
      <c r="C424" s="279"/>
      <c r="D424" s="279"/>
      <c r="E424" s="279"/>
      <c r="F424" s="279"/>
      <c r="G424" s="279"/>
      <c r="H424" s="279"/>
      <c r="I424" s="279"/>
      <c r="J424" s="279"/>
      <c r="K424" s="279"/>
    </row>
    <row r="425" spans="1:11" ht="12.75">
      <c r="A425" s="425"/>
      <c r="B425" s="279"/>
      <c r="C425" s="279"/>
      <c r="D425" s="279"/>
      <c r="E425" s="279"/>
      <c r="F425" s="279"/>
      <c r="G425" s="279"/>
      <c r="H425" s="279"/>
      <c r="I425" s="279"/>
      <c r="J425" s="279"/>
      <c r="K425" s="279"/>
    </row>
    <row r="426" spans="1:11" ht="12.75">
      <c r="A426" s="425"/>
      <c r="B426" s="279"/>
      <c r="C426" s="279"/>
      <c r="D426" s="279"/>
      <c r="E426" s="279"/>
      <c r="F426" s="279"/>
      <c r="G426" s="279"/>
      <c r="H426" s="279"/>
      <c r="I426" s="279"/>
      <c r="J426" s="279"/>
      <c r="K426" s="279"/>
    </row>
    <row r="427" spans="1:11" ht="12.75">
      <c r="A427" s="425"/>
      <c r="B427" s="279"/>
      <c r="C427" s="279"/>
      <c r="D427" s="279"/>
      <c r="E427" s="279"/>
      <c r="F427" s="279"/>
      <c r="G427" s="279"/>
      <c r="H427" s="279"/>
      <c r="I427" s="279"/>
      <c r="J427" s="279"/>
      <c r="K427" s="279"/>
    </row>
    <row r="428" spans="1:11" ht="12.75">
      <c r="A428" s="425"/>
      <c r="B428" s="279"/>
      <c r="C428" s="279"/>
      <c r="D428" s="279"/>
      <c r="E428" s="279"/>
      <c r="F428" s="279"/>
      <c r="G428" s="279"/>
      <c r="H428" s="279"/>
      <c r="I428" s="279"/>
      <c r="J428" s="279"/>
      <c r="K428" s="279"/>
    </row>
    <row r="429" spans="1:11" ht="12.75">
      <c r="A429" s="425"/>
      <c r="B429" s="279"/>
      <c r="C429" s="279"/>
      <c r="D429" s="279"/>
      <c r="E429" s="279"/>
      <c r="F429" s="279"/>
      <c r="G429" s="279"/>
      <c r="H429" s="279"/>
      <c r="I429" s="279"/>
      <c r="J429" s="279"/>
      <c r="K429" s="279"/>
    </row>
    <row r="430" spans="1:11" ht="12.75">
      <c r="A430" s="425"/>
      <c r="B430" s="279"/>
      <c r="C430" s="279"/>
      <c r="D430" s="279"/>
      <c r="E430" s="279"/>
      <c r="F430" s="279"/>
      <c r="G430" s="279"/>
      <c r="H430" s="279"/>
      <c r="I430" s="279"/>
      <c r="J430" s="279"/>
      <c r="K430" s="279"/>
    </row>
    <row r="431" spans="1:11" ht="12.75">
      <c r="A431" s="425"/>
      <c r="B431" s="279"/>
      <c r="C431" s="279"/>
      <c r="D431" s="279"/>
      <c r="E431" s="279"/>
      <c r="F431" s="279"/>
      <c r="G431" s="279"/>
      <c r="H431" s="279"/>
      <c r="I431" s="279"/>
      <c r="J431" s="279"/>
      <c r="K431" s="279"/>
    </row>
    <row r="432" spans="1:11" ht="12.75">
      <c r="A432" s="425"/>
      <c r="B432" s="279"/>
      <c r="C432" s="279"/>
      <c r="D432" s="279"/>
      <c r="E432" s="279"/>
      <c r="F432" s="279"/>
      <c r="G432" s="279"/>
      <c r="H432" s="279"/>
      <c r="I432" s="279"/>
      <c r="J432" s="279"/>
      <c r="K432" s="279"/>
    </row>
    <row r="433" spans="1:11" ht="12.75">
      <c r="A433" s="425"/>
      <c r="B433" s="279"/>
      <c r="C433" s="279"/>
      <c r="D433" s="279"/>
      <c r="E433" s="279"/>
      <c r="F433" s="279"/>
      <c r="G433" s="279"/>
      <c r="H433" s="279"/>
      <c r="I433" s="279"/>
      <c r="J433" s="279"/>
      <c r="K433" s="279"/>
    </row>
    <row r="434" spans="1:11" ht="12.75">
      <c r="A434" s="425"/>
      <c r="B434" s="279"/>
      <c r="C434" s="279"/>
      <c r="D434" s="279"/>
      <c r="E434" s="279"/>
      <c r="F434" s="279"/>
      <c r="G434" s="279"/>
      <c r="H434" s="279"/>
      <c r="I434" s="279"/>
      <c r="J434" s="279"/>
      <c r="K434" s="279"/>
    </row>
    <row r="435" spans="1:11" ht="12.75">
      <c r="A435" s="425"/>
      <c r="B435" s="279"/>
      <c r="C435" s="279"/>
      <c r="D435" s="279"/>
      <c r="E435" s="279"/>
      <c r="F435" s="279"/>
      <c r="G435" s="279"/>
      <c r="H435" s="279"/>
      <c r="I435" s="279"/>
      <c r="J435" s="279"/>
      <c r="K435" s="279"/>
    </row>
    <row r="436" spans="1:11" ht="12.75">
      <c r="A436" s="425"/>
      <c r="B436" s="279"/>
      <c r="C436" s="279"/>
      <c r="D436" s="279"/>
      <c r="E436" s="279"/>
      <c r="F436" s="279"/>
      <c r="G436" s="279"/>
      <c r="H436" s="279"/>
      <c r="I436" s="279"/>
      <c r="J436" s="279"/>
      <c r="K436" s="279"/>
    </row>
    <row r="437" spans="1:11" ht="12.75">
      <c r="A437" s="425"/>
      <c r="B437" s="279"/>
      <c r="C437" s="279"/>
      <c r="D437" s="279"/>
      <c r="E437" s="279"/>
      <c r="F437" s="279"/>
      <c r="G437" s="279"/>
      <c r="H437" s="279"/>
      <c r="I437" s="279"/>
      <c r="J437" s="279"/>
      <c r="K437" s="279"/>
    </row>
    <row r="438" spans="1:11" ht="12.75">
      <c r="A438" s="425"/>
      <c r="B438" s="279"/>
      <c r="C438" s="279"/>
      <c r="D438" s="279"/>
      <c r="E438" s="279"/>
      <c r="F438" s="279"/>
      <c r="G438" s="279"/>
      <c r="H438" s="279"/>
      <c r="I438" s="279"/>
      <c r="J438" s="279"/>
      <c r="K438" s="279"/>
    </row>
    <row r="439" spans="1:11" ht="12.75">
      <c r="A439" s="425"/>
      <c r="B439" s="279"/>
      <c r="C439" s="279"/>
      <c r="D439" s="279"/>
      <c r="E439" s="279"/>
      <c r="F439" s="279"/>
      <c r="G439" s="279"/>
      <c r="H439" s="279"/>
      <c r="I439" s="279"/>
      <c r="J439" s="279"/>
      <c r="K439" s="279"/>
    </row>
    <row r="440" spans="1:11" ht="12.75">
      <c r="A440" s="425"/>
      <c r="B440" s="279"/>
      <c r="C440" s="279"/>
      <c r="D440" s="279"/>
      <c r="E440" s="279"/>
      <c r="F440" s="279"/>
      <c r="G440" s="279"/>
      <c r="H440" s="279"/>
      <c r="I440" s="279"/>
      <c r="J440" s="279"/>
      <c r="K440" s="279"/>
    </row>
    <row r="441" spans="1:11" ht="12.75">
      <c r="A441" s="425"/>
      <c r="B441" s="279"/>
      <c r="C441" s="279"/>
      <c r="D441" s="279"/>
      <c r="E441" s="279"/>
      <c r="F441" s="279"/>
      <c r="G441" s="279"/>
      <c r="H441" s="279"/>
      <c r="I441" s="279"/>
      <c r="J441" s="279"/>
      <c r="K441" s="279"/>
    </row>
    <row r="442" spans="1:11" ht="12.75">
      <c r="A442" s="425"/>
      <c r="B442" s="279"/>
      <c r="C442" s="279"/>
      <c r="D442" s="279"/>
      <c r="E442" s="279"/>
      <c r="F442" s="279"/>
      <c r="G442" s="279"/>
      <c r="H442" s="279"/>
      <c r="I442" s="279"/>
      <c r="J442" s="279"/>
      <c r="K442" s="279"/>
    </row>
    <row r="443" spans="1:11" ht="12.75">
      <c r="A443" s="425"/>
      <c r="B443" s="279"/>
      <c r="C443" s="279"/>
      <c r="D443" s="279"/>
      <c r="E443" s="279"/>
      <c r="F443" s="279"/>
      <c r="G443" s="279"/>
      <c r="H443" s="279"/>
      <c r="I443" s="279"/>
      <c r="J443" s="279"/>
      <c r="K443" s="279"/>
    </row>
    <row r="444" spans="1:11" ht="12.75">
      <c r="A444" s="425"/>
      <c r="B444" s="279"/>
      <c r="C444" s="279"/>
      <c r="D444" s="279"/>
      <c r="E444" s="279"/>
      <c r="F444" s="279"/>
      <c r="G444" s="279"/>
      <c r="H444" s="279"/>
      <c r="I444" s="279"/>
      <c r="J444" s="279"/>
      <c r="K444" s="279"/>
    </row>
    <row r="445" spans="1:11" ht="12.75">
      <c r="A445" s="425"/>
      <c r="B445" s="279"/>
      <c r="C445" s="279"/>
      <c r="D445" s="279"/>
      <c r="E445" s="279"/>
      <c r="F445" s="279"/>
      <c r="G445" s="279"/>
      <c r="H445" s="279"/>
      <c r="I445" s="279"/>
      <c r="J445" s="279"/>
      <c r="K445" s="279"/>
    </row>
    <row r="446" spans="1:11" ht="12.75">
      <c r="A446" s="425"/>
      <c r="B446" s="279"/>
      <c r="C446" s="279"/>
      <c r="D446" s="279"/>
      <c r="E446" s="279"/>
      <c r="F446" s="279"/>
      <c r="G446" s="279"/>
      <c r="H446" s="279"/>
      <c r="I446" s="279"/>
      <c r="J446" s="279"/>
      <c r="K446" s="279"/>
    </row>
    <row r="447" spans="1:11" ht="12.75">
      <c r="A447" s="425"/>
      <c r="B447" s="279"/>
      <c r="C447" s="279"/>
      <c r="D447" s="279"/>
      <c r="E447" s="279"/>
      <c r="F447" s="279"/>
      <c r="G447" s="279"/>
      <c r="H447" s="279"/>
      <c r="I447" s="279"/>
      <c r="J447" s="279"/>
      <c r="K447" s="279"/>
    </row>
    <row r="448" spans="1:11" ht="12.75">
      <c r="A448" s="425"/>
      <c r="B448" s="279"/>
      <c r="C448" s="279"/>
      <c r="D448" s="279"/>
      <c r="E448" s="279"/>
      <c r="F448" s="279"/>
      <c r="G448" s="279"/>
      <c r="H448" s="279"/>
      <c r="I448" s="279"/>
      <c r="J448" s="279"/>
      <c r="K448" s="279"/>
    </row>
    <row r="449" spans="1:11" ht="12.75">
      <c r="A449" s="425"/>
      <c r="B449" s="279"/>
      <c r="C449" s="279"/>
      <c r="D449" s="279"/>
      <c r="E449" s="279"/>
      <c r="F449" s="279"/>
      <c r="G449" s="279"/>
      <c r="H449" s="279"/>
      <c r="I449" s="279"/>
      <c r="J449" s="279"/>
      <c r="K449" s="279"/>
    </row>
    <row r="450" spans="1:11" ht="12.75">
      <c r="A450" s="425"/>
      <c r="B450" s="279"/>
      <c r="C450" s="279"/>
      <c r="D450" s="279"/>
      <c r="E450" s="279"/>
      <c r="F450" s="279"/>
      <c r="G450" s="279"/>
      <c r="H450" s="279"/>
      <c r="I450" s="279"/>
      <c r="J450" s="279"/>
      <c r="K450" s="279"/>
    </row>
    <row r="451" spans="1:11" ht="12.75">
      <c r="A451" s="425"/>
      <c r="B451" s="279"/>
      <c r="C451" s="279"/>
      <c r="D451" s="279"/>
      <c r="E451" s="279"/>
      <c r="F451" s="279"/>
      <c r="G451" s="279"/>
      <c r="H451" s="279"/>
      <c r="I451" s="279"/>
      <c r="J451" s="279"/>
      <c r="K451" s="279"/>
    </row>
    <row r="452" spans="1:11" ht="12.75">
      <c r="A452" s="425"/>
      <c r="B452" s="279"/>
      <c r="C452" s="279"/>
      <c r="D452" s="279"/>
      <c r="E452" s="279"/>
      <c r="F452" s="279"/>
      <c r="G452" s="279"/>
      <c r="H452" s="279"/>
      <c r="I452" s="279"/>
      <c r="J452" s="279"/>
      <c r="K452" s="279"/>
    </row>
    <row r="453" spans="1:11" ht="12.75">
      <c r="A453" s="425"/>
      <c r="B453" s="279"/>
      <c r="C453" s="279"/>
      <c r="D453" s="279"/>
      <c r="E453" s="279"/>
      <c r="F453" s="279"/>
      <c r="G453" s="279"/>
      <c r="H453" s="279"/>
      <c r="I453" s="279"/>
      <c r="J453" s="279"/>
      <c r="K453" s="279"/>
    </row>
    <row r="454" spans="1:11" ht="12.75">
      <c r="A454" s="425"/>
      <c r="B454" s="279"/>
      <c r="C454" s="279"/>
      <c r="D454" s="279"/>
      <c r="E454" s="279"/>
      <c r="F454" s="279"/>
      <c r="G454" s="279"/>
      <c r="H454" s="279"/>
      <c r="I454" s="279"/>
      <c r="J454" s="279"/>
      <c r="K454" s="279"/>
    </row>
    <row r="455" spans="1:11" ht="12.75">
      <c r="A455" s="425"/>
      <c r="B455" s="279"/>
      <c r="C455" s="279"/>
      <c r="D455" s="279"/>
      <c r="E455" s="279"/>
      <c r="F455" s="279"/>
      <c r="G455" s="279"/>
      <c r="H455" s="279"/>
      <c r="I455" s="279"/>
      <c r="J455" s="279"/>
      <c r="K455" s="279"/>
    </row>
    <row r="456" spans="1:11" ht="12.75">
      <c r="A456" s="425"/>
      <c r="B456" s="279"/>
      <c r="C456" s="279"/>
      <c r="D456" s="279"/>
      <c r="E456" s="279"/>
      <c r="F456" s="279"/>
      <c r="G456" s="279"/>
      <c r="H456" s="279"/>
      <c r="I456" s="279"/>
      <c r="J456" s="279"/>
      <c r="K456" s="279"/>
    </row>
    <row r="457" spans="1:11" ht="12.75">
      <c r="A457" s="425"/>
      <c r="B457" s="279"/>
      <c r="C457" s="279"/>
      <c r="D457" s="279"/>
      <c r="E457" s="279"/>
      <c r="F457" s="279"/>
      <c r="G457" s="279"/>
      <c r="H457" s="279"/>
      <c r="I457" s="279"/>
      <c r="J457" s="279"/>
      <c r="K457" s="279"/>
    </row>
    <row r="458" spans="1:11" ht="12.75">
      <c r="A458" s="425"/>
      <c r="B458" s="279"/>
      <c r="C458" s="279"/>
      <c r="D458" s="279"/>
      <c r="E458" s="279"/>
      <c r="F458" s="279"/>
      <c r="G458" s="279"/>
      <c r="H458" s="279"/>
      <c r="I458" s="279"/>
      <c r="J458" s="279"/>
      <c r="K458" s="279"/>
    </row>
    <row r="459" spans="1:11" ht="12.75">
      <c r="A459" s="425"/>
      <c r="B459" s="279"/>
      <c r="C459" s="279"/>
      <c r="D459" s="279"/>
      <c r="E459" s="279"/>
      <c r="F459" s="279"/>
      <c r="G459" s="279"/>
      <c r="H459" s="279"/>
      <c r="I459" s="279"/>
      <c r="J459" s="279"/>
      <c r="K459" s="279"/>
    </row>
    <row r="460" spans="1:11" ht="12.75">
      <c r="A460" s="425"/>
      <c r="B460" s="279"/>
      <c r="C460" s="279"/>
      <c r="D460" s="279"/>
      <c r="E460" s="279"/>
      <c r="F460" s="279"/>
      <c r="G460" s="279"/>
      <c r="H460" s="279"/>
      <c r="I460" s="279"/>
      <c r="J460" s="279"/>
      <c r="K460" s="279"/>
    </row>
    <row r="461" spans="1:11" ht="12.75">
      <c r="A461" s="425"/>
      <c r="B461" s="279"/>
      <c r="C461" s="279"/>
      <c r="D461" s="279"/>
      <c r="E461" s="279"/>
      <c r="F461" s="279"/>
      <c r="G461" s="279"/>
      <c r="H461" s="279"/>
      <c r="I461" s="279"/>
      <c r="J461" s="279"/>
      <c r="K461" s="279"/>
    </row>
    <row r="462" spans="1:11" ht="12.75">
      <c r="A462" s="425"/>
      <c r="B462" s="279"/>
      <c r="C462" s="279"/>
      <c r="D462" s="279"/>
      <c r="E462" s="279"/>
      <c r="F462" s="279"/>
      <c r="G462" s="279"/>
      <c r="H462" s="279"/>
      <c r="I462" s="279"/>
      <c r="J462" s="279"/>
      <c r="K462" s="279"/>
    </row>
    <row r="463" spans="1:11" ht="12.75">
      <c r="A463" s="425"/>
      <c r="B463" s="279"/>
      <c r="C463" s="279"/>
      <c r="D463" s="279"/>
      <c r="E463" s="279"/>
      <c r="F463" s="279"/>
      <c r="G463" s="279"/>
      <c r="H463" s="279"/>
      <c r="I463" s="279"/>
      <c r="J463" s="279"/>
      <c r="K463" s="279"/>
    </row>
    <row r="464" spans="1:11" ht="12.75">
      <c r="A464" s="425"/>
      <c r="B464" s="279"/>
      <c r="C464" s="279"/>
      <c r="D464" s="279"/>
      <c r="E464" s="279"/>
      <c r="F464" s="279"/>
      <c r="G464" s="279"/>
      <c r="H464" s="279"/>
      <c r="I464" s="279"/>
      <c r="J464" s="279"/>
      <c r="K464" s="279"/>
    </row>
    <row r="465" spans="1:11" ht="12.75">
      <c r="A465" s="425"/>
      <c r="B465" s="279"/>
      <c r="C465" s="279"/>
      <c r="D465" s="279"/>
      <c r="E465" s="279"/>
      <c r="F465" s="279"/>
      <c r="G465" s="279"/>
      <c r="H465" s="279"/>
      <c r="I465" s="279"/>
      <c r="J465" s="279"/>
      <c r="K465" s="279"/>
    </row>
    <row r="466" spans="1:11" ht="12.75">
      <c r="A466" s="425"/>
      <c r="B466" s="279"/>
      <c r="C466" s="279"/>
      <c r="D466" s="279"/>
      <c r="E466" s="279"/>
      <c r="F466" s="279"/>
      <c r="G466" s="279"/>
      <c r="H466" s="279"/>
      <c r="I466" s="279"/>
      <c r="J466" s="279"/>
      <c r="K466" s="279"/>
    </row>
    <row r="467" spans="1:11" ht="12.75">
      <c r="A467" s="425"/>
      <c r="B467" s="279"/>
      <c r="C467" s="279"/>
      <c r="D467" s="279"/>
      <c r="E467" s="279"/>
      <c r="F467" s="279"/>
      <c r="G467" s="279"/>
      <c r="H467" s="279"/>
      <c r="I467" s="279"/>
      <c r="J467" s="279"/>
      <c r="K467" s="279"/>
    </row>
    <row r="468" spans="1:11" ht="12.75">
      <c r="A468" s="425"/>
      <c r="B468" s="279"/>
      <c r="C468" s="279"/>
      <c r="D468" s="279"/>
      <c r="E468" s="279"/>
      <c r="F468" s="279"/>
      <c r="G468" s="279"/>
      <c r="H468" s="279"/>
      <c r="I468" s="279"/>
      <c r="J468" s="279"/>
      <c r="K468" s="279"/>
    </row>
    <row r="469" spans="1:11" ht="12.75">
      <c r="A469" s="425"/>
      <c r="B469" s="279"/>
      <c r="C469" s="279"/>
      <c r="D469" s="279"/>
      <c r="E469" s="279"/>
      <c r="F469" s="279"/>
      <c r="G469" s="279"/>
      <c r="H469" s="279"/>
      <c r="I469" s="279"/>
      <c r="J469" s="279"/>
      <c r="K469" s="279"/>
    </row>
    <row r="470" spans="1:11" ht="12.75">
      <c r="A470" s="425"/>
      <c r="B470" s="279"/>
      <c r="C470" s="279"/>
      <c r="D470" s="279"/>
      <c r="E470" s="279"/>
      <c r="F470" s="279"/>
      <c r="G470" s="279"/>
      <c r="H470" s="279"/>
      <c r="I470" s="279"/>
      <c r="J470" s="279"/>
      <c r="K470" s="279"/>
    </row>
    <row r="471" spans="1:11" ht="12.75">
      <c r="A471" s="425"/>
      <c r="B471" s="279"/>
      <c r="C471" s="279"/>
      <c r="D471" s="279"/>
      <c r="E471" s="279"/>
      <c r="F471" s="279"/>
      <c r="G471" s="279"/>
      <c r="H471" s="279"/>
      <c r="I471" s="279"/>
      <c r="J471" s="279"/>
      <c r="K471" s="279"/>
    </row>
    <row r="472" spans="1:11" ht="12.75">
      <c r="A472" s="425"/>
      <c r="B472" s="279"/>
      <c r="C472" s="279"/>
      <c r="D472" s="279"/>
      <c r="E472" s="279"/>
      <c r="F472" s="279"/>
      <c r="G472" s="279"/>
      <c r="H472" s="279"/>
      <c r="I472" s="279"/>
      <c r="J472" s="279"/>
      <c r="K472" s="279"/>
    </row>
    <row r="473" spans="1:11" ht="12.75">
      <c r="A473" s="425"/>
      <c r="B473" s="279"/>
      <c r="C473" s="279"/>
      <c r="D473" s="279"/>
      <c r="E473" s="279"/>
      <c r="F473" s="279"/>
      <c r="G473" s="279"/>
      <c r="H473" s="279"/>
      <c r="I473" s="279"/>
      <c r="J473" s="279"/>
      <c r="K473" s="279"/>
    </row>
    <row r="474" spans="1:11" ht="12.75">
      <c r="A474" s="425"/>
      <c r="B474" s="279"/>
      <c r="C474" s="279"/>
      <c r="D474" s="279"/>
      <c r="E474" s="279"/>
      <c r="F474" s="279"/>
      <c r="G474" s="279"/>
      <c r="H474" s="279"/>
      <c r="I474" s="279"/>
      <c r="J474" s="279"/>
      <c r="K474" s="279"/>
    </row>
    <row r="475" spans="1:11" ht="12.75">
      <c r="A475" s="425"/>
      <c r="B475" s="279"/>
      <c r="C475" s="279"/>
      <c r="D475" s="279"/>
      <c r="E475" s="279"/>
      <c r="F475" s="279"/>
      <c r="G475" s="279"/>
      <c r="H475" s="279"/>
      <c r="I475" s="279"/>
      <c r="J475" s="279"/>
      <c r="K475" s="279"/>
    </row>
    <row r="476" spans="1:11" ht="12.75">
      <c r="A476" s="425"/>
      <c r="B476" s="279"/>
      <c r="C476" s="279"/>
      <c r="D476" s="279"/>
      <c r="E476" s="279"/>
      <c r="F476" s="279"/>
      <c r="G476" s="279"/>
      <c r="H476" s="279"/>
      <c r="I476" s="279"/>
      <c r="J476" s="279"/>
      <c r="K476" s="279"/>
    </row>
    <row r="477" spans="1:11" ht="12.75">
      <c r="A477" s="425"/>
      <c r="B477" s="279"/>
      <c r="C477" s="279"/>
      <c r="D477" s="279"/>
      <c r="E477" s="279"/>
      <c r="F477" s="279"/>
      <c r="G477" s="279"/>
      <c r="H477" s="279"/>
      <c r="I477" s="279"/>
      <c r="J477" s="279"/>
      <c r="K477" s="279"/>
    </row>
    <row r="478" spans="1:11" ht="12.75">
      <c r="A478" s="425"/>
      <c r="B478" s="279"/>
      <c r="C478" s="279"/>
      <c r="D478" s="279"/>
      <c r="E478" s="279"/>
      <c r="F478" s="279"/>
      <c r="G478" s="279"/>
      <c r="H478" s="279"/>
      <c r="I478" s="279"/>
      <c r="J478" s="279"/>
      <c r="K478" s="279"/>
    </row>
    <row r="479" spans="1:11" ht="12.75">
      <c r="A479" s="425"/>
      <c r="B479" s="279"/>
      <c r="C479" s="279"/>
      <c r="D479" s="279"/>
      <c r="E479" s="279"/>
      <c r="F479" s="279"/>
      <c r="G479" s="279"/>
      <c r="H479" s="279"/>
      <c r="I479" s="279"/>
      <c r="J479" s="279"/>
      <c r="K479" s="279"/>
    </row>
    <row r="480" spans="1:11" ht="12.75">
      <c r="A480" s="425"/>
      <c r="B480" s="279"/>
      <c r="C480" s="279"/>
      <c r="D480" s="279"/>
      <c r="E480" s="279"/>
      <c r="F480" s="279"/>
      <c r="G480" s="279"/>
      <c r="H480" s="279"/>
      <c r="I480" s="279"/>
      <c r="J480" s="279"/>
      <c r="K480" s="279"/>
    </row>
    <row r="481" spans="1:11" ht="12.75">
      <c r="A481" s="425"/>
      <c r="B481" s="279"/>
      <c r="C481" s="279"/>
      <c r="D481" s="279"/>
      <c r="E481" s="279"/>
      <c r="F481" s="279"/>
      <c r="G481" s="279"/>
      <c r="H481" s="279"/>
      <c r="I481" s="279"/>
      <c r="J481" s="279"/>
      <c r="K481" s="279"/>
    </row>
    <row r="482" spans="1:11" ht="12.75">
      <c r="A482" s="425"/>
      <c r="B482" s="279"/>
      <c r="C482" s="279"/>
      <c r="D482" s="279"/>
      <c r="E482" s="279"/>
      <c r="F482" s="279"/>
      <c r="G482" s="279"/>
      <c r="H482" s="279"/>
      <c r="I482" s="279"/>
      <c r="J482" s="279"/>
      <c r="K482" s="279"/>
    </row>
    <row r="483" spans="1:11" ht="12.75">
      <c r="A483" s="425"/>
      <c r="B483" s="279"/>
      <c r="C483" s="279"/>
      <c r="D483" s="279"/>
      <c r="E483" s="279"/>
      <c r="F483" s="279"/>
      <c r="G483" s="279"/>
      <c r="H483" s="279"/>
      <c r="I483" s="279"/>
      <c r="J483" s="279"/>
      <c r="K483" s="279"/>
    </row>
    <row r="484" spans="1:11" ht="12.75">
      <c r="A484" s="425"/>
      <c r="B484" s="279"/>
      <c r="C484" s="279"/>
      <c r="D484" s="279"/>
      <c r="E484" s="279"/>
      <c r="F484" s="279"/>
      <c r="G484" s="279"/>
      <c r="H484" s="279"/>
      <c r="I484" s="279"/>
      <c r="J484" s="279"/>
      <c r="K484" s="279"/>
    </row>
    <row r="485" spans="1:11" ht="12.75">
      <c r="A485" s="425"/>
      <c r="B485" s="279"/>
      <c r="C485" s="279"/>
      <c r="D485" s="279"/>
      <c r="E485" s="279"/>
      <c r="F485" s="279"/>
      <c r="G485" s="279"/>
      <c r="H485" s="279"/>
      <c r="I485" s="279"/>
      <c r="J485" s="279"/>
      <c r="K485" s="279"/>
    </row>
    <row r="486" spans="1:11" ht="12.75">
      <c r="A486" s="425"/>
      <c r="B486" s="279"/>
      <c r="C486" s="279"/>
      <c r="D486" s="279"/>
      <c r="E486" s="279"/>
      <c r="F486" s="279"/>
      <c r="G486" s="279"/>
      <c r="H486" s="279"/>
      <c r="I486" s="279"/>
      <c r="J486" s="279"/>
      <c r="K486" s="279"/>
    </row>
    <row r="487" spans="1:11" ht="12.75">
      <c r="A487" s="425"/>
      <c r="B487" s="279"/>
      <c r="C487" s="279"/>
      <c r="D487" s="279"/>
      <c r="E487" s="279"/>
      <c r="F487" s="279"/>
      <c r="G487" s="279"/>
      <c r="H487" s="279"/>
      <c r="I487" s="279"/>
      <c r="J487" s="279"/>
      <c r="K487" s="279"/>
    </row>
    <row r="488" spans="1:11" ht="12.75">
      <c r="A488" s="425"/>
      <c r="B488" s="279"/>
      <c r="C488" s="279"/>
      <c r="D488" s="279"/>
      <c r="E488" s="279"/>
      <c r="F488" s="279"/>
      <c r="G488" s="279"/>
      <c r="H488" s="279"/>
      <c r="I488" s="279"/>
      <c r="J488" s="279"/>
      <c r="K488" s="279"/>
    </row>
    <row r="489" spans="1:11" ht="12.75">
      <c r="A489" s="425"/>
      <c r="B489" s="279"/>
      <c r="C489" s="279"/>
      <c r="D489" s="279"/>
      <c r="E489" s="279"/>
      <c r="F489" s="279"/>
      <c r="G489" s="279"/>
      <c r="H489" s="279"/>
      <c r="I489" s="279"/>
      <c r="J489" s="279"/>
      <c r="K489" s="279"/>
    </row>
    <row r="490" spans="1:11" ht="12.75">
      <c r="A490" s="425"/>
      <c r="B490" s="279"/>
      <c r="C490" s="279"/>
      <c r="D490" s="279"/>
      <c r="E490" s="279"/>
      <c r="F490" s="279"/>
      <c r="G490" s="279"/>
      <c r="H490" s="279"/>
      <c r="I490" s="279"/>
      <c r="J490" s="279"/>
      <c r="K490" s="279"/>
    </row>
    <row r="491" spans="1:11" ht="12.75">
      <c r="A491" s="425"/>
      <c r="B491" s="279"/>
      <c r="C491" s="279"/>
      <c r="D491" s="279"/>
      <c r="E491" s="279"/>
      <c r="F491" s="279"/>
      <c r="G491" s="279"/>
      <c r="H491" s="279"/>
      <c r="I491" s="279"/>
      <c r="J491" s="279"/>
      <c r="K491" s="279"/>
    </row>
    <row r="492" spans="1:11" ht="12.75">
      <c r="A492" s="425"/>
      <c r="B492" s="279"/>
      <c r="C492" s="279"/>
      <c r="D492" s="279"/>
      <c r="E492" s="279"/>
      <c r="F492" s="279"/>
      <c r="G492" s="279"/>
      <c r="H492" s="279"/>
      <c r="I492" s="279"/>
      <c r="J492" s="279"/>
      <c r="K492" s="279"/>
    </row>
    <row r="493" spans="1:11" ht="12.75">
      <c r="A493" s="425"/>
      <c r="B493" s="279"/>
      <c r="C493" s="279"/>
      <c r="D493" s="279"/>
      <c r="E493" s="279"/>
      <c r="F493" s="279"/>
      <c r="G493" s="279"/>
      <c r="H493" s="279"/>
      <c r="I493" s="279"/>
      <c r="J493" s="279"/>
      <c r="K493" s="279"/>
    </row>
    <row r="494" spans="1:11" ht="12.75">
      <c r="A494" s="425"/>
      <c r="B494" s="279"/>
      <c r="C494" s="279"/>
      <c r="D494" s="279"/>
      <c r="E494" s="279"/>
      <c r="F494" s="279"/>
      <c r="G494" s="279"/>
      <c r="H494" s="279"/>
      <c r="I494" s="279"/>
      <c r="J494" s="279"/>
      <c r="K494" s="279"/>
    </row>
    <row r="495" spans="1:11" ht="12.75">
      <c r="A495" s="425"/>
      <c r="B495" s="279"/>
      <c r="C495" s="279"/>
      <c r="D495" s="279"/>
      <c r="E495" s="279"/>
      <c r="F495" s="279"/>
      <c r="G495" s="279"/>
      <c r="H495" s="279"/>
      <c r="I495" s="279"/>
      <c r="J495" s="279"/>
      <c r="K495" s="279"/>
    </row>
    <row r="496" spans="1:11" ht="12.75">
      <c r="A496" s="425"/>
      <c r="B496" s="279"/>
      <c r="C496" s="279"/>
      <c r="D496" s="279"/>
      <c r="E496" s="279"/>
      <c r="F496" s="279"/>
      <c r="G496" s="279"/>
      <c r="H496" s="279"/>
      <c r="I496" s="279"/>
      <c r="J496" s="279"/>
      <c r="K496" s="279"/>
    </row>
    <row r="497" spans="1:11" ht="12.75">
      <c r="A497" s="425"/>
      <c r="B497" s="279"/>
      <c r="C497" s="279"/>
      <c r="D497" s="279"/>
      <c r="E497" s="279"/>
      <c r="F497" s="279"/>
      <c r="G497" s="279"/>
      <c r="H497" s="279"/>
      <c r="I497" s="279"/>
      <c r="J497" s="279"/>
      <c r="K497" s="279"/>
    </row>
    <row r="498" spans="1:11" ht="12.75">
      <c r="A498" s="425"/>
      <c r="B498" s="279"/>
      <c r="C498" s="279"/>
      <c r="D498" s="279"/>
      <c r="E498" s="279"/>
      <c r="F498" s="279"/>
      <c r="G498" s="279"/>
      <c r="H498" s="279"/>
      <c r="I498" s="279"/>
      <c r="J498" s="279"/>
      <c r="K498" s="279"/>
    </row>
    <row r="499" spans="1:11" ht="12.75">
      <c r="A499" s="425"/>
      <c r="B499" s="279"/>
      <c r="C499" s="279"/>
      <c r="D499" s="279"/>
      <c r="E499" s="279"/>
      <c r="F499" s="279"/>
      <c r="G499" s="279"/>
      <c r="H499" s="279"/>
      <c r="I499" s="279"/>
      <c r="J499" s="279"/>
      <c r="K499" s="279"/>
    </row>
    <row r="500" spans="1:11" ht="12.75">
      <c r="A500" s="425"/>
      <c r="B500" s="279"/>
      <c r="C500" s="279"/>
      <c r="D500" s="279"/>
      <c r="E500" s="279"/>
      <c r="F500" s="279"/>
      <c r="G500" s="279"/>
      <c r="H500" s="279"/>
      <c r="I500" s="279"/>
      <c r="J500" s="279"/>
      <c r="K500" s="279"/>
    </row>
    <row r="501" spans="1:11" ht="12.75">
      <c r="A501" s="425"/>
      <c r="B501" s="279"/>
      <c r="C501" s="279"/>
      <c r="D501" s="279"/>
      <c r="E501" s="279"/>
      <c r="F501" s="279"/>
      <c r="G501" s="279"/>
      <c r="H501" s="279"/>
      <c r="I501" s="279"/>
      <c r="J501" s="279"/>
      <c r="K501" s="279"/>
    </row>
    <row r="502" spans="1:11" ht="12.75">
      <c r="A502" s="425"/>
      <c r="B502" s="279"/>
      <c r="C502" s="279"/>
      <c r="D502" s="279"/>
      <c r="E502" s="279"/>
      <c r="F502" s="279"/>
      <c r="G502" s="279"/>
      <c r="H502" s="279"/>
      <c r="I502" s="279"/>
      <c r="J502" s="279"/>
      <c r="K502" s="279"/>
    </row>
    <row r="503" spans="1:11" ht="12.75">
      <c r="A503" s="425"/>
      <c r="B503" s="279"/>
      <c r="C503" s="279"/>
      <c r="D503" s="279"/>
      <c r="E503" s="279"/>
      <c r="F503" s="279"/>
      <c r="G503" s="279"/>
      <c r="H503" s="279"/>
      <c r="I503" s="279"/>
      <c r="J503" s="279"/>
      <c r="K503" s="279"/>
    </row>
    <row r="504" spans="1:11" ht="12.75">
      <c r="A504" s="425"/>
      <c r="B504" s="279"/>
      <c r="C504" s="279"/>
      <c r="D504" s="279"/>
      <c r="E504" s="279"/>
      <c r="F504" s="279"/>
      <c r="G504" s="279"/>
      <c r="H504" s="279"/>
      <c r="I504" s="279"/>
      <c r="J504" s="279"/>
      <c r="K504" s="279"/>
    </row>
    <row r="505" spans="1:11" ht="12.75">
      <c r="A505" s="425"/>
      <c r="B505" s="279"/>
      <c r="C505" s="279"/>
      <c r="D505" s="279"/>
      <c r="E505" s="279"/>
      <c r="F505" s="279"/>
      <c r="G505" s="279"/>
      <c r="H505" s="279"/>
      <c r="I505" s="279"/>
      <c r="J505" s="279"/>
      <c r="K505" s="279"/>
    </row>
    <row r="506" spans="1:11" ht="12.75">
      <c r="A506" s="425"/>
      <c r="B506" s="279"/>
      <c r="C506" s="279"/>
      <c r="D506" s="279"/>
      <c r="E506" s="279"/>
      <c r="F506" s="279"/>
      <c r="G506" s="279"/>
      <c r="H506" s="279"/>
      <c r="I506" s="279"/>
      <c r="J506" s="279"/>
      <c r="K506" s="279"/>
    </row>
    <row r="507" spans="1:11" ht="12.75">
      <c r="A507" s="425"/>
      <c r="B507" s="279"/>
      <c r="C507" s="279"/>
      <c r="D507" s="279"/>
      <c r="E507" s="279"/>
      <c r="F507" s="279"/>
      <c r="G507" s="279"/>
      <c r="H507" s="279"/>
      <c r="I507" s="279"/>
      <c r="J507" s="279"/>
      <c r="K507" s="279"/>
    </row>
    <row r="508" spans="1:11" ht="12.75">
      <c r="A508" s="425"/>
      <c r="B508" s="279"/>
      <c r="C508" s="279"/>
      <c r="D508" s="279"/>
      <c r="E508" s="279"/>
      <c r="F508" s="279"/>
      <c r="G508" s="279"/>
      <c r="H508" s="279"/>
      <c r="I508" s="279"/>
      <c r="J508" s="279"/>
      <c r="K508" s="279"/>
    </row>
    <row r="509" spans="1:11" ht="12.75">
      <c r="A509" s="425"/>
      <c r="B509" s="279"/>
      <c r="C509" s="279"/>
      <c r="D509" s="279"/>
      <c r="E509" s="279"/>
      <c r="F509" s="279"/>
      <c r="G509" s="279"/>
      <c r="H509" s="279"/>
      <c r="I509" s="279"/>
      <c r="J509" s="279"/>
      <c r="K509" s="279"/>
    </row>
    <row r="510" spans="1:11" ht="12.75">
      <c r="A510" s="425"/>
      <c r="B510" s="279"/>
      <c r="C510" s="279"/>
      <c r="D510" s="279"/>
      <c r="E510" s="279"/>
      <c r="F510" s="279"/>
      <c r="G510" s="279"/>
      <c r="H510" s="279"/>
      <c r="I510" s="279"/>
      <c r="J510" s="279"/>
      <c r="K510" s="279"/>
    </row>
    <row r="511" spans="1:11" ht="12.75">
      <c r="A511" s="425"/>
      <c r="B511" s="279"/>
      <c r="C511" s="279"/>
      <c r="D511" s="279"/>
      <c r="E511" s="279"/>
      <c r="F511" s="279"/>
      <c r="G511" s="279"/>
      <c r="H511" s="279"/>
      <c r="I511" s="279"/>
      <c r="J511" s="279"/>
      <c r="K511" s="279"/>
    </row>
    <row r="512" spans="1:11" ht="12.75">
      <c r="A512" s="425"/>
      <c r="B512" s="279"/>
      <c r="C512" s="279"/>
      <c r="D512" s="279"/>
      <c r="E512" s="279"/>
      <c r="F512" s="279"/>
      <c r="G512" s="279"/>
      <c r="H512" s="279"/>
      <c r="I512" s="279"/>
      <c r="J512" s="279"/>
      <c r="K512" s="279"/>
    </row>
    <row r="513" spans="1:11" ht="12.75">
      <c r="A513" s="425"/>
      <c r="B513" s="279"/>
      <c r="C513" s="279"/>
      <c r="D513" s="279"/>
      <c r="E513" s="279"/>
      <c r="F513" s="279"/>
      <c r="G513" s="279"/>
      <c r="H513" s="279"/>
      <c r="I513" s="279"/>
      <c r="J513" s="279"/>
      <c r="K513" s="279"/>
    </row>
    <row r="514" spans="1:11" ht="12.75">
      <c r="A514" s="425"/>
      <c r="B514" s="279"/>
      <c r="C514" s="279"/>
      <c r="D514" s="279"/>
      <c r="E514" s="279"/>
      <c r="F514" s="279"/>
      <c r="G514" s="279"/>
      <c r="H514" s="279"/>
      <c r="I514" s="279"/>
      <c r="J514" s="279"/>
      <c r="K514" s="279"/>
    </row>
    <row r="515" spans="1:11" ht="12.75">
      <c r="A515" s="425"/>
      <c r="B515" s="279"/>
      <c r="C515" s="279"/>
      <c r="D515" s="279"/>
      <c r="E515" s="279"/>
      <c r="F515" s="279"/>
      <c r="G515" s="279"/>
      <c r="H515" s="279"/>
      <c r="I515" s="279"/>
      <c r="J515" s="279"/>
      <c r="K515" s="279"/>
    </row>
    <row r="516" spans="1:11" ht="12.75">
      <c r="A516" s="425"/>
      <c r="B516" s="279"/>
      <c r="C516" s="279"/>
      <c r="D516" s="279"/>
      <c r="E516" s="279"/>
      <c r="F516" s="279"/>
      <c r="G516" s="279"/>
      <c r="H516" s="279"/>
      <c r="I516" s="279"/>
      <c r="J516" s="279"/>
      <c r="K516" s="279"/>
    </row>
    <row r="517" spans="1:11" ht="12.75">
      <c r="A517" s="425"/>
      <c r="B517" s="279"/>
      <c r="C517" s="279"/>
      <c r="D517" s="279"/>
      <c r="E517" s="279"/>
      <c r="F517" s="279"/>
      <c r="G517" s="279"/>
      <c r="H517" s="279"/>
      <c r="I517" s="279"/>
      <c r="J517" s="279"/>
      <c r="K517" s="279"/>
    </row>
    <row r="518" spans="1:11" ht="12.75">
      <c r="A518" s="425"/>
      <c r="B518" s="279"/>
      <c r="C518" s="279"/>
      <c r="D518" s="279"/>
      <c r="E518" s="279"/>
      <c r="F518" s="279"/>
      <c r="G518" s="279"/>
      <c r="H518" s="279"/>
      <c r="I518" s="279"/>
      <c r="J518" s="279"/>
      <c r="K518" s="279"/>
    </row>
    <row r="519" spans="1:11" ht="12.75">
      <c r="A519" s="425"/>
      <c r="B519" s="279"/>
      <c r="C519" s="279"/>
      <c r="D519" s="279"/>
      <c r="E519" s="279"/>
      <c r="F519" s="279"/>
      <c r="G519" s="279"/>
      <c r="H519" s="279"/>
      <c r="I519" s="279"/>
      <c r="J519" s="279"/>
      <c r="K519" s="279"/>
    </row>
    <row r="520" spans="1:11" ht="12.75">
      <c r="A520" s="425"/>
      <c r="B520" s="279"/>
      <c r="C520" s="279"/>
      <c r="D520" s="279"/>
      <c r="E520" s="279"/>
      <c r="F520" s="279"/>
      <c r="G520" s="279"/>
      <c r="H520" s="279"/>
      <c r="I520" s="279"/>
      <c r="J520" s="279"/>
      <c r="K520" s="279"/>
    </row>
    <row r="521" spans="1:11" ht="12.75">
      <c r="A521" s="425"/>
      <c r="B521" s="279"/>
      <c r="C521" s="279"/>
      <c r="D521" s="279"/>
      <c r="E521" s="279"/>
      <c r="F521" s="279"/>
      <c r="G521" s="279"/>
      <c r="H521" s="279"/>
      <c r="I521" s="279"/>
      <c r="J521" s="279"/>
      <c r="K521" s="279"/>
    </row>
    <row r="522" spans="1:11" ht="12.75">
      <c r="A522" s="425"/>
      <c r="B522" s="279"/>
      <c r="C522" s="279"/>
      <c r="D522" s="279"/>
      <c r="E522" s="279"/>
      <c r="F522" s="279"/>
      <c r="G522" s="279"/>
      <c r="H522" s="279"/>
      <c r="I522" s="279"/>
      <c r="J522" s="279"/>
      <c r="K522" s="279"/>
    </row>
    <row r="523" spans="1:11" ht="12.75">
      <c r="A523" s="425"/>
      <c r="B523" s="279"/>
      <c r="C523" s="279"/>
      <c r="D523" s="279"/>
      <c r="E523" s="279"/>
      <c r="F523" s="279"/>
      <c r="G523" s="279"/>
      <c r="H523" s="279"/>
      <c r="I523" s="279"/>
      <c r="J523" s="279"/>
      <c r="K523" s="279"/>
    </row>
    <row r="524" spans="1:11" ht="12.75">
      <c r="A524" s="425"/>
      <c r="B524" s="279"/>
      <c r="C524" s="279"/>
      <c r="D524" s="279"/>
      <c r="E524" s="279"/>
      <c r="F524" s="279"/>
      <c r="G524" s="279"/>
      <c r="H524" s="279"/>
      <c r="I524" s="279"/>
      <c r="J524" s="279"/>
      <c r="K524" s="279"/>
    </row>
    <row r="525" spans="1:11" ht="12.75">
      <c r="A525" s="425"/>
      <c r="B525" s="279"/>
      <c r="C525" s="279"/>
      <c r="D525" s="279"/>
      <c r="E525" s="279"/>
      <c r="F525" s="279"/>
      <c r="G525" s="279"/>
      <c r="H525" s="279"/>
      <c r="I525" s="279"/>
      <c r="J525" s="279"/>
      <c r="K525" s="279"/>
    </row>
    <row r="526" spans="1:11" ht="12.75">
      <c r="A526" s="425"/>
      <c r="B526" s="279"/>
      <c r="C526" s="279"/>
      <c r="D526" s="279"/>
      <c r="E526" s="279"/>
      <c r="F526" s="279"/>
      <c r="G526" s="279"/>
      <c r="H526" s="279"/>
      <c r="I526" s="279"/>
      <c r="J526" s="279"/>
      <c r="K526" s="279"/>
    </row>
    <row r="527" spans="1:11" ht="12.75">
      <c r="A527" s="425"/>
      <c r="B527" s="279"/>
      <c r="C527" s="279"/>
      <c r="D527" s="279"/>
      <c r="E527" s="279"/>
      <c r="F527" s="279"/>
      <c r="G527" s="279"/>
      <c r="H527" s="279"/>
      <c r="I527" s="279"/>
      <c r="J527" s="279"/>
      <c r="K527" s="279"/>
    </row>
    <row r="528" spans="1:11" ht="12.75">
      <c r="A528" s="425"/>
      <c r="B528" s="279"/>
      <c r="C528" s="279"/>
      <c r="D528" s="279"/>
      <c r="E528" s="279"/>
      <c r="F528" s="279"/>
      <c r="G528" s="279"/>
      <c r="H528" s="279"/>
      <c r="I528" s="279"/>
      <c r="J528" s="279"/>
      <c r="K528" s="279"/>
    </row>
    <row r="529" spans="1:11" ht="12.75">
      <c r="A529" s="425"/>
      <c r="B529" s="279"/>
      <c r="C529" s="279"/>
      <c r="D529" s="279"/>
      <c r="E529" s="279"/>
      <c r="F529" s="279"/>
      <c r="G529" s="279"/>
      <c r="H529" s="279"/>
      <c r="I529" s="279"/>
      <c r="J529" s="279"/>
      <c r="K529" s="279"/>
    </row>
    <row r="530" spans="1:11" ht="12.75">
      <c r="A530" s="425"/>
      <c r="B530" s="279"/>
      <c r="C530" s="279"/>
      <c r="D530" s="279"/>
      <c r="E530" s="279"/>
      <c r="F530" s="279"/>
      <c r="G530" s="279"/>
      <c r="H530" s="279"/>
      <c r="I530" s="279"/>
      <c r="J530" s="279"/>
      <c r="K530" s="279"/>
    </row>
    <row r="531" spans="1:11" ht="12.75">
      <c r="A531" s="425"/>
      <c r="B531" s="279"/>
      <c r="C531" s="279"/>
      <c r="D531" s="279"/>
      <c r="E531" s="279"/>
      <c r="F531" s="279"/>
      <c r="G531" s="279"/>
      <c r="H531" s="279"/>
      <c r="I531" s="279"/>
      <c r="J531" s="279"/>
      <c r="K531" s="279"/>
    </row>
    <row r="532" spans="1:11" ht="12.75">
      <c r="A532" s="425"/>
      <c r="B532" s="279"/>
      <c r="C532" s="279"/>
      <c r="D532" s="279"/>
      <c r="E532" s="279"/>
      <c r="F532" s="279"/>
      <c r="G532" s="279"/>
      <c r="H532" s="279"/>
      <c r="I532" s="279"/>
      <c r="J532" s="279"/>
      <c r="K532" s="279"/>
    </row>
    <row r="533" spans="1:11" ht="12.75">
      <c r="A533" s="425"/>
      <c r="B533" s="279"/>
      <c r="C533" s="279"/>
      <c r="D533" s="279"/>
      <c r="E533" s="279"/>
      <c r="F533" s="279"/>
      <c r="G533" s="279"/>
      <c r="H533" s="279"/>
      <c r="I533" s="279"/>
      <c r="J533" s="279"/>
      <c r="K533" s="279"/>
    </row>
    <row r="534" spans="1:11" ht="12.75">
      <c r="A534" s="425"/>
      <c r="B534" s="279"/>
      <c r="C534" s="279"/>
      <c r="D534" s="279"/>
      <c r="E534" s="279"/>
      <c r="F534" s="279"/>
      <c r="G534" s="279"/>
      <c r="H534" s="279"/>
      <c r="I534" s="279"/>
      <c r="J534" s="279"/>
      <c r="K534" s="279"/>
    </row>
    <row r="535" spans="1:11" ht="12.75">
      <c r="A535" s="425"/>
      <c r="B535" s="279"/>
      <c r="C535" s="279"/>
      <c r="D535" s="279"/>
      <c r="E535" s="279"/>
      <c r="F535" s="279"/>
      <c r="G535" s="279"/>
      <c r="H535" s="279"/>
      <c r="I535" s="279"/>
      <c r="J535" s="279"/>
      <c r="K535" s="279"/>
    </row>
    <row r="536" spans="1:11" ht="12.75">
      <c r="A536" s="425"/>
      <c r="B536" s="279"/>
      <c r="C536" s="279"/>
      <c r="D536" s="279"/>
      <c r="E536" s="279"/>
      <c r="F536" s="279"/>
      <c r="G536" s="279"/>
      <c r="H536" s="279"/>
      <c r="I536" s="279"/>
      <c r="J536" s="279"/>
      <c r="K536" s="279"/>
    </row>
    <row r="537" spans="1:11" ht="12.75">
      <c r="A537" s="425"/>
      <c r="B537" s="279"/>
      <c r="C537" s="279"/>
      <c r="D537" s="279"/>
      <c r="E537" s="279"/>
      <c r="F537" s="279"/>
      <c r="G537" s="279"/>
      <c r="H537" s="279"/>
      <c r="I537" s="279"/>
      <c r="J537" s="279"/>
      <c r="K537" s="279"/>
    </row>
    <row r="538" spans="1:11" ht="12.75">
      <c r="A538" s="425"/>
      <c r="B538" s="279"/>
      <c r="C538" s="279"/>
      <c r="D538" s="279"/>
      <c r="E538" s="279"/>
      <c r="F538" s="279"/>
      <c r="G538" s="279"/>
      <c r="H538" s="279"/>
      <c r="I538" s="279"/>
      <c r="J538" s="279"/>
      <c r="K538" s="279"/>
    </row>
    <row r="539" spans="1:11" ht="12.75">
      <c r="A539" s="425"/>
      <c r="B539" s="279"/>
      <c r="C539" s="279"/>
      <c r="D539" s="279"/>
      <c r="E539" s="279"/>
      <c r="F539" s="279"/>
      <c r="G539" s="279"/>
      <c r="H539" s="279"/>
      <c r="I539" s="279"/>
      <c r="J539" s="279"/>
      <c r="K539" s="279"/>
    </row>
    <row r="540" spans="1:11" ht="12.75">
      <c r="A540" s="425"/>
      <c r="B540" s="279"/>
      <c r="C540" s="279"/>
      <c r="D540" s="279"/>
      <c r="E540" s="279"/>
      <c r="F540" s="279"/>
      <c r="G540" s="279"/>
      <c r="H540" s="279"/>
      <c r="I540" s="279"/>
      <c r="J540" s="279"/>
      <c r="K540" s="279"/>
    </row>
    <row r="541" spans="1:11" ht="12.75">
      <c r="A541" s="425"/>
      <c r="B541" s="279"/>
      <c r="C541" s="279"/>
      <c r="D541" s="279"/>
      <c r="E541" s="279"/>
      <c r="F541" s="279"/>
      <c r="G541" s="279"/>
      <c r="H541" s="279"/>
      <c r="I541" s="279"/>
      <c r="J541" s="279"/>
      <c r="K541" s="279"/>
    </row>
    <row r="542" spans="1:11" ht="12.75">
      <c r="A542" s="425"/>
      <c r="B542" s="279"/>
      <c r="C542" s="279"/>
      <c r="D542" s="279"/>
      <c r="E542" s="279"/>
      <c r="F542" s="279"/>
      <c r="G542" s="279"/>
      <c r="H542" s="279"/>
      <c r="I542" s="279"/>
      <c r="J542" s="279"/>
      <c r="K542" s="279"/>
    </row>
    <row r="543" spans="1:11" ht="12.75">
      <c r="A543" s="425"/>
      <c r="B543" s="279"/>
      <c r="C543" s="279"/>
      <c r="D543" s="279"/>
      <c r="E543" s="279"/>
      <c r="F543" s="279"/>
      <c r="G543" s="279"/>
      <c r="H543" s="279"/>
      <c r="I543" s="279"/>
      <c r="J543" s="279"/>
      <c r="K543" s="279"/>
    </row>
    <row r="544" spans="1:11" ht="12.75">
      <c r="A544" s="425"/>
      <c r="B544" s="279"/>
      <c r="C544" s="279"/>
      <c r="D544" s="279"/>
      <c r="E544" s="279"/>
      <c r="F544" s="279"/>
      <c r="G544" s="279"/>
      <c r="H544" s="279"/>
      <c r="I544" s="279"/>
      <c r="J544" s="279"/>
      <c r="K544" s="279"/>
    </row>
    <row r="545" spans="1:11" ht="12.75">
      <c r="A545" s="425"/>
      <c r="B545" s="279"/>
      <c r="C545" s="279"/>
      <c r="D545" s="279"/>
      <c r="E545" s="279"/>
      <c r="F545" s="279"/>
      <c r="G545" s="279"/>
      <c r="H545" s="279"/>
      <c r="I545" s="279"/>
      <c r="J545" s="279"/>
      <c r="K545" s="279"/>
    </row>
    <row r="546" spans="1:11" ht="12.75">
      <c r="A546" s="425"/>
      <c r="B546" s="279"/>
      <c r="C546" s="279"/>
      <c r="D546" s="279"/>
      <c r="E546" s="279"/>
      <c r="F546" s="279"/>
      <c r="G546" s="279"/>
      <c r="H546" s="279"/>
      <c r="I546" s="279"/>
      <c r="J546" s="279"/>
      <c r="K546" s="279"/>
    </row>
    <row r="547" spans="1:11" ht="12.75">
      <c r="A547" s="425"/>
      <c r="B547" s="279"/>
      <c r="C547" s="279"/>
      <c r="D547" s="279"/>
      <c r="E547" s="279"/>
      <c r="F547" s="279"/>
      <c r="G547" s="279"/>
      <c r="H547" s="279"/>
      <c r="I547" s="279"/>
      <c r="J547" s="279"/>
      <c r="K547" s="279"/>
    </row>
    <row r="548" spans="1:11" ht="12.75">
      <c r="A548" s="425"/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</row>
    <row r="549" spans="1:11" ht="12.75">
      <c r="A549" s="425"/>
      <c r="B549" s="279"/>
      <c r="C549" s="279"/>
      <c r="D549" s="279"/>
      <c r="E549" s="279"/>
      <c r="F549" s="279"/>
      <c r="G549" s="279"/>
      <c r="H549" s="279"/>
      <c r="I549" s="279"/>
      <c r="J549" s="279"/>
      <c r="K549" s="279"/>
    </row>
    <row r="550" spans="1:11" ht="12.75">
      <c r="A550" s="425"/>
      <c r="B550" s="279"/>
      <c r="C550" s="279"/>
      <c r="D550" s="279"/>
      <c r="E550" s="279"/>
      <c r="F550" s="279"/>
      <c r="G550" s="279"/>
      <c r="H550" s="279"/>
      <c r="I550" s="279"/>
      <c r="J550" s="279"/>
      <c r="K550" s="279"/>
    </row>
    <row r="551" spans="1:11" ht="12.75">
      <c r="A551" s="425"/>
      <c r="B551" s="279"/>
      <c r="C551" s="279"/>
      <c r="D551" s="279"/>
      <c r="E551" s="279"/>
      <c r="F551" s="279"/>
      <c r="G551" s="279"/>
      <c r="H551" s="279"/>
      <c r="I551" s="279"/>
      <c r="J551" s="279"/>
      <c r="K551" s="279"/>
    </row>
    <row r="552" spans="1:11" ht="12.75">
      <c r="A552" s="425"/>
      <c r="B552" s="279"/>
      <c r="C552" s="279"/>
      <c r="D552" s="279"/>
      <c r="E552" s="279"/>
      <c r="F552" s="279"/>
      <c r="G552" s="279"/>
      <c r="H552" s="279"/>
      <c r="I552" s="279"/>
      <c r="J552" s="279"/>
      <c r="K552" s="279"/>
    </row>
    <row r="553" spans="1:11" ht="12.75">
      <c r="A553" s="425"/>
      <c r="B553" s="279"/>
      <c r="C553" s="279"/>
      <c r="D553" s="279"/>
      <c r="E553" s="279"/>
      <c r="F553" s="279"/>
      <c r="G553" s="279"/>
      <c r="H553" s="279"/>
      <c r="I553" s="279"/>
      <c r="J553" s="279"/>
      <c r="K553" s="279"/>
    </row>
    <row r="554" spans="1:11" ht="12.75">
      <c r="A554" s="425"/>
      <c r="B554" s="279"/>
      <c r="C554" s="279"/>
      <c r="D554" s="279"/>
      <c r="E554" s="279"/>
      <c r="F554" s="279"/>
      <c r="G554" s="279"/>
      <c r="H554" s="279"/>
      <c r="I554" s="279"/>
      <c r="J554" s="279"/>
      <c r="K554" s="279"/>
    </row>
    <row r="555" spans="1:11" ht="12.75">
      <c r="A555" s="425"/>
      <c r="B555" s="279"/>
      <c r="C555" s="279"/>
      <c r="D555" s="279"/>
      <c r="E555" s="279"/>
      <c r="F555" s="279"/>
      <c r="G555" s="279"/>
      <c r="H555" s="279"/>
      <c r="I555" s="279"/>
      <c r="J555" s="279"/>
      <c r="K555" s="279"/>
    </row>
    <row r="556" spans="1:11" ht="12.75">
      <c r="A556" s="425"/>
      <c r="B556" s="279"/>
      <c r="C556" s="279"/>
      <c r="D556" s="279"/>
      <c r="E556" s="279"/>
      <c r="F556" s="279"/>
      <c r="G556" s="279"/>
      <c r="H556" s="279"/>
      <c r="I556" s="279"/>
      <c r="J556" s="279"/>
      <c r="K556" s="279"/>
    </row>
    <row r="557" spans="1:11" ht="12.75">
      <c r="A557" s="425"/>
      <c r="B557" s="279"/>
      <c r="C557" s="279"/>
      <c r="D557" s="279"/>
      <c r="E557" s="279"/>
      <c r="F557" s="279"/>
      <c r="G557" s="279"/>
      <c r="H557" s="279"/>
      <c r="I557" s="279"/>
      <c r="J557" s="279"/>
      <c r="K557" s="279"/>
    </row>
    <row r="558" spans="1:11" ht="12.75">
      <c r="A558" s="425"/>
      <c r="B558" s="279"/>
      <c r="C558" s="279"/>
      <c r="D558" s="279"/>
      <c r="E558" s="279"/>
      <c r="F558" s="279"/>
      <c r="G558" s="279"/>
      <c r="H558" s="279"/>
      <c r="I558" s="279"/>
      <c r="J558" s="279"/>
      <c r="K558" s="279"/>
    </row>
    <row r="559" spans="1:11" ht="12.75">
      <c r="A559" s="425"/>
      <c r="B559" s="279"/>
      <c r="C559" s="279"/>
      <c r="D559" s="279"/>
      <c r="E559" s="279"/>
      <c r="F559" s="279"/>
      <c r="G559" s="279"/>
      <c r="H559" s="279"/>
      <c r="I559" s="279"/>
      <c r="J559" s="279"/>
      <c r="K559" s="279"/>
    </row>
    <row r="560" spans="1:11" ht="12.75">
      <c r="A560" s="425"/>
      <c r="B560" s="279"/>
      <c r="C560" s="279"/>
      <c r="D560" s="279"/>
      <c r="E560" s="279"/>
      <c r="F560" s="279"/>
      <c r="G560" s="279"/>
      <c r="H560" s="279"/>
      <c r="I560" s="279"/>
      <c r="J560" s="279"/>
      <c r="K560" s="279"/>
    </row>
    <row r="561" spans="1:11" ht="12.75">
      <c r="A561" s="425"/>
      <c r="B561" s="279"/>
      <c r="C561" s="279"/>
      <c r="D561" s="279"/>
      <c r="E561" s="279"/>
      <c r="F561" s="279"/>
      <c r="G561" s="279"/>
      <c r="H561" s="279"/>
      <c r="I561" s="279"/>
      <c r="J561" s="279"/>
      <c r="K561" s="279"/>
    </row>
    <row r="562" spans="1:11" ht="12.75">
      <c r="A562" s="425"/>
      <c r="B562" s="279"/>
      <c r="C562" s="279"/>
      <c r="D562" s="279"/>
      <c r="E562" s="279"/>
      <c r="F562" s="279"/>
      <c r="G562" s="279"/>
      <c r="H562" s="279"/>
      <c r="I562" s="279"/>
      <c r="J562" s="279"/>
      <c r="K562" s="279"/>
    </row>
    <row r="563" spans="1:11" ht="12.75">
      <c r="A563" s="425"/>
      <c r="B563" s="279"/>
      <c r="C563" s="279"/>
      <c r="D563" s="279"/>
      <c r="E563" s="279"/>
      <c r="F563" s="279"/>
      <c r="G563" s="279"/>
      <c r="H563" s="279"/>
      <c r="I563" s="279"/>
      <c r="J563" s="279"/>
      <c r="K563" s="279"/>
    </row>
    <row r="564" spans="1:11" ht="12.75">
      <c r="A564" s="425"/>
      <c r="B564" s="279"/>
      <c r="C564" s="279"/>
      <c r="D564" s="279"/>
      <c r="E564" s="279"/>
      <c r="F564" s="279"/>
      <c r="G564" s="279"/>
      <c r="H564" s="279"/>
      <c r="I564" s="279"/>
      <c r="J564" s="279"/>
      <c r="K564" s="279"/>
    </row>
    <row r="565" spans="1:11" ht="12.75">
      <c r="A565" s="425"/>
      <c r="B565" s="279"/>
      <c r="C565" s="279"/>
      <c r="D565" s="279"/>
      <c r="E565" s="279"/>
      <c r="F565" s="279"/>
      <c r="G565" s="279"/>
      <c r="H565" s="279"/>
      <c r="I565" s="279"/>
      <c r="J565" s="279"/>
      <c r="K565" s="279"/>
    </row>
    <row r="566" spans="1:11" ht="12.75">
      <c r="A566" s="425"/>
      <c r="B566" s="279"/>
      <c r="C566" s="279"/>
      <c r="D566" s="279"/>
      <c r="E566" s="279"/>
      <c r="F566" s="279"/>
      <c r="G566" s="279"/>
      <c r="H566" s="279"/>
      <c r="I566" s="279"/>
      <c r="J566" s="279"/>
      <c r="K566" s="279"/>
    </row>
    <row r="567" spans="1:11" ht="12.75">
      <c r="A567" s="425"/>
      <c r="B567" s="279"/>
      <c r="C567" s="279"/>
      <c r="D567" s="279"/>
      <c r="E567" s="279"/>
      <c r="F567" s="279"/>
      <c r="G567" s="279"/>
      <c r="H567" s="279"/>
      <c r="I567" s="279"/>
      <c r="J567" s="279"/>
      <c r="K567" s="279"/>
    </row>
    <row r="568" spans="1:11" ht="12.75">
      <c r="A568" s="425"/>
      <c r="B568" s="279"/>
      <c r="C568" s="279"/>
      <c r="D568" s="279"/>
      <c r="E568" s="279"/>
      <c r="F568" s="279"/>
      <c r="G568" s="279"/>
      <c r="H568" s="279"/>
      <c r="I568" s="279"/>
      <c r="J568" s="279"/>
      <c r="K568" s="279"/>
    </row>
    <row r="569" spans="1:11" ht="12.75">
      <c r="A569" s="425"/>
      <c r="B569" s="279"/>
      <c r="C569" s="279"/>
      <c r="D569" s="279"/>
      <c r="E569" s="279"/>
      <c r="F569" s="279"/>
      <c r="G569" s="279"/>
      <c r="H569" s="279"/>
      <c r="I569" s="279"/>
      <c r="J569" s="279"/>
      <c r="K569" s="279"/>
    </row>
    <row r="570" spans="1:11" ht="12.75">
      <c r="A570" s="425"/>
      <c r="B570" s="279"/>
      <c r="C570" s="279"/>
      <c r="D570" s="279"/>
      <c r="E570" s="279"/>
      <c r="F570" s="279"/>
      <c r="G570" s="279"/>
      <c r="H570" s="279"/>
      <c r="I570" s="279"/>
      <c r="J570" s="279"/>
      <c r="K570" s="279"/>
    </row>
    <row r="571" spans="1:11" ht="12.75">
      <c r="A571" s="425"/>
      <c r="B571" s="279"/>
      <c r="C571" s="279"/>
      <c r="D571" s="279"/>
      <c r="E571" s="279"/>
      <c r="F571" s="279"/>
      <c r="G571" s="279"/>
      <c r="H571" s="279"/>
      <c r="I571" s="279"/>
      <c r="J571" s="279"/>
      <c r="K571" s="279"/>
    </row>
    <row r="572" spans="1:11" ht="12.75">
      <c r="A572" s="425"/>
      <c r="B572" s="279"/>
      <c r="C572" s="279"/>
      <c r="D572" s="279"/>
      <c r="E572" s="279"/>
      <c r="F572" s="279"/>
      <c r="G572" s="279"/>
      <c r="H572" s="279"/>
      <c r="I572" s="279"/>
      <c r="J572" s="279"/>
      <c r="K572" s="279"/>
    </row>
    <row r="573" spans="1:11" ht="12.75">
      <c r="A573" s="425"/>
      <c r="B573" s="279"/>
      <c r="C573" s="279"/>
      <c r="D573" s="279"/>
      <c r="E573" s="279"/>
      <c r="F573" s="279"/>
      <c r="G573" s="279"/>
      <c r="H573" s="279"/>
      <c r="I573" s="279"/>
      <c r="J573" s="279"/>
      <c r="K573" s="279"/>
    </row>
    <row r="574" spans="1:11" ht="12.75">
      <c r="A574" s="425"/>
      <c r="B574" s="279"/>
      <c r="C574" s="279"/>
      <c r="D574" s="279"/>
      <c r="E574" s="279"/>
      <c r="F574" s="279"/>
      <c r="G574" s="279"/>
      <c r="H574" s="279"/>
      <c r="I574" s="279"/>
      <c r="J574" s="279"/>
      <c r="K574" s="279"/>
    </row>
    <row r="575" spans="1:11" ht="12.75">
      <c r="A575" s="425"/>
      <c r="B575" s="279"/>
      <c r="C575" s="279"/>
      <c r="D575" s="279"/>
      <c r="E575" s="279"/>
      <c r="F575" s="279"/>
      <c r="G575" s="279"/>
      <c r="H575" s="279"/>
      <c r="I575" s="279"/>
      <c r="J575" s="279"/>
      <c r="K575" s="279"/>
    </row>
    <row r="576" spans="1:11" ht="12.75">
      <c r="A576" s="425"/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</row>
    <row r="577" spans="1:11" ht="12.75">
      <c r="A577" s="425"/>
      <c r="B577" s="279"/>
      <c r="C577" s="279"/>
      <c r="D577" s="279"/>
      <c r="E577" s="279"/>
      <c r="F577" s="279"/>
      <c r="G577" s="279"/>
      <c r="H577" s="279"/>
      <c r="I577" s="279"/>
      <c r="J577" s="279"/>
      <c r="K577" s="279"/>
    </row>
    <row r="578" spans="1:11" ht="12.75">
      <c r="A578" s="425"/>
      <c r="B578" s="279"/>
      <c r="C578" s="279"/>
      <c r="D578" s="279"/>
      <c r="E578" s="279"/>
      <c r="F578" s="279"/>
      <c r="G578" s="279"/>
      <c r="H578" s="279"/>
      <c r="I578" s="279"/>
      <c r="J578" s="279"/>
      <c r="K578" s="279"/>
    </row>
    <row r="579" spans="1:11" ht="12.75">
      <c r="A579" s="425"/>
      <c r="B579" s="279"/>
      <c r="C579" s="279"/>
      <c r="D579" s="279"/>
      <c r="E579" s="279"/>
      <c r="F579" s="279"/>
      <c r="G579" s="279"/>
      <c r="H579" s="279"/>
      <c r="I579" s="279"/>
      <c r="J579" s="279"/>
      <c r="K579" s="279"/>
    </row>
    <row r="580" spans="1:11" ht="12.75">
      <c r="A580" s="425"/>
      <c r="B580" s="279"/>
      <c r="C580" s="279"/>
      <c r="D580" s="279"/>
      <c r="E580" s="279"/>
      <c r="F580" s="279"/>
      <c r="G580" s="279"/>
      <c r="H580" s="279"/>
      <c r="I580" s="279"/>
      <c r="J580" s="279"/>
      <c r="K580" s="279"/>
    </row>
    <row r="581" spans="1:11" ht="12.75">
      <c r="A581" s="425"/>
      <c r="B581" s="279"/>
      <c r="C581" s="279"/>
      <c r="D581" s="279"/>
      <c r="E581" s="279"/>
      <c r="F581" s="279"/>
      <c r="G581" s="279"/>
      <c r="H581" s="279"/>
      <c r="I581" s="279"/>
      <c r="J581" s="279"/>
      <c r="K581" s="279"/>
    </row>
    <row r="582" spans="1:11" ht="12.75">
      <c r="A582" s="425"/>
      <c r="B582" s="279"/>
      <c r="C582" s="279"/>
      <c r="D582" s="279"/>
      <c r="E582" s="279"/>
      <c r="F582" s="279"/>
      <c r="G582" s="279"/>
      <c r="H582" s="279"/>
      <c r="I582" s="279"/>
      <c r="J582" s="279"/>
      <c r="K582" s="279"/>
    </row>
    <row r="583" spans="1:11" ht="12.75">
      <c r="A583" s="425"/>
      <c r="B583" s="279"/>
      <c r="C583" s="279"/>
      <c r="D583" s="279"/>
      <c r="E583" s="279"/>
      <c r="F583" s="279"/>
      <c r="G583" s="279"/>
      <c r="H583" s="279"/>
      <c r="I583" s="279"/>
      <c r="J583" s="279"/>
      <c r="K583" s="279"/>
    </row>
    <row r="584" spans="1:11" ht="12.75">
      <c r="A584" s="425"/>
      <c r="B584" s="279"/>
      <c r="C584" s="279"/>
      <c r="D584" s="279"/>
      <c r="E584" s="279"/>
      <c r="F584" s="279"/>
      <c r="G584" s="279"/>
      <c r="H584" s="279"/>
      <c r="I584" s="279"/>
      <c r="J584" s="279"/>
      <c r="K584" s="279"/>
    </row>
    <row r="585" spans="1:11" ht="12.75">
      <c r="A585" s="425"/>
      <c r="B585" s="279"/>
      <c r="C585" s="279"/>
      <c r="D585" s="279"/>
      <c r="E585" s="279"/>
      <c r="F585" s="279"/>
      <c r="G585" s="279"/>
      <c r="H585" s="279"/>
      <c r="I585" s="279"/>
      <c r="J585" s="279"/>
      <c r="K585" s="279"/>
    </row>
    <row r="586" spans="1:11" ht="12.75">
      <c r="A586" s="425"/>
      <c r="B586" s="279"/>
      <c r="C586" s="279"/>
      <c r="D586" s="279"/>
      <c r="E586" s="279"/>
      <c r="F586" s="279"/>
      <c r="G586" s="279"/>
      <c r="H586" s="279"/>
      <c r="I586" s="279"/>
      <c r="J586" s="279"/>
      <c r="K586" s="279"/>
    </row>
    <row r="587" spans="1:11" ht="12.75">
      <c r="A587" s="425"/>
      <c r="B587" s="279"/>
      <c r="C587" s="279"/>
      <c r="D587" s="279"/>
      <c r="E587" s="279"/>
      <c r="F587" s="279"/>
      <c r="G587" s="279"/>
      <c r="H587" s="279"/>
      <c r="I587" s="279"/>
      <c r="J587" s="279"/>
      <c r="K587" s="279"/>
    </row>
    <row r="588" spans="1:11" ht="12.75">
      <c r="A588" s="425"/>
      <c r="B588" s="279"/>
      <c r="C588" s="279"/>
      <c r="D588" s="279"/>
      <c r="E588" s="279"/>
      <c r="F588" s="279"/>
      <c r="G588" s="279"/>
      <c r="H588" s="279"/>
      <c r="I588" s="279"/>
      <c r="J588" s="279"/>
      <c r="K588" s="279"/>
    </row>
    <row r="589" spans="1:11" ht="12.75">
      <c r="A589" s="425"/>
      <c r="B589" s="279"/>
      <c r="C589" s="279"/>
      <c r="D589" s="279"/>
      <c r="E589" s="279"/>
      <c r="F589" s="279"/>
      <c r="G589" s="279"/>
      <c r="H589" s="279"/>
      <c r="I589" s="279"/>
      <c r="J589" s="279"/>
      <c r="K589" s="279"/>
    </row>
    <row r="590" spans="1:11" ht="12.75">
      <c r="A590" s="425"/>
      <c r="B590" s="279"/>
      <c r="C590" s="279"/>
      <c r="D590" s="279"/>
      <c r="E590" s="279"/>
      <c r="F590" s="279"/>
      <c r="G590" s="279"/>
      <c r="H590" s="279"/>
      <c r="I590" s="279"/>
      <c r="J590" s="279"/>
      <c r="K590" s="279"/>
    </row>
    <row r="591" spans="1:11" ht="12.75">
      <c r="A591" s="425"/>
      <c r="B591" s="279"/>
      <c r="C591" s="279"/>
      <c r="D591" s="279"/>
      <c r="E591" s="279"/>
      <c r="F591" s="279"/>
      <c r="G591" s="279"/>
      <c r="H591" s="279"/>
      <c r="I591" s="279"/>
      <c r="J591" s="279"/>
      <c r="K591" s="279"/>
    </row>
    <row r="592" spans="1:11" ht="12.75">
      <c r="A592" s="425"/>
      <c r="B592" s="279"/>
      <c r="C592" s="279"/>
      <c r="D592" s="279"/>
      <c r="E592" s="279"/>
      <c r="F592" s="279"/>
      <c r="G592" s="279"/>
      <c r="H592" s="279"/>
      <c r="I592" s="279"/>
      <c r="J592" s="279"/>
      <c r="K592" s="279"/>
    </row>
    <row r="593" spans="1:11" ht="12.75">
      <c r="A593" s="425"/>
      <c r="B593" s="279"/>
      <c r="C593" s="279"/>
      <c r="D593" s="279"/>
      <c r="E593" s="279"/>
      <c r="F593" s="279"/>
      <c r="G593" s="279"/>
      <c r="H593" s="279"/>
      <c r="I593" s="279"/>
      <c r="J593" s="279"/>
      <c r="K593" s="279"/>
    </row>
    <row r="594" spans="1:11" ht="12.75">
      <c r="A594" s="425"/>
      <c r="B594" s="279"/>
      <c r="C594" s="279"/>
      <c r="D594" s="279"/>
      <c r="E594" s="279"/>
      <c r="F594" s="279"/>
      <c r="G594" s="279"/>
      <c r="H594" s="279"/>
      <c r="I594" s="279"/>
      <c r="J594" s="279"/>
      <c r="K594" s="279"/>
    </row>
    <row r="595" spans="1:11" ht="12.75">
      <c r="A595" s="425"/>
      <c r="B595" s="279"/>
      <c r="C595" s="279"/>
      <c r="D595" s="279"/>
      <c r="E595" s="279"/>
      <c r="F595" s="279"/>
      <c r="G595" s="279"/>
      <c r="H595" s="279"/>
      <c r="I595" s="279"/>
      <c r="J595" s="279"/>
      <c r="K595" s="279"/>
    </row>
    <row r="596" spans="1:11" ht="12.75">
      <c r="A596" s="425"/>
      <c r="B596" s="279"/>
      <c r="C596" s="279"/>
      <c r="D596" s="279"/>
      <c r="E596" s="279"/>
      <c r="F596" s="279"/>
      <c r="G596" s="279"/>
      <c r="H596" s="279"/>
      <c r="I596" s="279"/>
      <c r="J596" s="279"/>
      <c r="K596" s="279"/>
    </row>
    <row r="597" spans="1:11" ht="12.75">
      <c r="A597" s="425"/>
      <c r="B597" s="279"/>
      <c r="C597" s="279"/>
      <c r="D597" s="279"/>
      <c r="E597" s="279"/>
      <c r="F597" s="279"/>
      <c r="G597" s="279"/>
      <c r="H597" s="279"/>
      <c r="I597" s="279"/>
      <c r="J597" s="279"/>
      <c r="K597" s="279"/>
    </row>
    <row r="598" spans="1:11" ht="12.75">
      <c r="A598" s="425"/>
      <c r="B598" s="279"/>
      <c r="C598" s="279"/>
      <c r="D598" s="279"/>
      <c r="E598" s="279"/>
      <c r="F598" s="279"/>
      <c r="G598" s="279"/>
      <c r="H598" s="279"/>
      <c r="I598" s="279"/>
      <c r="J598" s="279"/>
      <c r="K598" s="279"/>
    </row>
    <row r="599" spans="1:11" ht="12.75">
      <c r="A599" s="425"/>
      <c r="B599" s="279"/>
      <c r="C599" s="279"/>
      <c r="D599" s="279"/>
      <c r="E599" s="279"/>
      <c r="F599" s="279"/>
      <c r="G599" s="279"/>
      <c r="H599" s="279"/>
      <c r="I599" s="279"/>
      <c r="J599" s="279"/>
      <c r="K599" s="279"/>
    </row>
    <row r="600" spans="1:11" ht="12.75">
      <c r="A600" s="425"/>
      <c r="B600" s="279"/>
      <c r="C600" s="279"/>
      <c r="D600" s="279"/>
      <c r="E600" s="279"/>
      <c r="F600" s="279"/>
      <c r="G600" s="279"/>
      <c r="H600" s="279"/>
      <c r="I600" s="279"/>
      <c r="J600" s="279"/>
      <c r="K600" s="279"/>
    </row>
    <row r="601" spans="1:11" ht="12.75">
      <c r="A601" s="425"/>
      <c r="B601" s="279"/>
      <c r="C601" s="279"/>
      <c r="D601" s="279"/>
      <c r="E601" s="279"/>
      <c r="F601" s="279"/>
      <c r="G601" s="279"/>
      <c r="H601" s="279"/>
      <c r="I601" s="279"/>
      <c r="J601" s="279"/>
      <c r="K601" s="279"/>
    </row>
    <row r="602" spans="1:11" ht="12.75">
      <c r="A602" s="425"/>
      <c r="B602" s="279"/>
      <c r="C602" s="279"/>
      <c r="D602" s="279"/>
      <c r="E602" s="279"/>
      <c r="F602" s="279"/>
      <c r="G602" s="279"/>
      <c r="H602" s="279"/>
      <c r="I602" s="279"/>
      <c r="J602" s="279"/>
      <c r="K602" s="279"/>
    </row>
    <row r="603" spans="1:11" ht="12.75">
      <c r="A603" s="425"/>
      <c r="B603" s="279"/>
      <c r="C603" s="279"/>
      <c r="D603" s="279"/>
      <c r="E603" s="279"/>
      <c r="F603" s="279"/>
      <c r="G603" s="279"/>
      <c r="H603" s="279"/>
      <c r="I603" s="279"/>
      <c r="J603" s="279"/>
      <c r="K603" s="279"/>
    </row>
    <row r="604" spans="1:11" ht="12.75">
      <c r="A604" s="425"/>
      <c r="B604" s="279"/>
      <c r="C604" s="279"/>
      <c r="D604" s="279"/>
      <c r="E604" s="279"/>
      <c r="F604" s="279"/>
      <c r="G604" s="279"/>
      <c r="H604" s="279"/>
      <c r="I604" s="279"/>
      <c r="J604" s="279"/>
      <c r="K604" s="279"/>
    </row>
    <row r="605" spans="1:11" ht="12.75">
      <c r="A605" s="425"/>
      <c r="B605" s="279"/>
      <c r="C605" s="279"/>
      <c r="D605" s="279"/>
      <c r="E605" s="279"/>
      <c r="F605" s="279"/>
      <c r="G605" s="279"/>
      <c r="H605" s="279"/>
      <c r="I605" s="279"/>
      <c r="J605" s="279"/>
      <c r="K605" s="279"/>
    </row>
    <row r="606" spans="1:11" ht="12.75">
      <c r="A606" s="425"/>
      <c r="B606" s="279"/>
      <c r="C606" s="279"/>
      <c r="D606" s="279"/>
      <c r="E606" s="279"/>
      <c r="F606" s="279"/>
      <c r="G606" s="279"/>
      <c r="H606" s="279"/>
      <c r="I606" s="279"/>
      <c r="J606" s="279"/>
      <c r="K606" s="279"/>
    </row>
    <row r="607" spans="1:11" ht="12.75">
      <c r="A607" s="425"/>
      <c r="B607" s="279"/>
      <c r="C607" s="279"/>
      <c r="D607" s="279"/>
      <c r="E607" s="279"/>
      <c r="F607" s="279"/>
      <c r="G607" s="279"/>
      <c r="H607" s="279"/>
      <c r="I607" s="279"/>
      <c r="J607" s="279"/>
      <c r="K607" s="279"/>
    </row>
    <row r="608" spans="1:11" ht="12.75">
      <c r="A608" s="425"/>
      <c r="B608" s="279"/>
      <c r="C608" s="279"/>
      <c r="D608" s="279"/>
      <c r="E608" s="279"/>
      <c r="F608" s="279"/>
      <c r="G608" s="279"/>
      <c r="H608" s="279"/>
      <c r="I608" s="279"/>
      <c r="J608" s="279"/>
      <c r="K608" s="279"/>
    </row>
    <row r="609" spans="1:11" ht="12.75">
      <c r="A609" s="425"/>
      <c r="B609" s="279"/>
      <c r="C609" s="279"/>
      <c r="D609" s="279"/>
      <c r="E609" s="279"/>
      <c r="F609" s="279"/>
      <c r="G609" s="279"/>
      <c r="H609" s="279"/>
      <c r="I609" s="279"/>
      <c r="J609" s="279"/>
      <c r="K609" s="279"/>
    </row>
    <row r="610" spans="1:11" ht="12.75">
      <c r="A610" s="425"/>
      <c r="B610" s="279"/>
      <c r="C610" s="279"/>
      <c r="D610" s="279"/>
      <c r="E610" s="279"/>
      <c r="F610" s="279"/>
      <c r="G610" s="279"/>
      <c r="H610" s="279"/>
      <c r="I610" s="279"/>
      <c r="J610" s="279"/>
      <c r="K610" s="279"/>
    </row>
    <row r="611" spans="1:11" ht="12.75">
      <c r="A611" s="425"/>
      <c r="B611" s="279"/>
      <c r="C611" s="279"/>
      <c r="D611" s="279"/>
      <c r="E611" s="279"/>
      <c r="F611" s="279"/>
      <c r="G611" s="279"/>
      <c r="H611" s="279"/>
      <c r="I611" s="279"/>
      <c r="J611" s="279"/>
      <c r="K611" s="279"/>
    </row>
    <row r="612" spans="1:11" ht="12.75">
      <c r="A612" s="425"/>
      <c r="B612" s="279"/>
      <c r="C612" s="279"/>
      <c r="D612" s="279"/>
      <c r="E612" s="279"/>
      <c r="F612" s="279"/>
      <c r="G612" s="279"/>
      <c r="H612" s="279"/>
      <c r="I612" s="279"/>
      <c r="J612" s="279"/>
      <c r="K612" s="279"/>
    </row>
    <row r="613" spans="1:11" ht="12.75">
      <c r="A613" s="425"/>
      <c r="B613" s="279"/>
      <c r="C613" s="279"/>
      <c r="D613" s="279"/>
      <c r="E613" s="279"/>
      <c r="F613" s="279"/>
      <c r="G613" s="279"/>
      <c r="H613" s="279"/>
      <c r="I613" s="279"/>
      <c r="J613" s="279"/>
      <c r="K613" s="279"/>
    </row>
    <row r="614" spans="1:11" ht="12.75">
      <c r="A614" s="425"/>
      <c r="B614" s="279"/>
      <c r="C614" s="279"/>
      <c r="D614" s="279"/>
      <c r="E614" s="279"/>
      <c r="F614" s="279"/>
      <c r="G614" s="279"/>
      <c r="H614" s="279"/>
      <c r="I614" s="279"/>
      <c r="J614" s="279"/>
      <c r="K614" s="279"/>
    </row>
    <row r="615" spans="1:11" ht="12.75">
      <c r="A615" s="425"/>
      <c r="B615" s="279"/>
      <c r="C615" s="279"/>
      <c r="D615" s="279"/>
      <c r="E615" s="279"/>
      <c r="F615" s="279"/>
      <c r="G615" s="279"/>
      <c r="H615" s="279"/>
      <c r="I615" s="279"/>
      <c r="J615" s="279"/>
      <c r="K615" s="279"/>
    </row>
    <row r="616" spans="1:11" ht="12.75">
      <c r="A616" s="425"/>
      <c r="B616" s="279"/>
      <c r="C616" s="279"/>
      <c r="D616" s="279"/>
      <c r="E616" s="279"/>
      <c r="F616" s="279"/>
      <c r="G616" s="279"/>
      <c r="H616" s="279"/>
      <c r="I616" s="279"/>
      <c r="J616" s="279"/>
      <c r="K616" s="279"/>
    </row>
    <row r="617" spans="1:11" ht="12.75">
      <c r="A617" s="425"/>
      <c r="B617" s="279"/>
      <c r="C617" s="279"/>
      <c r="D617" s="279"/>
      <c r="E617" s="279"/>
      <c r="F617" s="279"/>
      <c r="G617" s="279"/>
      <c r="H617" s="279"/>
      <c r="I617" s="279"/>
      <c r="J617" s="279"/>
      <c r="K617" s="279"/>
    </row>
    <row r="618" spans="1:11" ht="12.75">
      <c r="A618" s="425"/>
      <c r="B618" s="279"/>
      <c r="C618" s="279"/>
      <c r="D618" s="279"/>
      <c r="E618" s="279"/>
      <c r="F618" s="279"/>
      <c r="G618" s="279"/>
      <c r="H618" s="279"/>
      <c r="I618" s="279"/>
      <c r="J618" s="279"/>
      <c r="K618" s="279"/>
    </row>
    <row r="619" spans="1:11" ht="12.75">
      <c r="A619" s="425"/>
      <c r="B619" s="279"/>
      <c r="C619" s="279"/>
      <c r="D619" s="279"/>
      <c r="E619" s="279"/>
      <c r="F619" s="279"/>
      <c r="G619" s="279"/>
      <c r="H619" s="279"/>
      <c r="I619" s="279"/>
      <c r="J619" s="279"/>
      <c r="K619" s="279"/>
    </row>
    <row r="620" spans="1:11" ht="12.75">
      <c r="A620" s="425"/>
      <c r="B620" s="279"/>
      <c r="C620" s="279"/>
      <c r="D620" s="279"/>
      <c r="E620" s="279"/>
      <c r="F620" s="279"/>
      <c r="G620" s="279"/>
      <c r="H620" s="279"/>
      <c r="I620" s="279"/>
      <c r="J620" s="279"/>
      <c r="K620" s="279"/>
    </row>
    <row r="621" spans="1:11" ht="12.75">
      <c r="A621" s="425"/>
      <c r="B621" s="279"/>
      <c r="C621" s="279"/>
      <c r="D621" s="279"/>
      <c r="E621" s="279"/>
      <c r="F621" s="279"/>
      <c r="G621" s="279"/>
      <c r="H621" s="279"/>
      <c r="I621" s="279"/>
      <c r="J621" s="279"/>
      <c r="K621" s="279"/>
    </row>
    <row r="622" spans="1:11" ht="12.75">
      <c r="A622" s="425"/>
      <c r="B622" s="279"/>
      <c r="C622" s="279"/>
      <c r="D622" s="279"/>
      <c r="E622" s="279"/>
      <c r="F622" s="279"/>
      <c r="G622" s="279"/>
      <c r="H622" s="279"/>
      <c r="I622" s="279"/>
      <c r="J622" s="279"/>
      <c r="K622" s="279"/>
    </row>
    <row r="623" spans="1:11" ht="12.75">
      <c r="A623" s="425"/>
      <c r="B623" s="279"/>
      <c r="C623" s="279"/>
      <c r="D623" s="279"/>
      <c r="E623" s="279"/>
      <c r="F623" s="279"/>
      <c r="G623" s="279"/>
      <c r="H623" s="279"/>
      <c r="I623" s="279"/>
      <c r="J623" s="279"/>
      <c r="K623" s="279"/>
    </row>
    <row r="624" spans="1:11" ht="12.75">
      <c r="A624" s="425"/>
      <c r="B624" s="279"/>
      <c r="C624" s="279"/>
      <c r="D624" s="279"/>
      <c r="E624" s="279"/>
      <c r="F624" s="279"/>
      <c r="G624" s="279"/>
      <c r="H624" s="279"/>
      <c r="I624" s="279"/>
      <c r="J624" s="279"/>
      <c r="K624" s="279"/>
    </row>
    <row r="625" spans="1:11" ht="12.75">
      <c r="A625" s="425"/>
      <c r="B625" s="279"/>
      <c r="C625" s="279"/>
      <c r="D625" s="279"/>
      <c r="E625" s="279"/>
      <c r="F625" s="279"/>
      <c r="G625" s="279"/>
      <c r="H625" s="279"/>
      <c r="I625" s="279"/>
      <c r="J625" s="279"/>
      <c r="K625" s="279"/>
    </row>
    <row r="626" spans="1:11" ht="12.75">
      <c r="A626" s="425"/>
      <c r="B626" s="279"/>
      <c r="C626" s="279"/>
      <c r="D626" s="279"/>
      <c r="E626" s="279"/>
      <c r="F626" s="279"/>
      <c r="G626" s="279"/>
      <c r="H626" s="279"/>
      <c r="I626" s="279"/>
      <c r="J626" s="279"/>
      <c r="K626" s="279"/>
    </row>
    <row r="627" spans="1:11" ht="12.75">
      <c r="A627" s="425"/>
      <c r="B627" s="279"/>
      <c r="C627" s="279"/>
      <c r="D627" s="279"/>
      <c r="E627" s="279"/>
      <c r="F627" s="279"/>
      <c r="G627" s="279"/>
      <c r="H627" s="279"/>
      <c r="I627" s="279"/>
      <c r="J627" s="279"/>
      <c r="K627" s="279"/>
    </row>
    <row r="628" spans="1:11" ht="12.75">
      <c r="A628" s="425"/>
      <c r="B628" s="279"/>
      <c r="C628" s="279"/>
      <c r="D628" s="279"/>
      <c r="E628" s="279"/>
      <c r="F628" s="279"/>
      <c r="G628" s="279"/>
      <c r="H628" s="279"/>
      <c r="I628" s="279"/>
      <c r="J628" s="279"/>
      <c r="K628" s="279"/>
    </row>
    <row r="629" spans="1:11" ht="12.75">
      <c r="A629" s="425"/>
      <c r="B629" s="279"/>
      <c r="C629" s="279"/>
      <c r="D629" s="279"/>
      <c r="E629" s="279"/>
      <c r="F629" s="279"/>
      <c r="G629" s="279"/>
      <c r="H629" s="279"/>
      <c r="I629" s="279"/>
      <c r="J629" s="279"/>
      <c r="K629" s="279"/>
    </row>
    <row r="630" spans="1:11" ht="12.75">
      <c r="A630" s="425"/>
      <c r="B630" s="279"/>
      <c r="C630" s="279"/>
      <c r="D630" s="279"/>
      <c r="E630" s="279"/>
      <c r="F630" s="279"/>
      <c r="G630" s="279"/>
      <c r="H630" s="279"/>
      <c r="I630" s="279"/>
      <c r="J630" s="279"/>
      <c r="K630" s="279"/>
    </row>
    <row r="631" spans="1:11" ht="12.75">
      <c r="A631" s="425"/>
      <c r="B631" s="279"/>
      <c r="C631" s="279"/>
      <c r="D631" s="279"/>
      <c r="E631" s="279"/>
      <c r="F631" s="279"/>
      <c r="G631" s="279"/>
      <c r="H631" s="279"/>
      <c r="I631" s="279"/>
      <c r="J631" s="279"/>
      <c r="K631" s="279"/>
    </row>
    <row r="632" spans="1:11" ht="12.75">
      <c r="A632" s="425"/>
      <c r="B632" s="279"/>
      <c r="C632" s="279"/>
      <c r="D632" s="279"/>
      <c r="E632" s="279"/>
      <c r="F632" s="279"/>
      <c r="G632" s="279"/>
      <c r="H632" s="279"/>
      <c r="I632" s="279"/>
      <c r="J632" s="279"/>
      <c r="K632" s="279"/>
    </row>
    <row r="633" spans="1:11" ht="12.75">
      <c r="A633" s="425"/>
      <c r="B633" s="279"/>
      <c r="C633" s="279"/>
      <c r="D633" s="279"/>
      <c r="E633" s="279"/>
      <c r="F633" s="279"/>
      <c r="G633" s="279"/>
      <c r="H633" s="279"/>
      <c r="I633" s="279"/>
      <c r="J633" s="279"/>
      <c r="K633" s="279"/>
    </row>
    <row r="634" spans="1:11" ht="12.75">
      <c r="A634" s="425"/>
      <c r="B634" s="279"/>
      <c r="C634" s="279"/>
      <c r="D634" s="279"/>
      <c r="E634" s="279"/>
      <c r="F634" s="279"/>
      <c r="G634" s="279"/>
      <c r="H634" s="279"/>
      <c r="I634" s="279"/>
      <c r="J634" s="279"/>
      <c r="K634" s="279"/>
    </row>
    <row r="635" spans="1:11" ht="12.75">
      <c r="A635" s="425"/>
      <c r="B635" s="279"/>
      <c r="C635" s="279"/>
      <c r="D635" s="279"/>
      <c r="E635" s="279"/>
      <c r="F635" s="279"/>
      <c r="G635" s="279"/>
      <c r="H635" s="279"/>
      <c r="I635" s="279"/>
      <c r="J635" s="279"/>
      <c r="K635" s="279"/>
    </row>
    <row r="636" spans="1:11" ht="12.75">
      <c r="A636" s="425"/>
      <c r="B636" s="279"/>
      <c r="C636" s="279"/>
      <c r="D636" s="279"/>
      <c r="E636" s="279"/>
      <c r="F636" s="279"/>
      <c r="G636" s="279"/>
      <c r="H636" s="279"/>
      <c r="I636" s="279"/>
      <c r="J636" s="279"/>
      <c r="K636" s="279"/>
    </row>
    <row r="637" spans="1:11" ht="12.75">
      <c r="A637" s="425"/>
      <c r="B637" s="279"/>
      <c r="C637" s="279"/>
      <c r="D637" s="279"/>
      <c r="E637" s="279"/>
      <c r="F637" s="279"/>
      <c r="G637" s="279"/>
      <c r="H637" s="279"/>
      <c r="I637" s="279"/>
      <c r="J637" s="279"/>
      <c r="K637" s="279"/>
    </row>
    <row r="638" spans="1:11" ht="12.75">
      <c r="A638" s="425"/>
      <c r="B638" s="279"/>
      <c r="C638" s="279"/>
      <c r="D638" s="279"/>
      <c r="E638" s="279"/>
      <c r="F638" s="279"/>
      <c r="G638" s="279"/>
      <c r="H638" s="279"/>
      <c r="I638" s="279"/>
      <c r="J638" s="279"/>
      <c r="K638" s="279"/>
    </row>
    <row r="639" spans="1:11" ht="12.75">
      <c r="A639" s="425"/>
      <c r="B639" s="279"/>
      <c r="C639" s="279"/>
      <c r="D639" s="279"/>
      <c r="E639" s="279"/>
      <c r="F639" s="279"/>
      <c r="G639" s="279"/>
      <c r="H639" s="279"/>
      <c r="I639" s="279"/>
      <c r="J639" s="279"/>
      <c r="K639" s="279"/>
    </row>
    <row r="640" spans="1:11" ht="12.75">
      <c r="A640" s="425"/>
      <c r="B640" s="279"/>
      <c r="C640" s="279"/>
      <c r="D640" s="279"/>
      <c r="E640" s="279"/>
      <c r="F640" s="279"/>
      <c r="G640" s="279"/>
      <c r="H640" s="279"/>
      <c r="I640" s="279"/>
      <c r="J640" s="279"/>
      <c r="K640" s="279"/>
    </row>
    <row r="641" spans="1:11" ht="12.75">
      <c r="A641" s="425"/>
      <c r="B641" s="279"/>
      <c r="C641" s="279"/>
      <c r="D641" s="279"/>
      <c r="E641" s="279"/>
      <c r="F641" s="279"/>
      <c r="G641" s="279"/>
      <c r="H641" s="279"/>
      <c r="I641" s="279"/>
      <c r="J641" s="279"/>
      <c r="K641" s="279"/>
    </row>
    <row r="642" spans="1:11" ht="12.75">
      <c r="A642" s="425"/>
      <c r="B642" s="279"/>
      <c r="C642" s="279"/>
      <c r="D642" s="279"/>
      <c r="E642" s="279"/>
      <c r="F642" s="279"/>
      <c r="G642" s="279"/>
      <c r="H642" s="279"/>
      <c r="I642" s="279"/>
      <c r="J642" s="279"/>
      <c r="K642" s="279"/>
    </row>
    <row r="643" spans="1:11" ht="12.75">
      <c r="A643" s="425"/>
      <c r="B643" s="279"/>
      <c r="C643" s="279"/>
      <c r="D643" s="279"/>
      <c r="E643" s="279"/>
      <c r="F643" s="279"/>
      <c r="G643" s="279"/>
      <c r="H643" s="279"/>
      <c r="I643" s="279"/>
      <c r="J643" s="279"/>
      <c r="K643" s="279"/>
    </row>
    <row r="644" spans="1:11" ht="12.75">
      <c r="A644" s="425"/>
      <c r="B644" s="279"/>
      <c r="C644" s="279"/>
      <c r="D644" s="279"/>
      <c r="E644" s="279"/>
      <c r="F644" s="279"/>
      <c r="G644" s="279"/>
      <c r="H644" s="279"/>
      <c r="I644" s="279"/>
      <c r="J644" s="279"/>
      <c r="K644" s="279"/>
    </row>
    <row r="645" spans="1:11" ht="12.75">
      <c r="A645" s="425"/>
      <c r="B645" s="279"/>
      <c r="C645" s="279"/>
      <c r="D645" s="279"/>
      <c r="E645" s="279"/>
      <c r="F645" s="279"/>
      <c r="G645" s="279"/>
      <c r="H645" s="279"/>
      <c r="I645" s="279"/>
      <c r="J645" s="279"/>
      <c r="K645" s="279"/>
    </row>
    <row r="646" spans="1:11" ht="12.75">
      <c r="A646" s="425"/>
      <c r="B646" s="279"/>
      <c r="C646" s="279"/>
      <c r="D646" s="279"/>
      <c r="E646" s="279"/>
      <c r="F646" s="279"/>
      <c r="G646" s="279"/>
      <c r="H646" s="279"/>
      <c r="I646" s="279"/>
      <c r="J646" s="279"/>
      <c r="K646" s="279"/>
    </row>
    <row r="647" spans="1:11" ht="12.75">
      <c r="A647" s="425"/>
      <c r="B647" s="279"/>
      <c r="C647" s="279"/>
      <c r="D647" s="279"/>
      <c r="E647" s="279"/>
      <c r="F647" s="279"/>
      <c r="G647" s="279"/>
      <c r="H647" s="279"/>
      <c r="I647" s="279"/>
      <c r="J647" s="279"/>
      <c r="K647" s="279"/>
    </row>
    <row r="648" spans="1:11" ht="12.75">
      <c r="A648" s="425"/>
      <c r="B648" s="279"/>
      <c r="C648" s="279"/>
      <c r="D648" s="279"/>
      <c r="E648" s="279"/>
      <c r="F648" s="279"/>
      <c r="G648" s="279"/>
      <c r="H648" s="279"/>
      <c r="I648" s="279"/>
      <c r="J648" s="279"/>
      <c r="K648" s="279"/>
    </row>
    <row r="649" spans="1:11" ht="12.75">
      <c r="A649" s="425"/>
      <c r="B649" s="279"/>
      <c r="C649" s="279"/>
      <c r="D649" s="279"/>
      <c r="E649" s="279"/>
      <c r="F649" s="279"/>
      <c r="G649" s="279"/>
      <c r="H649" s="279"/>
      <c r="I649" s="279"/>
      <c r="J649" s="279"/>
      <c r="K649" s="279"/>
    </row>
    <row r="650" spans="1:11" ht="12.75">
      <c r="A650" s="425"/>
      <c r="B650" s="279"/>
      <c r="C650" s="279"/>
      <c r="D650" s="279"/>
      <c r="E650" s="279"/>
      <c r="F650" s="279"/>
      <c r="G650" s="279"/>
      <c r="H650" s="279"/>
      <c r="I650" s="279"/>
      <c r="J650" s="279"/>
      <c r="K650" s="279"/>
    </row>
    <row r="651" spans="1:11" ht="12.75">
      <c r="A651" s="425"/>
      <c r="B651" s="279"/>
      <c r="C651" s="279"/>
      <c r="D651" s="279"/>
      <c r="E651" s="279"/>
      <c r="F651" s="279"/>
      <c r="G651" s="279"/>
      <c r="H651" s="279"/>
      <c r="I651" s="279"/>
      <c r="J651" s="279"/>
      <c r="K651" s="279"/>
    </row>
    <row r="652" spans="1:11" ht="12.75">
      <c r="A652" s="425"/>
      <c r="B652" s="279"/>
      <c r="C652" s="279"/>
      <c r="D652" s="279"/>
      <c r="E652" s="279"/>
      <c r="F652" s="279"/>
      <c r="G652" s="279"/>
      <c r="H652" s="279"/>
      <c r="I652" s="279"/>
      <c r="J652" s="279"/>
      <c r="K652" s="279"/>
    </row>
    <row r="653" spans="1:11" ht="12.75">
      <c r="A653" s="425"/>
      <c r="B653" s="279"/>
      <c r="C653" s="279"/>
      <c r="D653" s="279"/>
      <c r="E653" s="279"/>
      <c r="F653" s="279"/>
      <c r="G653" s="279"/>
      <c r="H653" s="279"/>
      <c r="I653" s="279"/>
      <c r="J653" s="279"/>
      <c r="K653" s="279"/>
    </row>
    <row r="654" spans="1:11" ht="12.75">
      <c r="A654" s="425"/>
      <c r="B654" s="279"/>
      <c r="C654" s="279"/>
      <c r="D654" s="279"/>
      <c r="E654" s="279"/>
      <c r="F654" s="279"/>
      <c r="G654" s="279"/>
      <c r="H654" s="279"/>
      <c r="I654" s="279"/>
      <c r="J654" s="279"/>
      <c r="K654" s="279"/>
    </row>
    <row r="655" spans="1:11" ht="12.75">
      <c r="A655" s="425"/>
      <c r="B655" s="279"/>
      <c r="C655" s="279"/>
      <c r="D655" s="279"/>
      <c r="E655" s="279"/>
      <c r="F655" s="279"/>
      <c r="G655" s="279"/>
      <c r="H655" s="279"/>
      <c r="I655" s="279"/>
      <c r="J655" s="279"/>
      <c r="K655" s="279"/>
    </row>
    <row r="656" spans="1:11" ht="12.75">
      <c r="A656" s="425"/>
      <c r="B656" s="279"/>
      <c r="C656" s="279"/>
      <c r="D656" s="279"/>
      <c r="E656" s="279"/>
      <c r="F656" s="279"/>
      <c r="G656" s="279"/>
      <c r="H656" s="279"/>
      <c r="I656" s="279"/>
      <c r="J656" s="279"/>
      <c r="K656" s="279"/>
    </row>
    <row r="657" spans="1:11" ht="12.75">
      <c r="A657" s="425"/>
      <c r="B657" s="279"/>
      <c r="C657" s="279"/>
      <c r="D657" s="279"/>
      <c r="E657" s="279"/>
      <c r="F657" s="279"/>
      <c r="G657" s="279"/>
      <c r="H657" s="279"/>
      <c r="I657" s="279"/>
      <c r="J657" s="279"/>
      <c r="K657" s="279"/>
    </row>
    <row r="658" spans="1:11" ht="12.75">
      <c r="A658" s="425"/>
      <c r="B658" s="279"/>
      <c r="C658" s="279"/>
      <c r="D658" s="279"/>
      <c r="E658" s="279"/>
      <c r="F658" s="279"/>
      <c r="G658" s="279"/>
      <c r="H658" s="279"/>
      <c r="I658" s="279"/>
      <c r="J658" s="279"/>
      <c r="K658" s="279"/>
    </row>
    <row r="659" spans="1:11" ht="12.75">
      <c r="A659" s="425"/>
      <c r="B659" s="279"/>
      <c r="C659" s="279"/>
      <c r="D659" s="279"/>
      <c r="E659" s="279"/>
      <c r="F659" s="279"/>
      <c r="G659" s="279"/>
      <c r="H659" s="279"/>
      <c r="I659" s="279"/>
      <c r="J659" s="279"/>
      <c r="K659" s="279"/>
    </row>
    <row r="660" spans="1:11" ht="12.75">
      <c r="A660" s="425"/>
      <c r="B660" s="279"/>
      <c r="C660" s="279"/>
      <c r="D660" s="279"/>
      <c r="E660" s="279"/>
      <c r="F660" s="279"/>
      <c r="G660" s="279"/>
      <c r="H660" s="279"/>
      <c r="I660" s="279"/>
      <c r="J660" s="279"/>
      <c r="K660" s="279"/>
    </row>
    <row r="661" spans="1:11" ht="12.75">
      <c r="A661" s="425"/>
      <c r="B661" s="279"/>
      <c r="C661" s="279"/>
      <c r="D661" s="279"/>
      <c r="E661" s="279"/>
      <c r="F661" s="279"/>
      <c r="G661" s="279"/>
      <c r="H661" s="279"/>
      <c r="I661" s="279"/>
      <c r="J661" s="279"/>
      <c r="K661" s="279"/>
    </row>
    <row r="662" spans="1:11" ht="12.75">
      <c r="A662" s="425"/>
      <c r="B662" s="279"/>
      <c r="C662" s="279"/>
      <c r="D662" s="279"/>
      <c r="E662" s="279"/>
      <c r="F662" s="279"/>
      <c r="G662" s="279"/>
      <c r="H662" s="279"/>
      <c r="I662" s="279"/>
      <c r="J662" s="279"/>
      <c r="K662" s="279"/>
    </row>
    <row r="663" spans="1:11" ht="12.75">
      <c r="A663" s="425"/>
      <c r="B663" s="279"/>
      <c r="C663" s="279"/>
      <c r="D663" s="279"/>
      <c r="E663" s="279"/>
      <c r="F663" s="279"/>
      <c r="G663" s="279"/>
      <c r="H663" s="279"/>
      <c r="I663" s="279"/>
      <c r="J663" s="279"/>
      <c r="K663" s="279"/>
    </row>
    <row r="664" spans="1:11" ht="12.75">
      <c r="A664" s="425"/>
      <c r="B664" s="279"/>
      <c r="C664" s="279"/>
      <c r="D664" s="279"/>
      <c r="E664" s="279"/>
      <c r="F664" s="279"/>
      <c r="G664" s="279"/>
      <c r="H664" s="279"/>
      <c r="I664" s="279"/>
      <c r="J664" s="279"/>
      <c r="K664" s="279"/>
    </row>
    <row r="665" spans="1:11" ht="12.75">
      <c r="A665" s="425"/>
      <c r="B665" s="279"/>
      <c r="C665" s="279"/>
      <c r="D665" s="279"/>
      <c r="E665" s="279"/>
      <c r="F665" s="279"/>
      <c r="G665" s="279"/>
      <c r="H665" s="279"/>
      <c r="I665" s="279"/>
      <c r="J665" s="279"/>
      <c r="K665" s="279"/>
    </row>
    <row r="666" spans="1:11" ht="12.75">
      <c r="A666" s="425"/>
      <c r="B666" s="279"/>
      <c r="C666" s="279"/>
      <c r="D666" s="279"/>
      <c r="E666" s="279"/>
      <c r="F666" s="279"/>
      <c r="G666" s="279"/>
      <c r="H666" s="279"/>
      <c r="I666" s="279"/>
      <c r="J666" s="279"/>
      <c r="K666" s="279"/>
    </row>
    <row r="667" spans="1:11" ht="12.75">
      <c r="A667" s="425"/>
      <c r="B667" s="279"/>
      <c r="C667" s="279"/>
      <c r="D667" s="279"/>
      <c r="E667" s="279"/>
      <c r="F667" s="279"/>
      <c r="G667" s="279"/>
      <c r="H667" s="279"/>
      <c r="I667" s="279"/>
      <c r="J667" s="279"/>
      <c r="K667" s="279"/>
    </row>
    <row r="668" spans="1:11" ht="12.75">
      <c r="A668" s="425"/>
      <c r="B668" s="279"/>
      <c r="C668" s="279"/>
      <c r="D668" s="279"/>
      <c r="E668" s="279"/>
      <c r="F668" s="279"/>
      <c r="G668" s="279"/>
      <c r="H668" s="279"/>
      <c r="I668" s="279"/>
      <c r="J668" s="279"/>
      <c r="K668" s="279"/>
    </row>
    <row r="669" spans="1:11" ht="12.75">
      <c r="A669" s="425"/>
      <c r="B669" s="279"/>
      <c r="C669" s="279"/>
      <c r="D669" s="279"/>
      <c r="E669" s="279"/>
      <c r="F669" s="279"/>
      <c r="G669" s="279"/>
      <c r="H669" s="279"/>
      <c r="I669" s="279"/>
      <c r="J669" s="279"/>
      <c r="K669" s="279"/>
    </row>
    <row r="670" spans="1:11" ht="12.75">
      <c r="A670" s="425"/>
      <c r="B670" s="279"/>
      <c r="C670" s="279"/>
      <c r="D670" s="279"/>
      <c r="E670" s="279"/>
      <c r="F670" s="279"/>
      <c r="G670" s="279"/>
      <c r="H670" s="279"/>
      <c r="I670" s="279"/>
      <c r="J670" s="279"/>
      <c r="K670" s="279"/>
    </row>
    <row r="671" spans="1:11" ht="12.75">
      <c r="A671" s="425"/>
      <c r="B671" s="279"/>
      <c r="C671" s="279"/>
      <c r="D671" s="279"/>
      <c r="E671" s="279"/>
      <c r="F671" s="279"/>
      <c r="G671" s="279"/>
      <c r="H671" s="279"/>
      <c r="I671" s="279"/>
      <c r="J671" s="279"/>
      <c r="K671" s="279"/>
    </row>
    <row r="672" spans="1:11" ht="12.75">
      <c r="A672" s="425"/>
      <c r="B672" s="279"/>
      <c r="C672" s="279"/>
      <c r="D672" s="279"/>
      <c r="E672" s="279"/>
      <c r="F672" s="279"/>
      <c r="G672" s="279"/>
      <c r="H672" s="279"/>
      <c r="I672" s="279"/>
      <c r="J672" s="279"/>
      <c r="K672" s="279"/>
    </row>
    <row r="673" spans="1:11" ht="12.75">
      <c r="A673" s="425"/>
      <c r="B673" s="279"/>
      <c r="C673" s="279"/>
      <c r="D673" s="279"/>
      <c r="E673" s="279"/>
      <c r="F673" s="279"/>
      <c r="G673" s="279"/>
      <c r="H673" s="279"/>
      <c r="I673" s="279"/>
      <c r="J673" s="279"/>
      <c r="K673" s="279"/>
    </row>
    <row r="674" spans="1:11" ht="12.75">
      <c r="A674" s="425"/>
      <c r="B674" s="279"/>
      <c r="C674" s="279"/>
      <c r="D674" s="279"/>
      <c r="E674" s="279"/>
      <c r="F674" s="279"/>
      <c r="G674" s="279"/>
      <c r="H674" s="279"/>
      <c r="I674" s="279"/>
      <c r="J674" s="279"/>
      <c r="K674" s="279"/>
    </row>
    <row r="675" spans="1:11" ht="12.75">
      <c r="A675" s="425"/>
      <c r="B675" s="279"/>
      <c r="C675" s="279"/>
      <c r="D675" s="279"/>
      <c r="E675" s="279"/>
      <c r="F675" s="279"/>
      <c r="G675" s="279"/>
      <c r="H675" s="279"/>
      <c r="I675" s="279"/>
      <c r="J675" s="279"/>
      <c r="K675" s="279"/>
    </row>
    <row r="676" spans="1:11" ht="12.75">
      <c r="A676" s="425"/>
      <c r="B676" s="279"/>
      <c r="C676" s="279"/>
      <c r="D676" s="279"/>
      <c r="E676" s="279"/>
      <c r="F676" s="279"/>
      <c r="G676" s="279"/>
      <c r="H676" s="279"/>
      <c r="I676" s="279"/>
      <c r="J676" s="279"/>
      <c r="K676" s="279"/>
    </row>
    <row r="677" spans="1:11" ht="12.75">
      <c r="A677" s="425"/>
      <c r="B677" s="279"/>
      <c r="C677" s="279"/>
      <c r="D677" s="279"/>
      <c r="E677" s="279"/>
      <c r="F677" s="279"/>
      <c r="G677" s="279"/>
      <c r="H677" s="279"/>
      <c r="I677" s="279"/>
      <c r="J677" s="279"/>
      <c r="K677" s="279"/>
    </row>
    <row r="678" spans="1:11" ht="12.75">
      <c r="A678" s="425"/>
      <c r="B678" s="279"/>
      <c r="C678" s="279"/>
      <c r="D678" s="279"/>
      <c r="E678" s="279"/>
      <c r="F678" s="279"/>
      <c r="G678" s="279"/>
      <c r="H678" s="279"/>
      <c r="I678" s="279"/>
      <c r="J678" s="279"/>
      <c r="K678" s="279"/>
    </row>
    <row r="679" spans="1:11" ht="12.75">
      <c r="A679" s="425"/>
      <c r="B679" s="279"/>
      <c r="C679" s="279"/>
      <c r="D679" s="279"/>
      <c r="E679" s="279"/>
      <c r="F679" s="279"/>
      <c r="G679" s="279"/>
      <c r="H679" s="279"/>
      <c r="I679" s="279"/>
      <c r="J679" s="279"/>
      <c r="K679" s="279"/>
    </row>
    <row r="680" spans="1:11" ht="12.75">
      <c r="A680" s="425"/>
      <c r="B680" s="279"/>
      <c r="C680" s="279"/>
      <c r="D680" s="279"/>
      <c r="E680" s="279"/>
      <c r="F680" s="279"/>
      <c r="G680" s="279"/>
      <c r="H680" s="279"/>
      <c r="I680" s="279"/>
      <c r="J680" s="279"/>
      <c r="K680" s="279"/>
    </row>
    <row r="681" spans="1:11" ht="12.75">
      <c r="A681" s="425"/>
      <c r="B681" s="279"/>
      <c r="C681" s="279"/>
      <c r="D681" s="279"/>
      <c r="E681" s="279"/>
      <c r="F681" s="279"/>
      <c r="G681" s="279"/>
      <c r="H681" s="279"/>
      <c r="I681" s="279"/>
      <c r="J681" s="279"/>
      <c r="K681" s="279"/>
    </row>
    <row r="682" spans="1:11" ht="12.75">
      <c r="A682" s="425"/>
      <c r="B682" s="279"/>
      <c r="C682" s="279"/>
      <c r="D682" s="279"/>
      <c r="E682" s="279"/>
      <c r="F682" s="279"/>
      <c r="G682" s="279"/>
      <c r="H682" s="279"/>
      <c r="I682" s="279"/>
      <c r="J682" s="279"/>
      <c r="K682" s="279"/>
    </row>
    <row r="683" spans="1:11" ht="12.75">
      <c r="A683" s="425"/>
      <c r="B683" s="279"/>
      <c r="C683" s="279"/>
      <c r="D683" s="279"/>
      <c r="E683" s="279"/>
      <c r="F683" s="279"/>
      <c r="G683" s="279"/>
      <c r="H683" s="279"/>
      <c r="I683" s="279"/>
      <c r="J683" s="279"/>
      <c r="K683" s="279"/>
    </row>
    <row r="684" spans="1:11" ht="12.75">
      <c r="A684" s="425"/>
      <c r="B684" s="279"/>
      <c r="C684" s="279"/>
      <c r="D684" s="279"/>
      <c r="E684" s="279"/>
      <c r="F684" s="279"/>
      <c r="G684" s="279"/>
      <c r="H684" s="279"/>
      <c r="I684" s="279"/>
      <c r="J684" s="279"/>
      <c r="K684" s="279"/>
    </row>
    <row r="685" spans="1:11" ht="12.75">
      <c r="A685" s="425"/>
      <c r="B685" s="279"/>
      <c r="C685" s="279"/>
      <c r="D685" s="279"/>
      <c r="E685" s="279"/>
      <c r="F685" s="279"/>
      <c r="G685" s="279"/>
      <c r="H685" s="279"/>
      <c r="I685" s="279"/>
      <c r="J685" s="279"/>
      <c r="K685" s="279"/>
    </row>
    <row r="686" spans="1:11" ht="12.75">
      <c r="A686" s="425"/>
      <c r="B686" s="279"/>
      <c r="C686" s="279"/>
      <c r="D686" s="279"/>
      <c r="E686" s="279"/>
      <c r="F686" s="279"/>
      <c r="G686" s="279"/>
      <c r="H686" s="279"/>
      <c r="I686" s="279"/>
      <c r="J686" s="279"/>
      <c r="K686" s="279"/>
    </row>
    <row r="687" spans="1:11" ht="12.75">
      <c r="A687" s="425"/>
      <c r="B687" s="279"/>
      <c r="C687" s="279"/>
      <c r="D687" s="279"/>
      <c r="E687" s="279"/>
      <c r="F687" s="279"/>
      <c r="G687" s="279"/>
      <c r="H687" s="279"/>
      <c r="I687" s="279"/>
      <c r="J687" s="279"/>
      <c r="K687" s="279"/>
    </row>
    <row r="688" spans="1:11" ht="12.75">
      <c r="A688" s="425"/>
      <c r="B688" s="279"/>
      <c r="C688" s="279"/>
      <c r="D688" s="279"/>
      <c r="E688" s="279"/>
      <c r="F688" s="279"/>
      <c r="G688" s="279"/>
      <c r="H688" s="279"/>
      <c r="I688" s="279"/>
      <c r="J688" s="279"/>
      <c r="K688" s="279"/>
    </row>
    <row r="689" spans="1:11" ht="12.75">
      <c r="A689" s="425"/>
      <c r="B689" s="279"/>
      <c r="C689" s="279"/>
      <c r="D689" s="279"/>
      <c r="E689" s="279"/>
      <c r="F689" s="279"/>
      <c r="G689" s="279"/>
      <c r="H689" s="279"/>
      <c r="I689" s="279"/>
      <c r="J689" s="279"/>
      <c r="K689" s="279"/>
    </row>
    <row r="690" spans="1:11" ht="12.75">
      <c r="A690" s="425"/>
      <c r="B690" s="279"/>
      <c r="C690" s="279"/>
      <c r="D690" s="279"/>
      <c r="E690" s="279"/>
      <c r="F690" s="279"/>
      <c r="G690" s="279"/>
      <c r="H690" s="279"/>
      <c r="I690" s="279"/>
      <c r="J690" s="279"/>
      <c r="K690" s="279"/>
    </row>
    <row r="691" spans="1:11" ht="12.75">
      <c r="A691" s="425"/>
      <c r="B691" s="279"/>
      <c r="C691" s="279"/>
      <c r="D691" s="279"/>
      <c r="E691" s="279"/>
      <c r="F691" s="279"/>
      <c r="G691" s="279"/>
      <c r="H691" s="279"/>
      <c r="I691" s="279"/>
      <c r="J691" s="279"/>
      <c r="K691" s="279"/>
    </row>
    <row r="692" spans="1:11" ht="12.75">
      <c r="A692" s="425"/>
      <c r="B692" s="279"/>
      <c r="C692" s="279"/>
      <c r="D692" s="279"/>
      <c r="E692" s="279"/>
      <c r="F692" s="279"/>
      <c r="G692" s="279"/>
      <c r="H692" s="279"/>
      <c r="I692" s="279"/>
      <c r="J692" s="279"/>
      <c r="K692" s="279"/>
    </row>
    <row r="693" spans="1:11" ht="12.75">
      <c r="A693" s="425"/>
      <c r="B693" s="279"/>
      <c r="C693" s="279"/>
      <c r="D693" s="279"/>
      <c r="E693" s="279"/>
      <c r="F693" s="279"/>
      <c r="G693" s="279"/>
      <c r="H693" s="279"/>
      <c r="I693" s="279"/>
      <c r="J693" s="279"/>
      <c r="K693" s="279"/>
    </row>
    <row r="694" spans="1:11" ht="12.75">
      <c r="A694" s="425"/>
      <c r="B694" s="279"/>
      <c r="C694" s="279"/>
      <c r="D694" s="279"/>
      <c r="E694" s="279"/>
      <c r="F694" s="279"/>
      <c r="G694" s="279"/>
      <c r="H694" s="279"/>
      <c r="I694" s="279"/>
      <c r="J694" s="279"/>
      <c r="K694" s="279"/>
    </row>
    <row r="695" spans="1:11" ht="12.75">
      <c r="A695" s="425"/>
      <c r="B695" s="279"/>
      <c r="C695" s="279"/>
      <c r="D695" s="279"/>
      <c r="E695" s="279"/>
      <c r="F695" s="279"/>
      <c r="G695" s="279"/>
      <c r="H695" s="279"/>
      <c r="I695" s="279"/>
      <c r="J695" s="279"/>
      <c r="K695" s="279"/>
    </row>
    <row r="696" spans="1:11" ht="12.75">
      <c r="A696" s="425"/>
      <c r="B696" s="279"/>
      <c r="C696" s="279"/>
      <c r="D696" s="279"/>
      <c r="E696" s="279"/>
      <c r="F696" s="279"/>
      <c r="G696" s="279"/>
      <c r="H696" s="279"/>
      <c r="I696" s="279"/>
      <c r="J696" s="279"/>
      <c r="K696" s="279"/>
    </row>
    <row r="697" spans="1:11" ht="12.75">
      <c r="A697" s="425"/>
      <c r="B697" s="279"/>
      <c r="C697" s="279"/>
      <c r="D697" s="279"/>
      <c r="E697" s="279"/>
      <c r="F697" s="279"/>
      <c r="G697" s="279"/>
      <c r="H697" s="279"/>
      <c r="I697" s="279"/>
      <c r="J697" s="279"/>
      <c r="K697" s="279"/>
    </row>
    <row r="698" spans="1:11" ht="12.75">
      <c r="A698" s="425"/>
      <c r="B698" s="279"/>
      <c r="C698" s="279"/>
      <c r="D698" s="279"/>
      <c r="E698" s="279"/>
      <c r="F698" s="279"/>
      <c r="G698" s="279"/>
      <c r="H698" s="279"/>
      <c r="I698" s="279"/>
      <c r="J698" s="279"/>
      <c r="K698" s="279"/>
    </row>
    <row r="699" spans="1:11" ht="12.75">
      <c r="A699" s="425"/>
      <c r="B699" s="279"/>
      <c r="C699" s="279"/>
      <c r="D699" s="279"/>
      <c r="E699" s="279"/>
      <c r="F699" s="279"/>
      <c r="G699" s="279"/>
      <c r="H699" s="279"/>
      <c r="I699" s="279"/>
      <c r="J699" s="279"/>
      <c r="K699" s="279"/>
    </row>
    <row r="700" spans="1:11" ht="12.75">
      <c r="A700" s="425"/>
      <c r="B700" s="279"/>
      <c r="C700" s="279"/>
      <c r="D700" s="279"/>
      <c r="E700" s="279"/>
      <c r="F700" s="279"/>
      <c r="G700" s="279"/>
      <c r="H700" s="279"/>
      <c r="I700" s="279"/>
      <c r="J700" s="279"/>
      <c r="K700" s="279"/>
    </row>
    <row r="701" spans="1:11" ht="12.75">
      <c r="A701" s="425"/>
      <c r="B701" s="279"/>
      <c r="C701" s="279"/>
      <c r="D701" s="279"/>
      <c r="E701" s="279"/>
      <c r="F701" s="279"/>
      <c r="G701" s="279"/>
      <c r="H701" s="279"/>
      <c r="I701" s="279"/>
      <c r="J701" s="279"/>
      <c r="K701" s="279"/>
    </row>
    <row r="702" spans="1:11" ht="12.75">
      <c r="A702" s="425"/>
      <c r="B702" s="279"/>
      <c r="C702" s="279"/>
      <c r="D702" s="279"/>
      <c r="E702" s="279"/>
      <c r="F702" s="279"/>
      <c r="G702" s="279"/>
      <c r="H702" s="279"/>
      <c r="I702" s="279"/>
      <c r="J702" s="279"/>
      <c r="K702" s="279"/>
    </row>
    <row r="703" spans="1:11" ht="12.75">
      <c r="A703" s="425"/>
      <c r="B703" s="279"/>
      <c r="C703" s="279"/>
      <c r="D703" s="279"/>
      <c r="E703" s="279"/>
      <c r="F703" s="279"/>
      <c r="G703" s="279"/>
      <c r="H703" s="279"/>
      <c r="I703" s="279"/>
      <c r="J703" s="279"/>
      <c r="K703" s="279"/>
    </row>
    <row r="704" spans="1:11" ht="12.75">
      <c r="A704" s="425"/>
      <c r="B704" s="279"/>
      <c r="C704" s="279"/>
      <c r="D704" s="279"/>
      <c r="E704" s="279"/>
      <c r="F704" s="279"/>
      <c r="G704" s="279"/>
      <c r="H704" s="279"/>
      <c r="I704" s="279"/>
      <c r="J704" s="279"/>
      <c r="K704" s="279"/>
    </row>
    <row r="705" spans="1:11" ht="12.75">
      <c r="A705" s="425"/>
      <c r="B705" s="279"/>
      <c r="C705" s="279"/>
      <c r="D705" s="279"/>
      <c r="E705" s="279"/>
      <c r="F705" s="279"/>
      <c r="G705" s="279"/>
      <c r="H705" s="279"/>
      <c r="I705" s="279"/>
      <c r="J705" s="279"/>
      <c r="K705" s="279"/>
    </row>
    <row r="706" spans="1:11" ht="12.75">
      <c r="A706" s="425"/>
      <c r="B706" s="279"/>
      <c r="C706" s="279"/>
      <c r="D706" s="279"/>
      <c r="E706" s="279"/>
      <c r="F706" s="279"/>
      <c r="G706" s="279"/>
      <c r="H706" s="279"/>
      <c r="I706" s="279"/>
      <c r="J706" s="279"/>
      <c r="K706" s="279"/>
    </row>
    <row r="707" spans="1:11" ht="12.75">
      <c r="A707" s="425"/>
      <c r="B707" s="279"/>
      <c r="C707" s="279"/>
      <c r="D707" s="279"/>
      <c r="E707" s="279"/>
      <c r="F707" s="279"/>
      <c r="G707" s="279"/>
      <c r="H707" s="279"/>
      <c r="I707" s="279"/>
      <c r="J707" s="279"/>
      <c r="K707" s="279"/>
    </row>
    <row r="708" spans="1:11" ht="12.75">
      <c r="A708" s="425"/>
      <c r="B708" s="279"/>
      <c r="C708" s="279"/>
      <c r="D708" s="279"/>
      <c r="E708" s="279"/>
      <c r="F708" s="279"/>
      <c r="G708" s="279"/>
      <c r="H708" s="279"/>
      <c r="I708" s="279"/>
      <c r="J708" s="279"/>
      <c r="K708" s="279"/>
    </row>
    <row r="709" spans="1:11" ht="12.75">
      <c r="A709" s="425"/>
      <c r="B709" s="279"/>
      <c r="C709" s="279"/>
      <c r="D709" s="279"/>
      <c r="E709" s="279"/>
      <c r="F709" s="279"/>
      <c r="G709" s="279"/>
      <c r="H709" s="279"/>
      <c r="I709" s="279"/>
      <c r="J709" s="279"/>
      <c r="K709" s="279"/>
    </row>
    <row r="710" spans="1:11" ht="12.75">
      <c r="A710" s="425"/>
      <c r="B710" s="279"/>
      <c r="C710" s="279"/>
      <c r="D710" s="279"/>
      <c r="E710" s="279"/>
      <c r="F710" s="279"/>
      <c r="G710" s="279"/>
      <c r="H710" s="279"/>
      <c r="I710" s="279"/>
      <c r="J710" s="279"/>
      <c r="K710" s="279"/>
    </row>
    <row r="711" spans="1:11" ht="12.75">
      <c r="A711" s="425"/>
      <c r="B711" s="279"/>
      <c r="C711" s="279"/>
      <c r="D711" s="279"/>
      <c r="E711" s="279"/>
      <c r="F711" s="279"/>
      <c r="G711" s="279"/>
      <c r="H711" s="279"/>
      <c r="I711" s="279"/>
      <c r="J711" s="279"/>
      <c r="K711" s="279"/>
    </row>
    <row r="712" spans="1:11" ht="12.75">
      <c r="A712" s="425"/>
      <c r="B712" s="279"/>
      <c r="C712" s="279"/>
      <c r="D712" s="279"/>
      <c r="E712" s="279"/>
      <c r="F712" s="279"/>
      <c r="G712" s="279"/>
      <c r="H712" s="279"/>
      <c r="I712" s="279"/>
      <c r="J712" s="279"/>
      <c r="K712" s="279"/>
    </row>
    <row r="713" spans="1:11" ht="12.75">
      <c r="A713" s="425"/>
      <c r="B713" s="279"/>
      <c r="C713" s="279"/>
      <c r="D713" s="279"/>
      <c r="E713" s="279"/>
      <c r="F713" s="279"/>
      <c r="G713" s="279"/>
      <c r="H713" s="279"/>
      <c r="I713" s="279"/>
      <c r="J713" s="279"/>
      <c r="K713" s="279"/>
    </row>
    <row r="714" spans="1:11" ht="12.75">
      <c r="A714" s="425"/>
      <c r="B714" s="279"/>
      <c r="C714" s="279"/>
      <c r="D714" s="279"/>
      <c r="E714" s="279"/>
      <c r="F714" s="279"/>
      <c r="G714" s="279"/>
      <c r="H714" s="279"/>
      <c r="I714" s="279"/>
      <c r="J714" s="279"/>
      <c r="K714" s="279"/>
    </row>
    <row r="715" spans="1:11" ht="12.75">
      <c r="A715" s="425"/>
      <c r="B715" s="279"/>
      <c r="C715" s="279"/>
      <c r="D715" s="279"/>
      <c r="E715" s="279"/>
      <c r="F715" s="428"/>
      <c r="G715" s="279"/>
      <c r="H715" s="279"/>
      <c r="I715" s="279"/>
      <c r="J715" s="279"/>
      <c r="K715" s="279"/>
    </row>
    <row r="716" spans="1:11" ht="12.75">
      <c r="A716" s="425"/>
      <c r="B716" s="279"/>
      <c r="C716" s="279"/>
      <c r="D716" s="279"/>
      <c r="E716" s="279"/>
      <c r="F716" s="428"/>
      <c r="G716" s="279"/>
      <c r="H716" s="279"/>
      <c r="I716" s="279"/>
      <c r="J716" s="279"/>
      <c r="K716" s="279"/>
    </row>
    <row r="717" spans="1:11" ht="12.75">
      <c r="A717" s="425"/>
      <c r="B717" s="279"/>
      <c r="C717" s="279"/>
      <c r="D717" s="279"/>
      <c r="E717" s="279"/>
      <c r="F717" s="428"/>
      <c r="G717" s="279"/>
      <c r="H717" s="279"/>
      <c r="I717" s="279"/>
      <c r="J717" s="279"/>
      <c r="K717" s="279"/>
    </row>
    <row r="718" spans="1:11" ht="12.75">
      <c r="A718" s="425"/>
      <c r="B718" s="279"/>
      <c r="C718" s="279"/>
      <c r="D718" s="279"/>
      <c r="E718" s="279"/>
      <c r="F718" s="428"/>
      <c r="G718" s="279"/>
      <c r="H718" s="279"/>
      <c r="I718" s="279"/>
      <c r="J718" s="279"/>
      <c r="K718" s="279"/>
    </row>
    <row r="719" spans="1:11" ht="12.75">
      <c r="A719" s="425"/>
      <c r="B719" s="279"/>
      <c r="C719" s="279"/>
      <c r="D719" s="279"/>
      <c r="E719" s="279"/>
      <c r="F719" s="428"/>
      <c r="G719" s="279"/>
      <c r="H719" s="279"/>
      <c r="I719" s="279"/>
      <c r="J719" s="279"/>
      <c r="K719" s="279"/>
    </row>
    <row r="720" spans="1:11" ht="12.75">
      <c r="A720" s="425"/>
      <c r="B720" s="279"/>
      <c r="C720" s="279"/>
      <c r="D720" s="279"/>
      <c r="E720" s="279"/>
      <c r="F720" s="428"/>
      <c r="G720" s="279"/>
      <c r="H720" s="279"/>
      <c r="I720" s="279"/>
      <c r="J720" s="279"/>
      <c r="K720" s="279"/>
    </row>
    <row r="721" spans="1:11" ht="12.75">
      <c r="A721" s="425"/>
      <c r="B721" s="279"/>
      <c r="C721" s="279"/>
      <c r="D721" s="279"/>
      <c r="E721" s="279"/>
      <c r="F721" s="428"/>
      <c r="G721" s="279"/>
      <c r="H721" s="279"/>
      <c r="I721" s="279"/>
      <c r="J721" s="279"/>
      <c r="K721" s="279"/>
    </row>
    <row r="722" spans="1:11" ht="12.75">
      <c r="A722" s="425"/>
      <c r="B722" s="279"/>
      <c r="C722" s="279"/>
      <c r="D722" s="279"/>
      <c r="E722" s="279"/>
      <c r="F722" s="428"/>
      <c r="G722" s="279"/>
      <c r="H722" s="279"/>
      <c r="I722" s="279"/>
      <c r="J722" s="279"/>
      <c r="K722" s="279"/>
    </row>
    <row r="723" spans="1:11" ht="12.75">
      <c r="A723" s="425"/>
      <c r="B723" s="279"/>
      <c r="C723" s="279"/>
      <c r="D723" s="279"/>
      <c r="E723" s="279"/>
      <c r="F723" s="428"/>
      <c r="G723" s="279"/>
      <c r="H723" s="279"/>
      <c r="I723" s="279"/>
      <c r="J723" s="279"/>
      <c r="K723" s="279"/>
    </row>
    <row r="724" spans="1:11" ht="12.75">
      <c r="A724" s="425"/>
      <c r="B724" s="279"/>
      <c r="C724" s="279"/>
      <c r="D724" s="279"/>
      <c r="E724" s="279"/>
      <c r="F724" s="428"/>
      <c r="G724" s="279"/>
      <c r="H724" s="279"/>
      <c r="I724" s="279"/>
      <c r="J724" s="279"/>
      <c r="K724" s="279"/>
    </row>
    <row r="725" spans="1:11" ht="12.75">
      <c r="A725" s="425"/>
      <c r="B725" s="279"/>
      <c r="C725" s="279"/>
      <c r="D725" s="279"/>
      <c r="E725" s="279"/>
      <c r="F725" s="428"/>
      <c r="G725" s="279"/>
      <c r="H725" s="279"/>
      <c r="I725" s="279"/>
      <c r="J725" s="279"/>
      <c r="K725" s="279"/>
    </row>
    <row r="726" spans="1:11" ht="12.75">
      <c r="A726" s="425"/>
      <c r="B726" s="279"/>
      <c r="C726" s="279"/>
      <c r="D726" s="279"/>
      <c r="E726" s="279"/>
      <c r="F726" s="428"/>
      <c r="G726" s="279"/>
      <c r="H726" s="279"/>
      <c r="I726" s="279"/>
      <c r="J726" s="279"/>
      <c r="K726" s="279"/>
    </row>
    <row r="727" spans="1:11" ht="12.75">
      <c r="A727" s="425"/>
      <c r="B727" s="279"/>
      <c r="C727" s="279"/>
      <c r="D727" s="279"/>
      <c r="E727" s="279"/>
      <c r="F727" s="428"/>
      <c r="G727" s="279"/>
      <c r="H727" s="279"/>
      <c r="I727" s="279"/>
      <c r="J727" s="279"/>
      <c r="K727" s="279"/>
    </row>
    <row r="728" spans="1:11" ht="12.75">
      <c r="A728" s="425"/>
      <c r="B728" s="279"/>
      <c r="C728" s="279"/>
      <c r="D728" s="279"/>
      <c r="E728" s="279"/>
      <c r="F728" s="428"/>
      <c r="G728" s="279"/>
      <c r="H728" s="279"/>
      <c r="I728" s="279"/>
      <c r="J728" s="279"/>
      <c r="K728" s="279"/>
    </row>
    <row r="729" spans="1:11" ht="12.75">
      <c r="A729" s="425"/>
      <c r="B729" s="279"/>
      <c r="C729" s="279"/>
      <c r="D729" s="279"/>
      <c r="E729" s="279"/>
      <c r="F729" s="428"/>
      <c r="G729" s="279"/>
      <c r="H729" s="279"/>
      <c r="I729" s="279"/>
      <c r="J729" s="279"/>
      <c r="K729" s="279"/>
    </row>
    <row r="730" spans="1:11" ht="12.75">
      <c r="A730" s="425"/>
      <c r="B730" s="279"/>
      <c r="C730" s="279"/>
      <c r="D730" s="279"/>
      <c r="E730" s="279"/>
      <c r="F730" s="428"/>
      <c r="G730" s="279"/>
      <c r="H730" s="279"/>
      <c r="I730" s="279"/>
      <c r="J730" s="279"/>
      <c r="K730" s="279"/>
    </row>
    <row r="731" spans="1:11" ht="12.75">
      <c r="A731" s="425"/>
      <c r="B731" s="279"/>
      <c r="C731" s="279"/>
      <c r="D731" s="279"/>
      <c r="E731" s="279"/>
      <c r="F731" s="428"/>
      <c r="G731" s="279"/>
      <c r="H731" s="279"/>
      <c r="I731" s="279"/>
      <c r="J731" s="279"/>
      <c r="K731" s="279"/>
    </row>
    <row r="732" spans="1:11" ht="12.75">
      <c r="A732" s="425"/>
      <c r="B732" s="279"/>
      <c r="C732" s="279"/>
      <c r="D732" s="279"/>
      <c r="E732" s="279"/>
      <c r="F732" s="428"/>
      <c r="G732" s="279"/>
      <c r="H732" s="279"/>
      <c r="I732" s="279"/>
      <c r="J732" s="279"/>
      <c r="K732" s="279"/>
    </row>
    <row r="733" spans="1:11" ht="12.75">
      <c r="A733" s="425"/>
      <c r="B733" s="279"/>
      <c r="C733" s="279"/>
      <c r="D733" s="279"/>
      <c r="E733" s="279"/>
      <c r="F733" s="428"/>
      <c r="G733" s="279"/>
      <c r="H733" s="279"/>
      <c r="I733" s="279"/>
      <c r="J733" s="279"/>
      <c r="K733" s="279"/>
    </row>
    <row r="734" spans="1:11" ht="12.75">
      <c r="A734" s="425"/>
      <c r="B734" s="279"/>
      <c r="C734" s="279"/>
      <c r="D734" s="279"/>
      <c r="E734" s="279"/>
      <c r="F734" s="428"/>
      <c r="G734" s="279"/>
      <c r="H734" s="279"/>
      <c r="I734" s="279"/>
      <c r="J734" s="279"/>
      <c r="K734" s="279"/>
    </row>
    <row r="735" spans="1:11" ht="12.75">
      <c r="A735" s="425"/>
      <c r="B735" s="279"/>
      <c r="C735" s="279"/>
      <c r="D735" s="279"/>
      <c r="E735" s="279"/>
      <c r="F735" s="428"/>
      <c r="G735" s="279"/>
      <c r="H735" s="279"/>
      <c r="I735" s="279"/>
      <c r="J735" s="279"/>
      <c r="K735" s="279"/>
    </row>
    <row r="736" spans="1:11" ht="12.75">
      <c r="A736" s="425"/>
      <c r="B736" s="279"/>
      <c r="C736" s="279"/>
      <c r="D736" s="279"/>
      <c r="E736" s="279"/>
      <c r="F736" s="428"/>
      <c r="G736" s="279"/>
      <c r="H736" s="279"/>
      <c r="I736" s="279"/>
      <c r="J736" s="279"/>
      <c r="K736" s="279"/>
    </row>
    <row r="737" spans="1:11" ht="12.75">
      <c r="A737" s="425"/>
      <c r="B737" s="279"/>
      <c r="C737" s="279"/>
      <c r="D737" s="279"/>
      <c r="E737" s="279"/>
      <c r="F737" s="428"/>
      <c r="G737" s="279"/>
      <c r="H737" s="279"/>
      <c r="I737" s="279"/>
      <c r="J737" s="279"/>
      <c r="K737" s="279"/>
    </row>
    <row r="738" spans="1:11" ht="12.75">
      <c r="A738" s="425"/>
      <c r="B738" s="279"/>
      <c r="C738" s="279"/>
      <c r="D738" s="279"/>
      <c r="E738" s="279"/>
      <c r="F738" s="428"/>
      <c r="G738" s="279"/>
      <c r="H738" s="279"/>
      <c r="I738" s="279"/>
      <c r="J738" s="279"/>
      <c r="K738" s="279"/>
    </row>
    <row r="739" spans="1:11" ht="12.75">
      <c r="A739" s="425"/>
      <c r="B739" s="279"/>
      <c r="C739" s="279"/>
      <c r="D739" s="279"/>
      <c r="E739" s="279"/>
      <c r="F739" s="428"/>
      <c r="G739" s="279"/>
      <c r="H739" s="279"/>
      <c r="I739" s="279"/>
      <c r="J739" s="279"/>
      <c r="K739" s="279"/>
    </row>
    <row r="740" spans="1:11" ht="12.75">
      <c r="A740" s="425"/>
      <c r="B740" s="279"/>
      <c r="C740" s="279"/>
      <c r="D740" s="279"/>
      <c r="E740" s="279"/>
      <c r="F740" s="428"/>
      <c r="G740" s="279"/>
      <c r="H740" s="279"/>
      <c r="I740" s="279"/>
      <c r="J740" s="279"/>
      <c r="K740" s="279"/>
    </row>
    <row r="741" spans="1:11" ht="12.75">
      <c r="A741" s="425"/>
      <c r="B741" s="279"/>
      <c r="C741" s="279"/>
      <c r="D741" s="279"/>
      <c r="E741" s="279"/>
      <c r="F741" s="428"/>
      <c r="G741" s="279"/>
      <c r="H741" s="279"/>
      <c r="I741" s="279"/>
      <c r="J741" s="279"/>
      <c r="K741" s="279"/>
    </row>
    <row r="742" spans="1:11" ht="12.75">
      <c r="A742" s="425"/>
      <c r="B742" s="279"/>
      <c r="C742" s="279"/>
      <c r="D742" s="279"/>
      <c r="E742" s="279"/>
      <c r="F742" s="428"/>
      <c r="G742" s="279"/>
      <c r="H742" s="279"/>
      <c r="I742" s="279"/>
      <c r="J742" s="279"/>
      <c r="K742" s="279"/>
    </row>
    <row r="743" spans="1:11" ht="12.75">
      <c r="A743" s="425"/>
      <c r="B743" s="279"/>
      <c r="C743" s="279"/>
      <c r="D743" s="279"/>
      <c r="E743" s="279"/>
      <c r="F743" s="428"/>
      <c r="G743" s="279"/>
      <c r="H743" s="279"/>
      <c r="I743" s="279"/>
      <c r="J743" s="279"/>
      <c r="K743" s="279"/>
    </row>
    <row r="744" spans="1:11" ht="12.75">
      <c r="A744" s="425"/>
      <c r="B744" s="279"/>
      <c r="C744" s="279"/>
      <c r="D744" s="279"/>
      <c r="E744" s="279"/>
      <c r="F744" s="428"/>
      <c r="G744" s="279"/>
      <c r="H744" s="279"/>
      <c r="I744" s="279"/>
      <c r="J744" s="279"/>
      <c r="K744" s="279"/>
    </row>
    <row r="745" spans="1:11" ht="12.75">
      <c r="A745" s="425"/>
      <c r="B745" s="279"/>
      <c r="C745" s="279"/>
      <c r="D745" s="279"/>
      <c r="E745" s="279"/>
      <c r="F745" s="428"/>
      <c r="G745" s="279"/>
      <c r="H745" s="279"/>
      <c r="I745" s="279"/>
      <c r="J745" s="279"/>
      <c r="K745" s="279"/>
    </row>
    <row r="746" spans="1:11" ht="12.75">
      <c r="A746" s="425"/>
      <c r="B746" s="279"/>
      <c r="C746" s="279"/>
      <c r="D746" s="279"/>
      <c r="E746" s="279"/>
      <c r="F746" s="428"/>
      <c r="G746" s="279"/>
      <c r="H746" s="279"/>
      <c r="I746" s="279"/>
      <c r="J746" s="279"/>
      <c r="K746" s="279"/>
    </row>
    <row r="747" spans="1:11" ht="12.75">
      <c r="A747" s="425"/>
      <c r="B747" s="279"/>
      <c r="C747" s="279"/>
      <c r="D747" s="279"/>
      <c r="E747" s="279"/>
      <c r="F747" s="428"/>
      <c r="G747" s="279"/>
      <c r="H747" s="279"/>
      <c r="I747" s="279"/>
      <c r="J747" s="279"/>
      <c r="K747" s="279"/>
    </row>
    <row r="748" spans="1:11" ht="12.75">
      <c r="A748" s="425"/>
      <c r="B748" s="279"/>
      <c r="C748" s="279"/>
      <c r="D748" s="279"/>
      <c r="E748" s="279"/>
      <c r="F748" s="428"/>
      <c r="G748" s="279"/>
      <c r="H748" s="279"/>
      <c r="I748" s="279"/>
      <c r="J748" s="279"/>
      <c r="K748" s="279"/>
    </row>
    <row r="749" spans="1:11" ht="12.75">
      <c r="A749" s="425"/>
      <c r="B749" s="279"/>
      <c r="C749" s="279"/>
      <c r="D749" s="279"/>
      <c r="E749" s="279"/>
      <c r="F749" s="428"/>
      <c r="G749" s="279"/>
      <c r="H749" s="279"/>
      <c r="I749" s="279"/>
      <c r="J749" s="279"/>
      <c r="K749" s="279"/>
    </row>
    <row r="750" spans="1:11" ht="12.75">
      <c r="A750" s="425"/>
      <c r="B750" s="279"/>
      <c r="C750" s="279"/>
      <c r="D750" s="279"/>
      <c r="E750" s="279"/>
      <c r="F750" s="428"/>
      <c r="G750" s="279"/>
      <c r="H750" s="279"/>
      <c r="I750" s="279"/>
      <c r="J750" s="279"/>
      <c r="K750" s="279"/>
    </row>
    <row r="751" spans="1:11" ht="12.75">
      <c r="A751" s="425"/>
      <c r="B751" s="279"/>
      <c r="C751" s="279"/>
      <c r="D751" s="279"/>
      <c r="E751" s="279"/>
      <c r="F751" s="428"/>
      <c r="G751" s="279"/>
      <c r="H751" s="279"/>
      <c r="I751" s="279"/>
      <c r="J751" s="279"/>
      <c r="K751" s="279"/>
    </row>
    <row r="752" spans="1:11" ht="12.75">
      <c r="A752" s="425"/>
      <c r="B752" s="279"/>
      <c r="C752" s="279"/>
      <c r="D752" s="279"/>
      <c r="E752" s="279"/>
      <c r="F752" s="428"/>
      <c r="G752" s="279"/>
      <c r="H752" s="279"/>
      <c r="I752" s="279"/>
      <c r="J752" s="279"/>
      <c r="K752" s="279"/>
    </row>
    <row r="753" spans="1:11" ht="12.75">
      <c r="A753" s="425"/>
      <c r="B753" s="279"/>
      <c r="C753" s="279"/>
      <c r="D753" s="279"/>
      <c r="E753" s="279"/>
      <c r="F753" s="428"/>
      <c r="G753" s="279"/>
      <c r="H753" s="279"/>
      <c r="I753" s="279"/>
      <c r="J753" s="279"/>
      <c r="K753" s="279"/>
    </row>
    <row r="754" spans="1:11" ht="12.75">
      <c r="A754" s="425"/>
      <c r="B754" s="279"/>
      <c r="C754" s="279"/>
      <c r="D754" s="279"/>
      <c r="E754" s="279"/>
      <c r="F754" s="428"/>
      <c r="G754" s="279"/>
      <c r="H754" s="279"/>
      <c r="I754" s="279"/>
      <c r="J754" s="279"/>
      <c r="K754" s="279"/>
    </row>
    <row r="755" spans="1:11" ht="12.75">
      <c r="A755" s="425"/>
      <c r="B755" s="279"/>
      <c r="C755" s="279"/>
      <c r="D755" s="279"/>
      <c r="E755" s="279"/>
      <c r="F755" s="428"/>
      <c r="G755" s="279"/>
      <c r="H755" s="279"/>
      <c r="I755" s="279"/>
      <c r="J755" s="279"/>
      <c r="K755" s="279"/>
    </row>
    <row r="756" spans="1:11" ht="12.75">
      <c r="A756" s="425"/>
      <c r="B756" s="279"/>
      <c r="C756" s="279"/>
      <c r="D756" s="279"/>
      <c r="E756" s="279"/>
      <c r="F756" s="428"/>
      <c r="G756" s="279"/>
      <c r="H756" s="279"/>
      <c r="I756" s="279"/>
      <c r="J756" s="279"/>
      <c r="K756" s="279"/>
    </row>
    <row r="757" spans="1:11" ht="12.75">
      <c r="A757" s="425"/>
      <c r="B757" s="279"/>
      <c r="C757" s="279"/>
      <c r="D757" s="279"/>
      <c r="E757" s="279"/>
      <c r="F757" s="428"/>
      <c r="G757" s="279"/>
      <c r="H757" s="279"/>
      <c r="I757" s="279"/>
      <c r="J757" s="279"/>
      <c r="K757" s="279"/>
    </row>
    <row r="758" spans="1:11" ht="12.75">
      <c r="A758" s="425"/>
      <c r="B758" s="279"/>
      <c r="C758" s="279"/>
      <c r="D758" s="279"/>
      <c r="E758" s="279"/>
      <c r="F758" s="428"/>
      <c r="G758" s="279"/>
      <c r="H758" s="279"/>
      <c r="I758" s="279"/>
      <c r="J758" s="279"/>
      <c r="K758" s="279"/>
    </row>
    <row r="759" spans="1:11" ht="12.75">
      <c r="A759" s="425"/>
      <c r="B759" s="279"/>
      <c r="C759" s="279"/>
      <c r="D759" s="279"/>
      <c r="E759" s="279"/>
      <c r="F759" s="428"/>
      <c r="G759" s="279"/>
      <c r="H759" s="279"/>
      <c r="I759" s="279"/>
      <c r="J759" s="279"/>
      <c r="K759" s="279"/>
    </row>
    <row r="760" spans="1:11" ht="12.75">
      <c r="A760" s="425"/>
      <c r="B760" s="279"/>
      <c r="C760" s="279"/>
      <c r="D760" s="279"/>
      <c r="E760" s="279"/>
      <c r="F760" s="428"/>
      <c r="G760" s="279"/>
      <c r="H760" s="279"/>
      <c r="I760" s="279"/>
      <c r="J760" s="279"/>
      <c r="K760" s="279"/>
    </row>
    <row r="761" spans="1:11" ht="12.75">
      <c r="A761" s="425"/>
      <c r="B761" s="279"/>
      <c r="C761" s="279"/>
      <c r="D761" s="279"/>
      <c r="E761" s="279"/>
      <c r="F761" s="428"/>
      <c r="G761" s="279"/>
      <c r="H761" s="279"/>
      <c r="I761" s="279"/>
      <c r="J761" s="279"/>
      <c r="K761" s="279"/>
    </row>
    <row r="762" spans="1:11" ht="12.75">
      <c r="A762" s="425"/>
      <c r="B762" s="279"/>
      <c r="C762" s="279"/>
      <c r="D762" s="279"/>
      <c r="E762" s="279"/>
      <c r="F762" s="428"/>
      <c r="G762" s="279"/>
      <c r="H762" s="279"/>
      <c r="I762" s="279"/>
      <c r="J762" s="279"/>
      <c r="K762" s="279"/>
    </row>
    <row r="763" spans="1:11" ht="12.75">
      <c r="A763" s="425"/>
      <c r="B763" s="279"/>
      <c r="C763" s="279"/>
      <c r="D763" s="279"/>
      <c r="E763" s="279"/>
      <c r="F763" s="428"/>
      <c r="G763" s="279"/>
      <c r="H763" s="279"/>
      <c r="I763" s="279"/>
      <c r="J763" s="279"/>
      <c r="K763" s="279"/>
    </row>
    <row r="764" spans="1:11" ht="12.75">
      <c r="A764" s="425"/>
      <c r="B764" s="279"/>
      <c r="C764" s="279"/>
      <c r="D764" s="279"/>
      <c r="E764" s="279"/>
      <c r="F764" s="428"/>
      <c r="G764" s="279"/>
      <c r="H764" s="279"/>
      <c r="I764" s="279"/>
      <c r="J764" s="279"/>
      <c r="K764" s="279"/>
    </row>
    <row r="765" spans="1:11" ht="12.75">
      <c r="A765" s="425"/>
      <c r="B765" s="279"/>
      <c r="C765" s="279"/>
      <c r="D765" s="279"/>
      <c r="E765" s="279"/>
      <c r="F765" s="428"/>
      <c r="G765" s="279"/>
      <c r="H765" s="279"/>
      <c r="I765" s="279"/>
      <c r="J765" s="279"/>
      <c r="K765" s="279"/>
    </row>
    <row r="766" spans="1:11" ht="12.75">
      <c r="A766" s="425"/>
      <c r="B766" s="279"/>
      <c r="C766" s="279"/>
      <c r="D766" s="279"/>
      <c r="E766" s="279"/>
      <c r="F766" s="428"/>
      <c r="G766" s="279"/>
      <c r="H766" s="279"/>
      <c r="I766" s="279"/>
      <c r="J766" s="279"/>
      <c r="K766" s="279"/>
    </row>
    <row r="767" spans="1:11" ht="12.75">
      <c r="A767" s="425"/>
      <c r="B767" s="279"/>
      <c r="C767" s="279"/>
      <c r="D767" s="279"/>
      <c r="E767" s="279"/>
      <c r="F767" s="428"/>
      <c r="G767" s="279"/>
      <c r="H767" s="279"/>
      <c r="I767" s="279"/>
      <c r="J767" s="279"/>
      <c r="K767" s="279"/>
    </row>
    <row r="768" spans="1:11" ht="12.75">
      <c r="A768" s="425"/>
      <c r="B768" s="279"/>
      <c r="C768" s="279"/>
      <c r="D768" s="279"/>
      <c r="E768" s="279"/>
      <c r="F768" s="428"/>
      <c r="G768" s="279"/>
      <c r="H768" s="279"/>
      <c r="I768" s="279"/>
      <c r="J768" s="279"/>
      <c r="K768" s="279"/>
    </row>
    <row r="769" spans="1:11" ht="12.75">
      <c r="A769" s="425"/>
      <c r="B769" s="279"/>
      <c r="C769" s="279"/>
      <c r="D769" s="279"/>
      <c r="E769" s="279"/>
      <c r="F769" s="428"/>
      <c r="G769" s="279"/>
      <c r="H769" s="279"/>
      <c r="I769" s="279"/>
      <c r="J769" s="279"/>
      <c r="K769" s="279"/>
    </row>
    <row r="770" spans="1:11" ht="12.75">
      <c r="A770" s="425"/>
      <c r="B770" s="279"/>
      <c r="C770" s="279"/>
      <c r="D770" s="279"/>
      <c r="E770" s="279"/>
      <c r="F770" s="428"/>
      <c r="G770" s="279"/>
      <c r="H770" s="279"/>
      <c r="I770" s="279"/>
      <c r="J770" s="279"/>
      <c r="K770" s="279"/>
    </row>
    <row r="771" spans="1:11" ht="12.75">
      <c r="A771" s="425"/>
      <c r="B771" s="279"/>
      <c r="C771" s="279"/>
      <c r="D771" s="279"/>
      <c r="E771" s="279"/>
      <c r="F771" s="428"/>
      <c r="G771" s="279"/>
      <c r="H771" s="279"/>
      <c r="I771" s="279"/>
      <c r="J771" s="279"/>
      <c r="K771" s="279"/>
    </row>
    <row r="772" spans="1:11" ht="12.75">
      <c r="A772" s="425"/>
      <c r="B772" s="279"/>
      <c r="C772" s="279"/>
      <c r="D772" s="279"/>
      <c r="E772" s="279"/>
      <c r="F772" s="428"/>
      <c r="G772" s="279"/>
      <c r="H772" s="279"/>
      <c r="I772" s="279"/>
      <c r="J772" s="279"/>
      <c r="K772" s="279"/>
    </row>
    <row r="773" spans="1:11" ht="12.75">
      <c r="A773" s="425"/>
      <c r="B773" s="279"/>
      <c r="C773" s="279"/>
      <c r="D773" s="279"/>
      <c r="E773" s="279"/>
      <c r="F773" s="428"/>
      <c r="G773" s="279"/>
      <c r="H773" s="279"/>
      <c r="I773" s="279"/>
      <c r="J773" s="279"/>
      <c r="K773" s="279"/>
    </row>
    <row r="774" spans="1:11" ht="12.75">
      <c r="A774" s="425"/>
      <c r="B774" s="279"/>
      <c r="C774" s="279"/>
      <c r="D774" s="279"/>
      <c r="E774" s="279"/>
      <c r="F774" s="428"/>
      <c r="G774" s="279"/>
      <c r="H774" s="279"/>
      <c r="I774" s="279"/>
      <c r="J774" s="279"/>
      <c r="K774" s="279"/>
    </row>
    <row r="775" spans="1:11" ht="12.75">
      <c r="A775" s="425"/>
      <c r="B775" s="279"/>
      <c r="C775" s="279"/>
      <c r="D775" s="279"/>
      <c r="E775" s="279"/>
      <c r="F775" s="428"/>
      <c r="G775" s="279"/>
      <c r="H775" s="279"/>
      <c r="I775" s="279"/>
      <c r="J775" s="279"/>
      <c r="K775" s="279"/>
    </row>
    <row r="776" spans="1:11" ht="12.75">
      <c r="A776" s="425"/>
      <c r="B776" s="279"/>
      <c r="C776" s="279"/>
      <c r="D776" s="279"/>
      <c r="E776" s="279"/>
      <c r="F776" s="428"/>
      <c r="G776" s="279"/>
      <c r="H776" s="279"/>
      <c r="I776" s="279"/>
      <c r="J776" s="279"/>
      <c r="K776" s="279"/>
    </row>
    <row r="777" spans="1:11" ht="12.75">
      <c r="A777" s="425"/>
      <c r="B777" s="279"/>
      <c r="C777" s="279"/>
      <c r="D777" s="279"/>
      <c r="E777" s="279"/>
      <c r="F777" s="428"/>
      <c r="G777" s="279"/>
      <c r="H777" s="279"/>
      <c r="I777" s="279"/>
      <c r="J777" s="279"/>
      <c r="K777" s="279"/>
    </row>
    <row r="778" spans="1:11" ht="12.75">
      <c r="A778" s="425"/>
      <c r="B778" s="279"/>
      <c r="C778" s="279"/>
      <c r="D778" s="279"/>
      <c r="E778" s="279"/>
      <c r="F778" s="428"/>
      <c r="G778" s="279"/>
      <c r="H778" s="279"/>
      <c r="I778" s="279"/>
      <c r="J778" s="279"/>
      <c r="K778" s="279"/>
    </row>
    <row r="779" spans="1:11" ht="12.75">
      <c r="A779" s="425"/>
      <c r="B779" s="279"/>
      <c r="C779" s="279"/>
      <c r="D779" s="279"/>
      <c r="E779" s="279"/>
      <c r="F779" s="428"/>
      <c r="G779" s="279"/>
      <c r="H779" s="279"/>
      <c r="I779" s="279"/>
      <c r="J779" s="279"/>
      <c r="K779" s="279"/>
    </row>
    <row r="780" spans="1:11" ht="12.75">
      <c r="A780" s="425"/>
      <c r="B780" s="279"/>
      <c r="C780" s="279"/>
      <c r="D780" s="279"/>
      <c r="E780" s="279"/>
      <c r="F780" s="428"/>
      <c r="G780" s="279"/>
      <c r="H780" s="279"/>
      <c r="I780" s="279"/>
      <c r="J780" s="279"/>
      <c r="K780" s="279"/>
    </row>
    <row r="781" spans="1:11" ht="12.75">
      <c r="A781" s="425"/>
      <c r="B781" s="279"/>
      <c r="C781" s="279"/>
      <c r="D781" s="279"/>
      <c r="E781" s="279"/>
      <c r="F781" s="428"/>
      <c r="G781" s="279"/>
      <c r="H781" s="279"/>
      <c r="I781" s="279"/>
      <c r="J781" s="279"/>
      <c r="K781" s="279"/>
    </row>
    <row r="782" spans="1:11" ht="12.75">
      <c r="A782" s="425"/>
      <c r="B782" s="279"/>
      <c r="C782" s="279"/>
      <c r="D782" s="279"/>
      <c r="E782" s="279"/>
      <c r="F782" s="428"/>
      <c r="G782" s="279"/>
      <c r="H782" s="279"/>
      <c r="I782" s="279"/>
      <c r="J782" s="279"/>
      <c r="K782" s="279"/>
    </row>
    <row r="783" spans="1:11" ht="12.75">
      <c r="A783" s="425"/>
      <c r="B783" s="279"/>
      <c r="C783" s="279"/>
      <c r="D783" s="279"/>
      <c r="E783" s="279"/>
      <c r="F783" s="428"/>
      <c r="G783" s="279"/>
      <c r="H783" s="279"/>
      <c r="I783" s="279"/>
      <c r="J783" s="279"/>
      <c r="K783" s="279"/>
    </row>
    <row r="784" spans="1:11" ht="12.75">
      <c r="A784" s="425"/>
      <c r="B784" s="279"/>
      <c r="C784" s="279"/>
      <c r="D784" s="279"/>
      <c r="E784" s="279"/>
      <c r="F784" s="428"/>
      <c r="G784" s="279"/>
      <c r="H784" s="279"/>
      <c r="I784" s="279"/>
      <c r="J784" s="279"/>
      <c r="K784" s="279"/>
    </row>
    <row r="785" spans="1:11" ht="12.75">
      <c r="A785" s="425"/>
      <c r="B785" s="279"/>
      <c r="C785" s="279"/>
      <c r="D785" s="279"/>
      <c r="E785" s="279"/>
      <c r="F785" s="428"/>
      <c r="G785" s="279"/>
      <c r="H785" s="279"/>
      <c r="I785" s="279"/>
      <c r="J785" s="279"/>
      <c r="K785" s="279"/>
    </row>
    <row r="786" spans="1:11" ht="12.75">
      <c r="A786" s="425"/>
      <c r="B786" s="279"/>
      <c r="C786" s="279"/>
      <c r="D786" s="279"/>
      <c r="E786" s="279"/>
      <c r="F786" s="428"/>
      <c r="G786" s="279"/>
      <c r="H786" s="279"/>
      <c r="I786" s="279"/>
      <c r="J786" s="279"/>
      <c r="K786" s="279"/>
    </row>
    <row r="787" spans="1:11" ht="12.75">
      <c r="A787" s="425"/>
      <c r="B787" s="279"/>
      <c r="C787" s="279"/>
      <c r="D787" s="279"/>
      <c r="E787" s="279"/>
      <c r="F787" s="428"/>
      <c r="G787" s="279"/>
      <c r="H787" s="279"/>
      <c r="I787" s="279"/>
      <c r="J787" s="279"/>
      <c r="K787" s="279"/>
    </row>
    <row r="788" spans="1:11" ht="12.75">
      <c r="A788" s="425"/>
      <c r="B788" s="279"/>
      <c r="C788" s="279"/>
      <c r="D788" s="279"/>
      <c r="E788" s="279"/>
      <c r="F788" s="428"/>
      <c r="G788" s="279"/>
      <c r="H788" s="279"/>
      <c r="I788" s="279"/>
      <c r="J788" s="279"/>
      <c r="K788" s="279"/>
    </row>
    <row r="789" spans="1:11" ht="12.75">
      <c r="A789" s="425"/>
      <c r="B789" s="279"/>
      <c r="C789" s="279"/>
      <c r="D789" s="279"/>
      <c r="E789" s="279"/>
      <c r="F789" s="428"/>
      <c r="G789" s="279"/>
      <c r="H789" s="279"/>
      <c r="I789" s="279"/>
      <c r="J789" s="279"/>
      <c r="K789" s="279"/>
    </row>
    <row r="790" spans="1:11" ht="12.75">
      <c r="A790" s="425"/>
      <c r="B790" s="279"/>
      <c r="C790" s="279"/>
      <c r="D790" s="279"/>
      <c r="E790" s="279"/>
      <c r="F790" s="428"/>
      <c r="G790" s="279"/>
      <c r="H790" s="279"/>
      <c r="I790" s="279"/>
      <c r="J790" s="279"/>
      <c r="K790" s="279"/>
    </row>
    <row r="791" spans="1:11" ht="12.75">
      <c r="A791" s="425"/>
      <c r="B791" s="279"/>
      <c r="C791" s="279"/>
      <c r="D791" s="279"/>
      <c r="E791" s="279"/>
      <c r="F791" s="428"/>
      <c r="G791" s="279"/>
      <c r="H791" s="279"/>
      <c r="I791" s="279"/>
      <c r="J791" s="279"/>
      <c r="K791" s="279"/>
    </row>
    <row r="792" spans="1:11" ht="12.75">
      <c r="A792" s="425"/>
      <c r="B792" s="279"/>
      <c r="C792" s="279"/>
      <c r="D792" s="279"/>
      <c r="E792" s="279"/>
      <c r="F792" s="428"/>
      <c r="G792" s="279"/>
      <c r="H792" s="279"/>
      <c r="I792" s="279"/>
      <c r="J792" s="279"/>
      <c r="K792" s="279"/>
    </row>
    <row r="793" spans="1:11" ht="12.75">
      <c r="A793" s="425"/>
      <c r="B793" s="279"/>
      <c r="C793" s="279"/>
      <c r="D793" s="279"/>
      <c r="E793" s="279"/>
      <c r="F793" s="428"/>
      <c r="G793" s="279"/>
      <c r="H793" s="279"/>
      <c r="I793" s="279"/>
      <c r="J793" s="279"/>
      <c r="K793" s="279"/>
    </row>
    <row r="794" spans="1:11" ht="12.75">
      <c r="A794" s="425"/>
      <c r="B794" s="279"/>
      <c r="C794" s="279"/>
      <c r="D794" s="279"/>
      <c r="E794" s="279"/>
      <c r="F794" s="428"/>
      <c r="G794" s="279"/>
      <c r="H794" s="279"/>
      <c r="I794" s="279"/>
      <c r="J794" s="279"/>
      <c r="K794" s="279"/>
    </row>
    <row r="795" spans="1:11" ht="12.75">
      <c r="A795" s="425"/>
      <c r="B795" s="279"/>
      <c r="C795" s="279"/>
      <c r="D795" s="279"/>
      <c r="E795" s="279"/>
      <c r="F795" s="428"/>
      <c r="G795" s="279"/>
      <c r="H795" s="279"/>
      <c r="I795" s="279"/>
      <c r="J795" s="279"/>
      <c r="K795" s="279"/>
    </row>
    <row r="796" spans="1:11" ht="12.75">
      <c r="A796" s="425"/>
      <c r="B796" s="279"/>
      <c r="C796" s="279"/>
      <c r="D796" s="279"/>
      <c r="E796" s="279"/>
      <c r="F796" s="428"/>
      <c r="G796" s="279"/>
      <c r="H796" s="279"/>
      <c r="I796" s="279"/>
      <c r="J796" s="279"/>
      <c r="K796" s="279"/>
    </row>
    <row r="797" spans="1:11" ht="12.75">
      <c r="A797" s="425"/>
      <c r="B797" s="279"/>
      <c r="C797" s="279"/>
      <c r="D797" s="279"/>
      <c r="E797" s="279"/>
      <c r="F797" s="428"/>
      <c r="G797" s="279"/>
      <c r="H797" s="279"/>
      <c r="I797" s="279"/>
      <c r="J797" s="279"/>
      <c r="K797" s="279"/>
    </row>
    <row r="798" spans="1:11" ht="12.75">
      <c r="A798" s="425"/>
      <c r="B798" s="279"/>
      <c r="C798" s="279"/>
      <c r="D798" s="279"/>
      <c r="E798" s="279"/>
      <c r="F798" s="428"/>
      <c r="G798" s="279"/>
      <c r="H798" s="279"/>
      <c r="I798" s="279"/>
      <c r="J798" s="279"/>
      <c r="K798" s="279"/>
    </row>
    <row r="799" spans="1:11" ht="12.75">
      <c r="A799" s="425"/>
      <c r="B799" s="279"/>
      <c r="C799" s="279"/>
      <c r="D799" s="279"/>
      <c r="E799" s="279"/>
      <c r="F799" s="428"/>
      <c r="G799" s="279"/>
      <c r="H799" s="279"/>
      <c r="I799" s="279"/>
      <c r="J799" s="279"/>
      <c r="K799" s="279"/>
    </row>
    <row r="800" spans="1:11" ht="12.75">
      <c r="A800" s="425"/>
      <c r="B800" s="279"/>
      <c r="C800" s="279"/>
      <c r="D800" s="279"/>
      <c r="E800" s="279"/>
      <c r="F800" s="428"/>
      <c r="G800" s="279"/>
      <c r="H800" s="279"/>
      <c r="I800" s="279"/>
      <c r="J800" s="279"/>
      <c r="K800" s="279"/>
    </row>
    <row r="801" spans="1:11" ht="12.75">
      <c r="A801" s="425"/>
      <c r="B801" s="279"/>
      <c r="C801" s="279"/>
      <c r="D801" s="279"/>
      <c r="E801" s="279"/>
      <c r="F801" s="428"/>
      <c r="G801" s="279"/>
      <c r="H801" s="279"/>
      <c r="I801" s="279"/>
      <c r="J801" s="279"/>
      <c r="K801" s="279"/>
    </row>
    <row r="802" spans="1:11" ht="12.75">
      <c r="A802" s="425"/>
      <c r="B802" s="279"/>
      <c r="C802" s="279"/>
      <c r="D802" s="279"/>
      <c r="E802" s="279"/>
      <c r="F802" s="428"/>
      <c r="G802" s="279"/>
      <c r="H802" s="279"/>
      <c r="I802" s="279"/>
      <c r="J802" s="279"/>
      <c r="K802" s="279"/>
    </row>
    <row r="803" spans="1:11" ht="12.75">
      <c r="A803" s="425"/>
      <c r="B803" s="279"/>
      <c r="C803" s="279"/>
      <c r="D803" s="279"/>
      <c r="E803" s="279"/>
      <c r="F803" s="428"/>
      <c r="G803" s="279"/>
      <c r="H803" s="279"/>
      <c r="I803" s="279"/>
      <c r="J803" s="279"/>
      <c r="K803" s="279"/>
    </row>
    <row r="804" spans="1:11" ht="12.75">
      <c r="A804" s="425"/>
      <c r="B804" s="279"/>
      <c r="C804" s="279"/>
      <c r="D804" s="279"/>
      <c r="E804" s="279"/>
      <c r="F804" s="428"/>
      <c r="G804" s="279"/>
      <c r="H804" s="279"/>
      <c r="I804" s="279"/>
      <c r="J804" s="279"/>
      <c r="K804" s="279"/>
    </row>
    <row r="805" spans="1:11" ht="12.75">
      <c r="A805" s="425"/>
      <c r="B805" s="279"/>
      <c r="C805" s="279"/>
      <c r="D805" s="279"/>
      <c r="E805" s="279"/>
      <c r="F805" s="428"/>
      <c r="G805" s="279"/>
      <c r="H805" s="279"/>
      <c r="I805" s="279"/>
      <c r="J805" s="279"/>
      <c r="K805" s="279"/>
    </row>
    <row r="806" spans="1:11" ht="12.75">
      <c r="A806" s="425"/>
      <c r="B806" s="279"/>
      <c r="C806" s="279"/>
      <c r="D806" s="279"/>
      <c r="E806" s="279"/>
      <c r="F806" s="428"/>
      <c r="G806" s="279"/>
      <c r="H806" s="279"/>
      <c r="I806" s="279"/>
      <c r="J806" s="279"/>
      <c r="K806" s="279"/>
    </row>
    <row r="807" spans="1:11" ht="12.75">
      <c r="A807" s="425"/>
      <c r="B807" s="279"/>
      <c r="C807" s="279"/>
      <c r="D807" s="279"/>
      <c r="E807" s="279"/>
      <c r="F807" s="428"/>
      <c r="G807" s="279"/>
      <c r="H807" s="279"/>
      <c r="I807" s="279"/>
      <c r="J807" s="279"/>
      <c r="K807" s="279"/>
    </row>
    <row r="808" spans="1:11" ht="12.75">
      <c r="A808" s="425"/>
      <c r="B808" s="279"/>
      <c r="C808" s="279"/>
      <c r="D808" s="279"/>
      <c r="E808" s="279"/>
      <c r="F808" s="428"/>
      <c r="G808" s="279"/>
      <c r="H808" s="279"/>
      <c r="I808" s="279"/>
      <c r="J808" s="279"/>
      <c r="K808" s="279"/>
    </row>
    <row r="809" spans="1:11" ht="12.75">
      <c r="A809" s="425"/>
      <c r="B809" s="279"/>
      <c r="C809" s="279"/>
      <c r="D809" s="279"/>
      <c r="E809" s="279"/>
      <c r="F809" s="428"/>
      <c r="G809" s="279"/>
      <c r="H809" s="279"/>
      <c r="I809" s="279"/>
      <c r="J809" s="279"/>
      <c r="K809" s="279"/>
    </row>
    <row r="810" spans="1:11" ht="12.75">
      <c r="A810" s="425"/>
      <c r="B810" s="279"/>
      <c r="C810" s="279"/>
      <c r="D810" s="279"/>
      <c r="E810" s="279"/>
      <c r="F810" s="428"/>
      <c r="G810" s="279"/>
      <c r="H810" s="279"/>
      <c r="I810" s="279"/>
      <c r="J810" s="279"/>
      <c r="K810" s="279"/>
    </row>
    <row r="811" spans="1:11" ht="12.75">
      <c r="A811" s="425"/>
      <c r="B811" s="279"/>
      <c r="C811" s="279"/>
      <c r="D811" s="279"/>
      <c r="E811" s="279"/>
      <c r="F811" s="428"/>
      <c r="G811" s="279"/>
      <c r="H811" s="279"/>
      <c r="I811" s="279"/>
      <c r="J811" s="279"/>
      <c r="K811" s="279"/>
    </row>
    <row r="812" spans="1:11" ht="12.75">
      <c r="A812" s="425"/>
      <c r="B812" s="279"/>
      <c r="C812" s="279"/>
      <c r="D812" s="279"/>
      <c r="E812" s="279"/>
      <c r="F812" s="428"/>
      <c r="G812" s="279"/>
      <c r="H812" s="279"/>
      <c r="I812" s="279"/>
      <c r="J812" s="279"/>
      <c r="K812" s="279"/>
    </row>
    <row r="813" spans="1:11" ht="12.75">
      <c r="A813" s="425"/>
      <c r="B813" s="279"/>
      <c r="C813" s="279"/>
      <c r="D813" s="279"/>
      <c r="E813" s="279"/>
      <c r="F813" s="428"/>
      <c r="G813" s="279"/>
      <c r="H813" s="279"/>
      <c r="I813" s="279"/>
      <c r="J813" s="279"/>
      <c r="K813" s="279"/>
    </row>
    <row r="814" spans="1:11" ht="12.75">
      <c r="A814" s="425"/>
      <c r="B814" s="279"/>
      <c r="C814" s="279"/>
      <c r="D814" s="279"/>
      <c r="E814" s="279"/>
      <c r="F814" s="428"/>
      <c r="G814" s="279"/>
      <c r="H814" s="279"/>
      <c r="I814" s="279"/>
      <c r="J814" s="279"/>
      <c r="K814" s="279"/>
    </row>
    <row r="815" spans="1:11" ht="12.75">
      <c r="A815" s="425"/>
      <c r="B815" s="279"/>
      <c r="C815" s="279"/>
      <c r="D815" s="279"/>
      <c r="E815" s="279"/>
      <c r="F815" s="428"/>
      <c r="G815" s="279"/>
      <c r="H815" s="279"/>
      <c r="I815" s="279"/>
      <c r="J815" s="279"/>
      <c r="K815" s="279"/>
    </row>
    <row r="816" spans="1:11" ht="12.75">
      <c r="A816" s="425"/>
      <c r="B816" s="279"/>
      <c r="C816" s="279"/>
      <c r="D816" s="279"/>
      <c r="E816" s="279"/>
      <c r="F816" s="428"/>
      <c r="G816" s="279"/>
      <c r="H816" s="279"/>
      <c r="I816" s="279"/>
      <c r="J816" s="279"/>
      <c r="K816" s="279"/>
    </row>
    <row r="817" spans="1:11" ht="12.75">
      <c r="A817" s="425"/>
      <c r="B817" s="279"/>
      <c r="C817" s="279"/>
      <c r="D817" s="279"/>
      <c r="E817" s="279"/>
      <c r="F817" s="428"/>
      <c r="G817" s="279"/>
      <c r="H817" s="279"/>
      <c r="I817" s="279"/>
      <c r="J817" s="279"/>
      <c r="K817" s="279"/>
    </row>
    <row r="818" spans="1:11" ht="12.75">
      <c r="A818" s="425"/>
      <c r="B818" s="279"/>
      <c r="C818" s="279"/>
      <c r="D818" s="279"/>
      <c r="E818" s="279"/>
      <c r="F818" s="428"/>
      <c r="G818" s="279"/>
      <c r="H818" s="279"/>
      <c r="I818" s="279"/>
      <c r="J818" s="279"/>
      <c r="K818" s="279"/>
    </row>
    <row r="819" spans="1:11" ht="12.75">
      <c r="A819" s="425"/>
      <c r="B819" s="279"/>
      <c r="C819" s="279"/>
      <c r="D819" s="279"/>
      <c r="E819" s="279"/>
      <c r="F819" s="428"/>
      <c r="G819" s="279"/>
      <c r="H819" s="279"/>
      <c r="I819" s="279"/>
      <c r="J819" s="279"/>
      <c r="K819" s="279"/>
    </row>
    <row r="820" spans="1:11" ht="12.75">
      <c r="A820" s="425"/>
      <c r="B820" s="279"/>
      <c r="C820" s="279"/>
      <c r="D820" s="279"/>
      <c r="E820" s="279"/>
      <c r="F820" s="428"/>
      <c r="G820" s="279"/>
      <c r="H820" s="279"/>
      <c r="I820" s="279"/>
      <c r="J820" s="279"/>
      <c r="K820" s="279"/>
    </row>
    <row r="821" spans="1:11" ht="12.75">
      <c r="A821" s="425"/>
      <c r="B821" s="279"/>
      <c r="C821" s="279"/>
      <c r="D821" s="279"/>
      <c r="E821" s="279"/>
      <c r="F821" s="428"/>
      <c r="G821" s="279"/>
      <c r="H821" s="279"/>
      <c r="I821" s="279"/>
      <c r="J821" s="279"/>
      <c r="K821" s="279"/>
    </row>
    <row r="822" spans="1:11" ht="12.75">
      <c r="A822" s="425"/>
      <c r="B822" s="279"/>
      <c r="C822" s="279"/>
      <c r="D822" s="279"/>
      <c r="E822" s="279"/>
      <c r="F822" s="428"/>
      <c r="G822" s="279"/>
      <c r="H822" s="279"/>
      <c r="I822" s="279"/>
      <c r="J822" s="279"/>
      <c r="K822" s="279"/>
    </row>
    <row r="823" spans="1:11" ht="12.75">
      <c r="A823" s="425"/>
      <c r="B823" s="279"/>
      <c r="C823" s="279"/>
      <c r="D823" s="279"/>
      <c r="E823" s="279"/>
      <c r="F823" s="428"/>
      <c r="G823" s="279"/>
      <c r="H823" s="279"/>
      <c r="I823" s="279"/>
      <c r="J823" s="279"/>
      <c r="K823" s="279"/>
    </row>
    <row r="824" spans="1:11" ht="12.75">
      <c r="A824" s="425"/>
      <c r="B824" s="279"/>
      <c r="C824" s="279"/>
      <c r="D824" s="279"/>
      <c r="E824" s="279"/>
      <c r="F824" s="428"/>
      <c r="G824" s="279"/>
      <c r="H824" s="279"/>
      <c r="I824" s="279"/>
      <c r="J824" s="279"/>
      <c r="K824" s="279"/>
    </row>
    <row r="825" spans="1:11" ht="12.75">
      <c r="A825" s="425"/>
      <c r="B825" s="279"/>
      <c r="C825" s="279"/>
      <c r="D825" s="279"/>
      <c r="E825" s="279"/>
      <c r="F825" s="428"/>
      <c r="G825" s="279"/>
      <c r="H825" s="279"/>
      <c r="I825" s="279"/>
      <c r="J825" s="279"/>
      <c r="K825" s="279"/>
    </row>
    <row r="826" spans="1:11" ht="12.75">
      <c r="A826" s="425"/>
      <c r="B826" s="279"/>
      <c r="C826" s="279"/>
      <c r="D826" s="279"/>
      <c r="E826" s="279"/>
      <c r="F826" s="428"/>
      <c r="G826" s="279"/>
      <c r="H826" s="279"/>
      <c r="I826" s="279"/>
      <c r="J826" s="279"/>
      <c r="K826" s="279"/>
    </row>
    <row r="827" spans="1:11" ht="12.75">
      <c r="A827" s="425"/>
      <c r="B827" s="279"/>
      <c r="C827" s="279"/>
      <c r="D827" s="279"/>
      <c r="E827" s="279"/>
      <c r="F827" s="428"/>
      <c r="G827" s="279"/>
      <c r="H827" s="279"/>
      <c r="I827" s="279"/>
      <c r="J827" s="279"/>
      <c r="K827" s="279"/>
    </row>
    <row r="828" spans="1:11" ht="12.75">
      <c r="A828" s="425"/>
      <c r="B828" s="279"/>
      <c r="C828" s="279"/>
      <c r="D828" s="279"/>
      <c r="E828" s="279"/>
      <c r="F828" s="428"/>
      <c r="G828" s="279"/>
      <c r="H828" s="279"/>
      <c r="I828" s="279"/>
      <c r="J828" s="279"/>
      <c r="K828" s="279"/>
    </row>
    <row r="829" spans="1:11" ht="12.75">
      <c r="A829" s="425"/>
      <c r="B829" s="279"/>
      <c r="C829" s="279"/>
      <c r="D829" s="279"/>
      <c r="E829" s="279"/>
      <c r="F829" s="428"/>
      <c r="G829" s="279"/>
      <c r="H829" s="279"/>
      <c r="I829" s="279"/>
      <c r="J829" s="279"/>
      <c r="K829" s="279"/>
    </row>
    <row r="830" spans="1:11" ht="12.75">
      <c r="A830" s="425"/>
      <c r="B830" s="279"/>
      <c r="C830" s="279"/>
      <c r="D830" s="279"/>
      <c r="E830" s="279"/>
      <c r="F830" s="428"/>
      <c r="G830" s="279"/>
      <c r="H830" s="279"/>
      <c r="I830" s="279"/>
      <c r="J830" s="279"/>
      <c r="K830" s="279"/>
    </row>
    <row r="831" spans="1:11" ht="12.75">
      <c r="A831" s="425"/>
      <c r="B831" s="279"/>
      <c r="C831" s="279"/>
      <c r="D831" s="279"/>
      <c r="E831" s="279"/>
      <c r="F831" s="428"/>
      <c r="G831" s="279"/>
      <c r="H831" s="279"/>
      <c r="I831" s="279"/>
      <c r="J831" s="279"/>
      <c r="K831" s="279"/>
    </row>
    <row r="832" spans="1:11" ht="12.75">
      <c r="A832" s="425"/>
      <c r="B832" s="279"/>
      <c r="C832" s="279"/>
      <c r="D832" s="279"/>
      <c r="E832" s="279"/>
      <c r="F832" s="428"/>
      <c r="G832" s="279"/>
      <c r="H832" s="279"/>
      <c r="I832" s="279"/>
      <c r="J832" s="279"/>
      <c r="K832" s="279"/>
    </row>
    <row r="833" spans="1:11" ht="12.75">
      <c r="A833" s="425"/>
      <c r="B833" s="279"/>
      <c r="C833" s="279"/>
      <c r="D833" s="279"/>
      <c r="E833" s="279"/>
      <c r="F833" s="428"/>
      <c r="G833" s="279"/>
      <c r="H833" s="279"/>
      <c r="I833" s="279"/>
      <c r="J833" s="279"/>
      <c r="K833" s="279"/>
    </row>
    <row r="834" spans="1:11" ht="12.75">
      <c r="A834" s="425"/>
      <c r="B834" s="279"/>
      <c r="C834" s="279"/>
      <c r="D834" s="279"/>
      <c r="E834" s="279"/>
      <c r="F834" s="428"/>
      <c r="G834" s="279"/>
      <c r="H834" s="279"/>
      <c r="I834" s="279"/>
      <c r="J834" s="279"/>
      <c r="K834" s="279"/>
    </row>
    <row r="835" spans="1:11" ht="12.75">
      <c r="A835" s="425"/>
      <c r="B835" s="279"/>
      <c r="C835" s="279"/>
      <c r="D835" s="279"/>
      <c r="E835" s="279"/>
      <c r="F835" s="428"/>
      <c r="G835" s="279"/>
      <c r="H835" s="279"/>
      <c r="I835" s="279"/>
      <c r="J835" s="279"/>
      <c r="K835" s="279"/>
    </row>
    <row r="836" spans="1:11" ht="12.75">
      <c r="A836" s="425"/>
      <c r="B836" s="279"/>
      <c r="C836" s="279"/>
      <c r="D836" s="279"/>
      <c r="E836" s="279"/>
      <c r="F836" s="428"/>
      <c r="G836" s="279"/>
      <c r="H836" s="279"/>
      <c r="I836" s="279"/>
      <c r="J836" s="279"/>
      <c r="K836" s="279"/>
    </row>
    <row r="837" spans="1:11" ht="12.75">
      <c r="A837" s="425"/>
      <c r="B837" s="279"/>
      <c r="C837" s="279"/>
      <c r="D837" s="279"/>
      <c r="E837" s="279"/>
      <c r="F837" s="428"/>
      <c r="G837" s="279"/>
      <c r="H837" s="279"/>
      <c r="I837" s="279"/>
      <c r="J837" s="279"/>
      <c r="K837" s="279"/>
    </row>
    <row r="838" spans="1:11" ht="12.75">
      <c r="A838" s="425"/>
      <c r="B838" s="279"/>
      <c r="C838" s="279"/>
      <c r="D838" s="279"/>
      <c r="E838" s="279"/>
      <c r="F838" s="428"/>
      <c r="G838" s="279"/>
      <c r="H838" s="279"/>
      <c r="I838" s="279"/>
      <c r="J838" s="279"/>
      <c r="K838" s="279"/>
    </row>
    <row r="839" spans="1:11" ht="12.75">
      <c r="A839" s="425"/>
      <c r="B839" s="279"/>
      <c r="C839" s="279"/>
      <c r="D839" s="279"/>
      <c r="E839" s="279"/>
      <c r="F839" s="428"/>
      <c r="G839" s="279"/>
      <c r="H839" s="279"/>
      <c r="I839" s="279"/>
      <c r="J839" s="279"/>
      <c r="K839" s="279"/>
    </row>
    <row r="840" spans="1:11" ht="12.75">
      <c r="A840" s="425"/>
      <c r="B840" s="279"/>
      <c r="C840" s="279"/>
      <c r="D840" s="279"/>
      <c r="E840" s="279"/>
      <c r="F840" s="428"/>
      <c r="G840" s="279"/>
      <c r="H840" s="279"/>
      <c r="I840" s="279"/>
      <c r="J840" s="279"/>
      <c r="K840" s="279"/>
    </row>
    <row r="841" spans="1:11" ht="12.75">
      <c r="A841" s="425"/>
      <c r="B841" s="279"/>
      <c r="C841" s="279"/>
      <c r="D841" s="279"/>
      <c r="E841" s="279"/>
      <c r="F841" s="428"/>
      <c r="G841" s="279"/>
      <c r="H841" s="279"/>
      <c r="I841" s="279"/>
      <c r="J841" s="279"/>
      <c r="K841" s="279"/>
    </row>
    <row r="842" spans="1:11" ht="12.75">
      <c r="A842" s="425"/>
      <c r="B842" s="279"/>
      <c r="C842" s="279"/>
      <c r="D842" s="279"/>
      <c r="E842" s="279"/>
      <c r="F842" s="428"/>
      <c r="G842" s="279"/>
      <c r="H842" s="279"/>
      <c r="I842" s="279"/>
      <c r="J842" s="279"/>
      <c r="K842" s="279"/>
    </row>
    <row r="843" spans="1:11" ht="12.75">
      <c r="A843" s="425"/>
      <c r="B843" s="279"/>
      <c r="C843" s="279"/>
      <c r="D843" s="279"/>
      <c r="E843" s="279"/>
      <c r="F843" s="428"/>
      <c r="G843" s="279"/>
      <c r="H843" s="279"/>
      <c r="I843" s="279"/>
      <c r="J843" s="279"/>
      <c r="K843" s="279"/>
    </row>
    <row r="844" spans="1:11" ht="12.75">
      <c r="A844" s="425"/>
      <c r="B844" s="279"/>
      <c r="C844" s="279"/>
      <c r="D844" s="279"/>
      <c r="E844" s="279"/>
      <c r="F844" s="428"/>
      <c r="G844" s="279"/>
      <c r="H844" s="279"/>
      <c r="I844" s="279"/>
      <c r="J844" s="279"/>
      <c r="K844" s="279"/>
    </row>
    <row r="845" spans="1:11" ht="12.75">
      <c r="A845" s="425"/>
      <c r="B845" s="279"/>
      <c r="C845" s="279"/>
      <c r="D845" s="279"/>
      <c r="E845" s="279"/>
      <c r="F845" s="428"/>
      <c r="G845" s="279"/>
      <c r="H845" s="279"/>
      <c r="I845" s="279"/>
      <c r="J845" s="279"/>
      <c r="K845" s="279"/>
    </row>
    <row r="846" spans="1:11" ht="12.75">
      <c r="A846" s="425"/>
      <c r="B846" s="279"/>
      <c r="C846" s="279"/>
      <c r="D846" s="279"/>
      <c r="E846" s="279"/>
      <c r="F846" s="428"/>
      <c r="G846" s="279"/>
      <c r="H846" s="279"/>
      <c r="I846" s="279"/>
      <c r="J846" s="279"/>
      <c r="K846" s="279"/>
    </row>
    <row r="847" spans="1:11" ht="12.75">
      <c r="A847" s="425"/>
      <c r="B847" s="279"/>
      <c r="C847" s="279"/>
      <c r="D847" s="279"/>
      <c r="E847" s="279"/>
      <c r="F847" s="428"/>
      <c r="G847" s="279"/>
      <c r="H847" s="279"/>
      <c r="I847" s="279"/>
      <c r="J847" s="279"/>
      <c r="K847" s="279"/>
    </row>
    <row r="848" spans="1:11" ht="12.75">
      <c r="A848" s="425"/>
      <c r="B848" s="279"/>
      <c r="C848" s="279"/>
      <c r="D848" s="279"/>
      <c r="E848" s="279"/>
      <c r="F848" s="428"/>
      <c r="G848" s="279"/>
      <c r="H848" s="279"/>
      <c r="I848" s="279"/>
      <c r="J848" s="279"/>
      <c r="K848" s="279"/>
    </row>
    <row r="849" spans="1:11" ht="12.75">
      <c r="A849" s="425"/>
      <c r="B849" s="279"/>
      <c r="C849" s="279"/>
      <c r="D849" s="279"/>
      <c r="E849" s="279"/>
      <c r="F849" s="428"/>
      <c r="G849" s="279"/>
      <c r="H849" s="279"/>
      <c r="I849" s="279"/>
      <c r="J849" s="279"/>
      <c r="K849" s="279"/>
    </row>
    <row r="850" spans="1:11" ht="12.75">
      <c r="A850" s="425"/>
      <c r="B850" s="279"/>
      <c r="C850" s="279"/>
      <c r="D850" s="279"/>
      <c r="E850" s="279"/>
      <c r="F850" s="428"/>
      <c r="G850" s="279"/>
      <c r="H850" s="279"/>
      <c r="I850" s="279"/>
      <c r="J850" s="279"/>
      <c r="K850" s="279"/>
    </row>
    <row r="851" spans="1:11" ht="12.75">
      <c r="A851" s="425"/>
      <c r="B851" s="279"/>
      <c r="C851" s="279"/>
      <c r="D851" s="279"/>
      <c r="E851" s="279"/>
      <c r="F851" s="428"/>
      <c r="G851" s="279"/>
      <c r="H851" s="279"/>
      <c r="I851" s="279"/>
      <c r="J851" s="279"/>
      <c r="K851" s="279"/>
    </row>
    <row r="852" spans="1:11" ht="12.75">
      <c r="A852" s="425"/>
      <c r="B852" s="279"/>
      <c r="C852" s="279"/>
      <c r="D852" s="279"/>
      <c r="E852" s="279"/>
      <c r="F852" s="428"/>
      <c r="G852" s="279"/>
      <c r="H852" s="279"/>
      <c r="I852" s="279"/>
      <c r="J852" s="279"/>
      <c r="K852" s="279"/>
    </row>
    <row r="853" spans="1:11" ht="12.75">
      <c r="A853" s="425"/>
      <c r="B853" s="279"/>
      <c r="C853" s="279"/>
      <c r="D853" s="279"/>
      <c r="E853" s="279"/>
      <c r="F853" s="428"/>
      <c r="G853" s="279"/>
      <c r="H853" s="279"/>
      <c r="I853" s="279"/>
      <c r="J853" s="279"/>
      <c r="K853" s="279"/>
    </row>
    <row r="854" spans="1:11" ht="12.75">
      <c r="A854" s="425"/>
      <c r="B854" s="279"/>
      <c r="C854" s="279"/>
      <c r="D854" s="279"/>
      <c r="E854" s="279"/>
      <c r="F854" s="428"/>
      <c r="G854" s="279"/>
      <c r="H854" s="279"/>
      <c r="I854" s="279"/>
      <c r="J854" s="279"/>
      <c r="K854" s="279"/>
    </row>
    <row r="855" spans="1:11" ht="12.75">
      <c r="A855" s="425"/>
      <c r="B855" s="279"/>
      <c r="C855" s="279"/>
      <c r="D855" s="279"/>
      <c r="E855" s="279"/>
      <c r="F855" s="428"/>
      <c r="G855" s="279"/>
      <c r="H855" s="279"/>
      <c r="I855" s="279"/>
      <c r="J855" s="279"/>
      <c r="K855" s="279"/>
    </row>
    <row r="856" spans="1:11" ht="12.75">
      <c r="A856" s="425"/>
      <c r="B856" s="279"/>
      <c r="C856" s="279"/>
      <c r="D856" s="279"/>
      <c r="E856" s="279"/>
      <c r="F856" s="428"/>
      <c r="G856" s="279"/>
      <c r="H856" s="279"/>
      <c r="I856" s="279"/>
      <c r="J856" s="279"/>
      <c r="K856" s="279"/>
    </row>
    <row r="857" spans="1:11" ht="12.75">
      <c r="A857" s="425"/>
      <c r="B857" s="279"/>
      <c r="C857" s="279"/>
      <c r="D857" s="279"/>
      <c r="E857" s="279"/>
      <c r="F857" s="428"/>
      <c r="G857" s="279"/>
      <c r="H857" s="279"/>
      <c r="I857" s="279"/>
      <c r="J857" s="279"/>
      <c r="K857" s="279"/>
    </row>
    <row r="858" spans="1:11" ht="12.75">
      <c r="A858" s="425"/>
      <c r="B858" s="279"/>
      <c r="C858" s="279"/>
      <c r="D858" s="279"/>
      <c r="E858" s="279"/>
      <c r="F858" s="428"/>
      <c r="G858" s="279"/>
      <c r="H858" s="279"/>
      <c r="I858" s="279"/>
      <c r="J858" s="279"/>
      <c r="K858" s="279"/>
    </row>
    <row r="859" spans="1:11" ht="12.75">
      <c r="A859" s="425"/>
      <c r="B859" s="279"/>
      <c r="C859" s="279"/>
      <c r="D859" s="279"/>
      <c r="E859" s="279"/>
      <c r="F859" s="428"/>
      <c r="G859" s="279"/>
      <c r="H859" s="279"/>
      <c r="I859" s="279"/>
      <c r="J859" s="279"/>
      <c r="K859" s="279"/>
    </row>
    <row r="860" spans="1:11" ht="12.75">
      <c r="A860" s="425"/>
      <c r="B860" s="279"/>
      <c r="C860" s="279"/>
      <c r="D860" s="279"/>
      <c r="E860" s="279"/>
      <c r="F860" s="428"/>
      <c r="G860" s="279"/>
      <c r="H860" s="279"/>
      <c r="I860" s="279"/>
      <c r="J860" s="279"/>
      <c r="K860" s="279"/>
    </row>
    <row r="861" spans="1:11" ht="12.75">
      <c r="A861" s="425"/>
      <c r="B861" s="279"/>
      <c r="C861" s="279"/>
      <c r="D861" s="279"/>
      <c r="E861" s="279"/>
      <c r="F861" s="428"/>
      <c r="G861" s="279"/>
      <c r="H861" s="279"/>
      <c r="I861" s="279"/>
      <c r="J861" s="279"/>
      <c r="K861" s="279"/>
    </row>
    <row r="862" spans="1:11" ht="12.75">
      <c r="A862" s="425"/>
      <c r="B862" s="279"/>
      <c r="C862" s="279"/>
      <c r="D862" s="279"/>
      <c r="E862" s="279"/>
      <c r="F862" s="428"/>
      <c r="G862" s="279"/>
      <c r="H862" s="279"/>
      <c r="I862" s="279"/>
      <c r="J862" s="279"/>
      <c r="K862" s="279"/>
    </row>
    <row r="863" spans="1:11" ht="12.75">
      <c r="A863" s="425"/>
      <c r="B863" s="279"/>
      <c r="C863" s="279"/>
      <c r="D863" s="279"/>
      <c r="E863" s="279"/>
      <c r="F863" s="428"/>
      <c r="G863" s="279"/>
      <c r="H863" s="279"/>
      <c r="I863" s="279"/>
      <c r="J863" s="279"/>
      <c r="K863" s="279"/>
    </row>
    <row r="864" spans="1:11" ht="12.75">
      <c r="A864" s="425"/>
      <c r="B864" s="279"/>
      <c r="C864" s="279"/>
      <c r="D864" s="279"/>
      <c r="E864" s="279"/>
      <c r="F864" s="428"/>
      <c r="G864" s="279"/>
      <c r="H864" s="279"/>
      <c r="I864" s="279"/>
      <c r="J864" s="279"/>
      <c r="K864" s="279"/>
    </row>
    <row r="865" spans="1:11" ht="12.75">
      <c r="A865" s="425"/>
      <c r="B865" s="279"/>
      <c r="C865" s="279"/>
      <c r="D865" s="279"/>
      <c r="E865" s="279"/>
      <c r="F865" s="428"/>
      <c r="G865" s="279"/>
      <c r="H865" s="279"/>
      <c r="I865" s="279"/>
      <c r="J865" s="279"/>
      <c r="K865" s="279"/>
    </row>
    <row r="866" spans="1:11" ht="12.75">
      <c r="A866" s="425"/>
      <c r="B866" s="279"/>
      <c r="C866" s="279"/>
      <c r="D866" s="279"/>
      <c r="E866" s="279"/>
      <c r="F866" s="428"/>
      <c r="G866" s="279"/>
      <c r="H866" s="279"/>
      <c r="I866" s="279"/>
      <c r="J866" s="279"/>
      <c r="K866" s="279"/>
    </row>
    <row r="867" spans="1:11" ht="12.75">
      <c r="A867" s="425"/>
      <c r="B867" s="279"/>
      <c r="C867" s="279"/>
      <c r="D867" s="279"/>
      <c r="E867" s="279"/>
      <c r="F867" s="428"/>
      <c r="G867" s="279"/>
      <c r="H867" s="279"/>
      <c r="I867" s="279"/>
      <c r="J867" s="279"/>
      <c r="K867" s="279"/>
    </row>
    <row r="868" spans="1:11" ht="12.75">
      <c r="A868" s="425"/>
      <c r="B868" s="279"/>
      <c r="C868" s="279"/>
      <c r="D868" s="279"/>
      <c r="E868" s="279"/>
      <c r="F868" s="428"/>
      <c r="G868" s="279"/>
      <c r="H868" s="279"/>
      <c r="I868" s="279"/>
      <c r="J868" s="279"/>
      <c r="K868" s="279"/>
    </row>
    <row r="869" spans="1:11" ht="12.75">
      <c r="A869" s="425"/>
      <c r="B869" s="279"/>
      <c r="C869" s="279"/>
      <c r="D869" s="279"/>
      <c r="E869" s="279"/>
      <c r="F869" s="428"/>
      <c r="G869" s="279"/>
      <c r="H869" s="279"/>
      <c r="I869" s="279"/>
      <c r="J869" s="279"/>
      <c r="K869" s="279"/>
    </row>
    <row r="870" spans="1:11" ht="12.75">
      <c r="A870" s="425"/>
      <c r="B870" s="279"/>
      <c r="C870" s="279"/>
      <c r="D870" s="279"/>
      <c r="E870" s="279"/>
      <c r="F870" s="428"/>
      <c r="G870" s="279"/>
      <c r="H870" s="279"/>
      <c r="I870" s="279"/>
      <c r="J870" s="279"/>
      <c r="K870" s="279"/>
    </row>
    <row r="871" spans="1:11" ht="12.75">
      <c r="A871" s="425"/>
      <c r="B871" s="279"/>
      <c r="C871" s="279"/>
      <c r="D871" s="279"/>
      <c r="E871" s="279"/>
      <c r="F871" s="428"/>
      <c r="G871" s="279"/>
      <c r="H871" s="279"/>
      <c r="I871" s="279"/>
      <c r="J871" s="279"/>
      <c r="K871" s="279"/>
    </row>
    <row r="872" spans="1:11" ht="12.75">
      <c r="A872" s="425"/>
      <c r="B872" s="279"/>
      <c r="C872" s="279"/>
      <c r="D872" s="279"/>
      <c r="E872" s="279"/>
      <c r="F872" s="428"/>
      <c r="G872" s="279"/>
      <c r="H872" s="279"/>
      <c r="I872" s="279"/>
      <c r="J872" s="279"/>
      <c r="K872" s="279"/>
    </row>
  </sheetData>
  <sheetProtection/>
  <mergeCells count="4">
    <mergeCell ref="A3:B3"/>
    <mergeCell ref="A1:B1"/>
    <mergeCell ref="A2:B2"/>
    <mergeCell ref="D1:S1"/>
  </mergeCells>
  <printOptions horizontalCentered="1"/>
  <pageMargins left="0.2" right="0" top="1" bottom="0.5" header="0.2" footer="0.37"/>
  <pageSetup firstPageNumber="4" useFirstPageNumber="1" horizontalDpi="600" verticalDpi="600" orientation="portrait" paperSize="5" scale="90" r:id="rId1"/>
  <headerFooter alignWithMargins="0">
    <oddHeader>&amp;L&amp;"Arial,Bold"&amp;20TABLE 3: FY 2006-2007 Budget Letter
&amp;16LEVEL 1 BASE PER PUPIL AND LEVEL 2 LOCAL INCENTIVE</oddHeader>
    <oddFooter>&amp;R&amp;P</oddFooter>
  </headerFooter>
  <colBreaks count="5" manualBreakCount="5">
    <brk id="12" min="7" max="75" man="1"/>
    <brk id="19" min="7" max="75" man="1"/>
    <brk id="26" min="7" max="75" man="1"/>
    <brk id="31" min="7" max="75" man="1"/>
    <brk id="37" min="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X74"/>
  <sheetViews>
    <sheetView zoomScale="85" zoomScaleNormal="85" zoomScalePageLayoutView="0" workbookViewId="0" topLeftCell="B2">
      <selection activeCell="B2" sqref="B2:B4"/>
    </sheetView>
  </sheetViews>
  <sheetFormatPr defaultColWidth="12.57421875" defaultRowHeight="12.75"/>
  <cols>
    <col min="1" max="1" width="3.00390625" style="246" hidden="1" customWidth="1"/>
    <col min="2" max="2" width="24.421875" style="246" customWidth="1"/>
    <col min="3" max="3" width="22.00390625" style="246" bestFit="1" customWidth="1"/>
    <col min="4" max="4" width="14.421875" style="246" customWidth="1"/>
    <col min="5" max="5" width="7.421875" style="246" customWidth="1"/>
    <col min="6" max="6" width="19.8515625" style="246" customWidth="1"/>
    <col min="7" max="7" width="11.28125" style="246" customWidth="1"/>
    <col min="8" max="8" width="18.57421875" style="246" bestFit="1" customWidth="1"/>
    <col min="9" max="9" width="16.421875" style="246" customWidth="1"/>
    <col min="10" max="10" width="7.7109375" style="246" customWidth="1"/>
    <col min="11" max="11" width="16.140625" style="246" customWidth="1"/>
    <col min="12" max="12" width="9.421875" style="246" customWidth="1"/>
    <col min="13" max="13" width="15.28125" style="246" customWidth="1"/>
    <col min="14" max="14" width="13.57421875" style="246" customWidth="1"/>
    <col min="15" max="15" width="6.28125" style="246" customWidth="1"/>
    <col min="16" max="16" width="12.7109375" style="246" customWidth="1"/>
    <col min="17" max="17" width="10.140625" style="246" customWidth="1"/>
    <col min="18" max="18" width="12.00390625" style="246" customWidth="1"/>
    <col min="19" max="19" width="6.57421875" style="246" customWidth="1"/>
    <col min="20" max="20" width="16.8515625" style="246" customWidth="1"/>
    <col min="21" max="22" width="15.140625" style="246" customWidth="1"/>
    <col min="23" max="23" width="17.140625" style="246" customWidth="1"/>
    <col min="24" max="24" width="14.00390625" style="246" customWidth="1"/>
    <col min="25" max="16384" width="12.57421875" style="246" customWidth="1"/>
  </cols>
  <sheetData>
    <row r="1" spans="1:23" ht="30.75" customHeight="1" hidden="1" thickBot="1">
      <c r="A1" s="449"/>
      <c r="B1" s="450"/>
      <c r="C1" s="451" t="s">
        <v>354</v>
      </c>
      <c r="D1" s="451" t="s">
        <v>355</v>
      </c>
      <c r="E1" s="452"/>
      <c r="F1" s="453" t="s">
        <v>356</v>
      </c>
      <c r="G1" s="453" t="s">
        <v>357</v>
      </c>
      <c r="H1" s="451" t="s">
        <v>358</v>
      </c>
      <c r="I1" s="451" t="s">
        <v>359</v>
      </c>
      <c r="J1" s="451" t="s">
        <v>360</v>
      </c>
      <c r="K1" s="451" t="s">
        <v>361</v>
      </c>
      <c r="L1" s="454" t="s">
        <v>362</v>
      </c>
      <c r="M1" s="451" t="s">
        <v>363</v>
      </c>
      <c r="N1" s="455" t="s">
        <v>364</v>
      </c>
      <c r="O1" s="455"/>
      <c r="P1" s="451" t="s">
        <v>365</v>
      </c>
      <c r="Q1" s="456"/>
      <c r="R1" s="456"/>
      <c r="S1" s="456"/>
      <c r="T1" s="456"/>
      <c r="U1" s="456"/>
      <c r="V1" s="456"/>
      <c r="W1" s="456"/>
    </row>
    <row r="2" spans="1:24" s="458" customFormat="1" ht="57" customHeight="1" thickBot="1">
      <c r="A2" s="457"/>
      <c r="B2" s="1085" t="s">
        <v>366</v>
      </c>
      <c r="C2" s="1088" t="s">
        <v>367</v>
      </c>
      <c r="D2" s="1089"/>
      <c r="E2" s="1089"/>
      <c r="F2" s="1089"/>
      <c r="G2" s="1089"/>
      <c r="H2" s="1090"/>
      <c r="I2" s="1093" t="s">
        <v>368</v>
      </c>
      <c r="J2" s="1094"/>
      <c r="K2" s="1094"/>
      <c r="L2" s="1095"/>
      <c r="M2" s="1074" t="s">
        <v>369</v>
      </c>
      <c r="N2" s="1075"/>
      <c r="O2" s="1075"/>
      <c r="P2" s="1075"/>
      <c r="Q2" s="1075"/>
      <c r="R2" s="1075"/>
      <c r="S2" s="1075"/>
      <c r="T2" s="1076"/>
      <c r="U2" s="1066" t="s">
        <v>370</v>
      </c>
      <c r="V2" s="1067"/>
      <c r="W2" s="1068"/>
      <c r="X2" s="1069"/>
    </row>
    <row r="3" spans="1:24" s="458" customFormat="1" ht="78" customHeight="1">
      <c r="A3" s="459"/>
      <c r="B3" s="1086"/>
      <c r="C3" s="460" t="s">
        <v>371</v>
      </c>
      <c r="D3" s="1072" t="s">
        <v>372</v>
      </c>
      <c r="E3" s="461" t="s">
        <v>267</v>
      </c>
      <c r="F3" s="1072" t="s">
        <v>373</v>
      </c>
      <c r="G3" s="348" t="s">
        <v>263</v>
      </c>
      <c r="H3" s="1079" t="s">
        <v>374</v>
      </c>
      <c r="I3" s="462" t="s">
        <v>111</v>
      </c>
      <c r="J3" s="463" t="s">
        <v>263</v>
      </c>
      <c r="K3" s="464" t="s">
        <v>112</v>
      </c>
      <c r="L3" s="465" t="s">
        <v>375</v>
      </c>
      <c r="M3" s="1091" t="s">
        <v>376</v>
      </c>
      <c r="N3" s="1064" t="s">
        <v>377</v>
      </c>
      <c r="O3" s="467"/>
      <c r="P3" s="1064" t="s">
        <v>383</v>
      </c>
      <c r="Q3" s="466" t="s">
        <v>378</v>
      </c>
      <c r="R3" s="468" t="s">
        <v>379</v>
      </c>
      <c r="S3" s="469"/>
      <c r="T3" s="1083" t="s">
        <v>384</v>
      </c>
      <c r="U3" s="1081" t="s">
        <v>380</v>
      </c>
      <c r="V3" s="1070" t="s">
        <v>381</v>
      </c>
      <c r="W3" s="1070" t="s">
        <v>385</v>
      </c>
      <c r="X3" s="1077" t="s">
        <v>382</v>
      </c>
    </row>
    <row r="4" spans="1:24" s="458" customFormat="1" ht="28.5" customHeight="1">
      <c r="A4" s="470"/>
      <c r="B4" s="1087"/>
      <c r="C4" s="471"/>
      <c r="D4" s="1073"/>
      <c r="E4" s="472"/>
      <c r="F4" s="1073"/>
      <c r="G4" s="473"/>
      <c r="H4" s="1080"/>
      <c r="I4" s="474"/>
      <c r="J4" s="475"/>
      <c r="K4" s="475"/>
      <c r="L4" s="476"/>
      <c r="M4" s="1092"/>
      <c r="N4" s="1065"/>
      <c r="O4" s="478"/>
      <c r="P4" s="1065"/>
      <c r="Q4" s="477"/>
      <c r="R4" s="479">
        <v>42291</v>
      </c>
      <c r="S4" s="480"/>
      <c r="T4" s="1084"/>
      <c r="U4" s="1082"/>
      <c r="V4" s="1071"/>
      <c r="W4" s="1071"/>
      <c r="X4" s="1078"/>
    </row>
    <row r="5" spans="1:24" ht="14.25" customHeight="1">
      <c r="A5" s="481"/>
      <c r="B5" s="482"/>
      <c r="C5" s="483">
        <v>1</v>
      </c>
      <c r="D5" s="484">
        <f aca="true" t="shared" si="0" ref="D5:X5">C5+1</f>
        <v>2</v>
      </c>
      <c r="E5" s="484">
        <f t="shared" si="0"/>
        <v>3</v>
      </c>
      <c r="F5" s="484">
        <f t="shared" si="0"/>
        <v>4</v>
      </c>
      <c r="G5" s="484">
        <f t="shared" si="0"/>
        <v>5</v>
      </c>
      <c r="H5" s="485">
        <f t="shared" si="0"/>
        <v>6</v>
      </c>
      <c r="I5" s="483">
        <f t="shared" si="0"/>
        <v>7</v>
      </c>
      <c r="J5" s="484">
        <f t="shared" si="0"/>
        <v>8</v>
      </c>
      <c r="K5" s="484">
        <f t="shared" si="0"/>
        <v>9</v>
      </c>
      <c r="L5" s="485">
        <f t="shared" si="0"/>
        <v>10</v>
      </c>
      <c r="M5" s="483">
        <f t="shared" si="0"/>
        <v>11</v>
      </c>
      <c r="N5" s="484">
        <f t="shared" si="0"/>
        <v>12</v>
      </c>
      <c r="O5" s="484">
        <f t="shared" si="0"/>
        <v>13</v>
      </c>
      <c r="P5" s="484">
        <f t="shared" si="0"/>
        <v>14</v>
      </c>
      <c r="Q5" s="486">
        <f t="shared" si="0"/>
        <v>15</v>
      </c>
      <c r="R5" s="484">
        <f t="shared" si="0"/>
        <v>16</v>
      </c>
      <c r="S5" s="484">
        <f t="shared" si="0"/>
        <v>17</v>
      </c>
      <c r="T5" s="487">
        <f t="shared" si="0"/>
        <v>18</v>
      </c>
      <c r="U5" s="483">
        <f t="shared" si="0"/>
        <v>19</v>
      </c>
      <c r="V5" s="484">
        <f t="shared" si="0"/>
        <v>20</v>
      </c>
      <c r="W5" s="484">
        <f t="shared" si="0"/>
        <v>21</v>
      </c>
      <c r="X5" s="485">
        <f t="shared" si="0"/>
        <v>22</v>
      </c>
    </row>
    <row r="6" spans="1:24" ht="12.75">
      <c r="A6" s="255">
        <v>1</v>
      </c>
      <c r="B6" s="488" t="s">
        <v>116</v>
      </c>
      <c r="C6" s="489">
        <f>'[1]Table 3 Levels 1&amp;2'!AJ8</f>
        <v>38015448</v>
      </c>
      <c r="D6" s="256">
        <f>ROUND(C6/'[1]Table 3 Levels 1&amp;2'!D8,2)</f>
        <v>4171.56</v>
      </c>
      <c r="E6" s="490">
        <f aca="true" t="shared" si="1" ref="E6:E37">RANK(D6,$D$6:$D$73)</f>
        <v>38</v>
      </c>
      <c r="F6" s="491">
        <f>'[2]Table 3 Levels 1&amp;2'!$AI8</f>
        <v>36828041</v>
      </c>
      <c r="G6" s="491">
        <f>F6/'[1]Table 8 Membership'!T8</f>
        <v>3962.1345884884345</v>
      </c>
      <c r="H6" s="492">
        <f aca="true" t="shared" si="2" ref="H6:H37">C6-F6</f>
        <v>1187407</v>
      </c>
      <c r="I6" s="493">
        <f aca="true" t="shared" si="3" ref="I6:I37">IF(H6&gt;0,H6,0)</f>
        <v>1187407</v>
      </c>
      <c r="J6" s="258">
        <f>ROUND(I6/+'[1]Table 3 Levels 1&amp;2'!D8,2)</f>
        <v>130.3</v>
      </c>
      <c r="K6" s="258">
        <f aca="true" t="shared" si="4" ref="K6:K37">IF(H6&lt;0,H6,0)</f>
        <v>0</v>
      </c>
      <c r="L6" s="494">
        <f aca="true" t="shared" si="5" ref="L6:L37">IF(K6&lt;0,1,0)</f>
        <v>0</v>
      </c>
      <c r="M6" s="493">
        <f>IF(I6&lt;0,0,(ROUND(D6*'[1]Table 8 Membership'!W8,0)*-1))</f>
        <v>0</v>
      </c>
      <c r="N6" s="257">
        <f aca="true" t="shared" si="6" ref="N6:N37">IF(I6+M6&gt;0,I6+M6,0)</f>
        <v>1187407</v>
      </c>
      <c r="O6" s="495">
        <f aca="true" t="shared" si="7" ref="O6:O37">IF(N6&gt;0,1,0)</f>
        <v>1</v>
      </c>
      <c r="P6" s="496">
        <f aca="true" t="shared" si="8" ref="P6:P37">ROUND((N6/2),0)</f>
        <v>593704</v>
      </c>
      <c r="Q6" s="497">
        <v>36369.51400329489</v>
      </c>
      <c r="R6" s="498">
        <f aca="true" t="shared" si="9" ref="R6:R37">IF(Q6&lt;$R$4,IF(P6&gt;0,P6,0),0)</f>
        <v>593704</v>
      </c>
      <c r="S6" s="499">
        <f aca="true" t="shared" si="10" ref="S6:S37">IF(R6&gt;0,1,0)</f>
        <v>1</v>
      </c>
      <c r="T6" s="500">
        <f aca="true" t="shared" si="11" ref="T6:T37">IF(R6&gt;0,ROUND(R6/1.158,0),0)</f>
        <v>512698</v>
      </c>
      <c r="U6" s="501">
        <v>759.4148883374693</v>
      </c>
      <c r="V6" s="502">
        <f aca="true" t="shared" si="12" ref="V6:V37">W6-U6</f>
        <v>3.5851116625307213</v>
      </c>
      <c r="W6" s="503">
        <v>763</v>
      </c>
      <c r="X6" s="504">
        <f aca="true" t="shared" si="13" ref="X6:X37">ROUND(T6/W6,0)</f>
        <v>672</v>
      </c>
    </row>
    <row r="7" spans="1:24" ht="12.75">
      <c r="A7" s="255">
        <v>2</v>
      </c>
      <c r="B7" s="488" t="s">
        <v>117</v>
      </c>
      <c r="C7" s="489">
        <f>'[1]Table 3 Levels 1&amp;2'!AJ9</f>
        <v>21253305</v>
      </c>
      <c r="D7" s="256">
        <f>ROUND(C7/'[1]Table 3 Levels 1&amp;2'!D9,2)</f>
        <v>5111.42</v>
      </c>
      <c r="E7" s="490">
        <f t="shared" si="1"/>
        <v>6</v>
      </c>
      <c r="F7" s="491">
        <f>'[2]Table 3 Levels 1&amp;2'!$AI9</f>
        <v>20022074</v>
      </c>
      <c r="G7" s="491">
        <f>F7/'[1]Table 8 Membership'!T9</f>
        <v>4860.906530711338</v>
      </c>
      <c r="H7" s="492">
        <f t="shared" si="2"/>
        <v>1231231</v>
      </c>
      <c r="I7" s="493">
        <f t="shared" si="3"/>
        <v>1231231</v>
      </c>
      <c r="J7" s="258">
        <f>ROUND(I7/+'[1]Table 3 Levels 1&amp;2'!D9,2)</f>
        <v>296.11</v>
      </c>
      <c r="K7" s="258">
        <f t="shared" si="4"/>
        <v>0</v>
      </c>
      <c r="L7" s="494">
        <f t="shared" si="5"/>
        <v>0</v>
      </c>
      <c r="M7" s="493">
        <f>IF(I7&lt;0,0,(ROUND(D7*'[1]Table 8 Membership'!W9,0)*-1))</f>
        <v>-199345</v>
      </c>
      <c r="N7" s="257">
        <f t="shared" si="6"/>
        <v>1031886</v>
      </c>
      <c r="O7" s="495">
        <f t="shared" si="7"/>
        <v>1</v>
      </c>
      <c r="P7" s="496">
        <f t="shared" si="8"/>
        <v>515943</v>
      </c>
      <c r="Q7" s="497">
        <v>35973.78614457831</v>
      </c>
      <c r="R7" s="498">
        <f t="shared" si="9"/>
        <v>515943</v>
      </c>
      <c r="S7" s="499">
        <f t="shared" si="10"/>
        <v>1</v>
      </c>
      <c r="T7" s="500">
        <f t="shared" si="11"/>
        <v>445547</v>
      </c>
      <c r="U7" s="505">
        <v>415.6013186813186</v>
      </c>
      <c r="V7" s="506">
        <f t="shared" si="12"/>
        <v>-6.601318681318617</v>
      </c>
      <c r="W7" s="507">
        <v>409</v>
      </c>
      <c r="X7" s="504">
        <f t="shared" si="13"/>
        <v>1089</v>
      </c>
    </row>
    <row r="8" spans="1:24" ht="12.75">
      <c r="A8" s="255">
        <v>3</v>
      </c>
      <c r="B8" s="488" t="s">
        <v>118</v>
      </c>
      <c r="C8" s="489">
        <f>'[1]Table 3 Levels 1&amp;2'!AJ10</f>
        <v>68037127</v>
      </c>
      <c r="D8" s="256">
        <f>ROUND(C8/'[1]Table 3 Levels 1&amp;2'!D10,2)</f>
        <v>3898.75</v>
      </c>
      <c r="E8" s="490">
        <f t="shared" si="1"/>
        <v>47</v>
      </c>
      <c r="F8" s="491">
        <f>'[2]Table 3 Levels 1&amp;2'!$AI10</f>
        <v>57740371</v>
      </c>
      <c r="G8" s="491">
        <f>F8/'[1]Table 8 Membership'!T10</f>
        <v>3598.42770783996</v>
      </c>
      <c r="H8" s="492">
        <f t="shared" si="2"/>
        <v>10296756</v>
      </c>
      <c r="I8" s="493">
        <f t="shared" si="3"/>
        <v>10296756</v>
      </c>
      <c r="J8" s="258">
        <f>ROUND(I8/+'[1]Table 3 Levels 1&amp;2'!D10,2)</f>
        <v>590.04</v>
      </c>
      <c r="K8" s="258">
        <f t="shared" si="4"/>
        <v>0</v>
      </c>
      <c r="L8" s="494">
        <f t="shared" si="5"/>
        <v>0</v>
      </c>
      <c r="M8" s="493">
        <f>IF(I8&lt;0,0,(ROUND(D8*'[1]Table 8 Membership'!W10,0)*-1))</f>
        <v>-5477744</v>
      </c>
      <c r="N8" s="257">
        <f t="shared" si="6"/>
        <v>4819012</v>
      </c>
      <c r="O8" s="495">
        <f t="shared" si="7"/>
        <v>1</v>
      </c>
      <c r="P8" s="496">
        <f t="shared" si="8"/>
        <v>2409506</v>
      </c>
      <c r="Q8" s="497">
        <v>40739.95248625159</v>
      </c>
      <c r="R8" s="498">
        <f t="shared" si="9"/>
        <v>2409506</v>
      </c>
      <c r="S8" s="499">
        <f t="shared" si="10"/>
        <v>1</v>
      </c>
      <c r="T8" s="500">
        <f t="shared" si="11"/>
        <v>2080748</v>
      </c>
      <c r="U8" s="505">
        <v>930.4750618463627</v>
      </c>
      <c r="V8" s="506">
        <f t="shared" si="12"/>
        <v>478.51394914264824</v>
      </c>
      <c r="W8" s="507">
        <v>1408.989010989011</v>
      </c>
      <c r="X8" s="504">
        <f t="shared" si="13"/>
        <v>1477</v>
      </c>
    </row>
    <row r="9" spans="1:24" ht="12.75">
      <c r="A9" s="255">
        <v>4</v>
      </c>
      <c r="B9" s="488" t="s">
        <v>119</v>
      </c>
      <c r="C9" s="489">
        <f>'[1]Table 3 Levels 1&amp;2'!AJ11</f>
        <v>20656765</v>
      </c>
      <c r="D9" s="256">
        <f>ROUND(C9/'[1]Table 3 Levels 1&amp;2'!D11,2)</f>
        <v>5062.93</v>
      </c>
      <c r="E9" s="490">
        <f t="shared" si="1"/>
        <v>8</v>
      </c>
      <c r="F9" s="491">
        <f>'[2]Table 3 Levels 1&amp;2'!$AI11</f>
        <v>19861703</v>
      </c>
      <c r="G9" s="491">
        <f>F9/'[1]Table 8 Membership'!T11</f>
        <v>4806.801306873185</v>
      </c>
      <c r="H9" s="492">
        <f t="shared" si="2"/>
        <v>795062</v>
      </c>
      <c r="I9" s="493">
        <f t="shared" si="3"/>
        <v>795062</v>
      </c>
      <c r="J9" s="258">
        <f>ROUND(I9/+'[1]Table 3 Levels 1&amp;2'!D11,2)</f>
        <v>194.87</v>
      </c>
      <c r="K9" s="258">
        <f t="shared" si="4"/>
        <v>0</v>
      </c>
      <c r="L9" s="494">
        <f t="shared" si="5"/>
        <v>0</v>
      </c>
      <c r="M9" s="493">
        <f>IF(I9&lt;0,0,(ROUND(D9*'[1]Table 8 Membership'!W11,0)*-1))</f>
        <v>0</v>
      </c>
      <c r="N9" s="257">
        <f t="shared" si="6"/>
        <v>795062</v>
      </c>
      <c r="O9" s="495">
        <f t="shared" si="7"/>
        <v>1</v>
      </c>
      <c r="P9" s="496">
        <f t="shared" si="8"/>
        <v>397531</v>
      </c>
      <c r="Q9" s="497">
        <v>35663.818095031456</v>
      </c>
      <c r="R9" s="498">
        <f t="shared" si="9"/>
        <v>397531</v>
      </c>
      <c r="S9" s="499">
        <f t="shared" si="10"/>
        <v>1</v>
      </c>
      <c r="T9" s="500">
        <f t="shared" si="11"/>
        <v>343291</v>
      </c>
      <c r="U9" s="505">
        <v>368.4237864120007</v>
      </c>
      <c r="V9" s="506">
        <f t="shared" si="12"/>
        <v>-12.812522675737</v>
      </c>
      <c r="W9" s="507">
        <v>355.6112637362637</v>
      </c>
      <c r="X9" s="504">
        <f t="shared" si="13"/>
        <v>965</v>
      </c>
    </row>
    <row r="10" spans="1:24" ht="12.75">
      <c r="A10" s="265">
        <v>5</v>
      </c>
      <c r="B10" s="508" t="s">
        <v>120</v>
      </c>
      <c r="C10" s="509">
        <f>'[1]Table 3 Levels 1&amp;2'!AJ12</f>
        <v>25485247</v>
      </c>
      <c r="D10" s="266">
        <f>ROUND(C10/'[1]Table 3 Levels 1&amp;2'!D12,2)</f>
        <v>4191.65</v>
      </c>
      <c r="E10" s="510">
        <f t="shared" si="1"/>
        <v>37</v>
      </c>
      <c r="F10" s="511">
        <f>'[2]Table 3 Levels 1&amp;2'!$AI12</f>
        <v>26171975</v>
      </c>
      <c r="G10" s="512">
        <f>F10/'[1]Table 8 Membership'!T12</f>
        <v>4133.94013583952</v>
      </c>
      <c r="H10" s="513">
        <f t="shared" si="2"/>
        <v>-686728</v>
      </c>
      <c r="I10" s="514">
        <f t="shared" si="3"/>
        <v>0</v>
      </c>
      <c r="J10" s="276">
        <f>ROUND(I10/+'[1]Table 3 Levels 1&amp;2'!D12,2)</f>
        <v>0</v>
      </c>
      <c r="K10" s="276">
        <f t="shared" si="4"/>
        <v>-686728</v>
      </c>
      <c r="L10" s="515">
        <f t="shared" si="5"/>
        <v>1</v>
      </c>
      <c r="M10" s="516">
        <f>IF(I10&lt;0,0,(ROUND(D10*'[1]Table 8 Membership'!W12,0)*-1))</f>
        <v>0</v>
      </c>
      <c r="N10" s="270">
        <f t="shared" si="6"/>
        <v>0</v>
      </c>
      <c r="O10" s="517">
        <f t="shared" si="7"/>
        <v>0</v>
      </c>
      <c r="P10" s="518">
        <f t="shared" si="8"/>
        <v>0</v>
      </c>
      <c r="Q10" s="519">
        <v>35631.68508768871</v>
      </c>
      <c r="R10" s="520">
        <f t="shared" si="9"/>
        <v>0</v>
      </c>
      <c r="S10" s="521">
        <f t="shared" si="10"/>
        <v>0</v>
      </c>
      <c r="T10" s="522">
        <f t="shared" si="11"/>
        <v>0</v>
      </c>
      <c r="U10" s="523">
        <v>455.7592532467532</v>
      </c>
      <c r="V10" s="524">
        <f t="shared" si="12"/>
        <v>-31.771045699583397</v>
      </c>
      <c r="W10" s="525">
        <v>423.9882075471698</v>
      </c>
      <c r="X10" s="522">
        <f t="shared" si="13"/>
        <v>0</v>
      </c>
    </row>
    <row r="11" spans="1:24" ht="12.75">
      <c r="A11" s="255">
        <v>6</v>
      </c>
      <c r="B11" s="488" t="s">
        <v>121</v>
      </c>
      <c r="C11" s="489">
        <f>'[1]Table 3 Levels 1&amp;2'!AJ13</f>
        <v>26413507</v>
      </c>
      <c r="D11" s="256">
        <f>ROUND(C11/'[1]Table 3 Levels 1&amp;2'!D13,2)</f>
        <v>4357.95</v>
      </c>
      <c r="E11" s="490">
        <f t="shared" si="1"/>
        <v>30</v>
      </c>
      <c r="F11" s="491">
        <f>'[2]Table 3 Levels 1&amp;2'!$AI13</f>
        <v>25532552</v>
      </c>
      <c r="G11" s="491">
        <f>F11/'[1]Table 8 Membership'!T13</f>
        <v>4174.031714892922</v>
      </c>
      <c r="H11" s="492">
        <f t="shared" si="2"/>
        <v>880955</v>
      </c>
      <c r="I11" s="493">
        <f t="shared" si="3"/>
        <v>880955</v>
      </c>
      <c r="J11" s="258">
        <f>ROUND(I11/+'[1]Table 3 Levels 1&amp;2'!D13,2)</f>
        <v>145.35</v>
      </c>
      <c r="K11" s="258">
        <f t="shared" si="4"/>
        <v>0</v>
      </c>
      <c r="L11" s="494">
        <f t="shared" si="5"/>
        <v>0</v>
      </c>
      <c r="M11" s="493">
        <f>IF(I11&lt;0,0,(ROUND(D11*'[1]Table 8 Membership'!W13,0)*-1))</f>
        <v>0</v>
      </c>
      <c r="N11" s="257">
        <f t="shared" si="6"/>
        <v>880955</v>
      </c>
      <c r="O11" s="495">
        <f t="shared" si="7"/>
        <v>1</v>
      </c>
      <c r="P11" s="496">
        <f t="shared" si="8"/>
        <v>440478</v>
      </c>
      <c r="Q11" s="497">
        <v>35502.67486340971</v>
      </c>
      <c r="R11" s="498">
        <f t="shared" si="9"/>
        <v>440478</v>
      </c>
      <c r="S11" s="499">
        <f t="shared" si="10"/>
        <v>1</v>
      </c>
      <c r="T11" s="500">
        <f t="shared" si="11"/>
        <v>380378</v>
      </c>
      <c r="U11" s="505">
        <v>500.71996494113705</v>
      </c>
      <c r="V11" s="506">
        <f t="shared" si="12"/>
        <v>-2.5679136747329494</v>
      </c>
      <c r="W11" s="507">
        <v>498.1520512664041</v>
      </c>
      <c r="X11" s="504">
        <f t="shared" si="13"/>
        <v>764</v>
      </c>
    </row>
    <row r="12" spans="1:24" ht="12.75">
      <c r="A12" s="255">
        <v>7</v>
      </c>
      <c r="B12" s="488" t="s">
        <v>122</v>
      </c>
      <c r="C12" s="489">
        <f>'[1]Table 3 Levels 1&amp;2'!AJ14</f>
        <v>7645155</v>
      </c>
      <c r="D12" s="256">
        <f>ROUND(C12/'[1]Table 3 Levels 1&amp;2'!D14,2)</f>
        <v>3382.81</v>
      </c>
      <c r="E12" s="490">
        <f t="shared" si="1"/>
        <v>56</v>
      </c>
      <c r="F12" s="491">
        <f>'[2]Table 3 Levels 1&amp;2'!$AI14</f>
        <v>9049539</v>
      </c>
      <c r="G12" s="491">
        <f>F12/'[1]Table 8 Membership'!T14</f>
        <v>3837.8027989821885</v>
      </c>
      <c r="H12" s="492">
        <f t="shared" si="2"/>
        <v>-1404384</v>
      </c>
      <c r="I12" s="493">
        <f t="shared" si="3"/>
        <v>0</v>
      </c>
      <c r="J12" s="258">
        <f>ROUND(I12/+'[1]Table 3 Levels 1&amp;2'!D14,2)</f>
        <v>0</v>
      </c>
      <c r="K12" s="258">
        <f t="shared" si="4"/>
        <v>-1404384</v>
      </c>
      <c r="L12" s="494">
        <f t="shared" si="5"/>
        <v>1</v>
      </c>
      <c r="M12" s="493">
        <f>IF(I12&lt;0,0,(ROUND(D12*'[1]Table 8 Membership'!W14,0)*-1))</f>
        <v>0</v>
      </c>
      <c r="N12" s="257">
        <f t="shared" si="6"/>
        <v>0</v>
      </c>
      <c r="O12" s="495">
        <f t="shared" si="7"/>
        <v>0</v>
      </c>
      <c r="P12" s="496">
        <f t="shared" si="8"/>
        <v>0</v>
      </c>
      <c r="Q12" s="497">
        <v>37713.80416328198</v>
      </c>
      <c r="R12" s="498">
        <f t="shared" si="9"/>
        <v>0</v>
      </c>
      <c r="S12" s="499">
        <f t="shared" si="10"/>
        <v>0</v>
      </c>
      <c r="T12" s="500">
        <f t="shared" si="11"/>
        <v>0</v>
      </c>
      <c r="U12" s="505">
        <v>228.44707842157834</v>
      </c>
      <c r="V12" s="506">
        <f t="shared" si="12"/>
        <v>-7.913745088245037</v>
      </c>
      <c r="W12" s="507">
        <v>220.5333333333333</v>
      </c>
      <c r="X12" s="500">
        <f t="shared" si="13"/>
        <v>0</v>
      </c>
    </row>
    <row r="13" spans="1:24" ht="12.75">
      <c r="A13" s="255">
        <v>8</v>
      </c>
      <c r="B13" s="488" t="s">
        <v>123</v>
      </c>
      <c r="C13" s="489">
        <f>'[1]Table 3 Levels 1&amp;2'!AJ15</f>
        <v>66141074</v>
      </c>
      <c r="D13" s="256">
        <f>ROUND(C13/'[1]Table 3 Levels 1&amp;2'!D15,2)</f>
        <v>3494.72</v>
      </c>
      <c r="E13" s="490">
        <f t="shared" si="1"/>
        <v>54</v>
      </c>
      <c r="F13" s="491">
        <f>'[2]Table 3 Levels 1&amp;2'!$AI15</f>
        <v>63239546</v>
      </c>
      <c r="G13" s="491">
        <f>F13/'[1]Table 8 Membership'!T15</f>
        <v>3365.416742057368</v>
      </c>
      <c r="H13" s="492">
        <f t="shared" si="2"/>
        <v>2901528</v>
      </c>
      <c r="I13" s="493">
        <f t="shared" si="3"/>
        <v>2901528</v>
      </c>
      <c r="J13" s="258">
        <f>ROUND(I13/+'[1]Table 3 Levels 1&amp;2'!D15,2)</f>
        <v>153.31</v>
      </c>
      <c r="K13" s="258">
        <f t="shared" si="4"/>
        <v>0</v>
      </c>
      <c r="L13" s="494">
        <f t="shared" si="5"/>
        <v>0</v>
      </c>
      <c r="M13" s="493">
        <f>IF(I13&lt;0,0,(ROUND(D13*'[1]Table 8 Membership'!W15,0)*-1))</f>
        <v>-471787</v>
      </c>
      <c r="N13" s="257">
        <f t="shared" si="6"/>
        <v>2429741</v>
      </c>
      <c r="O13" s="495">
        <f t="shared" si="7"/>
        <v>1</v>
      </c>
      <c r="P13" s="496">
        <f t="shared" si="8"/>
        <v>1214871</v>
      </c>
      <c r="Q13" s="497">
        <v>39378.80977475485</v>
      </c>
      <c r="R13" s="498">
        <f t="shared" si="9"/>
        <v>1214871</v>
      </c>
      <c r="S13" s="499">
        <f t="shared" si="10"/>
        <v>1</v>
      </c>
      <c r="T13" s="500">
        <f t="shared" si="11"/>
        <v>1049111</v>
      </c>
      <c r="U13" s="505">
        <v>1477.501465322978</v>
      </c>
      <c r="V13" s="506">
        <f t="shared" si="12"/>
        <v>33.07325367766475</v>
      </c>
      <c r="W13" s="507">
        <v>1510.5747190006427</v>
      </c>
      <c r="X13" s="504">
        <f t="shared" si="13"/>
        <v>695</v>
      </c>
    </row>
    <row r="14" spans="1:24" ht="12.75">
      <c r="A14" s="255">
        <v>9</v>
      </c>
      <c r="B14" s="488" t="s">
        <v>124</v>
      </c>
      <c r="C14" s="489">
        <f>'[1]Table 3 Levels 1&amp;2'!AJ16</f>
        <v>170041715</v>
      </c>
      <c r="D14" s="256">
        <f>ROUND(C14/'[1]Table 3 Levels 1&amp;2'!D16,2)</f>
        <v>4035.45</v>
      </c>
      <c r="E14" s="490">
        <f t="shared" si="1"/>
        <v>44</v>
      </c>
      <c r="F14" s="491">
        <f>'[2]Table 3 Levels 1&amp;2'!$AI16</f>
        <v>169216656</v>
      </c>
      <c r="G14" s="491">
        <f>F14/'[1]Table 8 Membership'!T16</f>
        <v>3977.263573543929</v>
      </c>
      <c r="H14" s="492">
        <f t="shared" si="2"/>
        <v>825059</v>
      </c>
      <c r="I14" s="493">
        <f t="shared" si="3"/>
        <v>825059</v>
      </c>
      <c r="J14" s="258">
        <f>ROUND(I14/+'[1]Table 3 Levels 1&amp;2'!D16,2)</f>
        <v>19.58</v>
      </c>
      <c r="K14" s="258">
        <f t="shared" si="4"/>
        <v>0</v>
      </c>
      <c r="L14" s="494">
        <f t="shared" si="5"/>
        <v>0</v>
      </c>
      <c r="M14" s="493">
        <f>IF(I14&lt;0,0,(ROUND(D14*'[1]Table 8 Membership'!W16,0)*-1))</f>
        <v>0</v>
      </c>
      <c r="N14" s="257">
        <f t="shared" si="6"/>
        <v>825059</v>
      </c>
      <c r="O14" s="495">
        <f t="shared" si="7"/>
        <v>1</v>
      </c>
      <c r="P14" s="496">
        <f t="shared" si="8"/>
        <v>412530</v>
      </c>
      <c r="Q14" s="497">
        <v>41482.81921929539</v>
      </c>
      <c r="R14" s="498">
        <f t="shared" si="9"/>
        <v>412530</v>
      </c>
      <c r="S14" s="499">
        <f t="shared" si="10"/>
        <v>1</v>
      </c>
      <c r="T14" s="500">
        <f t="shared" si="11"/>
        <v>356244</v>
      </c>
      <c r="U14" s="505">
        <v>3641.5468029002222</v>
      </c>
      <c r="V14" s="506">
        <f t="shared" si="12"/>
        <v>1.7823637664441776</v>
      </c>
      <c r="W14" s="507">
        <v>3643.3291666666664</v>
      </c>
      <c r="X14" s="504">
        <f t="shared" si="13"/>
        <v>98</v>
      </c>
    </row>
    <row r="15" spans="1:24" ht="12.75">
      <c r="A15" s="265">
        <v>10</v>
      </c>
      <c r="B15" s="508" t="s">
        <v>125</v>
      </c>
      <c r="C15" s="509">
        <f>'[1]Table 3 Levels 1&amp;2'!AJ17</f>
        <v>97066986</v>
      </c>
      <c r="D15" s="266">
        <f>ROUND(C15/'[1]Table 3 Levels 1&amp;2'!D17,2)</f>
        <v>3183.46</v>
      </c>
      <c r="E15" s="510">
        <f t="shared" si="1"/>
        <v>58</v>
      </c>
      <c r="F15" s="511">
        <f>'[2]Table 3 Levels 1&amp;2'!$AI17</f>
        <v>106229459</v>
      </c>
      <c r="G15" s="512">
        <f>F15/'[1]Table 8 Membership'!T17</f>
        <v>3358.8218610680747</v>
      </c>
      <c r="H15" s="513">
        <f t="shared" si="2"/>
        <v>-9162473</v>
      </c>
      <c r="I15" s="514">
        <f t="shared" si="3"/>
        <v>0</v>
      </c>
      <c r="J15" s="276">
        <f>ROUND(I15/+'[1]Table 3 Levels 1&amp;2'!D17,2)</f>
        <v>0</v>
      </c>
      <c r="K15" s="276">
        <f t="shared" si="4"/>
        <v>-9162473</v>
      </c>
      <c r="L15" s="515">
        <f t="shared" si="5"/>
        <v>1</v>
      </c>
      <c r="M15" s="516">
        <f>IF(I15&lt;0,0,(ROUND(D15*'[1]Table 8 Membership'!W17,0)*-1))</f>
        <v>0</v>
      </c>
      <c r="N15" s="270">
        <f t="shared" si="6"/>
        <v>0</v>
      </c>
      <c r="O15" s="517">
        <f t="shared" si="7"/>
        <v>0</v>
      </c>
      <c r="P15" s="518">
        <f t="shared" si="8"/>
        <v>0</v>
      </c>
      <c r="Q15" s="519">
        <v>37610.99855007053</v>
      </c>
      <c r="R15" s="520">
        <f t="shared" si="9"/>
        <v>0</v>
      </c>
      <c r="S15" s="521">
        <f t="shared" si="10"/>
        <v>0</v>
      </c>
      <c r="T15" s="522">
        <f t="shared" si="11"/>
        <v>0</v>
      </c>
      <c r="U15" s="523">
        <v>2785.525394087834</v>
      </c>
      <c r="V15" s="524">
        <f t="shared" si="12"/>
        <v>141.62018289341358</v>
      </c>
      <c r="W15" s="525">
        <v>2927.1455769812474</v>
      </c>
      <c r="X15" s="522">
        <f t="shared" si="13"/>
        <v>0</v>
      </c>
    </row>
    <row r="16" spans="1:24" ht="12.75">
      <c r="A16" s="255">
        <v>11</v>
      </c>
      <c r="B16" s="488" t="s">
        <v>126</v>
      </c>
      <c r="C16" s="489">
        <f>'[1]Table 3 Levels 1&amp;2'!AJ18</f>
        <v>8630734</v>
      </c>
      <c r="D16" s="256">
        <f>ROUND(C16/'[1]Table 3 Levels 1&amp;2'!D18,2)</f>
        <v>4988.86</v>
      </c>
      <c r="E16" s="490">
        <f t="shared" si="1"/>
        <v>9</v>
      </c>
      <c r="F16" s="491">
        <f>'[2]Table 3 Levels 1&amp;2'!$AI18</f>
        <v>8664293</v>
      </c>
      <c r="G16" s="491">
        <f>F16/'[1]Table 8 Membership'!T18</f>
        <v>4873.055680539933</v>
      </c>
      <c r="H16" s="492">
        <f t="shared" si="2"/>
        <v>-33559</v>
      </c>
      <c r="I16" s="493">
        <f t="shared" si="3"/>
        <v>0</v>
      </c>
      <c r="J16" s="258">
        <f>ROUND(I16/+'[1]Table 3 Levels 1&amp;2'!D18,2)</f>
        <v>0</v>
      </c>
      <c r="K16" s="258">
        <f t="shared" si="4"/>
        <v>-33559</v>
      </c>
      <c r="L16" s="494">
        <f t="shared" si="5"/>
        <v>1</v>
      </c>
      <c r="M16" s="493">
        <f>IF(I16&lt;0,0,(ROUND(D16*'[1]Table 8 Membership'!W18,0)*-1))</f>
        <v>0</v>
      </c>
      <c r="N16" s="257">
        <f t="shared" si="6"/>
        <v>0</v>
      </c>
      <c r="O16" s="495">
        <f t="shared" si="7"/>
        <v>0</v>
      </c>
      <c r="P16" s="496">
        <f t="shared" si="8"/>
        <v>0</v>
      </c>
      <c r="Q16" s="497">
        <v>32100.50663099305</v>
      </c>
      <c r="R16" s="498">
        <f t="shared" si="9"/>
        <v>0</v>
      </c>
      <c r="S16" s="499">
        <f t="shared" si="10"/>
        <v>0</v>
      </c>
      <c r="T16" s="500">
        <f t="shared" si="11"/>
        <v>0</v>
      </c>
      <c r="U16" s="505">
        <v>156.4056126111734</v>
      </c>
      <c r="V16" s="506">
        <f t="shared" si="12"/>
        <v>-2.061520063096509</v>
      </c>
      <c r="W16" s="507">
        <v>154.3440925480769</v>
      </c>
      <c r="X16" s="500">
        <f t="shared" si="13"/>
        <v>0</v>
      </c>
    </row>
    <row r="17" spans="1:24" ht="12.75">
      <c r="A17" s="255">
        <v>12</v>
      </c>
      <c r="B17" s="488" t="s">
        <v>127</v>
      </c>
      <c r="C17" s="489">
        <f>'[1]Table 3 Levels 1&amp;2'!AJ19</f>
        <v>5930962</v>
      </c>
      <c r="D17" s="256">
        <f>ROUND(C17/'[1]Table 3 Levels 1&amp;2'!D19,2)</f>
        <v>3609.84</v>
      </c>
      <c r="E17" s="490">
        <f t="shared" si="1"/>
        <v>53</v>
      </c>
      <c r="F17" s="491">
        <f>'[2]Table 3 Levels 1&amp;2'!$AI19</f>
        <v>6765221</v>
      </c>
      <c r="G17" s="491">
        <f>F17/'[1]Table 8 Membership'!T19</f>
        <v>3706.9704109589043</v>
      </c>
      <c r="H17" s="492">
        <f t="shared" si="2"/>
        <v>-834259</v>
      </c>
      <c r="I17" s="493">
        <f t="shared" si="3"/>
        <v>0</v>
      </c>
      <c r="J17" s="258">
        <f>ROUND(I17/+'[1]Table 3 Levels 1&amp;2'!D19,2)</f>
        <v>0</v>
      </c>
      <c r="K17" s="258">
        <f t="shared" si="4"/>
        <v>-834259</v>
      </c>
      <c r="L17" s="494">
        <f t="shared" si="5"/>
        <v>1</v>
      </c>
      <c r="M17" s="493">
        <f>IF(I17&lt;0,0,(ROUND(D17*'[1]Table 8 Membership'!W19,0)*-1))</f>
        <v>0</v>
      </c>
      <c r="N17" s="257">
        <f t="shared" si="6"/>
        <v>0</v>
      </c>
      <c r="O17" s="495">
        <f t="shared" si="7"/>
        <v>0</v>
      </c>
      <c r="P17" s="496">
        <f t="shared" si="8"/>
        <v>0</v>
      </c>
      <c r="Q17" s="497">
        <v>39707.749737464794</v>
      </c>
      <c r="R17" s="498">
        <f t="shared" si="9"/>
        <v>0</v>
      </c>
      <c r="S17" s="499">
        <f t="shared" si="10"/>
        <v>0</v>
      </c>
      <c r="T17" s="500">
        <f t="shared" si="11"/>
        <v>0</v>
      </c>
      <c r="U17" s="505">
        <v>189.67404764927042</v>
      </c>
      <c r="V17" s="506">
        <f t="shared" si="12"/>
        <v>-10.650588940282063</v>
      </c>
      <c r="W17" s="507">
        <v>179.02345870898836</v>
      </c>
      <c r="X17" s="500">
        <f t="shared" si="13"/>
        <v>0</v>
      </c>
    </row>
    <row r="18" spans="1:24" ht="12.75">
      <c r="A18" s="255">
        <v>13</v>
      </c>
      <c r="B18" s="488" t="s">
        <v>128</v>
      </c>
      <c r="C18" s="489">
        <f>'[1]Table 3 Levels 1&amp;2'!AJ20</f>
        <v>8469510</v>
      </c>
      <c r="D18" s="256">
        <f>ROUND(C18/'[1]Table 3 Levels 1&amp;2'!D20,2)</f>
        <v>4825.93</v>
      </c>
      <c r="E18" s="490">
        <f t="shared" si="1"/>
        <v>14</v>
      </c>
      <c r="F18" s="491">
        <f>'[2]Table 3 Levels 1&amp;2'!$AI20</f>
        <v>8011503</v>
      </c>
      <c r="G18" s="491">
        <f>F18/'[1]Table 8 Membership'!T20</f>
        <v>4649.740568775392</v>
      </c>
      <c r="H18" s="492">
        <f t="shared" si="2"/>
        <v>458007</v>
      </c>
      <c r="I18" s="493">
        <f t="shared" si="3"/>
        <v>458007</v>
      </c>
      <c r="J18" s="258">
        <f>ROUND(I18/+'[1]Table 3 Levels 1&amp;2'!D20,2)</f>
        <v>260.97</v>
      </c>
      <c r="K18" s="258">
        <f t="shared" si="4"/>
        <v>0</v>
      </c>
      <c r="L18" s="494">
        <f t="shared" si="5"/>
        <v>0</v>
      </c>
      <c r="M18" s="493">
        <f>IF(I18&lt;0,0,(ROUND(D18*'[1]Table 8 Membership'!W20,0)*-1))</f>
        <v>-154430</v>
      </c>
      <c r="N18" s="257">
        <f t="shared" si="6"/>
        <v>303577</v>
      </c>
      <c r="O18" s="495">
        <f t="shared" si="7"/>
        <v>1</v>
      </c>
      <c r="P18" s="496">
        <f t="shared" si="8"/>
        <v>151789</v>
      </c>
      <c r="Q18" s="497">
        <v>27827.47081419527</v>
      </c>
      <c r="R18" s="498">
        <f t="shared" si="9"/>
        <v>151789</v>
      </c>
      <c r="S18" s="499">
        <f t="shared" si="10"/>
        <v>1</v>
      </c>
      <c r="T18" s="500">
        <f t="shared" si="11"/>
        <v>131079</v>
      </c>
      <c r="U18" s="505">
        <v>163.24191314782712</v>
      </c>
      <c r="V18" s="506">
        <f t="shared" si="12"/>
        <v>-3.3390776853460977</v>
      </c>
      <c r="W18" s="507">
        <v>159.90283546248102</v>
      </c>
      <c r="X18" s="504">
        <f t="shared" si="13"/>
        <v>820</v>
      </c>
    </row>
    <row r="19" spans="1:24" ht="12.75">
      <c r="A19" s="255">
        <v>14</v>
      </c>
      <c r="B19" s="488" t="s">
        <v>129</v>
      </c>
      <c r="C19" s="489">
        <f>'[1]Table 3 Levels 1&amp;2'!AJ21</f>
        <v>13302814</v>
      </c>
      <c r="D19" s="256">
        <f>ROUND(C19/'[1]Table 3 Levels 1&amp;2'!D21,2)</f>
        <v>5184.26</v>
      </c>
      <c r="E19" s="490">
        <f t="shared" si="1"/>
        <v>4</v>
      </c>
      <c r="F19" s="491">
        <f>'[2]Table 3 Levels 1&amp;2'!$AI21</f>
        <v>13259510</v>
      </c>
      <c r="G19" s="491">
        <f>F19/'[1]Table 8 Membership'!T21</f>
        <v>4964.249344814676</v>
      </c>
      <c r="H19" s="492">
        <f t="shared" si="2"/>
        <v>43304</v>
      </c>
      <c r="I19" s="493">
        <f t="shared" si="3"/>
        <v>43304</v>
      </c>
      <c r="J19" s="258">
        <f>ROUND(I19/+'[1]Table 3 Levels 1&amp;2'!D21,2)</f>
        <v>16.88</v>
      </c>
      <c r="K19" s="258">
        <f t="shared" si="4"/>
        <v>0</v>
      </c>
      <c r="L19" s="494">
        <f t="shared" si="5"/>
        <v>0</v>
      </c>
      <c r="M19" s="493">
        <f>IF(I19&lt;0,0,(ROUND(D19*'[1]Table 8 Membership'!W21,0)*-1))</f>
        <v>0</v>
      </c>
      <c r="N19" s="257">
        <f t="shared" si="6"/>
        <v>43304</v>
      </c>
      <c r="O19" s="495">
        <f t="shared" si="7"/>
        <v>1</v>
      </c>
      <c r="P19" s="496">
        <f t="shared" si="8"/>
        <v>21652</v>
      </c>
      <c r="Q19" s="497">
        <v>32126.106495802487</v>
      </c>
      <c r="R19" s="498">
        <f t="shared" si="9"/>
        <v>21652</v>
      </c>
      <c r="S19" s="499">
        <f t="shared" si="10"/>
        <v>1</v>
      </c>
      <c r="T19" s="500">
        <f t="shared" si="11"/>
        <v>18698</v>
      </c>
      <c r="U19" s="505">
        <v>268.88342250757984</v>
      </c>
      <c r="V19" s="506">
        <f t="shared" si="12"/>
        <v>-8.883422507579837</v>
      </c>
      <c r="W19" s="507">
        <v>260</v>
      </c>
      <c r="X19" s="504">
        <f t="shared" si="13"/>
        <v>72</v>
      </c>
    </row>
    <row r="20" spans="1:24" ht="12.75">
      <c r="A20" s="265">
        <v>15</v>
      </c>
      <c r="B20" s="508" t="s">
        <v>130</v>
      </c>
      <c r="C20" s="509">
        <f>'[1]Table 3 Levels 1&amp;2'!AJ22</f>
        <v>18092237</v>
      </c>
      <c r="D20" s="266">
        <f>ROUND(C20/'[1]Table 3 Levels 1&amp;2'!D22,2)</f>
        <v>4603.62</v>
      </c>
      <c r="E20" s="510">
        <f t="shared" si="1"/>
        <v>23</v>
      </c>
      <c r="F20" s="511">
        <f>'[2]Table 3 Levels 1&amp;2'!$AI22</f>
        <v>15989304</v>
      </c>
      <c r="G20" s="512">
        <f>F20/'[1]Table 8 Membership'!T22</f>
        <v>4288.976394849786</v>
      </c>
      <c r="H20" s="513">
        <f t="shared" si="2"/>
        <v>2102933</v>
      </c>
      <c r="I20" s="514">
        <f t="shared" si="3"/>
        <v>2102933</v>
      </c>
      <c r="J20" s="276">
        <f>ROUND(I20/+'[1]Table 3 Levels 1&amp;2'!D22,2)</f>
        <v>535.1</v>
      </c>
      <c r="K20" s="276">
        <f t="shared" si="4"/>
        <v>0</v>
      </c>
      <c r="L20" s="515">
        <f t="shared" si="5"/>
        <v>0</v>
      </c>
      <c r="M20" s="516">
        <f>IF(I20&lt;0,0,(ROUND(D20*'[1]Table 8 Membership'!W22,0)*-1))</f>
        <v>-929931</v>
      </c>
      <c r="N20" s="270">
        <f t="shared" si="6"/>
        <v>1173002</v>
      </c>
      <c r="O20" s="517">
        <f t="shared" si="7"/>
        <v>1</v>
      </c>
      <c r="P20" s="518">
        <f t="shared" si="8"/>
        <v>586501</v>
      </c>
      <c r="Q20" s="519">
        <v>32092.229475779375</v>
      </c>
      <c r="R20" s="520">
        <f t="shared" si="9"/>
        <v>586501</v>
      </c>
      <c r="S20" s="521">
        <f t="shared" si="10"/>
        <v>1</v>
      </c>
      <c r="T20" s="522">
        <f t="shared" si="11"/>
        <v>506478</v>
      </c>
      <c r="U20" s="523">
        <v>344.4774853567264</v>
      </c>
      <c r="V20" s="524">
        <f t="shared" si="12"/>
        <v>-8.066891151212133</v>
      </c>
      <c r="W20" s="525">
        <v>336.41059420551426</v>
      </c>
      <c r="X20" s="526">
        <f t="shared" si="13"/>
        <v>1506</v>
      </c>
    </row>
    <row r="21" spans="1:24" ht="12.75">
      <c r="A21" s="255">
        <v>16</v>
      </c>
      <c r="B21" s="488" t="s">
        <v>131</v>
      </c>
      <c r="C21" s="489">
        <f>'[1]Table 3 Levels 1&amp;2'!AJ23</f>
        <v>20487799</v>
      </c>
      <c r="D21" s="256">
        <f>ROUND(C21/'[1]Table 3 Levels 1&amp;2'!D23,2)</f>
        <v>4323.23</v>
      </c>
      <c r="E21" s="490">
        <f t="shared" si="1"/>
        <v>33</v>
      </c>
      <c r="F21" s="491">
        <f>'[2]Table 3 Levels 1&amp;2'!$AI23</f>
        <v>19922667</v>
      </c>
      <c r="G21" s="491">
        <f>F21/'[1]Table 8 Membership'!T23</f>
        <v>4174.034569453174</v>
      </c>
      <c r="H21" s="492">
        <f t="shared" si="2"/>
        <v>565132</v>
      </c>
      <c r="I21" s="493">
        <f t="shared" si="3"/>
        <v>565132</v>
      </c>
      <c r="J21" s="258">
        <f>ROUND(I21/+'[1]Table 3 Levels 1&amp;2'!D23,2)</f>
        <v>119.25</v>
      </c>
      <c r="K21" s="258">
        <f t="shared" si="4"/>
        <v>0</v>
      </c>
      <c r="L21" s="494">
        <f t="shared" si="5"/>
        <v>0</v>
      </c>
      <c r="M21" s="493">
        <f>IF(I21&lt;0,0,(ROUND(D21*'[1]Table 8 Membership'!W23,0)*-1))</f>
        <v>0</v>
      </c>
      <c r="N21" s="257">
        <f t="shared" si="6"/>
        <v>565132</v>
      </c>
      <c r="O21" s="495">
        <f t="shared" si="7"/>
        <v>1</v>
      </c>
      <c r="P21" s="496">
        <f t="shared" si="8"/>
        <v>282566</v>
      </c>
      <c r="Q21" s="527">
        <v>42531.253946087374</v>
      </c>
      <c r="R21" s="498">
        <f t="shared" si="9"/>
        <v>0</v>
      </c>
      <c r="S21" s="499">
        <f t="shared" si="10"/>
        <v>0</v>
      </c>
      <c r="T21" s="500">
        <f t="shared" si="11"/>
        <v>0</v>
      </c>
      <c r="U21" s="505">
        <v>422.5539773176223</v>
      </c>
      <c r="V21" s="506">
        <f t="shared" si="12"/>
        <v>4.954185947683868</v>
      </c>
      <c r="W21" s="507">
        <v>427.50816326530617</v>
      </c>
      <c r="X21" s="500">
        <f t="shared" si="13"/>
        <v>0</v>
      </c>
    </row>
    <row r="22" spans="1:24" ht="12.75">
      <c r="A22" s="255">
        <v>17</v>
      </c>
      <c r="B22" s="488" t="s">
        <v>132</v>
      </c>
      <c r="C22" s="489">
        <f>'[1]Table 3 Levels 1&amp;2'!AJ24</f>
        <v>113407244</v>
      </c>
      <c r="D22" s="256">
        <f>ROUND(C22/'[1]Table 3 Levels 1&amp;2'!D24,2)</f>
        <v>2441.02</v>
      </c>
      <c r="E22" s="490">
        <f t="shared" si="1"/>
        <v>63</v>
      </c>
      <c r="F22" s="491">
        <f>'[2]Table 3 Levels 1&amp;2'!$AI24</f>
        <v>98719958</v>
      </c>
      <c r="G22" s="528">
        <f>F22/'[1]Table 8 Membership'!T24</f>
        <v>2187.505993928516</v>
      </c>
      <c r="H22" s="492">
        <f t="shared" si="2"/>
        <v>14687286</v>
      </c>
      <c r="I22" s="493">
        <f t="shared" si="3"/>
        <v>14687286</v>
      </c>
      <c r="J22" s="258">
        <f>ROUND(I22/+'[1]Table 3 Levels 1&amp;2'!D24,2)</f>
        <v>316.13</v>
      </c>
      <c r="K22" s="258">
        <f t="shared" si="4"/>
        <v>0</v>
      </c>
      <c r="L22" s="494">
        <f t="shared" si="5"/>
        <v>0</v>
      </c>
      <c r="M22" s="493">
        <f>IF(I22&lt;0,0,(ROUND(D22*'[1]Table 8 Membership'!W24,0)*-1))</f>
        <v>-3246557</v>
      </c>
      <c r="N22" s="257">
        <f t="shared" si="6"/>
        <v>11440729</v>
      </c>
      <c r="O22" s="495">
        <f t="shared" si="7"/>
        <v>1</v>
      </c>
      <c r="P22" s="496">
        <f t="shared" si="8"/>
        <v>5720365</v>
      </c>
      <c r="Q22" s="497">
        <v>40031.50163868727</v>
      </c>
      <c r="R22" s="498">
        <f t="shared" si="9"/>
        <v>5720365</v>
      </c>
      <c r="S22" s="499">
        <f t="shared" si="10"/>
        <v>1</v>
      </c>
      <c r="T22" s="500">
        <f t="shared" si="11"/>
        <v>4939866</v>
      </c>
      <c r="U22" s="505">
        <v>3826.010308568221</v>
      </c>
      <c r="V22" s="506">
        <f t="shared" si="12"/>
        <v>210.02675477792764</v>
      </c>
      <c r="W22" s="507">
        <v>4036.0370633461484</v>
      </c>
      <c r="X22" s="504">
        <f t="shared" si="13"/>
        <v>1224</v>
      </c>
    </row>
    <row r="23" spans="1:24" ht="12.75">
      <c r="A23" s="255">
        <v>18</v>
      </c>
      <c r="B23" s="488" t="s">
        <v>133</v>
      </c>
      <c r="C23" s="489">
        <f>'[1]Table 3 Levels 1&amp;2'!AJ25</f>
        <v>7574405</v>
      </c>
      <c r="D23" s="256">
        <f>ROUND(C23/'[1]Table 3 Levels 1&amp;2'!D25,2)</f>
        <v>5156.16</v>
      </c>
      <c r="E23" s="490">
        <f t="shared" si="1"/>
        <v>5</v>
      </c>
      <c r="F23" s="491">
        <f>'[2]Table 3 Levels 1&amp;2'!$AI25</f>
        <v>7712819</v>
      </c>
      <c r="G23" s="491">
        <f>F23/'[1]Table 8 Membership'!T25</f>
        <v>4982.441214470285</v>
      </c>
      <c r="H23" s="492">
        <f t="shared" si="2"/>
        <v>-138414</v>
      </c>
      <c r="I23" s="493">
        <f t="shared" si="3"/>
        <v>0</v>
      </c>
      <c r="J23" s="258">
        <f>ROUND(I23/+'[1]Table 3 Levels 1&amp;2'!D25,2)</f>
        <v>0</v>
      </c>
      <c r="K23" s="258">
        <f t="shared" si="4"/>
        <v>-138414</v>
      </c>
      <c r="L23" s="494">
        <f t="shared" si="5"/>
        <v>1</v>
      </c>
      <c r="M23" s="493">
        <f>IF(I23&lt;0,0,(ROUND(D23*'[1]Table 8 Membership'!W25,0)*-1))</f>
        <v>0</v>
      </c>
      <c r="N23" s="257">
        <f t="shared" si="6"/>
        <v>0</v>
      </c>
      <c r="O23" s="495">
        <f t="shared" si="7"/>
        <v>0</v>
      </c>
      <c r="P23" s="496">
        <f t="shared" si="8"/>
        <v>0</v>
      </c>
      <c r="Q23" s="497">
        <v>30413.726096454375</v>
      </c>
      <c r="R23" s="498">
        <f t="shared" si="9"/>
        <v>0</v>
      </c>
      <c r="S23" s="499">
        <f t="shared" si="10"/>
        <v>0</v>
      </c>
      <c r="T23" s="500">
        <f t="shared" si="11"/>
        <v>0</v>
      </c>
      <c r="U23" s="505">
        <v>155.16842156520727</v>
      </c>
      <c r="V23" s="506">
        <f t="shared" si="12"/>
        <v>-8.07501497180067</v>
      </c>
      <c r="W23" s="507">
        <v>147.0934065934066</v>
      </c>
      <c r="X23" s="500">
        <f t="shared" si="13"/>
        <v>0</v>
      </c>
    </row>
    <row r="24" spans="1:24" ht="12.75">
      <c r="A24" s="255">
        <v>19</v>
      </c>
      <c r="B24" s="488" t="s">
        <v>134</v>
      </c>
      <c r="C24" s="489">
        <f>'[1]Table 3 Levels 1&amp;2'!AJ26</f>
        <v>10482727</v>
      </c>
      <c r="D24" s="256">
        <f>ROUND(C24/'[1]Table 3 Levels 1&amp;2'!D26,2)</f>
        <v>4683.97</v>
      </c>
      <c r="E24" s="490">
        <f t="shared" si="1"/>
        <v>20</v>
      </c>
      <c r="F24" s="491">
        <f>'[2]Table 3 Levels 1&amp;2'!$AI26</f>
        <v>10221539</v>
      </c>
      <c r="G24" s="491">
        <f>F24/'[1]Table 8 Membership'!T26</f>
        <v>4555.05303030303</v>
      </c>
      <c r="H24" s="492">
        <f t="shared" si="2"/>
        <v>261188</v>
      </c>
      <c r="I24" s="493">
        <f t="shared" si="3"/>
        <v>261188</v>
      </c>
      <c r="J24" s="258">
        <f>ROUND(I24/+'[1]Table 3 Levels 1&amp;2'!D26,2)</f>
        <v>116.71</v>
      </c>
      <c r="K24" s="258">
        <f t="shared" si="4"/>
        <v>0</v>
      </c>
      <c r="L24" s="494">
        <f t="shared" si="5"/>
        <v>0</v>
      </c>
      <c r="M24" s="493">
        <f>IF(I24&lt;0,0,(ROUND(D24*'[1]Table 8 Membership'!W26,0)*-1))</f>
        <v>0</v>
      </c>
      <c r="N24" s="257">
        <f t="shared" si="6"/>
        <v>261188</v>
      </c>
      <c r="O24" s="495">
        <f t="shared" si="7"/>
        <v>1</v>
      </c>
      <c r="P24" s="496">
        <f t="shared" si="8"/>
        <v>130594</v>
      </c>
      <c r="Q24" s="497">
        <v>32310.797202797203</v>
      </c>
      <c r="R24" s="498">
        <f t="shared" si="9"/>
        <v>130594</v>
      </c>
      <c r="S24" s="499">
        <f t="shared" si="10"/>
        <v>1</v>
      </c>
      <c r="T24" s="500">
        <f t="shared" si="11"/>
        <v>112775</v>
      </c>
      <c r="U24" s="505">
        <v>203.328663003663</v>
      </c>
      <c r="V24" s="506">
        <f t="shared" si="12"/>
        <v>8.671336996337004</v>
      </c>
      <c r="W24" s="507">
        <v>212</v>
      </c>
      <c r="X24" s="504">
        <f t="shared" si="13"/>
        <v>532</v>
      </c>
    </row>
    <row r="25" spans="1:24" ht="12.75">
      <c r="A25" s="265">
        <v>20</v>
      </c>
      <c r="B25" s="508" t="s">
        <v>135</v>
      </c>
      <c r="C25" s="509">
        <f>'[1]Table 3 Levels 1&amp;2'!AJ27</f>
        <v>28686364</v>
      </c>
      <c r="D25" s="266">
        <f>ROUND(C25/'[1]Table 3 Levels 1&amp;2'!D27,2)</f>
        <v>4900.3</v>
      </c>
      <c r="E25" s="510">
        <f t="shared" si="1"/>
        <v>12</v>
      </c>
      <c r="F25" s="511">
        <f>'[2]Table 3 Levels 1&amp;2'!$AI27</f>
        <v>27570351</v>
      </c>
      <c r="G25" s="512">
        <f>F25/'[1]Table 8 Membership'!T27</f>
        <v>4661.878762259046</v>
      </c>
      <c r="H25" s="513">
        <f t="shared" si="2"/>
        <v>1116013</v>
      </c>
      <c r="I25" s="514">
        <f t="shared" si="3"/>
        <v>1116013</v>
      </c>
      <c r="J25" s="276">
        <f>ROUND(I25/+'[1]Table 3 Levels 1&amp;2'!D27,2)</f>
        <v>190.64</v>
      </c>
      <c r="K25" s="276">
        <f t="shared" si="4"/>
        <v>0</v>
      </c>
      <c r="L25" s="515">
        <f t="shared" si="5"/>
        <v>0</v>
      </c>
      <c r="M25" s="516">
        <f>IF(I25&lt;0,0,(ROUND(D25*'[1]Table 8 Membership'!W27,0)*-1))</f>
        <v>0</v>
      </c>
      <c r="N25" s="270">
        <f t="shared" si="6"/>
        <v>1116013</v>
      </c>
      <c r="O25" s="517">
        <f t="shared" si="7"/>
        <v>1</v>
      </c>
      <c r="P25" s="518">
        <f t="shared" si="8"/>
        <v>558007</v>
      </c>
      <c r="Q25" s="519">
        <v>36772.51972157773</v>
      </c>
      <c r="R25" s="520">
        <f t="shared" si="9"/>
        <v>558007</v>
      </c>
      <c r="S25" s="521">
        <f t="shared" si="10"/>
        <v>1</v>
      </c>
      <c r="T25" s="522">
        <f t="shared" si="11"/>
        <v>481871</v>
      </c>
      <c r="U25" s="523">
        <v>511.196344223237</v>
      </c>
      <c r="V25" s="524">
        <f t="shared" si="12"/>
        <v>20.80365577676298</v>
      </c>
      <c r="W25" s="525">
        <v>532</v>
      </c>
      <c r="X25" s="526">
        <f t="shared" si="13"/>
        <v>906</v>
      </c>
    </row>
    <row r="26" spans="1:24" ht="12.75">
      <c r="A26" s="255">
        <v>21</v>
      </c>
      <c r="B26" s="488" t="s">
        <v>136</v>
      </c>
      <c r="C26" s="489">
        <f>'[1]Table 3 Levels 1&amp;2'!AJ28</f>
        <v>13757770</v>
      </c>
      <c r="D26" s="256">
        <f>ROUND(C26/'[1]Table 3 Levels 1&amp;2'!D28,2)</f>
        <v>4355.1</v>
      </c>
      <c r="E26" s="490">
        <f t="shared" si="1"/>
        <v>31</v>
      </c>
      <c r="F26" s="491">
        <f>'[2]Table 3 Levels 1&amp;2'!$AI28</f>
        <v>14884686</v>
      </c>
      <c r="G26" s="491">
        <f>F26/'[1]Table 8 Membership'!T28</f>
        <v>4357.343676814989</v>
      </c>
      <c r="H26" s="492">
        <f t="shared" si="2"/>
        <v>-1126916</v>
      </c>
      <c r="I26" s="493">
        <f t="shared" si="3"/>
        <v>0</v>
      </c>
      <c r="J26" s="258">
        <f>ROUND(I26/+'[1]Table 3 Levels 1&amp;2'!D28,2)</f>
        <v>0</v>
      </c>
      <c r="K26" s="258">
        <f t="shared" si="4"/>
        <v>-1126916</v>
      </c>
      <c r="L26" s="494">
        <f t="shared" si="5"/>
        <v>1</v>
      </c>
      <c r="M26" s="493">
        <f>IF(I26&lt;0,0,(ROUND(D26*'[1]Table 8 Membership'!W28,0)*-1))</f>
        <v>0</v>
      </c>
      <c r="N26" s="257">
        <f t="shared" si="6"/>
        <v>0</v>
      </c>
      <c r="O26" s="495">
        <f t="shared" si="7"/>
        <v>0</v>
      </c>
      <c r="P26" s="496">
        <f t="shared" si="8"/>
        <v>0</v>
      </c>
      <c r="Q26" s="497">
        <v>29797.281035687345</v>
      </c>
      <c r="R26" s="498">
        <f t="shared" si="9"/>
        <v>0</v>
      </c>
      <c r="S26" s="499">
        <f t="shared" si="10"/>
        <v>0</v>
      </c>
      <c r="T26" s="500">
        <f t="shared" si="11"/>
        <v>0</v>
      </c>
      <c r="U26" s="505">
        <v>285.243095272085</v>
      </c>
      <c r="V26" s="506">
        <f t="shared" si="12"/>
        <v>-31.768386430772637</v>
      </c>
      <c r="W26" s="507">
        <v>253.47470884131235</v>
      </c>
      <c r="X26" s="500">
        <f t="shared" si="13"/>
        <v>0</v>
      </c>
    </row>
    <row r="27" spans="1:24" ht="12.75">
      <c r="A27" s="255">
        <v>22</v>
      </c>
      <c r="B27" s="488" t="s">
        <v>137</v>
      </c>
      <c r="C27" s="489">
        <f>'[1]Table 3 Levels 1&amp;2'!AJ29</f>
        <v>18030498</v>
      </c>
      <c r="D27" s="256">
        <f>ROUND(C27/'[1]Table 3 Levels 1&amp;2'!D29,2)</f>
        <v>5086.18</v>
      </c>
      <c r="E27" s="490">
        <f t="shared" si="1"/>
        <v>7</v>
      </c>
      <c r="F27" s="491">
        <f>'[2]Table 3 Levels 1&amp;2'!$AI29</f>
        <v>17681225</v>
      </c>
      <c r="G27" s="491">
        <f>F27/'[1]Table 8 Membership'!T29</f>
        <v>4889.719303097345</v>
      </c>
      <c r="H27" s="492">
        <f t="shared" si="2"/>
        <v>349273</v>
      </c>
      <c r="I27" s="493">
        <f t="shared" si="3"/>
        <v>349273</v>
      </c>
      <c r="J27" s="258">
        <f>ROUND(I27/+'[1]Table 3 Levels 1&amp;2'!D29,2)</f>
        <v>98.53</v>
      </c>
      <c r="K27" s="258">
        <f t="shared" si="4"/>
        <v>0</v>
      </c>
      <c r="L27" s="494">
        <f t="shared" si="5"/>
        <v>0</v>
      </c>
      <c r="M27" s="493">
        <f>IF(I27&lt;0,0,(ROUND(D27*'[1]Table 8 Membership'!W29,0)*-1))</f>
        <v>0</v>
      </c>
      <c r="N27" s="257">
        <f t="shared" si="6"/>
        <v>349273</v>
      </c>
      <c r="O27" s="495">
        <f t="shared" si="7"/>
        <v>1</v>
      </c>
      <c r="P27" s="496">
        <f t="shared" si="8"/>
        <v>174637</v>
      </c>
      <c r="Q27" s="497">
        <v>33625.59141189034</v>
      </c>
      <c r="R27" s="498">
        <f t="shared" si="9"/>
        <v>174637</v>
      </c>
      <c r="S27" s="499">
        <f t="shared" si="10"/>
        <v>1</v>
      </c>
      <c r="T27" s="500">
        <f t="shared" si="11"/>
        <v>150809</v>
      </c>
      <c r="U27" s="505">
        <v>298.5371930254839</v>
      </c>
      <c r="V27" s="506">
        <f t="shared" si="12"/>
        <v>-5.243236981527787</v>
      </c>
      <c r="W27" s="507">
        <v>293.2939560439561</v>
      </c>
      <c r="X27" s="504">
        <f t="shared" si="13"/>
        <v>514</v>
      </c>
    </row>
    <row r="28" spans="1:24" ht="12.75">
      <c r="A28" s="255">
        <v>23</v>
      </c>
      <c r="B28" s="488" t="s">
        <v>138</v>
      </c>
      <c r="C28" s="489">
        <f>'[1]Table 3 Levels 1&amp;2'!AJ30</f>
        <v>59191914</v>
      </c>
      <c r="D28" s="256">
        <f>ROUND(C28/'[1]Table 3 Levels 1&amp;2'!D30,2)</f>
        <v>4340.22</v>
      </c>
      <c r="E28" s="490">
        <f t="shared" si="1"/>
        <v>32</v>
      </c>
      <c r="F28" s="491">
        <f>'[2]Table 3 Levels 1&amp;2'!$AI30</f>
        <v>57376025</v>
      </c>
      <c r="G28" s="491">
        <f>F28/'[1]Table 8 Membership'!T30</f>
        <v>4149.564258335141</v>
      </c>
      <c r="H28" s="492">
        <f t="shared" si="2"/>
        <v>1815889</v>
      </c>
      <c r="I28" s="493">
        <f t="shared" si="3"/>
        <v>1815889</v>
      </c>
      <c r="J28" s="258">
        <f>ROUND(I28/+'[1]Table 3 Levels 1&amp;2'!D30,2)</f>
        <v>133.15</v>
      </c>
      <c r="K28" s="258">
        <f t="shared" si="4"/>
        <v>0</v>
      </c>
      <c r="L28" s="494">
        <f t="shared" si="5"/>
        <v>0</v>
      </c>
      <c r="M28" s="493">
        <f>IF(I28&lt;0,0,(ROUND(D28*'[1]Table 8 Membership'!W30,0)*-1))</f>
        <v>0</v>
      </c>
      <c r="N28" s="257">
        <f t="shared" si="6"/>
        <v>1815889</v>
      </c>
      <c r="O28" s="495">
        <f t="shared" si="7"/>
        <v>1</v>
      </c>
      <c r="P28" s="496">
        <f t="shared" si="8"/>
        <v>907945</v>
      </c>
      <c r="Q28" s="497">
        <v>35879.35220503497</v>
      </c>
      <c r="R28" s="498">
        <f t="shared" si="9"/>
        <v>907945</v>
      </c>
      <c r="S28" s="499">
        <f t="shared" si="10"/>
        <v>1</v>
      </c>
      <c r="T28" s="500">
        <f t="shared" si="11"/>
        <v>784063</v>
      </c>
      <c r="U28" s="505">
        <v>1194.370611408795</v>
      </c>
      <c r="V28" s="506">
        <f t="shared" si="12"/>
        <v>25.794223756039855</v>
      </c>
      <c r="W28" s="507">
        <v>1220.1648351648348</v>
      </c>
      <c r="X28" s="504">
        <f t="shared" si="13"/>
        <v>643</v>
      </c>
    </row>
    <row r="29" spans="1:24" ht="12.75">
      <c r="A29" s="255">
        <v>24</v>
      </c>
      <c r="B29" s="488" t="s">
        <v>139</v>
      </c>
      <c r="C29" s="489">
        <f>'[1]Table 3 Levels 1&amp;2'!AJ31</f>
        <v>8857670</v>
      </c>
      <c r="D29" s="256">
        <f>ROUND(C29/'[1]Table 3 Levels 1&amp;2'!D31,2)</f>
        <v>2143.16</v>
      </c>
      <c r="E29" s="490">
        <f t="shared" si="1"/>
        <v>64</v>
      </c>
      <c r="F29" s="491">
        <f>'[2]Table 3 Levels 1&amp;2'!$AI31</f>
        <v>8334728</v>
      </c>
      <c r="G29" s="491">
        <f>F29/'[1]Table 8 Membership'!T31</f>
        <v>1996.3420359281438</v>
      </c>
      <c r="H29" s="492">
        <f t="shared" si="2"/>
        <v>522942</v>
      </c>
      <c r="I29" s="493">
        <f t="shared" si="3"/>
        <v>522942</v>
      </c>
      <c r="J29" s="258">
        <f>ROUND(I29/+'[1]Table 3 Levels 1&amp;2'!D31,2)</f>
        <v>126.53</v>
      </c>
      <c r="K29" s="258">
        <f t="shared" si="4"/>
        <v>0</v>
      </c>
      <c r="L29" s="494">
        <f t="shared" si="5"/>
        <v>0</v>
      </c>
      <c r="M29" s="493">
        <f>IF(I29&lt;0,0,(ROUND(D29*'[1]Table 8 Membership'!W31,0)*-1))</f>
        <v>0</v>
      </c>
      <c r="N29" s="257">
        <f t="shared" si="6"/>
        <v>522942</v>
      </c>
      <c r="O29" s="495">
        <f t="shared" si="7"/>
        <v>1</v>
      </c>
      <c r="P29" s="496">
        <f t="shared" si="8"/>
        <v>261471</v>
      </c>
      <c r="Q29" s="497">
        <v>38896.498098859316</v>
      </c>
      <c r="R29" s="498">
        <f t="shared" si="9"/>
        <v>261471</v>
      </c>
      <c r="S29" s="499">
        <f t="shared" si="10"/>
        <v>1</v>
      </c>
      <c r="T29" s="500">
        <f t="shared" si="11"/>
        <v>225795</v>
      </c>
      <c r="U29" s="505">
        <v>387.37578065498855</v>
      </c>
      <c r="V29" s="506">
        <f t="shared" si="12"/>
        <v>-5.804352083559991</v>
      </c>
      <c r="W29" s="507">
        <v>381.57142857142856</v>
      </c>
      <c r="X29" s="504">
        <f t="shared" si="13"/>
        <v>592</v>
      </c>
    </row>
    <row r="30" spans="1:24" ht="12.75">
      <c r="A30" s="265">
        <v>25</v>
      </c>
      <c r="B30" s="508" t="s">
        <v>140</v>
      </c>
      <c r="C30" s="509">
        <f>'[1]Table 3 Levels 1&amp;2'!AJ32</f>
        <v>8049760</v>
      </c>
      <c r="D30" s="266">
        <f>ROUND(C30/'[1]Table 3 Levels 1&amp;2'!D32,2)</f>
        <v>3682.42</v>
      </c>
      <c r="E30" s="510">
        <f t="shared" si="1"/>
        <v>51</v>
      </c>
      <c r="F30" s="511">
        <f>'[2]Table 3 Levels 1&amp;2'!$AI32</f>
        <v>9458602</v>
      </c>
      <c r="G30" s="512">
        <f>F30/'[1]Table 8 Membership'!T32</f>
        <v>4157.627252747253</v>
      </c>
      <c r="H30" s="513">
        <f t="shared" si="2"/>
        <v>-1408842</v>
      </c>
      <c r="I30" s="514">
        <f t="shared" si="3"/>
        <v>0</v>
      </c>
      <c r="J30" s="276">
        <f>ROUND(I30/+'[1]Table 3 Levels 1&amp;2'!D32,2)</f>
        <v>0</v>
      </c>
      <c r="K30" s="276">
        <f t="shared" si="4"/>
        <v>-1408842</v>
      </c>
      <c r="L30" s="515">
        <f t="shared" si="5"/>
        <v>1</v>
      </c>
      <c r="M30" s="516">
        <f>IF(I30&lt;0,0,(ROUND(D30*'[1]Table 8 Membership'!W32,0)*-1))</f>
        <v>0</v>
      </c>
      <c r="N30" s="270">
        <f t="shared" si="6"/>
        <v>0</v>
      </c>
      <c r="O30" s="517">
        <f t="shared" si="7"/>
        <v>0</v>
      </c>
      <c r="P30" s="518">
        <f t="shared" si="8"/>
        <v>0</v>
      </c>
      <c r="Q30" s="519">
        <v>48478.891434074976</v>
      </c>
      <c r="R30" s="520">
        <f t="shared" si="9"/>
        <v>0</v>
      </c>
      <c r="S30" s="521">
        <f t="shared" si="10"/>
        <v>0</v>
      </c>
      <c r="T30" s="522">
        <f t="shared" si="11"/>
        <v>0</v>
      </c>
      <c r="U30" s="523">
        <v>206.79913520114434</v>
      </c>
      <c r="V30" s="524">
        <f t="shared" si="12"/>
        <v>-19.26514214558884</v>
      </c>
      <c r="W30" s="525">
        <v>187.5339930555555</v>
      </c>
      <c r="X30" s="522">
        <f t="shared" si="13"/>
        <v>0</v>
      </c>
    </row>
    <row r="31" spans="1:24" ht="12.75">
      <c r="A31" s="255">
        <v>26</v>
      </c>
      <c r="B31" s="488" t="s">
        <v>141</v>
      </c>
      <c r="C31" s="489">
        <f>'[1]Table 3 Levels 1&amp;2'!AJ33</f>
        <v>94780064</v>
      </c>
      <c r="D31" s="256">
        <f>ROUND(C31/'[1]Table 3 Levels 1&amp;2'!D33,2)</f>
        <v>2119.55</v>
      </c>
      <c r="E31" s="490">
        <f t="shared" si="1"/>
        <v>65</v>
      </c>
      <c r="F31" s="491">
        <f>'[2]Table 3 Levels 1&amp;2'!$AI33</f>
        <v>106222832</v>
      </c>
      <c r="G31" s="491">
        <f>F31/'[1]Table 8 Membership'!T33</f>
        <v>2137.925571097917</v>
      </c>
      <c r="H31" s="492">
        <f t="shared" si="2"/>
        <v>-11442768</v>
      </c>
      <c r="I31" s="493">
        <f t="shared" si="3"/>
        <v>0</v>
      </c>
      <c r="J31" s="258">
        <f>ROUND(I31/+'[1]Table 3 Levels 1&amp;2'!D33,2)</f>
        <v>0</v>
      </c>
      <c r="K31" s="258">
        <f t="shared" si="4"/>
        <v>-11442768</v>
      </c>
      <c r="L31" s="494">
        <f t="shared" si="5"/>
        <v>1</v>
      </c>
      <c r="M31" s="493">
        <f>IF(I31&lt;0,0,(ROUND(D31*'[1]Table 8 Membership'!W33,0)*-1))</f>
        <v>0</v>
      </c>
      <c r="N31" s="257">
        <f t="shared" si="6"/>
        <v>0</v>
      </c>
      <c r="O31" s="495">
        <f t="shared" si="7"/>
        <v>0</v>
      </c>
      <c r="P31" s="496">
        <f t="shared" si="8"/>
        <v>0</v>
      </c>
      <c r="Q31" s="497">
        <v>42563.48869444325</v>
      </c>
      <c r="R31" s="498">
        <f t="shared" si="9"/>
        <v>0</v>
      </c>
      <c r="S31" s="499">
        <f t="shared" si="10"/>
        <v>0</v>
      </c>
      <c r="T31" s="500">
        <f t="shared" si="11"/>
        <v>0</v>
      </c>
      <c r="U31" s="505">
        <v>4205.31957821493</v>
      </c>
      <c r="V31" s="506">
        <f t="shared" si="12"/>
        <v>-484.3308685622733</v>
      </c>
      <c r="W31" s="507">
        <v>3720.9887096526563</v>
      </c>
      <c r="X31" s="500">
        <f t="shared" si="13"/>
        <v>0</v>
      </c>
    </row>
    <row r="32" spans="1:24" ht="12.75">
      <c r="A32" s="255">
        <v>27</v>
      </c>
      <c r="B32" s="488" t="s">
        <v>142</v>
      </c>
      <c r="C32" s="489">
        <f>'[1]Table 3 Levels 1&amp;2'!AJ34</f>
        <v>27718169</v>
      </c>
      <c r="D32" s="256">
        <f>ROUND(C32/'[1]Table 3 Levels 1&amp;2'!D34,2)</f>
        <v>4900.67</v>
      </c>
      <c r="E32" s="490">
        <f t="shared" si="1"/>
        <v>11</v>
      </c>
      <c r="F32" s="491">
        <f>'[2]Table 3 Levels 1&amp;2'!$AI34</f>
        <v>27153236</v>
      </c>
      <c r="G32" s="491">
        <f>F32/'[1]Table 8 Membership'!T34</f>
        <v>4747.899283091449</v>
      </c>
      <c r="H32" s="492">
        <f t="shared" si="2"/>
        <v>564933</v>
      </c>
      <c r="I32" s="493">
        <f t="shared" si="3"/>
        <v>564933</v>
      </c>
      <c r="J32" s="258">
        <f>ROUND(I32/+'[1]Table 3 Levels 1&amp;2'!D34,2)</f>
        <v>99.88</v>
      </c>
      <c r="K32" s="258">
        <f t="shared" si="4"/>
        <v>0</v>
      </c>
      <c r="L32" s="494">
        <f t="shared" si="5"/>
        <v>0</v>
      </c>
      <c r="M32" s="493">
        <f>IF(I32&lt;0,0,(ROUND(D32*'[1]Table 8 Membership'!W34,0)*-1))</f>
        <v>0</v>
      </c>
      <c r="N32" s="257">
        <f t="shared" si="6"/>
        <v>564933</v>
      </c>
      <c r="O32" s="495">
        <f t="shared" si="7"/>
        <v>1</v>
      </c>
      <c r="P32" s="496">
        <f t="shared" si="8"/>
        <v>282467</v>
      </c>
      <c r="Q32" s="497">
        <v>41552.194288713414</v>
      </c>
      <c r="R32" s="498">
        <f t="shared" si="9"/>
        <v>282467</v>
      </c>
      <c r="S32" s="499">
        <f t="shared" si="10"/>
        <v>1</v>
      </c>
      <c r="T32" s="500">
        <f t="shared" si="11"/>
        <v>243927</v>
      </c>
      <c r="U32" s="505">
        <v>472.1515747394543</v>
      </c>
      <c r="V32" s="506">
        <f t="shared" si="12"/>
        <v>2.035925260545696</v>
      </c>
      <c r="W32" s="507">
        <v>474.1875</v>
      </c>
      <c r="X32" s="504">
        <f t="shared" si="13"/>
        <v>514</v>
      </c>
    </row>
    <row r="33" spans="1:24" ht="12.75">
      <c r="A33" s="255">
        <v>28</v>
      </c>
      <c r="B33" s="488" t="s">
        <v>143</v>
      </c>
      <c r="C33" s="489">
        <f>'[1]Table 3 Levels 1&amp;2'!AJ35</f>
        <v>79197268</v>
      </c>
      <c r="D33" s="256">
        <f>ROUND(C33/'[1]Table 3 Levels 1&amp;2'!D35,2)</f>
        <v>2702.06</v>
      </c>
      <c r="E33" s="490">
        <f t="shared" si="1"/>
        <v>62</v>
      </c>
      <c r="F33" s="491">
        <f>'[2]Table 3 Levels 1&amp;2'!$AI35</f>
        <v>82538209</v>
      </c>
      <c r="G33" s="491">
        <f>F33/'[1]Table 8 Membership'!T35</f>
        <v>2837.6322412074123</v>
      </c>
      <c r="H33" s="492">
        <f t="shared" si="2"/>
        <v>-3340941</v>
      </c>
      <c r="I33" s="493">
        <f t="shared" si="3"/>
        <v>0</v>
      </c>
      <c r="J33" s="258">
        <f>ROUND(I33/+'[1]Table 3 Levels 1&amp;2'!D35,2)</f>
        <v>0</v>
      </c>
      <c r="K33" s="258">
        <f t="shared" si="4"/>
        <v>-3340941</v>
      </c>
      <c r="L33" s="494">
        <f t="shared" si="5"/>
        <v>1</v>
      </c>
      <c r="M33" s="493">
        <f>IF(I33&lt;0,0,(ROUND(D33*'[1]Table 8 Membership'!W35,0)*-1))</f>
        <v>-602559</v>
      </c>
      <c r="N33" s="257">
        <f t="shared" si="6"/>
        <v>0</v>
      </c>
      <c r="O33" s="495">
        <f t="shared" si="7"/>
        <v>0</v>
      </c>
      <c r="P33" s="496">
        <f t="shared" si="8"/>
        <v>0</v>
      </c>
      <c r="Q33" s="497">
        <v>40319.684856655214</v>
      </c>
      <c r="R33" s="498">
        <f t="shared" si="9"/>
        <v>0</v>
      </c>
      <c r="S33" s="499">
        <f t="shared" si="10"/>
        <v>0</v>
      </c>
      <c r="T33" s="500">
        <f t="shared" si="11"/>
        <v>0</v>
      </c>
      <c r="U33" s="505">
        <v>2445.787882499109</v>
      </c>
      <c r="V33" s="506">
        <f t="shared" si="12"/>
        <v>158.53909204150023</v>
      </c>
      <c r="W33" s="507">
        <v>2604.326974540609</v>
      </c>
      <c r="X33" s="500">
        <f t="shared" si="13"/>
        <v>0</v>
      </c>
    </row>
    <row r="34" spans="1:24" ht="12.75">
      <c r="A34" s="255">
        <v>29</v>
      </c>
      <c r="B34" s="488" t="s">
        <v>144</v>
      </c>
      <c r="C34" s="489">
        <f>'[1]Table 3 Levels 1&amp;2'!AJ36</f>
        <v>55528304</v>
      </c>
      <c r="D34" s="256">
        <f>ROUND(C34/'[1]Table 3 Levels 1&amp;2'!D36,2)</f>
        <v>3879.3</v>
      </c>
      <c r="E34" s="490">
        <f t="shared" si="1"/>
        <v>48</v>
      </c>
      <c r="F34" s="491">
        <f>'[2]Table 3 Levels 1&amp;2'!$AI36</f>
        <v>55890455</v>
      </c>
      <c r="G34" s="491">
        <f>F34/'[1]Table 8 Membership'!T36</f>
        <v>3809.8469665985003</v>
      </c>
      <c r="H34" s="492">
        <f t="shared" si="2"/>
        <v>-362151</v>
      </c>
      <c r="I34" s="493">
        <f t="shared" si="3"/>
        <v>0</v>
      </c>
      <c r="J34" s="258">
        <f>ROUND(I34/+'[1]Table 3 Levels 1&amp;2'!D36,2)</f>
        <v>0</v>
      </c>
      <c r="K34" s="258">
        <f t="shared" si="4"/>
        <v>-362151</v>
      </c>
      <c r="L34" s="494">
        <f t="shared" si="5"/>
        <v>1</v>
      </c>
      <c r="M34" s="493">
        <f>IF(I34&lt;0,0,(ROUND(D34*'[1]Table 8 Membership'!W36,0)*-1))</f>
        <v>0</v>
      </c>
      <c r="N34" s="257">
        <f t="shared" si="6"/>
        <v>0</v>
      </c>
      <c r="O34" s="495">
        <f t="shared" si="7"/>
        <v>0</v>
      </c>
      <c r="P34" s="496">
        <f t="shared" si="8"/>
        <v>0</v>
      </c>
      <c r="Q34" s="497">
        <v>34654.59450857941</v>
      </c>
      <c r="R34" s="498">
        <f t="shared" si="9"/>
        <v>0</v>
      </c>
      <c r="S34" s="499">
        <f t="shared" si="10"/>
        <v>0</v>
      </c>
      <c r="T34" s="500">
        <f t="shared" si="11"/>
        <v>0</v>
      </c>
      <c r="U34" s="505">
        <v>1377.5419158662944</v>
      </c>
      <c r="V34" s="506">
        <f t="shared" si="12"/>
        <v>-25.172650883560664</v>
      </c>
      <c r="W34" s="507">
        <v>1352.3692649827337</v>
      </c>
      <c r="X34" s="500">
        <f t="shared" si="13"/>
        <v>0</v>
      </c>
    </row>
    <row r="35" spans="1:24" ht="12.75">
      <c r="A35" s="265">
        <v>30</v>
      </c>
      <c r="B35" s="508" t="s">
        <v>145</v>
      </c>
      <c r="C35" s="509">
        <f>'[1]Table 3 Levels 1&amp;2'!AJ37</f>
        <v>12068569</v>
      </c>
      <c r="D35" s="266">
        <f>ROUND(C35/'[1]Table 3 Levels 1&amp;2'!D37,2)</f>
        <v>4794.82</v>
      </c>
      <c r="E35" s="510">
        <f t="shared" si="1"/>
        <v>16</v>
      </c>
      <c r="F35" s="511">
        <f>'[2]Table 3 Levels 1&amp;2'!$AI37</f>
        <v>11485576</v>
      </c>
      <c r="G35" s="512">
        <f>F35/'[1]Table 8 Membership'!T37</f>
        <v>4579.575757575758</v>
      </c>
      <c r="H35" s="513">
        <f t="shared" si="2"/>
        <v>582993</v>
      </c>
      <c r="I35" s="514">
        <f t="shared" si="3"/>
        <v>582993</v>
      </c>
      <c r="J35" s="276">
        <f>ROUND(I35/+'[1]Table 3 Levels 1&amp;2'!D37,2)</f>
        <v>231.62</v>
      </c>
      <c r="K35" s="276">
        <f t="shared" si="4"/>
        <v>0</v>
      </c>
      <c r="L35" s="515">
        <f t="shared" si="5"/>
        <v>0</v>
      </c>
      <c r="M35" s="516">
        <f>IF(I35&lt;0,0,(ROUND(D35*'[1]Table 8 Membership'!W37,0)*-1))</f>
        <v>-43153</v>
      </c>
      <c r="N35" s="270">
        <f t="shared" si="6"/>
        <v>539840</v>
      </c>
      <c r="O35" s="517">
        <f t="shared" si="7"/>
        <v>1</v>
      </c>
      <c r="P35" s="518">
        <f t="shared" si="8"/>
        <v>269920</v>
      </c>
      <c r="Q35" s="519">
        <v>32319.169491525423</v>
      </c>
      <c r="R35" s="520">
        <f t="shared" si="9"/>
        <v>269920</v>
      </c>
      <c r="S35" s="521">
        <f t="shared" si="10"/>
        <v>1</v>
      </c>
      <c r="T35" s="522">
        <f t="shared" si="11"/>
        <v>233092</v>
      </c>
      <c r="U35" s="523">
        <v>223.49077665736866</v>
      </c>
      <c r="V35" s="524">
        <f t="shared" si="12"/>
        <v>-8.490776657368656</v>
      </c>
      <c r="W35" s="525">
        <v>215</v>
      </c>
      <c r="X35" s="526">
        <f t="shared" si="13"/>
        <v>1084</v>
      </c>
    </row>
    <row r="36" spans="1:24" ht="12.75">
      <c r="A36" s="255">
        <v>31</v>
      </c>
      <c r="B36" s="488" t="s">
        <v>146</v>
      </c>
      <c r="C36" s="489">
        <f>'[1]Table 3 Levels 1&amp;2'!AJ38</f>
        <v>26760328</v>
      </c>
      <c r="D36" s="256">
        <f>ROUND(C36/'[1]Table 3 Levels 1&amp;2'!D38,2)</f>
        <v>4049.07</v>
      </c>
      <c r="E36" s="490">
        <f t="shared" si="1"/>
        <v>43</v>
      </c>
      <c r="F36" s="491">
        <f>'[2]Table 3 Levels 1&amp;2'!$AI38</f>
        <v>23756148</v>
      </c>
      <c r="G36" s="491">
        <f>F36/'[1]Table 8 Membership'!T38</f>
        <v>3629.109074243813</v>
      </c>
      <c r="H36" s="492">
        <f t="shared" si="2"/>
        <v>3004180</v>
      </c>
      <c r="I36" s="493">
        <f t="shared" si="3"/>
        <v>3004180</v>
      </c>
      <c r="J36" s="258">
        <f>ROUND(I36/+'[1]Table 3 Levels 1&amp;2'!D38,2)</f>
        <v>454.56</v>
      </c>
      <c r="K36" s="258">
        <f t="shared" si="4"/>
        <v>0</v>
      </c>
      <c r="L36" s="494">
        <f t="shared" si="5"/>
        <v>0</v>
      </c>
      <c r="M36" s="493">
        <f>IF(I36&lt;0,0,(ROUND(D36*'[1]Table 8 Membership'!W38,0)*-1))</f>
        <v>-255091</v>
      </c>
      <c r="N36" s="257">
        <f t="shared" si="6"/>
        <v>2749089</v>
      </c>
      <c r="O36" s="495">
        <f t="shared" si="7"/>
        <v>1</v>
      </c>
      <c r="P36" s="496">
        <f t="shared" si="8"/>
        <v>1374545</v>
      </c>
      <c r="Q36" s="497">
        <v>38239.21417942199</v>
      </c>
      <c r="R36" s="498">
        <f t="shared" si="9"/>
        <v>1374545</v>
      </c>
      <c r="S36" s="499">
        <f t="shared" si="10"/>
        <v>1</v>
      </c>
      <c r="T36" s="500">
        <f t="shared" si="11"/>
        <v>1186999</v>
      </c>
      <c r="U36" s="505">
        <v>582.3402973923764</v>
      </c>
      <c r="V36" s="506">
        <f t="shared" si="12"/>
        <v>-14.213850505929486</v>
      </c>
      <c r="W36" s="507">
        <v>568.126446886447</v>
      </c>
      <c r="X36" s="504">
        <f t="shared" si="13"/>
        <v>2089</v>
      </c>
    </row>
    <row r="37" spans="1:24" ht="12.75">
      <c r="A37" s="255">
        <v>32</v>
      </c>
      <c r="B37" s="488" t="s">
        <v>147</v>
      </c>
      <c r="C37" s="489">
        <f>'[1]Table 3 Levels 1&amp;2'!AJ39</f>
        <v>101832597</v>
      </c>
      <c r="D37" s="256">
        <f>ROUND(C37/'[1]Table 3 Levels 1&amp;2'!D39,2)</f>
        <v>4582.93</v>
      </c>
      <c r="E37" s="490">
        <f t="shared" si="1"/>
        <v>25</v>
      </c>
      <c r="F37" s="491">
        <f>'[2]Table 3 Levels 1&amp;2'!$AI39</f>
        <v>94980296</v>
      </c>
      <c r="G37" s="491">
        <f>F37/'[1]Table 8 Membership'!T39</f>
        <v>4431.911530026597</v>
      </c>
      <c r="H37" s="492">
        <f t="shared" si="2"/>
        <v>6852301</v>
      </c>
      <c r="I37" s="493">
        <f t="shared" si="3"/>
        <v>6852301</v>
      </c>
      <c r="J37" s="258">
        <f>ROUND(I37/+'[1]Table 3 Levels 1&amp;2'!D39,2)</f>
        <v>308.38</v>
      </c>
      <c r="K37" s="258">
        <f t="shared" si="4"/>
        <v>0</v>
      </c>
      <c r="L37" s="494">
        <f t="shared" si="5"/>
        <v>0</v>
      </c>
      <c r="M37" s="493">
        <f>IF(I37&lt;0,0,(ROUND(D37*'[1]Table 8 Membership'!W39,0)*-1))</f>
        <v>-3615932</v>
      </c>
      <c r="N37" s="257">
        <f t="shared" si="6"/>
        <v>3236369</v>
      </c>
      <c r="O37" s="495">
        <f t="shared" si="7"/>
        <v>1</v>
      </c>
      <c r="P37" s="496">
        <f t="shared" si="8"/>
        <v>1618185</v>
      </c>
      <c r="Q37" s="497">
        <v>38823.91441372936</v>
      </c>
      <c r="R37" s="498">
        <f t="shared" si="9"/>
        <v>1618185</v>
      </c>
      <c r="S37" s="499">
        <f t="shared" si="10"/>
        <v>1</v>
      </c>
      <c r="T37" s="500">
        <f t="shared" si="11"/>
        <v>1397396</v>
      </c>
      <c r="U37" s="505">
        <v>1671.3920796512045</v>
      </c>
      <c r="V37" s="506">
        <f t="shared" si="12"/>
        <v>59.12989837077362</v>
      </c>
      <c r="W37" s="507">
        <v>1730.5219780219782</v>
      </c>
      <c r="X37" s="504">
        <f t="shared" si="13"/>
        <v>807</v>
      </c>
    </row>
    <row r="38" spans="1:24" ht="12.75">
      <c r="A38" s="255">
        <v>33</v>
      </c>
      <c r="B38" s="488" t="s">
        <v>148</v>
      </c>
      <c r="C38" s="489">
        <f>'[1]Table 3 Levels 1&amp;2'!AJ40</f>
        <v>9722730</v>
      </c>
      <c r="D38" s="256">
        <f>ROUND(C38/'[1]Table 3 Levels 1&amp;2'!D40,2)</f>
        <v>4492.94</v>
      </c>
      <c r="E38" s="490">
        <f aca="true" t="shared" si="14" ref="E38:E69">RANK(D38,$D$6:$D$73)</f>
        <v>26</v>
      </c>
      <c r="F38" s="491">
        <f>'[2]Table 3 Levels 1&amp;2'!$AI40</f>
        <v>9415874</v>
      </c>
      <c r="G38" s="491">
        <f>F38/'[1]Table 8 Membership'!T40</f>
        <v>4319.208256880734</v>
      </c>
      <c r="H38" s="492">
        <f aca="true" t="shared" si="15" ref="H38:H73">C38-F38</f>
        <v>306856</v>
      </c>
      <c r="I38" s="493">
        <f aca="true" t="shared" si="16" ref="I38:I69">IF(H38&gt;0,H38,0)</f>
        <v>306856</v>
      </c>
      <c r="J38" s="258">
        <f>ROUND(I38/+'[1]Table 3 Levels 1&amp;2'!D40,2)</f>
        <v>141.8</v>
      </c>
      <c r="K38" s="258">
        <f aca="true" t="shared" si="17" ref="K38:K73">IF(H38&lt;0,H38,0)</f>
        <v>0</v>
      </c>
      <c r="L38" s="494">
        <f aca="true" t="shared" si="18" ref="L38:L69">IF(K38&lt;0,1,0)</f>
        <v>0</v>
      </c>
      <c r="M38" s="493">
        <f>IF(I38&lt;0,0,(ROUND(D38*'[1]Table 8 Membership'!W40,0)*-1))</f>
        <v>0</v>
      </c>
      <c r="N38" s="257">
        <f aca="true" t="shared" si="19" ref="N38:N69">IF(I38+M38&gt;0,I38+M38,0)</f>
        <v>306856</v>
      </c>
      <c r="O38" s="495">
        <f aca="true" t="shared" si="20" ref="O38:O69">IF(N38&gt;0,1,0)</f>
        <v>1</v>
      </c>
      <c r="P38" s="496">
        <f aca="true" t="shared" si="21" ref="P38:P73">ROUND((N38/2),0)</f>
        <v>153428</v>
      </c>
      <c r="Q38" s="497">
        <v>28537.09640946297</v>
      </c>
      <c r="R38" s="498">
        <f aca="true" t="shared" si="22" ref="R38:R69">IF(Q38&lt;$R$4,IF(P38&gt;0,P38,0),0)</f>
        <v>153428</v>
      </c>
      <c r="S38" s="499">
        <f aca="true" t="shared" si="23" ref="S38:S69">IF(R38&gt;0,1,0)</f>
        <v>1</v>
      </c>
      <c r="T38" s="500">
        <f aca="true" t="shared" si="24" ref="T38:T73">IF(R38&gt;0,ROUND(R38/1.158,0),0)</f>
        <v>132494</v>
      </c>
      <c r="U38" s="505">
        <v>186.88437520061612</v>
      </c>
      <c r="V38" s="506">
        <f aca="true" t="shared" si="25" ref="V38:V69">W38-U38</f>
        <v>-28.90314105015122</v>
      </c>
      <c r="W38" s="507">
        <v>157.9812341504649</v>
      </c>
      <c r="X38" s="504">
        <f aca="true" t="shared" si="26" ref="X38:X69">ROUND(T38/W38,0)</f>
        <v>839</v>
      </c>
    </row>
    <row r="39" spans="1:24" ht="12.75">
      <c r="A39" s="255">
        <v>34</v>
      </c>
      <c r="B39" s="488" t="s">
        <v>149</v>
      </c>
      <c r="C39" s="489">
        <f>'[1]Table 3 Levels 1&amp;2'!AJ41</f>
        <v>21831450</v>
      </c>
      <c r="D39" s="256">
        <f>ROUND(C39/'[1]Table 3 Levels 1&amp;2'!D41,2)</f>
        <v>4484.69</v>
      </c>
      <c r="E39" s="490">
        <f t="shared" si="14"/>
        <v>27</v>
      </c>
      <c r="F39" s="491">
        <f>'[2]Table 3 Levels 1&amp;2'!$AI41</f>
        <v>21935966</v>
      </c>
      <c r="G39" s="491">
        <f>F39/'[1]Table 8 Membership'!T41</f>
        <v>4361.02703777336</v>
      </c>
      <c r="H39" s="492">
        <f t="shared" si="15"/>
        <v>-104516</v>
      </c>
      <c r="I39" s="493">
        <f t="shared" si="16"/>
        <v>0</v>
      </c>
      <c r="J39" s="258">
        <f>ROUND(I39/+'[1]Table 3 Levels 1&amp;2'!D41,2)</f>
        <v>0</v>
      </c>
      <c r="K39" s="258">
        <f t="shared" si="17"/>
        <v>-104516</v>
      </c>
      <c r="L39" s="494">
        <f t="shared" si="18"/>
        <v>1</v>
      </c>
      <c r="M39" s="493">
        <f>IF(I39&lt;0,0,(ROUND(D39*'[1]Table 8 Membership'!W41,0)*-1))</f>
        <v>0</v>
      </c>
      <c r="N39" s="257">
        <f t="shared" si="19"/>
        <v>0</v>
      </c>
      <c r="O39" s="495">
        <f t="shared" si="20"/>
        <v>0</v>
      </c>
      <c r="P39" s="496">
        <f t="shared" si="21"/>
        <v>0</v>
      </c>
      <c r="Q39" s="497">
        <v>36596.701658392034</v>
      </c>
      <c r="R39" s="498">
        <f t="shared" si="22"/>
        <v>0</v>
      </c>
      <c r="S39" s="499">
        <f t="shared" si="23"/>
        <v>0</v>
      </c>
      <c r="T39" s="500">
        <f t="shared" si="24"/>
        <v>0</v>
      </c>
      <c r="U39" s="505">
        <v>452.6122412267937</v>
      </c>
      <c r="V39" s="506">
        <f t="shared" si="25"/>
        <v>-21.441533303680785</v>
      </c>
      <c r="W39" s="507">
        <v>431.1707079231129</v>
      </c>
      <c r="X39" s="500">
        <f t="shared" si="26"/>
        <v>0</v>
      </c>
    </row>
    <row r="40" spans="1:24" ht="12.75">
      <c r="A40" s="265">
        <v>35</v>
      </c>
      <c r="B40" s="508" t="s">
        <v>150</v>
      </c>
      <c r="C40" s="509">
        <f>'[1]Table 3 Levels 1&amp;2'!AJ42</f>
        <v>27833717</v>
      </c>
      <c r="D40" s="266">
        <f>ROUND(C40/'[1]Table 3 Levels 1&amp;2'!D42,2)</f>
        <v>4253.32</v>
      </c>
      <c r="E40" s="510">
        <f t="shared" si="14"/>
        <v>36</v>
      </c>
      <c r="F40" s="511">
        <f>'[2]Table 3 Levels 1&amp;2'!$AI42</f>
        <v>26304632</v>
      </c>
      <c r="G40" s="512">
        <f>F40/'[1]Table 8 Membership'!T42</f>
        <v>4022.7300810521488</v>
      </c>
      <c r="H40" s="513">
        <f t="shared" si="15"/>
        <v>1529085</v>
      </c>
      <c r="I40" s="514">
        <f t="shared" si="16"/>
        <v>1529085</v>
      </c>
      <c r="J40" s="276">
        <f>ROUND(I40/+'[1]Table 3 Levels 1&amp;2'!D42,2)</f>
        <v>233.66</v>
      </c>
      <c r="K40" s="276">
        <f t="shared" si="17"/>
        <v>0</v>
      </c>
      <c r="L40" s="515">
        <f t="shared" si="18"/>
        <v>0</v>
      </c>
      <c r="M40" s="516">
        <f>IF(I40&lt;0,0,(ROUND(D40*'[1]Table 8 Membership'!W42,0)*-1))</f>
        <v>-21267</v>
      </c>
      <c r="N40" s="270">
        <f t="shared" si="19"/>
        <v>1507818</v>
      </c>
      <c r="O40" s="517">
        <f t="shared" si="20"/>
        <v>1</v>
      </c>
      <c r="P40" s="518">
        <f t="shared" si="21"/>
        <v>753909</v>
      </c>
      <c r="Q40" s="519">
        <v>34634.32405781119</v>
      </c>
      <c r="R40" s="520">
        <f t="shared" si="22"/>
        <v>753909</v>
      </c>
      <c r="S40" s="521">
        <f t="shared" si="23"/>
        <v>1</v>
      </c>
      <c r="T40" s="522">
        <f t="shared" si="24"/>
        <v>651044</v>
      </c>
      <c r="U40" s="523">
        <v>561.9513316493513</v>
      </c>
      <c r="V40" s="524">
        <f t="shared" si="25"/>
        <v>-36.193061058937815</v>
      </c>
      <c r="W40" s="525">
        <v>525.7582705904135</v>
      </c>
      <c r="X40" s="526">
        <f t="shared" si="26"/>
        <v>1238</v>
      </c>
    </row>
    <row r="41" spans="1:24" ht="12.75">
      <c r="A41" s="255">
        <v>36</v>
      </c>
      <c r="B41" s="488" t="s">
        <v>68</v>
      </c>
      <c r="C41" s="489">
        <f>'[1]Table 3 Levels 1&amp;2'!AJ43</f>
        <v>74669654</v>
      </c>
      <c r="D41" s="256">
        <f>ROUND(C41/'[1]Table 3 Levels 1&amp;2'!D43,2)</f>
        <v>3411.91</v>
      </c>
      <c r="E41" s="490">
        <f t="shared" si="14"/>
        <v>55</v>
      </c>
      <c r="F41" s="491">
        <f>'[2]Table 3 Levels 1&amp;2'!$AI43</f>
        <v>201678404</v>
      </c>
      <c r="G41" s="491">
        <f>F41/'[1]Table 8 Membership'!T43</f>
        <v>3225.357897935358</v>
      </c>
      <c r="H41" s="492">
        <f t="shared" si="15"/>
        <v>-127008750</v>
      </c>
      <c r="I41" s="493">
        <f t="shared" si="16"/>
        <v>0</v>
      </c>
      <c r="J41" s="258">
        <f>ROUND(I41/+'[1]Table 3 Levels 1&amp;2'!D43,2)</f>
        <v>0</v>
      </c>
      <c r="K41" s="258">
        <f t="shared" si="17"/>
        <v>-127008750</v>
      </c>
      <c r="L41" s="494">
        <f t="shared" si="18"/>
        <v>1</v>
      </c>
      <c r="M41" s="493">
        <f>IF(I41&lt;0,0,(ROUND(D41*'[1]Table 8 Membership'!W43,0)*-1))</f>
        <v>0</v>
      </c>
      <c r="N41" s="257">
        <f t="shared" si="19"/>
        <v>0</v>
      </c>
      <c r="O41" s="495">
        <f t="shared" si="20"/>
        <v>0</v>
      </c>
      <c r="P41" s="496">
        <f t="shared" si="21"/>
        <v>0</v>
      </c>
      <c r="Q41" s="497">
        <v>42261.791946308724</v>
      </c>
      <c r="R41" s="498">
        <f t="shared" si="22"/>
        <v>0</v>
      </c>
      <c r="S41" s="499">
        <f t="shared" si="23"/>
        <v>0</v>
      </c>
      <c r="T41" s="500">
        <f t="shared" si="24"/>
        <v>0</v>
      </c>
      <c r="U41" s="505">
        <v>4640.398323879611</v>
      </c>
      <c r="V41" s="506">
        <f t="shared" si="25"/>
        <v>-4446.398323879611</v>
      </c>
      <c r="W41" s="507">
        <v>194</v>
      </c>
      <c r="X41" s="500">
        <f t="shared" si="26"/>
        <v>0</v>
      </c>
    </row>
    <row r="42" spans="1:24" ht="12.75">
      <c r="A42" s="255">
        <v>37</v>
      </c>
      <c r="B42" s="488" t="s">
        <v>151</v>
      </c>
      <c r="C42" s="489">
        <f>'[1]Table 3 Levels 1&amp;2'!AJ44</f>
        <v>83736663</v>
      </c>
      <c r="D42" s="256">
        <f>ROUND(C42/'[1]Table 3 Levels 1&amp;2'!D44,2)</f>
        <v>4648.68</v>
      </c>
      <c r="E42" s="490">
        <f t="shared" si="14"/>
        <v>21</v>
      </c>
      <c r="F42" s="491">
        <f>'[2]Table 3 Levels 1&amp;2'!$AI44</f>
        <v>81113754</v>
      </c>
      <c r="G42" s="491">
        <f>F42/'[1]Table 8 Membership'!T44</f>
        <v>4489.60834670947</v>
      </c>
      <c r="H42" s="492">
        <f t="shared" si="15"/>
        <v>2622909</v>
      </c>
      <c r="I42" s="493">
        <f t="shared" si="16"/>
        <v>2622909</v>
      </c>
      <c r="J42" s="258">
        <f>ROUND(I42/+'[1]Table 3 Levels 1&amp;2'!D44,2)</f>
        <v>145.61</v>
      </c>
      <c r="K42" s="258">
        <f t="shared" si="17"/>
        <v>0</v>
      </c>
      <c r="L42" s="494">
        <f t="shared" si="18"/>
        <v>0</v>
      </c>
      <c r="M42" s="493">
        <f>IF(I42&lt;0,0,(ROUND(D42*'[1]Table 8 Membership'!W44,0)*-1))</f>
        <v>0</v>
      </c>
      <c r="N42" s="257">
        <f t="shared" si="19"/>
        <v>2622909</v>
      </c>
      <c r="O42" s="495">
        <f t="shared" si="20"/>
        <v>1</v>
      </c>
      <c r="P42" s="496">
        <f t="shared" si="21"/>
        <v>1311455</v>
      </c>
      <c r="Q42" s="497">
        <v>38819.26478673756</v>
      </c>
      <c r="R42" s="498">
        <f t="shared" si="22"/>
        <v>1311455</v>
      </c>
      <c r="S42" s="499">
        <f t="shared" si="23"/>
        <v>1</v>
      </c>
      <c r="T42" s="500">
        <f t="shared" si="24"/>
        <v>1132517</v>
      </c>
      <c r="U42" s="505">
        <v>1475.7443253968256</v>
      </c>
      <c r="V42" s="506">
        <f t="shared" si="25"/>
        <v>42.81755974184534</v>
      </c>
      <c r="W42" s="507">
        <v>1518.561885138671</v>
      </c>
      <c r="X42" s="504">
        <f t="shared" si="26"/>
        <v>746</v>
      </c>
    </row>
    <row r="43" spans="1:24" ht="12.75">
      <c r="A43" s="255">
        <v>38</v>
      </c>
      <c r="B43" s="488" t="s">
        <v>152</v>
      </c>
      <c r="C43" s="489">
        <f>'[1]Table 3 Levels 1&amp;2'!AJ45</f>
        <v>2535667</v>
      </c>
      <c r="D43" s="256">
        <f>ROUND(C43/'[1]Table 3 Levels 1&amp;2'!D45,2)</f>
        <v>704.55</v>
      </c>
      <c r="E43" s="490">
        <f t="shared" si="14"/>
        <v>68</v>
      </c>
      <c r="F43" s="491">
        <f>'[2]Table 3 Levels 1&amp;2'!$AI45</f>
        <v>3661035</v>
      </c>
      <c r="G43" s="491">
        <f>F43/'[1]Table 8 Membership'!T45</f>
        <v>763.0335556481867</v>
      </c>
      <c r="H43" s="492">
        <f t="shared" si="15"/>
        <v>-1125368</v>
      </c>
      <c r="I43" s="493">
        <f t="shared" si="16"/>
        <v>0</v>
      </c>
      <c r="J43" s="258">
        <f>ROUND(I43/+'[1]Table 3 Levels 1&amp;2'!D45,2)</f>
        <v>0</v>
      </c>
      <c r="K43" s="258">
        <f t="shared" si="17"/>
        <v>-1125368</v>
      </c>
      <c r="L43" s="494">
        <f t="shared" si="18"/>
        <v>1</v>
      </c>
      <c r="M43" s="493">
        <f>IF(I43&lt;0,0,(ROUND(D43*'[1]Table 8 Membership'!W45,0)*-1))</f>
        <v>0</v>
      </c>
      <c r="N43" s="257">
        <f t="shared" si="19"/>
        <v>0</v>
      </c>
      <c r="O43" s="495">
        <f t="shared" si="20"/>
        <v>0</v>
      </c>
      <c r="P43" s="496">
        <f t="shared" si="21"/>
        <v>0</v>
      </c>
      <c r="Q43" s="497">
        <v>36517.46889952153</v>
      </c>
      <c r="R43" s="498">
        <f t="shared" si="22"/>
        <v>0</v>
      </c>
      <c r="S43" s="499">
        <f t="shared" si="23"/>
        <v>0</v>
      </c>
      <c r="T43" s="500">
        <f t="shared" si="24"/>
        <v>0</v>
      </c>
      <c r="U43" s="505">
        <v>423.889010989011</v>
      </c>
      <c r="V43" s="506">
        <f t="shared" si="25"/>
        <v>-143.889010989011</v>
      </c>
      <c r="W43" s="507">
        <v>280</v>
      </c>
      <c r="X43" s="500">
        <f t="shared" si="26"/>
        <v>0</v>
      </c>
    </row>
    <row r="44" spans="1:24" ht="12.75">
      <c r="A44" s="255">
        <v>39</v>
      </c>
      <c r="B44" s="488" t="s">
        <v>153</v>
      </c>
      <c r="C44" s="489">
        <f>'[1]Table 3 Levels 1&amp;2'!AJ46</f>
        <v>7938242</v>
      </c>
      <c r="D44" s="256">
        <f>ROUND(C44/'[1]Table 3 Levels 1&amp;2'!D46,2)</f>
        <v>2738.27</v>
      </c>
      <c r="E44" s="490">
        <f t="shared" si="14"/>
        <v>61</v>
      </c>
      <c r="F44" s="491">
        <f>'[2]Table 3 Levels 1&amp;2'!$AI46</f>
        <v>8576934</v>
      </c>
      <c r="G44" s="491">
        <f>F44/'[1]Table 8 Membership'!T46</f>
        <v>2887.8565656565656</v>
      </c>
      <c r="H44" s="492">
        <f t="shared" si="15"/>
        <v>-638692</v>
      </c>
      <c r="I44" s="493">
        <f t="shared" si="16"/>
        <v>0</v>
      </c>
      <c r="J44" s="258">
        <f>ROUND(I44/+'[1]Table 3 Levels 1&amp;2'!D46,2)</f>
        <v>0</v>
      </c>
      <c r="K44" s="258">
        <f t="shared" si="17"/>
        <v>-638692</v>
      </c>
      <c r="L44" s="494">
        <f t="shared" si="18"/>
        <v>1</v>
      </c>
      <c r="M44" s="493">
        <f>IF(I44&lt;0,0,(ROUND(D44*'[1]Table 8 Membership'!W46,0)*-1))</f>
        <v>0</v>
      </c>
      <c r="N44" s="257">
        <f t="shared" si="19"/>
        <v>0</v>
      </c>
      <c r="O44" s="495">
        <f t="shared" si="20"/>
        <v>0</v>
      </c>
      <c r="P44" s="496">
        <f t="shared" si="21"/>
        <v>0</v>
      </c>
      <c r="Q44" s="497">
        <v>37480.336386470684</v>
      </c>
      <c r="R44" s="498">
        <f t="shared" si="22"/>
        <v>0</v>
      </c>
      <c r="S44" s="499">
        <f t="shared" si="23"/>
        <v>0</v>
      </c>
      <c r="T44" s="500">
        <f t="shared" si="24"/>
        <v>0</v>
      </c>
      <c r="U44" s="505">
        <v>263.3157607273679</v>
      </c>
      <c r="V44" s="506">
        <f t="shared" si="25"/>
        <v>-18.315865384615392</v>
      </c>
      <c r="W44" s="507">
        <v>244.9998953427525</v>
      </c>
      <c r="X44" s="500">
        <f t="shared" si="26"/>
        <v>0</v>
      </c>
    </row>
    <row r="45" spans="1:24" ht="12.75">
      <c r="A45" s="265">
        <v>40</v>
      </c>
      <c r="B45" s="508" t="s">
        <v>154</v>
      </c>
      <c r="C45" s="509">
        <f>'[1]Table 3 Levels 1&amp;2'!AJ47</f>
        <v>89779636</v>
      </c>
      <c r="D45" s="266">
        <f>ROUND(C45/'[1]Table 3 Levels 1&amp;2'!D47,2)</f>
        <v>3967.81</v>
      </c>
      <c r="E45" s="510">
        <f t="shared" si="14"/>
        <v>45</v>
      </c>
      <c r="F45" s="511">
        <f>'[2]Table 3 Levels 1&amp;2'!$AI47</f>
        <v>84244707</v>
      </c>
      <c r="G45" s="512">
        <f>F45/'[1]Table 8 Membership'!T47</f>
        <v>3791.2203321182665</v>
      </c>
      <c r="H45" s="513">
        <f t="shared" si="15"/>
        <v>5534929</v>
      </c>
      <c r="I45" s="514">
        <f t="shared" si="16"/>
        <v>5534929</v>
      </c>
      <c r="J45" s="276">
        <f>ROUND(I45/+'[1]Table 3 Levels 1&amp;2'!D47,2)</f>
        <v>244.62</v>
      </c>
      <c r="K45" s="276">
        <f t="shared" si="17"/>
        <v>0</v>
      </c>
      <c r="L45" s="515">
        <f t="shared" si="18"/>
        <v>0</v>
      </c>
      <c r="M45" s="516">
        <f>IF(I45&lt;0,0,(ROUND(D45*'[1]Table 8 Membership'!W47,0)*-1))</f>
        <v>-1610931</v>
      </c>
      <c r="N45" s="270">
        <f t="shared" si="19"/>
        <v>3923998</v>
      </c>
      <c r="O45" s="517">
        <f t="shared" si="20"/>
        <v>1</v>
      </c>
      <c r="P45" s="518">
        <f t="shared" si="21"/>
        <v>1961999</v>
      </c>
      <c r="Q45" s="519">
        <v>35142.74858726584</v>
      </c>
      <c r="R45" s="520">
        <f t="shared" si="22"/>
        <v>1961999</v>
      </c>
      <c r="S45" s="521">
        <f t="shared" si="23"/>
        <v>1</v>
      </c>
      <c r="T45" s="522">
        <f t="shared" si="24"/>
        <v>1694300</v>
      </c>
      <c r="U45" s="523">
        <v>1893.7986877659055</v>
      </c>
      <c r="V45" s="524">
        <f t="shared" si="25"/>
        <v>65.15033083169646</v>
      </c>
      <c r="W45" s="525">
        <v>1958.949018597602</v>
      </c>
      <c r="X45" s="526">
        <f t="shared" si="26"/>
        <v>865</v>
      </c>
    </row>
    <row r="46" spans="1:24" ht="12.75">
      <c r="A46" s="255">
        <v>41</v>
      </c>
      <c r="B46" s="488" t="s">
        <v>155</v>
      </c>
      <c r="C46" s="489">
        <f>'[1]Table 3 Levels 1&amp;2'!AJ48</f>
        <v>8351573</v>
      </c>
      <c r="D46" s="256">
        <f>ROUND(C46/'[1]Table 3 Levels 1&amp;2'!D48,2)</f>
        <v>5751.77</v>
      </c>
      <c r="E46" s="490">
        <f t="shared" si="14"/>
        <v>1</v>
      </c>
      <c r="F46" s="491">
        <f>'[2]Table 3 Levels 1&amp;2'!$AI48</f>
        <v>8336082</v>
      </c>
      <c r="G46" s="491">
        <f>F46/'[1]Table 8 Membership'!T48</f>
        <v>5487.874917709019</v>
      </c>
      <c r="H46" s="492">
        <f t="shared" si="15"/>
        <v>15491</v>
      </c>
      <c r="I46" s="493">
        <f t="shared" si="16"/>
        <v>15491</v>
      </c>
      <c r="J46" s="258">
        <f>ROUND(I46/+'[1]Table 3 Levels 1&amp;2'!D48,2)</f>
        <v>10.67</v>
      </c>
      <c r="K46" s="258">
        <f t="shared" si="17"/>
        <v>0</v>
      </c>
      <c r="L46" s="494">
        <f t="shared" si="18"/>
        <v>0</v>
      </c>
      <c r="M46" s="493">
        <f>IF(I46&lt;0,0,(ROUND(D46*'[1]Table 8 Membership'!W48,0)*-1))</f>
        <v>0</v>
      </c>
      <c r="N46" s="257">
        <f t="shared" si="19"/>
        <v>15491</v>
      </c>
      <c r="O46" s="495">
        <f t="shared" si="20"/>
        <v>1</v>
      </c>
      <c r="P46" s="496">
        <f t="shared" si="21"/>
        <v>7746</v>
      </c>
      <c r="Q46" s="497">
        <v>33163.850552224125</v>
      </c>
      <c r="R46" s="498">
        <f t="shared" si="22"/>
        <v>7746</v>
      </c>
      <c r="S46" s="499">
        <f t="shared" si="23"/>
        <v>1</v>
      </c>
      <c r="T46" s="500">
        <f t="shared" si="24"/>
        <v>6689</v>
      </c>
      <c r="U46" s="505">
        <v>149.44423225225248</v>
      </c>
      <c r="V46" s="506">
        <f t="shared" si="25"/>
        <v>-9.303971847015134</v>
      </c>
      <c r="W46" s="507">
        <v>140.14026040523734</v>
      </c>
      <c r="X46" s="504">
        <f t="shared" si="26"/>
        <v>48</v>
      </c>
    </row>
    <row r="47" spans="1:24" ht="12.75">
      <c r="A47" s="255">
        <v>42</v>
      </c>
      <c r="B47" s="488" t="s">
        <v>156</v>
      </c>
      <c r="C47" s="489">
        <f>'[1]Table 3 Levels 1&amp;2'!AJ49</f>
        <v>15915309</v>
      </c>
      <c r="D47" s="256">
        <f>ROUND(C47/'[1]Table 3 Levels 1&amp;2'!D49,2)</f>
        <v>4783.68</v>
      </c>
      <c r="E47" s="490">
        <f t="shared" si="14"/>
        <v>17</v>
      </c>
      <c r="F47" s="491">
        <f>'[2]Table 3 Levels 1&amp;2'!$AI49</f>
        <v>16243498</v>
      </c>
      <c r="G47" s="491">
        <f>F47/'[1]Table 8 Membership'!T49</f>
        <v>4719.203370133643</v>
      </c>
      <c r="H47" s="492">
        <f t="shared" si="15"/>
        <v>-328189</v>
      </c>
      <c r="I47" s="493">
        <f t="shared" si="16"/>
        <v>0</v>
      </c>
      <c r="J47" s="258">
        <f>ROUND(I47/+'[1]Table 3 Levels 1&amp;2'!D49,2)</f>
        <v>0</v>
      </c>
      <c r="K47" s="258">
        <f t="shared" si="17"/>
        <v>-328189</v>
      </c>
      <c r="L47" s="494">
        <f t="shared" si="18"/>
        <v>1</v>
      </c>
      <c r="M47" s="493">
        <f>IF(I47&lt;0,0,(ROUND(D47*'[1]Table 8 Membership'!W49,0)*-1))</f>
        <v>0</v>
      </c>
      <c r="N47" s="257">
        <f t="shared" si="19"/>
        <v>0</v>
      </c>
      <c r="O47" s="495">
        <f t="shared" si="20"/>
        <v>0</v>
      </c>
      <c r="P47" s="496">
        <f t="shared" si="21"/>
        <v>0</v>
      </c>
      <c r="Q47" s="497">
        <v>32329.80003518296</v>
      </c>
      <c r="R47" s="498">
        <f t="shared" si="22"/>
        <v>0</v>
      </c>
      <c r="S47" s="499">
        <f t="shared" si="23"/>
        <v>0</v>
      </c>
      <c r="T47" s="500">
        <f t="shared" si="24"/>
        <v>0</v>
      </c>
      <c r="U47" s="505">
        <v>306.9633123608457</v>
      </c>
      <c r="V47" s="506">
        <f t="shared" si="25"/>
        <v>-22.905661210497954</v>
      </c>
      <c r="W47" s="507">
        <v>284.05765115034774</v>
      </c>
      <c r="X47" s="500">
        <f t="shared" si="26"/>
        <v>0</v>
      </c>
    </row>
    <row r="48" spans="1:24" ht="12.75">
      <c r="A48" s="255">
        <v>43</v>
      </c>
      <c r="B48" s="488" t="s">
        <v>157</v>
      </c>
      <c r="C48" s="489">
        <f>'[1]Table 3 Levels 1&amp;2'!AJ50</f>
        <v>18900668</v>
      </c>
      <c r="D48" s="256">
        <f>ROUND(C48/'[1]Table 3 Levels 1&amp;2'!D50,2)</f>
        <v>4692.32</v>
      </c>
      <c r="E48" s="490">
        <f t="shared" si="14"/>
        <v>19</v>
      </c>
      <c r="F48" s="491">
        <f>'[2]Table 3 Levels 1&amp;2'!$AI50</f>
        <v>18846837</v>
      </c>
      <c r="G48" s="491">
        <f>F48/'[1]Table 8 Membership'!T50</f>
        <v>4687.101964685402</v>
      </c>
      <c r="H48" s="492">
        <f t="shared" si="15"/>
        <v>53831</v>
      </c>
      <c r="I48" s="493">
        <f t="shared" si="16"/>
        <v>53831</v>
      </c>
      <c r="J48" s="258">
        <f>ROUND(I48/+'[1]Table 3 Levels 1&amp;2'!D50,2)</f>
        <v>13.36</v>
      </c>
      <c r="K48" s="258">
        <f t="shared" si="17"/>
        <v>0</v>
      </c>
      <c r="L48" s="494">
        <f t="shared" si="18"/>
        <v>0</v>
      </c>
      <c r="M48" s="493">
        <f>IF(I48&lt;0,0,(ROUND(D48*'[1]Table 8 Membership'!W50,0)*-1))</f>
        <v>-32846</v>
      </c>
      <c r="N48" s="257">
        <f t="shared" si="19"/>
        <v>20985</v>
      </c>
      <c r="O48" s="495">
        <f t="shared" si="20"/>
        <v>1</v>
      </c>
      <c r="P48" s="496">
        <f t="shared" si="21"/>
        <v>10493</v>
      </c>
      <c r="Q48" s="497">
        <v>33374.550264550264</v>
      </c>
      <c r="R48" s="498">
        <f t="shared" si="22"/>
        <v>10493</v>
      </c>
      <c r="S48" s="499">
        <f t="shared" si="23"/>
        <v>1</v>
      </c>
      <c r="T48" s="500">
        <f t="shared" si="24"/>
        <v>9061</v>
      </c>
      <c r="U48" s="505">
        <v>362.8462549056972</v>
      </c>
      <c r="V48" s="506">
        <f t="shared" si="25"/>
        <v>-1.846254905697208</v>
      </c>
      <c r="W48" s="507">
        <v>361</v>
      </c>
      <c r="X48" s="504">
        <f t="shared" si="26"/>
        <v>25</v>
      </c>
    </row>
    <row r="49" spans="1:24" ht="12.75">
      <c r="A49" s="255">
        <v>44</v>
      </c>
      <c r="B49" s="488" t="s">
        <v>158</v>
      </c>
      <c r="C49" s="489">
        <f>'[1]Table 3 Levels 1&amp;2'!AJ51</f>
        <v>12201699</v>
      </c>
      <c r="D49" s="256">
        <f>ROUND(C49/'[1]Table 3 Levels 1&amp;2'!D51,2)</f>
        <v>4067.23</v>
      </c>
      <c r="E49" s="490">
        <f t="shared" si="14"/>
        <v>42</v>
      </c>
      <c r="F49" s="491">
        <f>'[2]Table 3 Levels 1&amp;2'!$AI51</f>
        <v>29304116</v>
      </c>
      <c r="G49" s="491">
        <f>F49/'[1]Table 8 Membership'!T51</f>
        <v>3478.6462488129155</v>
      </c>
      <c r="H49" s="492">
        <f t="shared" si="15"/>
        <v>-17102417</v>
      </c>
      <c r="I49" s="493">
        <f t="shared" si="16"/>
        <v>0</v>
      </c>
      <c r="J49" s="258">
        <f>ROUND(I49/+'[1]Table 3 Levels 1&amp;2'!D51,2)</f>
        <v>0</v>
      </c>
      <c r="K49" s="258">
        <f t="shared" si="17"/>
        <v>-17102417</v>
      </c>
      <c r="L49" s="494">
        <f t="shared" si="18"/>
        <v>1</v>
      </c>
      <c r="M49" s="493">
        <f>IF(I49&lt;0,0,(ROUND(D49*'[1]Table 8 Membership'!W51,0)*-1))</f>
        <v>0</v>
      </c>
      <c r="N49" s="257">
        <f t="shared" si="19"/>
        <v>0</v>
      </c>
      <c r="O49" s="495">
        <f t="shared" si="20"/>
        <v>0</v>
      </c>
      <c r="P49" s="496">
        <f t="shared" si="21"/>
        <v>0</v>
      </c>
      <c r="Q49" s="497">
        <v>34643.866465876104</v>
      </c>
      <c r="R49" s="498">
        <f t="shared" si="22"/>
        <v>0</v>
      </c>
      <c r="S49" s="499">
        <f t="shared" si="23"/>
        <v>0</v>
      </c>
      <c r="T49" s="500">
        <f t="shared" si="24"/>
        <v>0</v>
      </c>
      <c r="U49" s="505">
        <v>757.5197327859096</v>
      </c>
      <c r="V49" s="506">
        <f t="shared" si="25"/>
        <v>-629.0492032339605</v>
      </c>
      <c r="W49" s="507">
        <v>128.47052955194906</v>
      </c>
      <c r="X49" s="500">
        <f t="shared" si="26"/>
        <v>0</v>
      </c>
    </row>
    <row r="50" spans="1:24" ht="12.75">
      <c r="A50" s="265">
        <v>45</v>
      </c>
      <c r="B50" s="508" t="s">
        <v>159</v>
      </c>
      <c r="C50" s="509">
        <f>'[1]Table 3 Levels 1&amp;2'!AJ52</f>
        <v>15593500</v>
      </c>
      <c r="D50" s="266">
        <f>ROUND(C50/'[1]Table 3 Levels 1&amp;2'!D52,2)</f>
        <v>1646.45</v>
      </c>
      <c r="E50" s="510">
        <f t="shared" si="14"/>
        <v>67</v>
      </c>
      <c r="F50" s="511">
        <f>'[2]Table 3 Levels 1&amp;2'!$AI52</f>
        <v>15330072</v>
      </c>
      <c r="G50" s="512">
        <f>F50/'[1]Table 8 Membership'!T52</f>
        <v>1612.1644757598065</v>
      </c>
      <c r="H50" s="513">
        <f t="shared" si="15"/>
        <v>263428</v>
      </c>
      <c r="I50" s="514">
        <f t="shared" si="16"/>
        <v>263428</v>
      </c>
      <c r="J50" s="276">
        <f>ROUND(I50/+'[1]Table 3 Levels 1&amp;2'!D52,2)</f>
        <v>27.81</v>
      </c>
      <c r="K50" s="276">
        <f t="shared" si="17"/>
        <v>0</v>
      </c>
      <c r="L50" s="515">
        <f t="shared" si="18"/>
        <v>0</v>
      </c>
      <c r="M50" s="516">
        <f>IF(I50&lt;0,0,(ROUND(D50*'[1]Table 8 Membership'!W52,0)*-1))</f>
        <v>0</v>
      </c>
      <c r="N50" s="270">
        <f t="shared" si="19"/>
        <v>263428</v>
      </c>
      <c r="O50" s="517">
        <f t="shared" si="20"/>
        <v>1</v>
      </c>
      <c r="P50" s="518">
        <f t="shared" si="21"/>
        <v>131714</v>
      </c>
      <c r="Q50" s="519">
        <v>40728.384256129335</v>
      </c>
      <c r="R50" s="520">
        <f t="shared" si="22"/>
        <v>131714</v>
      </c>
      <c r="S50" s="521">
        <f t="shared" si="23"/>
        <v>1</v>
      </c>
      <c r="T50" s="522">
        <f t="shared" si="24"/>
        <v>113743</v>
      </c>
      <c r="U50" s="523">
        <v>970.7083164983168</v>
      </c>
      <c r="V50" s="524">
        <f t="shared" si="25"/>
        <v>12.622895402107929</v>
      </c>
      <c r="W50" s="525">
        <v>983.3312119004247</v>
      </c>
      <c r="X50" s="526">
        <f t="shared" si="26"/>
        <v>116</v>
      </c>
    </row>
    <row r="51" spans="1:24" ht="12.75">
      <c r="A51" s="255">
        <v>46</v>
      </c>
      <c r="B51" s="488" t="s">
        <v>160</v>
      </c>
      <c r="C51" s="489">
        <f>'[1]Table 3 Levels 1&amp;2'!AJ53</f>
        <v>7079009</v>
      </c>
      <c r="D51" s="256">
        <f>ROUND(C51/'[1]Table 3 Levels 1&amp;2'!D53,2)</f>
        <v>4922.82</v>
      </c>
      <c r="E51" s="490">
        <f t="shared" si="14"/>
        <v>10</v>
      </c>
      <c r="F51" s="491">
        <f>'[2]Table 3 Levels 1&amp;2'!$AI53</f>
        <v>6287800</v>
      </c>
      <c r="G51" s="491">
        <f>F51/'[1]Table 8 Membership'!T53</f>
        <v>4840.492686682063</v>
      </c>
      <c r="H51" s="492">
        <f t="shared" si="15"/>
        <v>791209</v>
      </c>
      <c r="I51" s="493">
        <f t="shared" si="16"/>
        <v>791209</v>
      </c>
      <c r="J51" s="258">
        <f>ROUND(I51/+'[1]Table 3 Levels 1&amp;2'!D53,2)</f>
        <v>550.21</v>
      </c>
      <c r="K51" s="258">
        <f t="shared" si="17"/>
        <v>0</v>
      </c>
      <c r="L51" s="494">
        <f t="shared" si="18"/>
        <v>0</v>
      </c>
      <c r="M51" s="493">
        <f>IF(I51&lt;0,0,(ROUND(D51*'[1]Table 8 Membership'!W53,0)*-1))</f>
        <v>-684272</v>
      </c>
      <c r="N51" s="257">
        <f t="shared" si="19"/>
        <v>106937</v>
      </c>
      <c r="O51" s="495">
        <f t="shared" si="20"/>
        <v>1</v>
      </c>
      <c r="P51" s="496">
        <f t="shared" si="21"/>
        <v>53469</v>
      </c>
      <c r="Q51" s="497">
        <v>30603.64124293785</v>
      </c>
      <c r="R51" s="498">
        <f t="shared" si="22"/>
        <v>53469</v>
      </c>
      <c r="S51" s="499">
        <f t="shared" si="23"/>
        <v>1</v>
      </c>
      <c r="T51" s="500">
        <f t="shared" si="24"/>
        <v>46174</v>
      </c>
      <c r="U51" s="505">
        <v>104.03588522588522</v>
      </c>
      <c r="V51" s="506">
        <f t="shared" si="25"/>
        <v>-15.035885225885224</v>
      </c>
      <c r="W51" s="507">
        <v>89</v>
      </c>
      <c r="X51" s="504">
        <f t="shared" si="26"/>
        <v>519</v>
      </c>
    </row>
    <row r="52" spans="1:24" ht="12.75">
      <c r="A52" s="255">
        <v>47</v>
      </c>
      <c r="B52" s="488" t="s">
        <v>161</v>
      </c>
      <c r="C52" s="489">
        <f>'[1]Table 3 Levels 1&amp;2'!AJ54</f>
        <v>11820024</v>
      </c>
      <c r="D52" s="256">
        <f>ROUND(C52/'[1]Table 3 Levels 1&amp;2'!D54,2)</f>
        <v>3101.55</v>
      </c>
      <c r="E52" s="490">
        <f t="shared" si="14"/>
        <v>59</v>
      </c>
      <c r="F52" s="491">
        <f>'[2]Table 3 Levels 1&amp;2'!$AI54</f>
        <v>10647975</v>
      </c>
      <c r="G52" s="491">
        <f>F52/'[1]Table 8 Membership'!T54</f>
        <v>2866.2113055181694</v>
      </c>
      <c r="H52" s="492">
        <f t="shared" si="15"/>
        <v>1172049</v>
      </c>
      <c r="I52" s="493">
        <f t="shared" si="16"/>
        <v>1172049</v>
      </c>
      <c r="J52" s="258">
        <f>ROUND(I52/+'[1]Table 3 Levels 1&amp;2'!D54,2)</f>
        <v>307.54</v>
      </c>
      <c r="K52" s="258">
        <f t="shared" si="17"/>
        <v>0</v>
      </c>
      <c r="L52" s="494">
        <f t="shared" si="18"/>
        <v>0</v>
      </c>
      <c r="M52" s="493">
        <f>IF(I52&lt;0,0,(ROUND(D52*'[1]Table 8 Membership'!W54,0)*-1))</f>
        <v>-297749</v>
      </c>
      <c r="N52" s="257">
        <f t="shared" si="19"/>
        <v>874300</v>
      </c>
      <c r="O52" s="495">
        <f t="shared" si="20"/>
        <v>1</v>
      </c>
      <c r="P52" s="496">
        <f t="shared" si="21"/>
        <v>437150</v>
      </c>
      <c r="Q52" s="527">
        <v>43699.745198776574</v>
      </c>
      <c r="R52" s="498">
        <f t="shared" si="22"/>
        <v>0</v>
      </c>
      <c r="S52" s="499">
        <f t="shared" si="23"/>
        <v>0</v>
      </c>
      <c r="T52" s="500">
        <f t="shared" si="24"/>
        <v>0</v>
      </c>
      <c r="U52" s="505">
        <v>362.7525338698678</v>
      </c>
      <c r="V52" s="506">
        <f t="shared" si="25"/>
        <v>7.543619976286038</v>
      </c>
      <c r="W52" s="507">
        <v>370.29615384615386</v>
      </c>
      <c r="X52" s="500">
        <f t="shared" si="26"/>
        <v>0</v>
      </c>
    </row>
    <row r="53" spans="1:24" ht="12.75">
      <c r="A53" s="255">
        <v>48</v>
      </c>
      <c r="B53" s="488" t="s">
        <v>162</v>
      </c>
      <c r="C53" s="489">
        <f>'[1]Table 3 Levels 1&amp;2'!AJ55</f>
        <v>28239349</v>
      </c>
      <c r="D53" s="256">
        <f>ROUND(C53/'[1]Table 3 Levels 1&amp;2'!D55,2)</f>
        <v>4308.06</v>
      </c>
      <c r="E53" s="490">
        <f t="shared" si="14"/>
        <v>34</v>
      </c>
      <c r="F53" s="491">
        <f>'[2]Table 3 Levels 1&amp;2'!$AI55</f>
        <v>26991290</v>
      </c>
      <c r="G53" s="491">
        <f>F53/'[1]Table 8 Membership'!T55</f>
        <v>4249.927570461345</v>
      </c>
      <c r="H53" s="492">
        <f t="shared" si="15"/>
        <v>1248059</v>
      </c>
      <c r="I53" s="493">
        <f t="shared" si="16"/>
        <v>1248059</v>
      </c>
      <c r="J53" s="258">
        <f>ROUND(I53/+'[1]Table 3 Levels 1&amp;2'!D55,2)</f>
        <v>190.4</v>
      </c>
      <c r="K53" s="258">
        <f t="shared" si="17"/>
        <v>0</v>
      </c>
      <c r="L53" s="494">
        <f t="shared" si="18"/>
        <v>0</v>
      </c>
      <c r="M53" s="493">
        <f>IF(I53&lt;0,0,(ROUND(D53*'[1]Table 8 Membership'!W55,0)*-1))</f>
        <v>-878844</v>
      </c>
      <c r="N53" s="257">
        <f t="shared" si="19"/>
        <v>369215</v>
      </c>
      <c r="O53" s="495">
        <f t="shared" si="20"/>
        <v>1</v>
      </c>
      <c r="P53" s="496">
        <f t="shared" si="21"/>
        <v>184608</v>
      </c>
      <c r="Q53" s="497">
        <v>40187.067260887685</v>
      </c>
      <c r="R53" s="498">
        <f t="shared" si="22"/>
        <v>184608</v>
      </c>
      <c r="S53" s="499">
        <f t="shared" si="23"/>
        <v>1</v>
      </c>
      <c r="T53" s="500">
        <f t="shared" si="24"/>
        <v>159420</v>
      </c>
      <c r="U53" s="505">
        <v>586.7352283211836</v>
      </c>
      <c r="V53" s="506">
        <f t="shared" si="25"/>
        <v>20.807952810116603</v>
      </c>
      <c r="W53" s="507">
        <v>607.5431811313002</v>
      </c>
      <c r="X53" s="504">
        <f t="shared" si="26"/>
        <v>262</v>
      </c>
    </row>
    <row r="54" spans="1:24" ht="12.75">
      <c r="A54" s="255">
        <v>49</v>
      </c>
      <c r="B54" s="488" t="s">
        <v>163</v>
      </c>
      <c r="C54" s="489">
        <f>'[1]Table 3 Levels 1&amp;2'!AJ56</f>
        <v>63530038</v>
      </c>
      <c r="D54" s="256">
        <f>ROUND(C54/'[1]Table 3 Levels 1&amp;2'!D56,2)</f>
        <v>4269.49</v>
      </c>
      <c r="E54" s="490">
        <f t="shared" si="14"/>
        <v>35</v>
      </c>
      <c r="F54" s="491">
        <f>'[2]Table 3 Levels 1&amp;2'!$AI56</f>
        <v>62576753</v>
      </c>
      <c r="G54" s="491">
        <f>F54/'[1]Table 8 Membership'!T56</f>
        <v>4157.371312782355</v>
      </c>
      <c r="H54" s="492">
        <f t="shared" si="15"/>
        <v>953285</v>
      </c>
      <c r="I54" s="493">
        <f t="shared" si="16"/>
        <v>953285</v>
      </c>
      <c r="J54" s="258">
        <f>ROUND(I54/+'[1]Table 3 Levels 1&amp;2'!D56,2)</f>
        <v>64.06</v>
      </c>
      <c r="K54" s="258">
        <f t="shared" si="17"/>
        <v>0</v>
      </c>
      <c r="L54" s="494">
        <f t="shared" si="18"/>
        <v>0</v>
      </c>
      <c r="M54" s="493">
        <f>IF(I54&lt;0,0,(ROUND(D54*'[1]Table 8 Membership'!W56,0)*-1))</f>
        <v>0</v>
      </c>
      <c r="N54" s="257">
        <f t="shared" si="19"/>
        <v>953285</v>
      </c>
      <c r="O54" s="495">
        <f t="shared" si="20"/>
        <v>1</v>
      </c>
      <c r="P54" s="496">
        <f t="shared" si="21"/>
        <v>476643</v>
      </c>
      <c r="Q54" s="497">
        <v>37289.601791936286</v>
      </c>
      <c r="R54" s="498">
        <f t="shared" si="22"/>
        <v>476643</v>
      </c>
      <c r="S54" s="499">
        <f t="shared" si="23"/>
        <v>1</v>
      </c>
      <c r="T54" s="500">
        <f t="shared" si="24"/>
        <v>411609</v>
      </c>
      <c r="U54" s="505">
        <v>1281.6863614163663</v>
      </c>
      <c r="V54" s="506">
        <f t="shared" si="25"/>
        <v>-70.18636141636625</v>
      </c>
      <c r="W54" s="507">
        <v>1211.5</v>
      </c>
      <c r="X54" s="504">
        <f t="shared" si="26"/>
        <v>340</v>
      </c>
    </row>
    <row r="55" spans="1:24" ht="12.75">
      <c r="A55" s="265">
        <v>50</v>
      </c>
      <c r="B55" s="508" t="s">
        <v>164</v>
      </c>
      <c r="C55" s="509">
        <f>'[1]Table 3 Levels 1&amp;2'!AJ57</f>
        <v>36161209</v>
      </c>
      <c r="D55" s="266">
        <f>ROUND(C55/'[1]Table 3 Levels 1&amp;2'!D57,2)</f>
        <v>4446.23</v>
      </c>
      <c r="E55" s="510">
        <f t="shared" si="14"/>
        <v>28</v>
      </c>
      <c r="F55" s="511">
        <f>'[2]Table 3 Levels 1&amp;2'!$AI57</f>
        <v>35664866</v>
      </c>
      <c r="G55" s="512">
        <f>F55/'[1]Table 8 Membership'!T57</f>
        <v>4355.216265722311</v>
      </c>
      <c r="H55" s="513">
        <f t="shared" si="15"/>
        <v>496343</v>
      </c>
      <c r="I55" s="514">
        <f t="shared" si="16"/>
        <v>496343</v>
      </c>
      <c r="J55" s="276">
        <f>ROUND(I55/+'[1]Table 3 Levels 1&amp;2'!D57,2)</f>
        <v>61.03</v>
      </c>
      <c r="K55" s="276">
        <f t="shared" si="17"/>
        <v>0</v>
      </c>
      <c r="L55" s="515">
        <f t="shared" si="18"/>
        <v>0</v>
      </c>
      <c r="M55" s="516">
        <f>IF(I55&lt;0,0,(ROUND(D55*'[1]Table 8 Membership'!W57,0)*-1))</f>
        <v>0</v>
      </c>
      <c r="N55" s="270">
        <f t="shared" si="19"/>
        <v>496343</v>
      </c>
      <c r="O55" s="517">
        <f t="shared" si="20"/>
        <v>1</v>
      </c>
      <c r="P55" s="518">
        <f t="shared" si="21"/>
        <v>248172</v>
      </c>
      <c r="Q55" s="519">
        <v>37828.25624551299</v>
      </c>
      <c r="R55" s="520">
        <f t="shared" si="22"/>
        <v>248172</v>
      </c>
      <c r="S55" s="521">
        <f t="shared" si="23"/>
        <v>1</v>
      </c>
      <c r="T55" s="522">
        <f t="shared" si="24"/>
        <v>214311</v>
      </c>
      <c r="U55" s="523">
        <v>678.1666020847839</v>
      </c>
      <c r="V55" s="524">
        <f t="shared" si="25"/>
        <v>-15.045722963904836</v>
      </c>
      <c r="W55" s="525">
        <v>663.1208791208791</v>
      </c>
      <c r="X55" s="526">
        <f t="shared" si="26"/>
        <v>323</v>
      </c>
    </row>
    <row r="56" spans="1:24" ht="12.75">
      <c r="A56" s="255">
        <v>51</v>
      </c>
      <c r="B56" s="488" t="s">
        <v>165</v>
      </c>
      <c r="C56" s="489">
        <f>'[1]Table 3 Levels 1&amp;2'!AJ58</f>
        <v>38179164</v>
      </c>
      <c r="D56" s="256">
        <f>ROUND(C56/'[1]Table 3 Levels 1&amp;2'!D58,2)</f>
        <v>3959.26</v>
      </c>
      <c r="E56" s="490">
        <f t="shared" si="14"/>
        <v>46</v>
      </c>
      <c r="F56" s="491">
        <f>'[2]Table 3 Levels 1&amp;2'!$AI58</f>
        <v>37832236</v>
      </c>
      <c r="G56" s="491">
        <f>F56/'[1]Table 8 Membership'!T58</f>
        <v>3824.9151754119907</v>
      </c>
      <c r="H56" s="492">
        <f t="shared" si="15"/>
        <v>346928</v>
      </c>
      <c r="I56" s="493">
        <f t="shared" si="16"/>
        <v>346928</v>
      </c>
      <c r="J56" s="258">
        <f>ROUND(I56/+'[1]Table 3 Levels 1&amp;2'!D58,2)</f>
        <v>35.98</v>
      </c>
      <c r="K56" s="258">
        <f t="shared" si="17"/>
        <v>0</v>
      </c>
      <c r="L56" s="494">
        <f t="shared" si="18"/>
        <v>0</v>
      </c>
      <c r="M56" s="493">
        <f>IF(I56&lt;0,0,(ROUND(D56*'[1]Table 8 Membership'!W58,0)*-1))</f>
        <v>0</v>
      </c>
      <c r="N56" s="257">
        <f t="shared" si="19"/>
        <v>346928</v>
      </c>
      <c r="O56" s="495">
        <f t="shared" si="20"/>
        <v>1</v>
      </c>
      <c r="P56" s="496">
        <f t="shared" si="21"/>
        <v>173464</v>
      </c>
      <c r="Q56" s="497">
        <v>38321.6157102255</v>
      </c>
      <c r="R56" s="498">
        <f t="shared" si="22"/>
        <v>173464</v>
      </c>
      <c r="S56" s="499">
        <f t="shared" si="23"/>
        <v>1</v>
      </c>
      <c r="T56" s="500">
        <f t="shared" si="24"/>
        <v>149796</v>
      </c>
      <c r="U56" s="505">
        <v>894.1532846922706</v>
      </c>
      <c r="V56" s="506">
        <f t="shared" si="25"/>
        <v>-28.440276357509674</v>
      </c>
      <c r="W56" s="507">
        <v>865.713008334761</v>
      </c>
      <c r="X56" s="504">
        <f t="shared" si="26"/>
        <v>173</v>
      </c>
    </row>
    <row r="57" spans="1:24" ht="12.75">
      <c r="A57" s="255">
        <v>52</v>
      </c>
      <c r="B57" s="488" t="s">
        <v>166</v>
      </c>
      <c r="C57" s="489">
        <f>'[1]Table 3 Levels 1&amp;2'!AJ59</f>
        <v>142609989</v>
      </c>
      <c r="D57" s="256">
        <f>ROUND(C57/'[1]Table 3 Levels 1&amp;2'!D59,2)</f>
        <v>4165.01</v>
      </c>
      <c r="E57" s="490">
        <f t="shared" si="14"/>
        <v>39</v>
      </c>
      <c r="F57" s="491">
        <f>'[2]Table 3 Levels 1&amp;2'!$AI59</f>
        <v>151032678</v>
      </c>
      <c r="G57" s="491">
        <f>F57/'[1]Table 8 Membership'!T59</f>
        <v>4242.133471898435</v>
      </c>
      <c r="H57" s="492">
        <f t="shared" si="15"/>
        <v>-8422689</v>
      </c>
      <c r="I57" s="493">
        <f t="shared" si="16"/>
        <v>0</v>
      </c>
      <c r="J57" s="258">
        <f>ROUND(I57/+'[1]Table 3 Levels 1&amp;2'!D59,2)</f>
        <v>0</v>
      </c>
      <c r="K57" s="258">
        <f t="shared" si="17"/>
        <v>-8422689</v>
      </c>
      <c r="L57" s="494">
        <f t="shared" si="18"/>
        <v>1</v>
      </c>
      <c r="M57" s="493">
        <f>IF(I57&lt;0,0,(ROUND(D57*'[1]Table 8 Membership'!W59,0)*-1))</f>
        <v>0</v>
      </c>
      <c r="N57" s="257">
        <f t="shared" si="19"/>
        <v>0</v>
      </c>
      <c r="O57" s="495">
        <f t="shared" si="20"/>
        <v>0</v>
      </c>
      <c r="P57" s="496">
        <f t="shared" si="21"/>
        <v>0</v>
      </c>
      <c r="Q57" s="497">
        <v>43962.26719122532</v>
      </c>
      <c r="R57" s="498">
        <f t="shared" si="22"/>
        <v>0</v>
      </c>
      <c r="S57" s="499">
        <f t="shared" si="23"/>
        <v>0</v>
      </c>
      <c r="T57" s="500">
        <f t="shared" si="24"/>
        <v>0</v>
      </c>
      <c r="U57" s="505">
        <v>3016.3903213734247</v>
      </c>
      <c r="V57" s="506">
        <f t="shared" si="25"/>
        <v>16.816153721298633</v>
      </c>
      <c r="W57" s="507">
        <v>3033.2064750947234</v>
      </c>
      <c r="X57" s="500">
        <f t="shared" si="26"/>
        <v>0</v>
      </c>
    </row>
    <row r="58" spans="1:24" ht="12.75">
      <c r="A58" s="255">
        <v>53</v>
      </c>
      <c r="B58" s="488" t="s">
        <v>167</v>
      </c>
      <c r="C58" s="489">
        <f>'[1]Table 3 Levels 1&amp;2'!AJ60</f>
        <v>76884387</v>
      </c>
      <c r="D58" s="256">
        <f>ROUND(C58/'[1]Table 3 Levels 1&amp;2'!D60,2)</f>
        <v>4148.29</v>
      </c>
      <c r="E58" s="490">
        <f t="shared" si="14"/>
        <v>40</v>
      </c>
      <c r="F58" s="491">
        <f>'[2]Table 3 Levels 1&amp;2'!$AI60</f>
        <v>73266755</v>
      </c>
      <c r="G58" s="491">
        <f>F58/'[1]Table 8 Membership'!T60</f>
        <v>4005.3988082221736</v>
      </c>
      <c r="H58" s="492">
        <f t="shared" si="15"/>
        <v>3617632</v>
      </c>
      <c r="I58" s="493">
        <f t="shared" si="16"/>
        <v>3617632</v>
      </c>
      <c r="J58" s="258">
        <f>ROUND(I58/+'[1]Table 3 Levels 1&amp;2'!D60,2)</f>
        <v>195.19</v>
      </c>
      <c r="K58" s="258">
        <f t="shared" si="17"/>
        <v>0</v>
      </c>
      <c r="L58" s="494">
        <f t="shared" si="18"/>
        <v>0</v>
      </c>
      <c r="M58" s="493">
        <f>IF(I58&lt;0,0,(ROUND(D58*'[1]Table 8 Membership'!W60,0)*-1))</f>
        <v>-1003886</v>
      </c>
      <c r="N58" s="257">
        <f t="shared" si="19"/>
        <v>2613746</v>
      </c>
      <c r="O58" s="495">
        <f t="shared" si="20"/>
        <v>1</v>
      </c>
      <c r="P58" s="496">
        <f t="shared" si="21"/>
        <v>1306873</v>
      </c>
      <c r="Q58" s="497">
        <v>39768.622706184215</v>
      </c>
      <c r="R58" s="498">
        <f t="shared" si="22"/>
        <v>1306873</v>
      </c>
      <c r="S58" s="499">
        <f t="shared" si="23"/>
        <v>1</v>
      </c>
      <c r="T58" s="500">
        <f t="shared" si="24"/>
        <v>1128560</v>
      </c>
      <c r="U58" s="505">
        <v>1365.4487132492914</v>
      </c>
      <c r="V58" s="506">
        <f t="shared" si="25"/>
        <v>-32.52396197070334</v>
      </c>
      <c r="W58" s="507">
        <v>1332.924751278588</v>
      </c>
      <c r="X58" s="504">
        <f t="shared" si="26"/>
        <v>847</v>
      </c>
    </row>
    <row r="59" spans="1:24" ht="12.75">
      <c r="A59" s="255">
        <v>54</v>
      </c>
      <c r="B59" s="488" t="s">
        <v>168</v>
      </c>
      <c r="C59" s="489">
        <f>'[1]Table 3 Levels 1&amp;2'!AJ61</f>
        <v>3671455</v>
      </c>
      <c r="D59" s="256">
        <f>ROUND(C59/'[1]Table 3 Levels 1&amp;2'!D61,2)</f>
        <v>4641.54</v>
      </c>
      <c r="E59" s="490">
        <f t="shared" si="14"/>
        <v>22</v>
      </c>
      <c r="F59" s="491">
        <f>'[2]Table 3 Levels 1&amp;2'!$AI61</f>
        <v>3773705</v>
      </c>
      <c r="G59" s="491">
        <f>F59/'[1]Table 8 Membership'!T61</f>
        <v>4492.505952380952</v>
      </c>
      <c r="H59" s="492">
        <f t="shared" si="15"/>
        <v>-102250</v>
      </c>
      <c r="I59" s="493">
        <f t="shared" si="16"/>
        <v>0</v>
      </c>
      <c r="J59" s="258">
        <f>ROUND(I59/+'[1]Table 3 Levels 1&amp;2'!D61,2)</f>
        <v>0</v>
      </c>
      <c r="K59" s="258">
        <f t="shared" si="17"/>
        <v>-102250</v>
      </c>
      <c r="L59" s="494">
        <f t="shared" si="18"/>
        <v>1</v>
      </c>
      <c r="M59" s="493">
        <f>IF(I59&lt;0,0,(ROUND(D59*'[1]Table 8 Membership'!W61,0)*-1))</f>
        <v>0</v>
      </c>
      <c r="N59" s="257">
        <f t="shared" si="19"/>
        <v>0</v>
      </c>
      <c r="O59" s="495">
        <f t="shared" si="20"/>
        <v>0</v>
      </c>
      <c r="P59" s="496">
        <f t="shared" si="21"/>
        <v>0</v>
      </c>
      <c r="Q59" s="497">
        <v>31096.757421002232</v>
      </c>
      <c r="R59" s="498">
        <f t="shared" si="22"/>
        <v>0</v>
      </c>
      <c r="S59" s="499">
        <f t="shared" si="23"/>
        <v>0</v>
      </c>
      <c r="T59" s="500">
        <f t="shared" si="24"/>
        <v>0</v>
      </c>
      <c r="U59" s="505">
        <v>91.03250860082167</v>
      </c>
      <c r="V59" s="506">
        <f t="shared" si="25"/>
        <v>-10.032508600821672</v>
      </c>
      <c r="W59" s="507">
        <v>81</v>
      </c>
      <c r="X59" s="500">
        <f t="shared" si="26"/>
        <v>0</v>
      </c>
    </row>
    <row r="60" spans="1:24" ht="12.75">
      <c r="A60" s="265">
        <v>55</v>
      </c>
      <c r="B60" s="508" t="s">
        <v>169</v>
      </c>
      <c r="C60" s="509">
        <f>'[1]Table 3 Levels 1&amp;2'!AJ62</f>
        <v>70578073</v>
      </c>
      <c r="D60" s="266">
        <f>ROUND(C60/'[1]Table 3 Levels 1&amp;2'!D62,2)</f>
        <v>3749.76</v>
      </c>
      <c r="E60" s="510">
        <f t="shared" si="14"/>
        <v>50</v>
      </c>
      <c r="F60" s="511">
        <f>'[2]Table 3 Levels 1&amp;2'!$AI62</f>
        <v>69432875</v>
      </c>
      <c r="G60" s="512">
        <f>F60/'[1]Table 8 Membership'!T62</f>
        <v>3626.6845129276576</v>
      </c>
      <c r="H60" s="513">
        <f t="shared" si="15"/>
        <v>1145198</v>
      </c>
      <c r="I60" s="514">
        <f t="shared" si="16"/>
        <v>1145198</v>
      </c>
      <c r="J60" s="276">
        <f>ROUND(I60/+'[1]Table 3 Levels 1&amp;2'!D62,2)</f>
        <v>60.84</v>
      </c>
      <c r="K60" s="276">
        <f t="shared" si="17"/>
        <v>0</v>
      </c>
      <c r="L60" s="515">
        <f t="shared" si="18"/>
        <v>0</v>
      </c>
      <c r="M60" s="516">
        <f>IF(I60&lt;0,0,(ROUND(D60*'[1]Table 8 Membership'!W62,0)*-1))</f>
        <v>0</v>
      </c>
      <c r="N60" s="270">
        <f t="shared" si="19"/>
        <v>1145198</v>
      </c>
      <c r="O60" s="517">
        <f t="shared" si="20"/>
        <v>1</v>
      </c>
      <c r="P60" s="518">
        <f t="shared" si="21"/>
        <v>572599</v>
      </c>
      <c r="Q60" s="519">
        <v>35994.31356618064</v>
      </c>
      <c r="R60" s="520">
        <f t="shared" si="22"/>
        <v>572599</v>
      </c>
      <c r="S60" s="521">
        <f t="shared" si="23"/>
        <v>1</v>
      </c>
      <c r="T60" s="522">
        <f t="shared" si="24"/>
        <v>494472</v>
      </c>
      <c r="U60" s="523">
        <v>1648.8440384706169</v>
      </c>
      <c r="V60" s="524">
        <f t="shared" si="25"/>
        <v>32.72172402746105</v>
      </c>
      <c r="W60" s="525">
        <v>1681.565762498078</v>
      </c>
      <c r="X60" s="526">
        <f t="shared" si="26"/>
        <v>294</v>
      </c>
    </row>
    <row r="61" spans="1:24" ht="12.75">
      <c r="A61" s="255">
        <v>56</v>
      </c>
      <c r="B61" s="488" t="s">
        <v>170</v>
      </c>
      <c r="C61" s="489">
        <f>'[1]Table 3 Levels 1&amp;2'!AJ63</f>
        <v>11740725</v>
      </c>
      <c r="D61" s="256">
        <f>ROUND(C61/'[1]Table 3 Levels 1&amp;2'!D63,2)</f>
        <v>3862.08</v>
      </c>
      <c r="E61" s="490">
        <f t="shared" si="14"/>
        <v>49</v>
      </c>
      <c r="F61" s="491">
        <f>'[2]Table 3 Levels 1&amp;2'!$AI63</f>
        <v>12917527</v>
      </c>
      <c r="G61" s="491">
        <f>F61/'[1]Table 8 Membership'!T63</f>
        <v>3889.6498042758203</v>
      </c>
      <c r="H61" s="492">
        <f t="shared" si="15"/>
        <v>-1176802</v>
      </c>
      <c r="I61" s="493">
        <f t="shared" si="16"/>
        <v>0</v>
      </c>
      <c r="J61" s="258">
        <f>ROUND(I61/+'[1]Table 3 Levels 1&amp;2'!D63,2)</f>
        <v>0</v>
      </c>
      <c r="K61" s="258">
        <f t="shared" si="17"/>
        <v>-1176802</v>
      </c>
      <c r="L61" s="494">
        <f t="shared" si="18"/>
        <v>1</v>
      </c>
      <c r="M61" s="493">
        <f>IF(I61&lt;0,0,(ROUND(D61*'[1]Table 8 Membership'!W63,0)*-1))</f>
        <v>0</v>
      </c>
      <c r="N61" s="257">
        <f t="shared" si="19"/>
        <v>0</v>
      </c>
      <c r="O61" s="495">
        <f t="shared" si="20"/>
        <v>0</v>
      </c>
      <c r="P61" s="496">
        <f t="shared" si="21"/>
        <v>0</v>
      </c>
      <c r="Q61" s="497">
        <v>31625.41420647946</v>
      </c>
      <c r="R61" s="498">
        <f t="shared" si="22"/>
        <v>0</v>
      </c>
      <c r="S61" s="499">
        <f t="shared" si="23"/>
        <v>0</v>
      </c>
      <c r="T61" s="500">
        <f t="shared" si="24"/>
        <v>0</v>
      </c>
      <c r="U61" s="505">
        <v>252.5331327706668</v>
      </c>
      <c r="V61" s="506">
        <f t="shared" si="25"/>
        <v>-35.44884189091542</v>
      </c>
      <c r="W61" s="507">
        <v>217.0842908797514</v>
      </c>
      <c r="X61" s="500">
        <f t="shared" si="26"/>
        <v>0</v>
      </c>
    </row>
    <row r="62" spans="1:24" ht="12.75">
      <c r="A62" s="255">
        <v>57</v>
      </c>
      <c r="B62" s="488" t="s">
        <v>171</v>
      </c>
      <c r="C62" s="489">
        <f>'[1]Table 3 Levels 1&amp;2'!AJ64</f>
        <v>31365068</v>
      </c>
      <c r="D62" s="256">
        <f>ROUND(C62/'[1]Table 3 Levels 1&amp;2'!D64,2)</f>
        <v>3672.72</v>
      </c>
      <c r="E62" s="490">
        <f t="shared" si="14"/>
        <v>52</v>
      </c>
      <c r="F62" s="491">
        <f>'[2]Table 3 Levels 1&amp;2'!$AI64</f>
        <v>31107547</v>
      </c>
      <c r="G62" s="491">
        <f>F62/'[1]Table 8 Membership'!T64</f>
        <v>3580.1066866152605</v>
      </c>
      <c r="H62" s="492">
        <f t="shared" si="15"/>
        <v>257521</v>
      </c>
      <c r="I62" s="493">
        <f t="shared" si="16"/>
        <v>257521</v>
      </c>
      <c r="J62" s="258">
        <f>ROUND(I62/+'[1]Table 3 Levels 1&amp;2'!D64,2)</f>
        <v>30.15</v>
      </c>
      <c r="K62" s="258">
        <f t="shared" si="17"/>
        <v>0</v>
      </c>
      <c r="L62" s="494">
        <f t="shared" si="18"/>
        <v>0</v>
      </c>
      <c r="M62" s="493">
        <f>IF(I62&lt;0,0,(ROUND(D62*'[1]Table 8 Membership'!W64,0)*-1))</f>
        <v>0</v>
      </c>
      <c r="N62" s="257">
        <f t="shared" si="19"/>
        <v>257521</v>
      </c>
      <c r="O62" s="495">
        <f t="shared" si="20"/>
        <v>1</v>
      </c>
      <c r="P62" s="496">
        <f t="shared" si="21"/>
        <v>128761</v>
      </c>
      <c r="Q62" s="497">
        <v>37766.43058976324</v>
      </c>
      <c r="R62" s="498">
        <f t="shared" si="22"/>
        <v>128761</v>
      </c>
      <c r="S62" s="499">
        <f t="shared" si="23"/>
        <v>1</v>
      </c>
      <c r="T62" s="500">
        <f t="shared" si="24"/>
        <v>111193</v>
      </c>
      <c r="U62" s="505">
        <v>759.883414733415</v>
      </c>
      <c r="V62" s="506">
        <f t="shared" si="25"/>
        <v>8.045359259259158</v>
      </c>
      <c r="W62" s="507">
        <v>767.9287739926741</v>
      </c>
      <c r="X62" s="504">
        <f t="shared" si="26"/>
        <v>145</v>
      </c>
    </row>
    <row r="63" spans="1:24" ht="12.75">
      <c r="A63" s="255">
        <v>58</v>
      </c>
      <c r="B63" s="488" t="s">
        <v>172</v>
      </c>
      <c r="C63" s="489">
        <f>'[1]Table 3 Levels 1&amp;2'!AJ65</f>
        <v>42492594</v>
      </c>
      <c r="D63" s="256">
        <f>ROUND(C63/'[1]Table 3 Levels 1&amp;2'!D65,2)</f>
        <v>4602.75</v>
      </c>
      <c r="E63" s="490">
        <f t="shared" si="14"/>
        <v>24</v>
      </c>
      <c r="F63" s="491">
        <f>'[2]Table 3 Levels 1&amp;2'!$AI65</f>
        <v>43136582</v>
      </c>
      <c r="G63" s="491">
        <f>F63/'[1]Table 8 Membership'!T65</f>
        <v>4447.987420086616</v>
      </c>
      <c r="H63" s="492">
        <f t="shared" si="15"/>
        <v>-643988</v>
      </c>
      <c r="I63" s="493">
        <f t="shared" si="16"/>
        <v>0</v>
      </c>
      <c r="J63" s="258">
        <f>ROUND(I63/+'[1]Table 3 Levels 1&amp;2'!D65,2)</f>
        <v>0</v>
      </c>
      <c r="K63" s="258">
        <f t="shared" si="17"/>
        <v>-643988</v>
      </c>
      <c r="L63" s="494">
        <f t="shared" si="18"/>
        <v>1</v>
      </c>
      <c r="M63" s="493">
        <f>IF(I63&lt;0,0,(ROUND(D63*'[1]Table 8 Membership'!W65,0)*-1))</f>
        <v>0</v>
      </c>
      <c r="N63" s="257">
        <f t="shared" si="19"/>
        <v>0</v>
      </c>
      <c r="O63" s="495">
        <f t="shared" si="20"/>
        <v>0</v>
      </c>
      <c r="P63" s="496">
        <f t="shared" si="21"/>
        <v>0</v>
      </c>
      <c r="Q63" s="497">
        <v>35380.1868899081</v>
      </c>
      <c r="R63" s="498">
        <f t="shared" si="22"/>
        <v>0</v>
      </c>
      <c r="S63" s="499">
        <f t="shared" si="23"/>
        <v>0</v>
      </c>
      <c r="T63" s="500">
        <f t="shared" si="24"/>
        <v>0</v>
      </c>
      <c r="U63" s="505">
        <v>835.299492382726</v>
      </c>
      <c r="V63" s="506">
        <f t="shared" si="25"/>
        <v>2.7005076172739564</v>
      </c>
      <c r="W63" s="507">
        <v>838</v>
      </c>
      <c r="X63" s="500">
        <f t="shared" si="26"/>
        <v>0</v>
      </c>
    </row>
    <row r="64" spans="1:24" ht="12.75">
      <c r="A64" s="255">
        <v>59</v>
      </c>
      <c r="B64" s="488" t="s">
        <v>173</v>
      </c>
      <c r="C64" s="489">
        <f>'[1]Table 3 Levels 1&amp;2'!AJ66</f>
        <v>25437172</v>
      </c>
      <c r="D64" s="256">
        <f>ROUND(C64/'[1]Table 3 Levels 1&amp;2'!D66,2)</f>
        <v>5400.67</v>
      </c>
      <c r="E64" s="490">
        <f t="shared" si="14"/>
        <v>2</v>
      </c>
      <c r="F64" s="491">
        <f>'[2]Table 3 Levels 1&amp;2'!$AI66</f>
        <v>23933743</v>
      </c>
      <c r="G64" s="491">
        <f>F64/'[1]Table 8 Membership'!T66</f>
        <v>5249.7791182276815</v>
      </c>
      <c r="H64" s="492">
        <f t="shared" si="15"/>
        <v>1503429</v>
      </c>
      <c r="I64" s="493">
        <f t="shared" si="16"/>
        <v>1503429</v>
      </c>
      <c r="J64" s="258">
        <f>ROUND(I64/+'[1]Table 3 Levels 1&amp;2'!D66,2)</f>
        <v>319.2</v>
      </c>
      <c r="K64" s="258">
        <f t="shared" si="17"/>
        <v>0</v>
      </c>
      <c r="L64" s="494">
        <f t="shared" si="18"/>
        <v>0</v>
      </c>
      <c r="M64" s="493">
        <f>IF(I64&lt;0,0,(ROUND(D64*'[1]Table 8 Membership'!W66,0)*-1))</f>
        <v>-815501</v>
      </c>
      <c r="N64" s="257">
        <f t="shared" si="19"/>
        <v>687928</v>
      </c>
      <c r="O64" s="495">
        <f t="shared" si="20"/>
        <v>1</v>
      </c>
      <c r="P64" s="496">
        <f t="shared" si="21"/>
        <v>343964</v>
      </c>
      <c r="Q64" s="497">
        <v>36695.43264810317</v>
      </c>
      <c r="R64" s="498">
        <f t="shared" si="22"/>
        <v>343964</v>
      </c>
      <c r="S64" s="499">
        <f t="shared" si="23"/>
        <v>1</v>
      </c>
      <c r="T64" s="500">
        <f t="shared" si="24"/>
        <v>297033</v>
      </c>
      <c r="U64" s="505">
        <v>451.61657509157527</v>
      </c>
      <c r="V64" s="506">
        <f t="shared" si="25"/>
        <v>-16.47486037065272</v>
      </c>
      <c r="W64" s="507">
        <v>435.14171472092255</v>
      </c>
      <c r="X64" s="504">
        <f t="shared" si="26"/>
        <v>683</v>
      </c>
    </row>
    <row r="65" spans="1:24" ht="12.75">
      <c r="A65" s="265">
        <v>60</v>
      </c>
      <c r="B65" s="508" t="s">
        <v>174</v>
      </c>
      <c r="C65" s="509">
        <f>'[1]Table 3 Levels 1&amp;2'!AJ67</f>
        <v>31322110</v>
      </c>
      <c r="D65" s="266">
        <f>ROUND(C65/'[1]Table 3 Levels 1&amp;2'!D67,2)</f>
        <v>4433.42</v>
      </c>
      <c r="E65" s="510">
        <f t="shared" si="14"/>
        <v>29</v>
      </c>
      <c r="F65" s="511">
        <f>'[2]Table 3 Levels 1&amp;2'!$AI67</f>
        <v>30366737</v>
      </c>
      <c r="G65" s="512">
        <f>F65/'[1]Table 8 Membership'!T67</f>
        <v>4100.288549824467</v>
      </c>
      <c r="H65" s="513">
        <f t="shared" si="15"/>
        <v>955373</v>
      </c>
      <c r="I65" s="514">
        <f t="shared" si="16"/>
        <v>955373</v>
      </c>
      <c r="J65" s="276">
        <f>ROUND(I65/+'[1]Table 3 Levels 1&amp;2'!D67,2)</f>
        <v>135.23</v>
      </c>
      <c r="K65" s="276">
        <f t="shared" si="17"/>
        <v>0</v>
      </c>
      <c r="L65" s="515">
        <f t="shared" si="18"/>
        <v>0</v>
      </c>
      <c r="M65" s="516">
        <f>IF(I65&lt;0,0,(ROUND(D65*'[1]Table 8 Membership'!W67,0)*-1))</f>
        <v>0</v>
      </c>
      <c r="N65" s="270">
        <f t="shared" si="19"/>
        <v>955373</v>
      </c>
      <c r="O65" s="517">
        <f t="shared" si="20"/>
        <v>1</v>
      </c>
      <c r="P65" s="518">
        <f t="shared" si="21"/>
        <v>477687</v>
      </c>
      <c r="Q65" s="519">
        <v>41225.67836919592</v>
      </c>
      <c r="R65" s="520">
        <f t="shared" si="22"/>
        <v>477687</v>
      </c>
      <c r="S65" s="521">
        <f t="shared" si="23"/>
        <v>1</v>
      </c>
      <c r="T65" s="522">
        <f t="shared" si="24"/>
        <v>412510</v>
      </c>
      <c r="U65" s="523">
        <v>597.793258976182</v>
      </c>
      <c r="V65" s="524">
        <f t="shared" si="25"/>
        <v>-23.79325897618196</v>
      </c>
      <c r="W65" s="525">
        <v>574</v>
      </c>
      <c r="X65" s="526">
        <f t="shared" si="26"/>
        <v>719</v>
      </c>
    </row>
    <row r="66" spans="1:24" ht="12.75">
      <c r="A66" s="255">
        <v>61</v>
      </c>
      <c r="B66" s="488" t="s">
        <v>175</v>
      </c>
      <c r="C66" s="489">
        <f>'[1]Table 3 Levels 1&amp;2'!AJ68</f>
        <v>9594525</v>
      </c>
      <c r="D66" s="256">
        <f>ROUND(C66/'[1]Table 3 Levels 1&amp;2'!D68,2)</f>
        <v>2858.07</v>
      </c>
      <c r="E66" s="490">
        <f t="shared" si="14"/>
        <v>60</v>
      </c>
      <c r="F66" s="491">
        <f>'[2]Table 3 Levels 1&amp;2'!$AI68</f>
        <v>9395456</v>
      </c>
      <c r="G66" s="491">
        <f>F66/'[1]Table 8 Membership'!T68</f>
        <v>2798.765564492106</v>
      </c>
      <c r="H66" s="492">
        <f t="shared" si="15"/>
        <v>199069</v>
      </c>
      <c r="I66" s="493">
        <f t="shared" si="16"/>
        <v>199069</v>
      </c>
      <c r="J66" s="258">
        <f>ROUND(I66/+'[1]Table 3 Levels 1&amp;2'!D68,2)</f>
        <v>59.3</v>
      </c>
      <c r="K66" s="258">
        <f t="shared" si="17"/>
        <v>0</v>
      </c>
      <c r="L66" s="494">
        <f t="shared" si="18"/>
        <v>0</v>
      </c>
      <c r="M66" s="493">
        <f>IF(I66&lt;0,0,(ROUND(D66*'[1]Table 8 Membership'!W68,0)*-1))</f>
        <v>0</v>
      </c>
      <c r="N66" s="257">
        <f t="shared" si="19"/>
        <v>199069</v>
      </c>
      <c r="O66" s="495">
        <f t="shared" si="20"/>
        <v>1</v>
      </c>
      <c r="P66" s="496">
        <f t="shared" si="21"/>
        <v>99535</v>
      </c>
      <c r="Q66" s="497">
        <v>34947.973958333336</v>
      </c>
      <c r="R66" s="498">
        <f t="shared" si="22"/>
        <v>99535</v>
      </c>
      <c r="S66" s="499">
        <f t="shared" si="23"/>
        <v>1</v>
      </c>
      <c r="T66" s="500">
        <f t="shared" si="24"/>
        <v>85954</v>
      </c>
      <c r="U66" s="505">
        <v>315.01188118811876</v>
      </c>
      <c r="V66" s="506">
        <f t="shared" si="25"/>
        <v>-6.711822468212688</v>
      </c>
      <c r="W66" s="507">
        <v>308.3000587199061</v>
      </c>
      <c r="X66" s="504">
        <f t="shared" si="26"/>
        <v>279</v>
      </c>
    </row>
    <row r="67" spans="1:24" ht="12.75">
      <c r="A67" s="255">
        <v>62</v>
      </c>
      <c r="B67" s="488" t="s">
        <v>176</v>
      </c>
      <c r="C67" s="489">
        <f>'[1]Table 3 Levels 1&amp;2'!AJ69</f>
        <v>10531657</v>
      </c>
      <c r="D67" s="256">
        <f>ROUND(C67/'[1]Table 3 Levels 1&amp;2'!D69,2)</f>
        <v>4837.69</v>
      </c>
      <c r="E67" s="490">
        <f t="shared" si="14"/>
        <v>13</v>
      </c>
      <c r="F67" s="491">
        <f>'[2]Table 3 Levels 1&amp;2'!$AI69</f>
        <v>10371632</v>
      </c>
      <c r="G67" s="491">
        <f>F67/'[1]Table 8 Membership'!T69</f>
        <v>4438.011125374412</v>
      </c>
      <c r="H67" s="492">
        <f t="shared" si="15"/>
        <v>160025</v>
      </c>
      <c r="I67" s="493">
        <f t="shared" si="16"/>
        <v>160025</v>
      </c>
      <c r="J67" s="258">
        <f>ROUND(I67/+'[1]Table 3 Levels 1&amp;2'!D69,2)</f>
        <v>73.51</v>
      </c>
      <c r="K67" s="258">
        <f t="shared" si="17"/>
        <v>0</v>
      </c>
      <c r="L67" s="494">
        <f t="shared" si="18"/>
        <v>0</v>
      </c>
      <c r="M67" s="493">
        <f>IF(I67&lt;0,0,(ROUND(D67*'[1]Table 8 Membership'!W69,0)*-1))</f>
        <v>0</v>
      </c>
      <c r="N67" s="257">
        <f t="shared" si="19"/>
        <v>160025</v>
      </c>
      <c r="O67" s="495">
        <f t="shared" si="20"/>
        <v>1</v>
      </c>
      <c r="P67" s="496">
        <f t="shared" si="21"/>
        <v>80013</v>
      </c>
      <c r="Q67" s="497">
        <v>33247.760767006206</v>
      </c>
      <c r="R67" s="498">
        <f t="shared" si="22"/>
        <v>80013</v>
      </c>
      <c r="S67" s="499">
        <f t="shared" si="23"/>
        <v>1</v>
      </c>
      <c r="T67" s="500">
        <f t="shared" si="24"/>
        <v>69096</v>
      </c>
      <c r="U67" s="505">
        <v>207.54514467592594</v>
      </c>
      <c r="V67" s="506">
        <f t="shared" si="25"/>
        <v>-7.471958912037081</v>
      </c>
      <c r="W67" s="507">
        <v>200.07318576388886</v>
      </c>
      <c r="X67" s="504">
        <f t="shared" si="26"/>
        <v>345</v>
      </c>
    </row>
    <row r="68" spans="1:24" ht="12.75">
      <c r="A68" s="255">
        <v>63</v>
      </c>
      <c r="B68" s="488" t="s">
        <v>177</v>
      </c>
      <c r="C68" s="489">
        <f>'[1]Table 3 Levels 1&amp;2'!AJ70</f>
        <v>3917151</v>
      </c>
      <c r="D68" s="256">
        <f>ROUND(C68/'[1]Table 3 Levels 1&amp;2'!D70,2)</f>
        <v>1717.3</v>
      </c>
      <c r="E68" s="490">
        <f t="shared" si="14"/>
        <v>66</v>
      </c>
      <c r="F68" s="491">
        <f>'[2]Table 3 Levels 1&amp;2'!$AI70</f>
        <v>3548127</v>
      </c>
      <c r="G68" s="491">
        <f>F68/'[1]Table 8 Membership'!T70</f>
        <v>1563.7404142794182</v>
      </c>
      <c r="H68" s="492">
        <f t="shared" si="15"/>
        <v>369024</v>
      </c>
      <c r="I68" s="493">
        <f t="shared" si="16"/>
        <v>369024</v>
      </c>
      <c r="J68" s="258">
        <f>ROUND(I68/+'[1]Table 3 Levels 1&amp;2'!D70,2)</f>
        <v>161.78</v>
      </c>
      <c r="K68" s="258">
        <f t="shared" si="17"/>
        <v>0</v>
      </c>
      <c r="L68" s="494">
        <f t="shared" si="18"/>
        <v>0</v>
      </c>
      <c r="M68" s="493">
        <f>IF(I68&lt;0,0,(ROUND(D68*'[1]Table 8 Membership'!W70,0)*-1))</f>
        <v>-20608</v>
      </c>
      <c r="N68" s="257">
        <f t="shared" si="19"/>
        <v>348416</v>
      </c>
      <c r="O68" s="495">
        <f t="shared" si="20"/>
        <v>1</v>
      </c>
      <c r="P68" s="496">
        <f t="shared" si="21"/>
        <v>174208</v>
      </c>
      <c r="Q68" s="527">
        <v>43839.173765612024</v>
      </c>
      <c r="R68" s="498">
        <f t="shared" si="22"/>
        <v>0</v>
      </c>
      <c r="S68" s="499">
        <f t="shared" si="23"/>
        <v>0</v>
      </c>
      <c r="T68" s="500">
        <f t="shared" si="24"/>
        <v>0</v>
      </c>
      <c r="U68" s="505">
        <v>228.95206504281774</v>
      </c>
      <c r="V68" s="506">
        <f t="shared" si="25"/>
        <v>-0.9580602900462907</v>
      </c>
      <c r="W68" s="507">
        <v>227.99400475277145</v>
      </c>
      <c r="X68" s="500">
        <f t="shared" si="26"/>
        <v>0</v>
      </c>
    </row>
    <row r="69" spans="1:24" ht="12.75">
      <c r="A69" s="255">
        <v>64</v>
      </c>
      <c r="B69" s="488" t="s">
        <v>178</v>
      </c>
      <c r="C69" s="489">
        <f>'[1]Table 3 Levels 1&amp;2'!AJ71</f>
        <v>12518161</v>
      </c>
      <c r="D69" s="256">
        <f>ROUND(C69/'[1]Table 3 Levels 1&amp;2'!D71,2)</f>
        <v>4825.81</v>
      </c>
      <c r="E69" s="490">
        <f t="shared" si="14"/>
        <v>15</v>
      </c>
      <c r="F69" s="491">
        <f>'[2]Table 3 Levels 1&amp;2'!$AI71</f>
        <v>12464443</v>
      </c>
      <c r="G69" s="491">
        <f>F69/'[1]Table 8 Membership'!T71</f>
        <v>4635.345109706211</v>
      </c>
      <c r="H69" s="492">
        <f t="shared" si="15"/>
        <v>53718</v>
      </c>
      <c r="I69" s="493">
        <f t="shared" si="16"/>
        <v>53718</v>
      </c>
      <c r="J69" s="258">
        <f>ROUND(I69/+'[1]Table 3 Levels 1&amp;2'!D71,2)</f>
        <v>20.71</v>
      </c>
      <c r="K69" s="258">
        <f t="shared" si="17"/>
        <v>0</v>
      </c>
      <c r="L69" s="494">
        <f t="shared" si="18"/>
        <v>0</v>
      </c>
      <c r="M69" s="493">
        <f>IF(I69&lt;0,0,(ROUND(D69*'[1]Table 8 Membership'!W71,0)*-1))</f>
        <v>0</v>
      </c>
      <c r="N69" s="257">
        <f t="shared" si="19"/>
        <v>53718</v>
      </c>
      <c r="O69" s="495">
        <f t="shared" si="20"/>
        <v>1</v>
      </c>
      <c r="P69" s="496">
        <f t="shared" si="21"/>
        <v>26859</v>
      </c>
      <c r="Q69" s="497">
        <v>31834.19393275575</v>
      </c>
      <c r="R69" s="498">
        <f t="shared" si="22"/>
        <v>26859</v>
      </c>
      <c r="S69" s="499">
        <f t="shared" si="23"/>
        <v>1</v>
      </c>
      <c r="T69" s="500">
        <f t="shared" si="24"/>
        <v>23194</v>
      </c>
      <c r="U69" s="505">
        <v>232.81813186813187</v>
      </c>
      <c r="V69" s="506">
        <f t="shared" si="25"/>
        <v>-7.818131868131871</v>
      </c>
      <c r="W69" s="507">
        <v>225</v>
      </c>
      <c r="X69" s="504">
        <f t="shared" si="26"/>
        <v>103</v>
      </c>
    </row>
    <row r="70" spans="1:24" ht="12.75">
      <c r="A70" s="265">
        <v>65</v>
      </c>
      <c r="B70" s="508" t="s">
        <v>179</v>
      </c>
      <c r="C70" s="509">
        <f>'[1]Table 3 Levels 1&amp;2'!AJ72</f>
        <v>28482454</v>
      </c>
      <c r="D70" s="266">
        <f>ROUND(C70/'[1]Table 3 Levels 1&amp;2'!D72,2)</f>
        <v>3248.83</v>
      </c>
      <c r="E70" s="529">
        <f>RANK(D70,$D$6:$D$73)</f>
        <v>57</v>
      </c>
      <c r="F70" s="511">
        <f>'[2]Table 3 Levels 1&amp;2'!$AI72</f>
        <v>28618570</v>
      </c>
      <c r="G70" s="512">
        <f>F70/'[1]Table 8 Membership'!T72</f>
        <v>3163.6712359053727</v>
      </c>
      <c r="H70" s="513">
        <f t="shared" si="15"/>
        <v>-136116</v>
      </c>
      <c r="I70" s="514">
        <f>IF(H70&gt;0,H70,0)</f>
        <v>0</v>
      </c>
      <c r="J70" s="276">
        <f>ROUND(I70/+'[1]Table 3 Levels 1&amp;2'!D72,2)</f>
        <v>0</v>
      </c>
      <c r="K70" s="276">
        <f t="shared" si="17"/>
        <v>-136116</v>
      </c>
      <c r="L70" s="515">
        <f>IF(K70&lt;0,1,0)</f>
        <v>1</v>
      </c>
      <c r="M70" s="516">
        <f>IF(I70&lt;0,0,(ROUND(D70*'[1]Table 8 Membership'!W72,0)*-1))</f>
        <v>0</v>
      </c>
      <c r="N70" s="270">
        <f>IF(I70+M70&gt;0,I70+M70,0)</f>
        <v>0</v>
      </c>
      <c r="O70" s="517">
        <f>IF(N70&gt;0,1,0)</f>
        <v>0</v>
      </c>
      <c r="P70" s="518">
        <f t="shared" si="21"/>
        <v>0</v>
      </c>
      <c r="Q70" s="519">
        <v>40464.14470799226</v>
      </c>
      <c r="R70" s="520">
        <f>IF(Q70&lt;$R$4,IF(P70&gt;0,P70,0),0)</f>
        <v>0</v>
      </c>
      <c r="S70" s="521">
        <f>IF(R70&gt;0,1,0)</f>
        <v>0</v>
      </c>
      <c r="T70" s="522">
        <f t="shared" si="24"/>
        <v>0</v>
      </c>
      <c r="U70" s="523">
        <v>805.1825497951812</v>
      </c>
      <c r="V70" s="524">
        <f>W70-U70</f>
        <v>-49.18254979518122</v>
      </c>
      <c r="W70" s="525">
        <v>756</v>
      </c>
      <c r="X70" s="522">
        <f>ROUND(T70/W70,0)</f>
        <v>0</v>
      </c>
    </row>
    <row r="71" spans="1:24" ht="12.75">
      <c r="A71" s="530">
        <v>66</v>
      </c>
      <c r="B71" s="531" t="s">
        <v>180</v>
      </c>
      <c r="C71" s="532">
        <f>'[1]Table 3 Levels 1&amp;2'!AJ73</f>
        <v>13115847</v>
      </c>
      <c r="D71" s="260">
        <f>ROUND(C71/'[1]Table 3 Levels 1&amp;2'!D73,2)</f>
        <v>5265.29</v>
      </c>
      <c r="E71" s="533">
        <f>RANK(D71,$D$6:$D$73)</f>
        <v>3</v>
      </c>
      <c r="F71" s="534">
        <f>'[2]Table 3 Levels 1&amp;2'!$AI73</f>
        <v>13826863</v>
      </c>
      <c r="G71" s="491">
        <f>F71/'[1]Table 8 Membership'!T73</f>
        <v>4995.25397398844</v>
      </c>
      <c r="H71" s="535">
        <f t="shared" si="15"/>
        <v>-711016</v>
      </c>
      <c r="I71" s="536">
        <f>IF(H71&gt;0,H71,0)</f>
        <v>0</v>
      </c>
      <c r="J71" s="537">
        <f>ROUND(I71/+'[1]Table 3 Levels 1&amp;2'!D73,2)</f>
        <v>0</v>
      </c>
      <c r="K71" s="537">
        <f t="shared" si="17"/>
        <v>-711016</v>
      </c>
      <c r="L71" s="538">
        <f>IF(K71&lt;0,1,0)</f>
        <v>1</v>
      </c>
      <c r="M71" s="493">
        <f>IF(I71&lt;0,0,(ROUND(D71*'[1]Table 8 Membership'!W73,0)*-1))</f>
        <v>0</v>
      </c>
      <c r="N71" s="539">
        <f>IF(I71+M71&gt;0,I71+M71,0)</f>
        <v>0</v>
      </c>
      <c r="O71" s="540">
        <f>IF(N71&gt;0,1,0)</f>
        <v>0</v>
      </c>
      <c r="P71" s="541">
        <f t="shared" si="21"/>
        <v>0</v>
      </c>
      <c r="Q71" s="542">
        <v>36215.93661971831</v>
      </c>
      <c r="R71" s="543">
        <f>IF(Q71&lt;$R$4,IF(P71&gt;0,P71,0),0)</f>
        <v>0</v>
      </c>
      <c r="S71" s="544">
        <f>IF(R71&gt;0,1,0)</f>
        <v>0</v>
      </c>
      <c r="T71" s="545">
        <f t="shared" si="24"/>
        <v>0</v>
      </c>
      <c r="U71" s="501">
        <v>268.41146152104676</v>
      </c>
      <c r="V71" s="502">
        <f>W71-U71</f>
        <v>-60.81198480728435</v>
      </c>
      <c r="W71" s="503">
        <v>207.5994767137624</v>
      </c>
      <c r="X71" s="545">
        <f>ROUND(T71/W71,0)</f>
        <v>0</v>
      </c>
    </row>
    <row r="72" spans="1:24" ht="12.75" customHeight="1">
      <c r="A72" s="382">
        <v>67</v>
      </c>
      <c r="B72" s="410" t="s">
        <v>181</v>
      </c>
      <c r="C72" s="489">
        <f>'[1]Table 3 Levels 1&amp;2'!AJ74</f>
        <v>14241538</v>
      </c>
      <c r="D72" s="256">
        <f>ROUND(C72/'[1]Table 3 Levels 1&amp;2'!D74,2)</f>
        <v>4136.37</v>
      </c>
      <c r="E72" s="490">
        <f>RANK(D72,$D$6:$D$73)</f>
        <v>41</v>
      </c>
      <c r="F72" s="491">
        <f>'[2]Table 3 Levels 1&amp;2'!$AI74</f>
        <v>11695082</v>
      </c>
      <c r="G72" s="491">
        <f>F72/'[1]Table 8 Membership'!T74</f>
        <v>3654.713125</v>
      </c>
      <c r="H72" s="492">
        <f t="shared" si="15"/>
        <v>2546456</v>
      </c>
      <c r="I72" s="493">
        <f>IF(H72&gt;0,H72,0)</f>
        <v>2546456</v>
      </c>
      <c r="J72" s="258">
        <f>ROUND(I72/+'[1]Table 3 Levels 1&amp;2'!D74,2)</f>
        <v>739.6</v>
      </c>
      <c r="K72" s="258">
        <f t="shared" si="17"/>
        <v>0</v>
      </c>
      <c r="L72" s="494">
        <f>IF(K72&lt;0,1,0)</f>
        <v>0</v>
      </c>
      <c r="M72" s="493">
        <f>IF(I72&lt;0,0,(ROUND(D72*'[1]Table 8 Membership'!W74,0)*-1))</f>
        <v>-1005138</v>
      </c>
      <c r="N72" s="257">
        <f>IF(I72+M72&gt;0,I72+M72,0)</f>
        <v>1541318</v>
      </c>
      <c r="O72" s="495">
        <f>IF(N72&gt;0,1,0)</f>
        <v>1</v>
      </c>
      <c r="P72" s="496">
        <f t="shared" si="21"/>
        <v>770659</v>
      </c>
      <c r="Q72" s="497">
        <v>36587.381765740975</v>
      </c>
      <c r="R72" s="498">
        <f>IF(Q72&lt;$R$4,IF(P72&gt;0,P72,0),0)</f>
        <v>770659</v>
      </c>
      <c r="S72" s="499">
        <f>IF(R72&gt;0,1,0)</f>
        <v>1</v>
      </c>
      <c r="T72" s="500">
        <f t="shared" si="24"/>
        <v>665509</v>
      </c>
      <c r="U72" s="505">
        <v>244.4557660957661</v>
      </c>
      <c r="V72" s="506">
        <f>W72-U72</f>
        <v>21.28452694452696</v>
      </c>
      <c r="W72" s="507">
        <v>265.74029304029307</v>
      </c>
      <c r="X72" s="504">
        <f>ROUND(T72/W72,0)</f>
        <v>2504</v>
      </c>
    </row>
    <row r="73" spans="1:24" ht="12.75" customHeight="1">
      <c r="A73" s="546">
        <v>68</v>
      </c>
      <c r="B73" s="547" t="s">
        <v>182</v>
      </c>
      <c r="C73" s="509">
        <f>'[1]Table 3 Levels 1&amp;2'!AJ75</f>
        <v>10387195</v>
      </c>
      <c r="D73" s="266">
        <f>ROUND(C73/'[1]Table 3 Levels 1&amp;2'!D75,2)</f>
        <v>4760.4</v>
      </c>
      <c r="E73" s="529">
        <f>RANK(D73,$D$6:$D$73)</f>
        <v>18</v>
      </c>
      <c r="F73" s="511">
        <f>'[2]Table 3 Levels 1&amp;2'!$AI75</f>
        <v>9992546</v>
      </c>
      <c r="G73" s="512">
        <f>F73/'[1]Table 8 Membership'!T75</f>
        <v>4767.43606870229</v>
      </c>
      <c r="H73" s="513">
        <f t="shared" si="15"/>
        <v>394649</v>
      </c>
      <c r="I73" s="514">
        <f>IF(H73&gt;0,H73,0)</f>
        <v>394649</v>
      </c>
      <c r="J73" s="276">
        <f>ROUND(I73/+'[1]Table 3 Levels 1&amp;2'!D75,2)</f>
        <v>180.87</v>
      </c>
      <c r="K73" s="276">
        <f t="shared" si="17"/>
        <v>0</v>
      </c>
      <c r="L73" s="515">
        <f>IF(K73&lt;0,1,0)</f>
        <v>0</v>
      </c>
      <c r="M73" s="516">
        <f>IF(I73&lt;0,0,(ROUND(D73*'[1]Table 8 Membership'!W75,0)*-1))</f>
        <v>-409394</v>
      </c>
      <c r="N73" s="270">
        <f>IF(I73+M73&gt;0,I73+M73,0)</f>
        <v>0</v>
      </c>
      <c r="O73" s="517">
        <f>IF(N73&gt;0,1,0)</f>
        <v>0</v>
      </c>
      <c r="P73" s="518">
        <f t="shared" si="21"/>
        <v>0</v>
      </c>
      <c r="Q73" s="519">
        <v>35341.976744186046</v>
      </c>
      <c r="R73" s="520">
        <f>IF(Q73&lt;$R$4,IF(P73&gt;0,P73,0),0)</f>
        <v>0</v>
      </c>
      <c r="S73" s="521">
        <f>IF(R73&gt;0,1,0)</f>
        <v>0</v>
      </c>
      <c r="T73" s="522">
        <f t="shared" si="24"/>
        <v>0</v>
      </c>
      <c r="U73" s="523">
        <v>168.3353639131368</v>
      </c>
      <c r="V73" s="524">
        <f>W73-U73</f>
        <v>13.364636086863186</v>
      </c>
      <c r="W73" s="525">
        <v>181.7</v>
      </c>
      <c r="X73" s="522">
        <f>ROUND(T73/W73,0)</f>
        <v>0</v>
      </c>
    </row>
    <row r="74" spans="1:24" s="300" customFormat="1" ht="13.5" thickBot="1">
      <c r="A74" s="548"/>
      <c r="B74" s="549" t="s">
        <v>183</v>
      </c>
      <c r="C74" s="550">
        <f>SUM(C6:C73)</f>
        <v>2394503438</v>
      </c>
      <c r="D74" s="551">
        <f>ROUND(C74/'[1]Table 3 Levels 1&amp;2'!D76,2)</f>
        <v>3708.11</v>
      </c>
      <c r="E74" s="552"/>
      <c r="F74" s="553">
        <f>SUM(F6:F73)</f>
        <v>2504364798</v>
      </c>
      <c r="G74" s="554">
        <f>F74/'[1]Table 8 Membership'!T76</f>
        <v>3574.0337999546177</v>
      </c>
      <c r="H74" s="555">
        <f>SUM(H6:H73)</f>
        <v>-109861360</v>
      </c>
      <c r="I74" s="550">
        <f>SUM(I6:I73)</f>
        <v>77580868</v>
      </c>
      <c r="J74" s="556">
        <f>ROUND(I74/+'[1]Table 3 Levels 1&amp;2'!D76,2)</f>
        <v>120.14</v>
      </c>
      <c r="K74" s="556">
        <f aca="true" t="shared" si="27" ref="K74:P74">SUM(K6:K73)</f>
        <v>-187442228</v>
      </c>
      <c r="L74" s="557">
        <f t="shared" si="27"/>
        <v>23</v>
      </c>
      <c r="M74" s="550">
        <f t="shared" si="27"/>
        <v>-21776965</v>
      </c>
      <c r="N74" s="551">
        <f t="shared" si="27"/>
        <v>56421207</v>
      </c>
      <c r="O74" s="558">
        <f t="shared" si="27"/>
        <v>44</v>
      </c>
      <c r="P74" s="559">
        <f t="shared" si="27"/>
        <v>28210615</v>
      </c>
      <c r="Q74" s="560">
        <v>38645.22860163153</v>
      </c>
      <c r="R74" s="555">
        <f aca="true" t="shared" si="28" ref="R74:W74">SUM(R6:R73)</f>
        <v>27316691</v>
      </c>
      <c r="S74" s="561">
        <f t="shared" si="28"/>
        <v>41</v>
      </c>
      <c r="T74" s="562">
        <f t="shared" si="28"/>
        <v>23589544</v>
      </c>
      <c r="U74" s="563">
        <f t="shared" si="28"/>
        <v>58997.86475172913</v>
      </c>
      <c r="V74" s="557">
        <f t="shared" si="28"/>
        <v>-5042.809337677522</v>
      </c>
      <c r="W74" s="564">
        <f t="shared" si="28"/>
        <v>53955.05541405158</v>
      </c>
      <c r="X74" s="565">
        <f>AVERAGE(X6:X73)</f>
        <v>418.7647058823529</v>
      </c>
    </row>
    <row r="75" ht="13.5" thickTop="1"/>
  </sheetData>
  <sheetProtection/>
  <mergeCells count="16">
    <mergeCell ref="N3:N4"/>
    <mergeCell ref="B2:B4"/>
    <mergeCell ref="C2:H2"/>
    <mergeCell ref="D3:D4"/>
    <mergeCell ref="M3:M4"/>
    <mergeCell ref="I2:L2"/>
    <mergeCell ref="P3:P4"/>
    <mergeCell ref="U2:X2"/>
    <mergeCell ref="V3:V4"/>
    <mergeCell ref="F3:F4"/>
    <mergeCell ref="M2:T2"/>
    <mergeCell ref="X3:X4"/>
    <mergeCell ref="H3:H4"/>
    <mergeCell ref="W3:W4"/>
    <mergeCell ref="U3:U4"/>
    <mergeCell ref="T3:T4"/>
  </mergeCells>
  <printOptions horizontalCentered="1"/>
  <pageMargins left="0" right="0" top="0.93" bottom="0.27" header="0.25" footer="0.35"/>
  <pageSetup errors="NA" firstPageNumber="6" useFirstPageNumber="1" fitToWidth="4" horizontalDpi="600" verticalDpi="600" orientation="portrait" paperSize="5" scale="85" r:id="rId1"/>
  <headerFooter alignWithMargins="0">
    <oddHeader>&amp;L&amp;"Arial,Bold"&amp;20Table 3A: FY2006-2007 Budget Letter&amp;"Arial,Regular"&amp;10
&amp;16Certificated Pay Raise Requirement</oddHeader>
    <oddFooter>&amp;R&amp;9&amp;P</oddFooter>
  </headerFooter>
  <colBreaks count="1" manualBreakCount="1">
    <brk id="12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B79"/>
  <sheetViews>
    <sheetView zoomScale="85" zoomScaleNormal="85" zoomScalePageLayoutView="0" workbookViewId="0" topLeftCell="A2">
      <selection activeCell="B2" sqref="B2"/>
    </sheetView>
  </sheetViews>
  <sheetFormatPr defaultColWidth="12.57421875" defaultRowHeight="12.75"/>
  <cols>
    <col min="1" max="1" width="3.00390625" style="246" customWidth="1"/>
    <col min="2" max="2" width="17.7109375" style="246" customWidth="1"/>
    <col min="3" max="3" width="14.28125" style="246" customWidth="1"/>
    <col min="4" max="4" width="12.7109375" style="246" customWidth="1"/>
    <col min="5" max="5" width="12.28125" style="246" customWidth="1"/>
    <col min="6" max="6" width="14.7109375" style="246" customWidth="1"/>
    <col min="7" max="7" width="13.7109375" style="246" customWidth="1"/>
    <col min="8" max="11" width="12.7109375" style="246" customWidth="1"/>
    <col min="12" max="12" width="14.00390625" style="246" customWidth="1"/>
    <col min="13" max="15" width="12.7109375" style="246" customWidth="1"/>
    <col min="16" max="16" width="13.7109375" style="246" customWidth="1"/>
    <col min="17" max="18" width="15.28125" style="246" customWidth="1"/>
    <col min="19" max="19" width="10.7109375" style="246" customWidth="1"/>
    <col min="20" max="20" width="12.7109375" style="246" customWidth="1"/>
    <col min="21" max="21" width="13.28125" style="246" customWidth="1"/>
    <col min="22" max="22" width="13.7109375" style="246" customWidth="1"/>
    <col min="23" max="24" width="15.57421875" style="246" customWidth="1"/>
    <col min="25" max="25" width="14.7109375" style="246" customWidth="1"/>
    <col min="26" max="27" width="12.57421875" style="246" customWidth="1"/>
    <col min="28" max="28" width="14.28125" style="246" bestFit="1" customWidth="1"/>
    <col min="29" max="16384" width="12.57421875" style="246" customWidth="1"/>
  </cols>
  <sheetData>
    <row r="1" spans="1:28" ht="54.75" hidden="1" thickBot="1">
      <c r="A1" s="449"/>
      <c r="B1" s="566"/>
      <c r="C1" s="567" t="s">
        <v>386</v>
      </c>
      <c r="D1" s="568" t="s">
        <v>387</v>
      </c>
      <c r="E1" s="569" t="s">
        <v>388</v>
      </c>
      <c r="F1" s="567" t="s">
        <v>389</v>
      </c>
      <c r="G1" s="451" t="s">
        <v>390</v>
      </c>
      <c r="H1" s="451" t="s">
        <v>391</v>
      </c>
      <c r="I1" s="570" t="s">
        <v>392</v>
      </c>
      <c r="J1" s="570" t="s">
        <v>393</v>
      </c>
      <c r="K1" s="570"/>
      <c r="L1" s="570"/>
      <c r="M1" s="570"/>
      <c r="N1" s="570"/>
      <c r="O1" s="571" t="s">
        <v>394</v>
      </c>
      <c r="P1" s="567" t="s">
        <v>395</v>
      </c>
      <c r="Q1" s="572" t="s">
        <v>396</v>
      </c>
      <c r="R1" s="567" t="s">
        <v>397</v>
      </c>
      <c r="S1" s="567" t="s">
        <v>398</v>
      </c>
      <c r="T1" s="573" t="s">
        <v>399</v>
      </c>
      <c r="U1" s="567" t="s">
        <v>398</v>
      </c>
      <c r="V1" s="567" t="s">
        <v>400</v>
      </c>
      <c r="W1" s="365"/>
      <c r="X1" s="365"/>
      <c r="Y1" s="567" t="s">
        <v>401</v>
      </c>
      <c r="Z1" s="365"/>
      <c r="AA1" s="365"/>
      <c r="AB1" s="365"/>
    </row>
    <row r="2" spans="1:25" ht="50.25" customHeight="1">
      <c r="A2" s="574"/>
      <c r="B2" s="575"/>
      <c r="C2" s="1098" t="s">
        <v>402</v>
      </c>
      <c r="D2" s="1099"/>
      <c r="E2" s="1099"/>
      <c r="F2" s="1100"/>
      <c r="G2" s="1098" t="s">
        <v>403</v>
      </c>
      <c r="H2" s="1099"/>
      <c r="I2" s="1099"/>
      <c r="J2" s="1099"/>
      <c r="K2" s="1103" t="s">
        <v>404</v>
      </c>
      <c r="L2" s="1099"/>
      <c r="M2" s="1099"/>
      <c r="N2" s="1100"/>
      <c r="O2" s="1096" t="s">
        <v>51</v>
      </c>
      <c r="P2" s="1097"/>
      <c r="Q2" s="1114" t="s">
        <v>405</v>
      </c>
      <c r="R2" s="1115"/>
      <c r="S2" s="1116" t="s">
        <v>55</v>
      </c>
      <c r="T2" s="1096"/>
      <c r="U2" s="1096"/>
      <c r="V2" s="1117"/>
      <c r="W2" s="1109" t="s">
        <v>53</v>
      </c>
      <c r="X2" s="1110"/>
      <c r="Y2" s="576" t="s">
        <v>406</v>
      </c>
    </row>
    <row r="3" spans="1:25" ht="91.5" customHeight="1">
      <c r="A3" s="577"/>
      <c r="B3" s="578" t="s">
        <v>407</v>
      </c>
      <c r="C3" s="579" t="s">
        <v>425</v>
      </c>
      <c r="D3" s="580" t="s">
        <v>426</v>
      </c>
      <c r="E3" s="580" t="s">
        <v>427</v>
      </c>
      <c r="F3" s="581" t="s">
        <v>408</v>
      </c>
      <c r="G3" s="579" t="s">
        <v>428</v>
      </c>
      <c r="H3" s="580" t="s">
        <v>429</v>
      </c>
      <c r="I3" s="582" t="s">
        <v>409</v>
      </c>
      <c r="J3" s="583" t="s">
        <v>410</v>
      </c>
      <c r="K3" s="1104" t="s">
        <v>430</v>
      </c>
      <c r="L3" s="1107" t="s">
        <v>431</v>
      </c>
      <c r="M3" s="1101" t="s">
        <v>432</v>
      </c>
      <c r="N3" s="585" t="s">
        <v>411</v>
      </c>
      <c r="O3" s="586" t="s">
        <v>412</v>
      </c>
      <c r="P3" s="587" t="s">
        <v>413</v>
      </c>
      <c r="Q3" s="1123" t="s">
        <v>414</v>
      </c>
      <c r="R3" s="588" t="s">
        <v>415</v>
      </c>
      <c r="S3" s="1120" t="s">
        <v>416</v>
      </c>
      <c r="T3" s="1111" t="s">
        <v>417</v>
      </c>
      <c r="U3" s="1111" t="s">
        <v>418</v>
      </c>
      <c r="V3" s="1111" t="s">
        <v>419</v>
      </c>
      <c r="W3" s="1111" t="s">
        <v>420</v>
      </c>
      <c r="X3" s="589" t="s">
        <v>421</v>
      </c>
      <c r="Y3" s="590" t="s">
        <v>422</v>
      </c>
    </row>
    <row r="4" spans="1:25" ht="17.25" customHeight="1">
      <c r="A4" s="591"/>
      <c r="B4" s="592"/>
      <c r="C4" s="593"/>
      <c r="D4" s="594"/>
      <c r="E4" s="595"/>
      <c r="F4" s="585"/>
      <c r="G4" s="593"/>
      <c r="H4" s="596"/>
      <c r="I4" s="597"/>
      <c r="J4" s="598"/>
      <c r="K4" s="1105"/>
      <c r="L4" s="1108"/>
      <c r="M4" s="1102"/>
      <c r="N4" s="585"/>
      <c r="O4" s="600"/>
      <c r="P4" s="601"/>
      <c r="Q4" s="1124"/>
      <c r="R4" s="602"/>
      <c r="S4" s="1121"/>
      <c r="T4" s="1112"/>
      <c r="U4" s="1112"/>
      <c r="V4" s="1112"/>
      <c r="W4" s="1112"/>
      <c r="X4" s="603"/>
      <c r="Y4" s="604"/>
    </row>
    <row r="5" spans="1:25" ht="31.5" customHeight="1">
      <c r="A5" s="591"/>
      <c r="B5" s="592"/>
      <c r="C5" s="593"/>
      <c r="D5" s="594"/>
      <c r="E5" s="595"/>
      <c r="F5" s="585"/>
      <c r="G5" s="593"/>
      <c r="H5" s="596"/>
      <c r="I5" s="597"/>
      <c r="J5" s="598"/>
      <c r="K5" s="1105"/>
      <c r="L5" s="1108"/>
      <c r="M5" s="605"/>
      <c r="N5" s="585"/>
      <c r="O5" s="600"/>
      <c r="P5" s="601"/>
      <c r="Q5" s="1118" t="s">
        <v>423</v>
      </c>
      <c r="R5" s="606"/>
      <c r="S5" s="1121"/>
      <c r="T5" s="1112"/>
      <c r="U5" s="1112"/>
      <c r="V5" s="1112"/>
      <c r="W5" s="1112"/>
      <c r="X5" s="607"/>
      <c r="Y5" s="604"/>
    </row>
    <row r="6" spans="1:25" ht="27" customHeight="1">
      <c r="A6" s="608"/>
      <c r="B6" s="609"/>
      <c r="C6" s="610"/>
      <c r="D6" s="611"/>
      <c r="E6" s="612"/>
      <c r="F6" s="613"/>
      <c r="G6" s="614"/>
      <c r="H6" s="615"/>
      <c r="I6" s="615"/>
      <c r="J6" s="616"/>
      <c r="K6" s="1106"/>
      <c r="L6" s="617">
        <v>1500</v>
      </c>
      <c r="M6" s="618"/>
      <c r="N6" s="619">
        <v>500</v>
      </c>
      <c r="O6" s="620"/>
      <c r="P6" s="621">
        <v>20000</v>
      </c>
      <c r="Q6" s="1119"/>
      <c r="R6" s="622">
        <f>ROUND('[1]Table 3 Levels 1&amp;2'!AU76,0)</f>
        <v>2961</v>
      </c>
      <c r="S6" s="1122"/>
      <c r="T6" s="1113"/>
      <c r="U6" s="1113"/>
      <c r="V6" s="1113"/>
      <c r="W6" s="1113"/>
      <c r="X6" s="623">
        <v>80</v>
      </c>
      <c r="Y6" s="624"/>
    </row>
    <row r="7" spans="1:25" s="254" customFormat="1" ht="14.25" customHeight="1">
      <c r="A7" s="625"/>
      <c r="B7" s="626"/>
      <c r="C7" s="627">
        <v>1</v>
      </c>
      <c r="D7" s="628">
        <f aca="true" t="shared" si="0" ref="D7:Y7">C7+1</f>
        <v>2</v>
      </c>
      <c r="E7" s="628">
        <f t="shared" si="0"/>
        <v>3</v>
      </c>
      <c r="F7" s="628">
        <f t="shared" si="0"/>
        <v>4</v>
      </c>
      <c r="G7" s="628">
        <f t="shared" si="0"/>
        <v>5</v>
      </c>
      <c r="H7" s="628">
        <f t="shared" si="0"/>
        <v>6</v>
      </c>
      <c r="I7" s="628">
        <f t="shared" si="0"/>
        <v>7</v>
      </c>
      <c r="J7" s="629">
        <f t="shared" si="0"/>
        <v>8</v>
      </c>
      <c r="K7" s="630">
        <f t="shared" si="0"/>
        <v>9</v>
      </c>
      <c r="L7" s="628">
        <f t="shared" si="0"/>
        <v>10</v>
      </c>
      <c r="M7" s="628">
        <f t="shared" si="0"/>
        <v>11</v>
      </c>
      <c r="N7" s="631">
        <f t="shared" si="0"/>
        <v>12</v>
      </c>
      <c r="O7" s="632">
        <f t="shared" si="0"/>
        <v>13</v>
      </c>
      <c r="P7" s="628">
        <f t="shared" si="0"/>
        <v>14</v>
      </c>
      <c r="Q7" s="628">
        <f t="shared" si="0"/>
        <v>15</v>
      </c>
      <c r="R7" s="628">
        <f t="shared" si="0"/>
        <v>16</v>
      </c>
      <c r="S7" s="628">
        <f t="shared" si="0"/>
        <v>17</v>
      </c>
      <c r="T7" s="628">
        <f t="shared" si="0"/>
        <v>18</v>
      </c>
      <c r="U7" s="628">
        <f t="shared" si="0"/>
        <v>19</v>
      </c>
      <c r="V7" s="628">
        <f t="shared" si="0"/>
        <v>20</v>
      </c>
      <c r="W7" s="628">
        <f t="shared" si="0"/>
        <v>21</v>
      </c>
      <c r="X7" s="628">
        <f t="shared" si="0"/>
        <v>22</v>
      </c>
      <c r="Y7" s="628">
        <f t="shared" si="0"/>
        <v>23</v>
      </c>
    </row>
    <row r="8" spans="1:25" ht="12.75">
      <c r="A8" s="255">
        <v>1</v>
      </c>
      <c r="B8" s="488" t="s">
        <v>116</v>
      </c>
      <c r="C8" s="493">
        <v>1506290</v>
      </c>
      <c r="D8" s="633">
        <v>9582</v>
      </c>
      <c r="E8" s="257">
        <v>157</v>
      </c>
      <c r="F8" s="634">
        <f>ROUND(E8*'[1]Table 3 Levels 1&amp;2'!D8,0)</f>
        <v>1430741</v>
      </c>
      <c r="G8" s="635">
        <v>261464</v>
      </c>
      <c r="H8" s="636">
        <v>9496</v>
      </c>
      <c r="I8" s="637">
        <f aca="true" t="shared" si="1" ref="I8:I39">ROUND(G8/H8,2)</f>
        <v>27.53</v>
      </c>
      <c r="J8" s="638">
        <f>ROUND('[1]Table 3 Levels 1&amp;2'!D8*I8,0)</f>
        <v>250881</v>
      </c>
      <c r="K8" s="639">
        <v>763</v>
      </c>
      <c r="L8" s="256">
        <f aca="true" t="shared" si="2" ref="L8:L39">ROUND($L$6*K8*1.158,0)</f>
        <v>1325331</v>
      </c>
      <c r="M8" s="633">
        <v>626.9470138888889</v>
      </c>
      <c r="N8" s="492">
        <f aca="true" t="shared" si="3" ref="N8:N39">ROUND(M8*$N$6*1.177,0)</f>
        <v>368958</v>
      </c>
      <c r="O8" s="640">
        <v>0</v>
      </c>
      <c r="P8" s="492">
        <f aca="true" t="shared" si="4" ref="P8:P39">ROUND($P$6*O8,0)</f>
        <v>0</v>
      </c>
      <c r="Q8" s="641"/>
      <c r="R8" s="492">
        <f aca="true" t="shared" si="5" ref="R8:R39">ROUND(Q8*$R$6,0)</f>
        <v>0</v>
      </c>
      <c r="S8" s="642">
        <v>0</v>
      </c>
      <c r="T8" s="642">
        <f>ROUND(S8*'[1]Table 3 Levels 1&amp;2'!D8,0)</f>
        <v>0</v>
      </c>
      <c r="U8" s="642">
        <v>0</v>
      </c>
      <c r="V8" s="492">
        <f aca="true" t="shared" si="6" ref="V8:V39">IF(T8&gt;U8,U8,T8)</f>
        <v>0</v>
      </c>
      <c r="W8" s="643">
        <f>'[1]Table 3 Levels 1&amp;2'!D8</f>
        <v>9113</v>
      </c>
      <c r="X8" s="644">
        <f aca="true" t="shared" si="7" ref="X8:X39">ROUND(W8*$X$6,0)</f>
        <v>729040</v>
      </c>
      <c r="Y8" s="645">
        <f aca="true" t="shared" si="8" ref="Y8:Y39">X8+V8+P8+F8+J8+R8+L8+N8</f>
        <v>4104951</v>
      </c>
    </row>
    <row r="9" spans="1:25" ht="12.75">
      <c r="A9" s="255">
        <v>2</v>
      </c>
      <c r="B9" s="488" t="s">
        <v>117</v>
      </c>
      <c r="C9" s="493">
        <v>525475</v>
      </c>
      <c r="D9" s="633">
        <v>4149</v>
      </c>
      <c r="E9" s="257">
        <v>127</v>
      </c>
      <c r="F9" s="646">
        <f>ROUND(E9*'[1]Table 3 Levels 1&amp;2'!D9,0)</f>
        <v>528066</v>
      </c>
      <c r="G9" s="647">
        <v>116735</v>
      </c>
      <c r="H9" s="648">
        <v>4176</v>
      </c>
      <c r="I9" s="649">
        <f t="shared" si="1"/>
        <v>27.95</v>
      </c>
      <c r="J9" s="650">
        <f>ROUND('[1]Table 3 Levels 1&amp;2'!D9*I9,0)</f>
        <v>116216</v>
      </c>
      <c r="K9" s="639">
        <v>409</v>
      </c>
      <c r="L9" s="256">
        <f t="shared" si="2"/>
        <v>710433</v>
      </c>
      <c r="M9" s="633">
        <v>253</v>
      </c>
      <c r="N9" s="492">
        <f t="shared" si="3"/>
        <v>148891</v>
      </c>
      <c r="O9" s="640">
        <v>0</v>
      </c>
      <c r="P9" s="492">
        <f t="shared" si="4"/>
        <v>0</v>
      </c>
      <c r="Q9" s="641"/>
      <c r="R9" s="492">
        <f t="shared" si="5"/>
        <v>0</v>
      </c>
      <c r="S9" s="642">
        <v>0</v>
      </c>
      <c r="T9" s="642">
        <f>ROUND(S9*'[1]Table 3 Levels 1&amp;2'!D9,0)</f>
        <v>0</v>
      </c>
      <c r="U9" s="642">
        <v>0</v>
      </c>
      <c r="V9" s="492">
        <f t="shared" si="6"/>
        <v>0</v>
      </c>
      <c r="W9" s="643">
        <f>'[1]Table 3 Levels 1&amp;2'!D9</f>
        <v>4158</v>
      </c>
      <c r="X9" s="644">
        <f t="shared" si="7"/>
        <v>332640</v>
      </c>
      <c r="Y9" s="651">
        <f t="shared" si="8"/>
        <v>1836246</v>
      </c>
    </row>
    <row r="10" spans="1:25" ht="12.75">
      <c r="A10" s="255">
        <v>3</v>
      </c>
      <c r="B10" s="488" t="s">
        <v>118</v>
      </c>
      <c r="C10" s="493">
        <v>0</v>
      </c>
      <c r="D10" s="633">
        <v>14943</v>
      </c>
      <c r="E10" s="257">
        <v>0</v>
      </c>
      <c r="F10" s="646">
        <f>ROUND(E10*'[1]Table 3 Levels 1&amp;2'!D10,0)</f>
        <v>0</v>
      </c>
      <c r="G10" s="647">
        <v>411465</v>
      </c>
      <c r="H10" s="648">
        <v>15194</v>
      </c>
      <c r="I10" s="649">
        <f t="shared" si="1"/>
        <v>27.08</v>
      </c>
      <c r="J10" s="650">
        <f>ROUND('[1]Table 3 Levels 1&amp;2'!D10*I10,0)</f>
        <v>472573</v>
      </c>
      <c r="K10" s="639">
        <v>1408.989010989011</v>
      </c>
      <c r="L10" s="256">
        <f t="shared" si="2"/>
        <v>2447414</v>
      </c>
      <c r="M10" s="633">
        <v>829.3923076923077</v>
      </c>
      <c r="N10" s="492">
        <f t="shared" si="3"/>
        <v>488097</v>
      </c>
      <c r="O10" s="640">
        <v>0</v>
      </c>
      <c r="P10" s="492">
        <f t="shared" si="4"/>
        <v>0</v>
      </c>
      <c r="Q10" s="641"/>
      <c r="R10" s="492">
        <f t="shared" si="5"/>
        <v>0</v>
      </c>
      <c r="S10" s="642">
        <v>0</v>
      </c>
      <c r="T10" s="642">
        <f>ROUND(S10*'[1]Table 3 Levels 1&amp;2'!D10,0)</f>
        <v>0</v>
      </c>
      <c r="U10" s="642">
        <v>0</v>
      </c>
      <c r="V10" s="492">
        <f t="shared" si="6"/>
        <v>0</v>
      </c>
      <c r="W10" s="643">
        <f>'[1]Table 3 Levels 1&amp;2'!D10</f>
        <v>17451</v>
      </c>
      <c r="X10" s="644">
        <f t="shared" si="7"/>
        <v>1396080</v>
      </c>
      <c r="Y10" s="651">
        <f t="shared" si="8"/>
        <v>4804164</v>
      </c>
    </row>
    <row r="11" spans="1:25" ht="12.75">
      <c r="A11" s="255">
        <v>4</v>
      </c>
      <c r="B11" s="488" t="s">
        <v>119</v>
      </c>
      <c r="C11" s="493">
        <v>55335</v>
      </c>
      <c r="D11" s="633">
        <v>4408</v>
      </c>
      <c r="E11" s="257">
        <v>13</v>
      </c>
      <c r="F11" s="646">
        <f>ROUND(E11*'[1]Table 3 Levels 1&amp;2'!D11,0)</f>
        <v>53040</v>
      </c>
      <c r="G11" s="647">
        <v>160516</v>
      </c>
      <c r="H11" s="648">
        <v>4343</v>
      </c>
      <c r="I11" s="649">
        <f t="shared" si="1"/>
        <v>36.96</v>
      </c>
      <c r="J11" s="650">
        <f>ROUND('[1]Table 3 Levels 1&amp;2'!D11*I11,0)</f>
        <v>150797</v>
      </c>
      <c r="K11" s="639">
        <v>355.6112637362637</v>
      </c>
      <c r="L11" s="256">
        <f t="shared" si="2"/>
        <v>617697</v>
      </c>
      <c r="M11" s="633">
        <v>248.74428571428572</v>
      </c>
      <c r="N11" s="492">
        <f t="shared" si="3"/>
        <v>146386</v>
      </c>
      <c r="O11" s="640">
        <v>3</v>
      </c>
      <c r="P11" s="492">
        <f t="shared" si="4"/>
        <v>60000</v>
      </c>
      <c r="Q11" s="641"/>
      <c r="R11" s="492">
        <f t="shared" si="5"/>
        <v>0</v>
      </c>
      <c r="S11" s="642">
        <v>0</v>
      </c>
      <c r="T11" s="642">
        <f>ROUND(S11*'[1]Table 3 Levels 1&amp;2'!D11,0)</f>
        <v>0</v>
      </c>
      <c r="U11" s="642">
        <v>0</v>
      </c>
      <c r="V11" s="492">
        <f t="shared" si="6"/>
        <v>0</v>
      </c>
      <c r="W11" s="643">
        <f>'[1]Table 3 Levels 1&amp;2'!D11</f>
        <v>4080</v>
      </c>
      <c r="X11" s="644">
        <f t="shared" si="7"/>
        <v>326400</v>
      </c>
      <c r="Y11" s="651">
        <f t="shared" si="8"/>
        <v>1354320</v>
      </c>
    </row>
    <row r="12" spans="1:25" ht="12.75">
      <c r="A12" s="265">
        <v>5</v>
      </c>
      <c r="B12" s="508" t="s">
        <v>120</v>
      </c>
      <c r="C12" s="514">
        <v>791034</v>
      </c>
      <c r="D12" s="652">
        <v>6619</v>
      </c>
      <c r="E12" s="270">
        <v>120</v>
      </c>
      <c r="F12" s="653">
        <f>ROUND(E12*'[1]Table 3 Levels 1&amp;2'!D12,0)</f>
        <v>729600</v>
      </c>
      <c r="G12" s="654">
        <v>158974</v>
      </c>
      <c r="H12" s="655">
        <v>6551</v>
      </c>
      <c r="I12" s="656">
        <f t="shared" si="1"/>
        <v>24.27</v>
      </c>
      <c r="J12" s="657">
        <f>ROUND('[1]Table 3 Levels 1&amp;2'!D12*I12,0)</f>
        <v>147562</v>
      </c>
      <c r="K12" s="658">
        <v>423.9882075471698</v>
      </c>
      <c r="L12" s="266">
        <f t="shared" si="2"/>
        <v>736468</v>
      </c>
      <c r="M12" s="659">
        <v>292</v>
      </c>
      <c r="N12" s="513">
        <f t="shared" si="3"/>
        <v>171842</v>
      </c>
      <c r="O12" s="660">
        <v>0</v>
      </c>
      <c r="P12" s="513">
        <f t="shared" si="4"/>
        <v>0</v>
      </c>
      <c r="Q12" s="661"/>
      <c r="R12" s="513">
        <f t="shared" si="5"/>
        <v>0</v>
      </c>
      <c r="S12" s="662">
        <v>0</v>
      </c>
      <c r="T12" s="662">
        <f>ROUND(S12*'[1]Table 3 Levels 1&amp;2'!D12,0)</f>
        <v>0</v>
      </c>
      <c r="U12" s="662">
        <v>0</v>
      </c>
      <c r="V12" s="513">
        <f t="shared" si="6"/>
        <v>0</v>
      </c>
      <c r="W12" s="663">
        <f>'[1]Table 3 Levels 1&amp;2'!D12</f>
        <v>6080</v>
      </c>
      <c r="X12" s="664">
        <f t="shared" si="7"/>
        <v>486400</v>
      </c>
      <c r="Y12" s="665">
        <f t="shared" si="8"/>
        <v>2271872</v>
      </c>
    </row>
    <row r="13" spans="1:25" ht="12.75">
      <c r="A13" s="255">
        <v>6</v>
      </c>
      <c r="B13" s="488" t="s">
        <v>121</v>
      </c>
      <c r="C13" s="493">
        <v>145792</v>
      </c>
      <c r="D13" s="633">
        <v>6008</v>
      </c>
      <c r="E13" s="257">
        <v>24</v>
      </c>
      <c r="F13" s="646">
        <f>ROUND(E13*'[1]Table 3 Levels 1&amp;2'!D13,0)</f>
        <v>145464</v>
      </c>
      <c r="G13" s="647">
        <v>190953</v>
      </c>
      <c r="H13" s="648">
        <v>6059</v>
      </c>
      <c r="I13" s="649">
        <f t="shared" si="1"/>
        <v>31.52</v>
      </c>
      <c r="J13" s="650">
        <f>ROUND('[1]Table 3 Levels 1&amp;2'!D13*I13,0)</f>
        <v>191043</v>
      </c>
      <c r="K13" s="639">
        <v>498.1520512664041</v>
      </c>
      <c r="L13" s="256">
        <f t="shared" si="2"/>
        <v>865290</v>
      </c>
      <c r="M13" s="633">
        <v>362.12834810178407</v>
      </c>
      <c r="N13" s="492">
        <f t="shared" si="3"/>
        <v>213113</v>
      </c>
      <c r="O13" s="640">
        <v>0</v>
      </c>
      <c r="P13" s="492">
        <f t="shared" si="4"/>
        <v>0</v>
      </c>
      <c r="Q13" s="641"/>
      <c r="R13" s="492">
        <f t="shared" si="5"/>
        <v>0</v>
      </c>
      <c r="S13" s="642">
        <v>0</v>
      </c>
      <c r="T13" s="642">
        <f>ROUND(S13*'[1]Table 3 Levels 1&amp;2'!D13,0)</f>
        <v>0</v>
      </c>
      <c r="U13" s="642">
        <v>0</v>
      </c>
      <c r="V13" s="492">
        <f t="shared" si="6"/>
        <v>0</v>
      </c>
      <c r="W13" s="643">
        <f>'[1]Table 3 Levels 1&amp;2'!D13</f>
        <v>6061</v>
      </c>
      <c r="X13" s="644">
        <f t="shared" si="7"/>
        <v>484880</v>
      </c>
      <c r="Y13" s="651">
        <f t="shared" si="8"/>
        <v>1899790</v>
      </c>
    </row>
    <row r="14" spans="1:25" ht="12.75">
      <c r="A14" s="255">
        <v>7</v>
      </c>
      <c r="B14" s="488" t="s">
        <v>122</v>
      </c>
      <c r="C14" s="493">
        <v>36127</v>
      </c>
      <c r="D14" s="633">
        <v>2491</v>
      </c>
      <c r="E14" s="257">
        <v>15</v>
      </c>
      <c r="F14" s="646">
        <f>ROUND(E14*'[1]Table 3 Levels 1&amp;2'!D14,0)</f>
        <v>33900</v>
      </c>
      <c r="G14" s="647">
        <v>89153</v>
      </c>
      <c r="H14" s="648">
        <v>2452</v>
      </c>
      <c r="I14" s="649">
        <f t="shared" si="1"/>
        <v>36.36</v>
      </c>
      <c r="J14" s="650">
        <f>ROUND('[1]Table 3 Levels 1&amp;2'!D14*I14,0)</f>
        <v>82174</v>
      </c>
      <c r="K14" s="639">
        <v>220.5333333333333</v>
      </c>
      <c r="L14" s="256">
        <f t="shared" si="2"/>
        <v>383066</v>
      </c>
      <c r="M14" s="633">
        <v>167.70260383435382</v>
      </c>
      <c r="N14" s="492">
        <f t="shared" si="3"/>
        <v>98693</v>
      </c>
      <c r="O14" s="640">
        <v>0</v>
      </c>
      <c r="P14" s="492">
        <f t="shared" si="4"/>
        <v>0</v>
      </c>
      <c r="Q14" s="641"/>
      <c r="R14" s="492">
        <f t="shared" si="5"/>
        <v>0</v>
      </c>
      <c r="S14" s="642">
        <v>0</v>
      </c>
      <c r="T14" s="642">
        <f>ROUND(S14*'[1]Table 3 Levels 1&amp;2'!D14,0)</f>
        <v>0</v>
      </c>
      <c r="U14" s="642">
        <v>0</v>
      </c>
      <c r="V14" s="492">
        <f t="shared" si="6"/>
        <v>0</v>
      </c>
      <c r="W14" s="643">
        <f>'[1]Table 3 Levels 1&amp;2'!D14</f>
        <v>2260</v>
      </c>
      <c r="X14" s="644">
        <f t="shared" si="7"/>
        <v>180800</v>
      </c>
      <c r="Y14" s="651">
        <f t="shared" si="8"/>
        <v>778633</v>
      </c>
    </row>
    <row r="15" spans="1:25" ht="12.75">
      <c r="A15" s="255">
        <v>8</v>
      </c>
      <c r="B15" s="488" t="s">
        <v>123</v>
      </c>
      <c r="C15" s="493">
        <v>2667258</v>
      </c>
      <c r="D15" s="633">
        <v>18494</v>
      </c>
      <c r="E15" s="257">
        <v>144</v>
      </c>
      <c r="F15" s="646">
        <f>ROUND(E15*'[1]Table 3 Levels 1&amp;2'!D15,0)</f>
        <v>2725344</v>
      </c>
      <c r="G15" s="647">
        <v>470028</v>
      </c>
      <c r="H15" s="648">
        <v>18624</v>
      </c>
      <c r="I15" s="649">
        <f t="shared" si="1"/>
        <v>25.24</v>
      </c>
      <c r="J15" s="650">
        <f>ROUND('[1]Table 3 Levels 1&amp;2'!D15*I15,0)</f>
        <v>477692</v>
      </c>
      <c r="K15" s="639">
        <v>1510.5747190006427</v>
      </c>
      <c r="L15" s="256">
        <f t="shared" si="2"/>
        <v>2623868</v>
      </c>
      <c r="M15" s="633">
        <v>972.8835353535354</v>
      </c>
      <c r="N15" s="492">
        <f t="shared" si="3"/>
        <v>572542</v>
      </c>
      <c r="O15" s="640">
        <v>2</v>
      </c>
      <c r="P15" s="492">
        <f t="shared" si="4"/>
        <v>40000</v>
      </c>
      <c r="Q15" s="641"/>
      <c r="R15" s="492">
        <f t="shared" si="5"/>
        <v>0</v>
      </c>
      <c r="S15" s="642">
        <v>0</v>
      </c>
      <c r="T15" s="642">
        <f>ROUND(S15*'[1]Table 3 Levels 1&amp;2'!D15,0)</f>
        <v>0</v>
      </c>
      <c r="U15" s="642">
        <v>0</v>
      </c>
      <c r="V15" s="492">
        <f t="shared" si="6"/>
        <v>0</v>
      </c>
      <c r="W15" s="643">
        <f>'[1]Table 3 Levels 1&amp;2'!D15</f>
        <v>18926</v>
      </c>
      <c r="X15" s="644">
        <f t="shared" si="7"/>
        <v>1514080</v>
      </c>
      <c r="Y15" s="651">
        <f t="shared" si="8"/>
        <v>7953526</v>
      </c>
    </row>
    <row r="16" spans="1:25" ht="12.75">
      <c r="A16" s="255">
        <v>9</v>
      </c>
      <c r="B16" s="488" t="s">
        <v>124</v>
      </c>
      <c r="C16" s="493">
        <v>3878311</v>
      </c>
      <c r="D16" s="633">
        <v>43752</v>
      </c>
      <c r="E16" s="257">
        <v>89</v>
      </c>
      <c r="F16" s="646">
        <f>ROUND(E16*'[1]Table 3 Levels 1&amp;2'!D16,0)</f>
        <v>3750193</v>
      </c>
      <c r="G16" s="647">
        <v>1546614</v>
      </c>
      <c r="H16" s="648">
        <v>43557</v>
      </c>
      <c r="I16" s="649">
        <f t="shared" si="1"/>
        <v>35.51</v>
      </c>
      <c r="J16" s="650">
        <f>ROUND('[1]Table 3 Levels 1&amp;2'!D16*I16,0)</f>
        <v>1496285</v>
      </c>
      <c r="K16" s="639">
        <v>3643.3291666666664</v>
      </c>
      <c r="L16" s="256">
        <f t="shared" si="2"/>
        <v>6328463</v>
      </c>
      <c r="M16" s="633">
        <v>2928.80643647501</v>
      </c>
      <c r="N16" s="492">
        <f t="shared" si="3"/>
        <v>1723603</v>
      </c>
      <c r="O16" s="640">
        <v>9</v>
      </c>
      <c r="P16" s="492">
        <f t="shared" si="4"/>
        <v>180000</v>
      </c>
      <c r="Q16" s="641"/>
      <c r="R16" s="492">
        <f t="shared" si="5"/>
        <v>0</v>
      </c>
      <c r="S16" s="642">
        <v>0</v>
      </c>
      <c r="T16" s="642">
        <f>ROUND(S16*'[1]Table 3 Levels 1&amp;2'!D16,0)</f>
        <v>0</v>
      </c>
      <c r="U16" s="642">
        <v>0</v>
      </c>
      <c r="V16" s="492">
        <f t="shared" si="6"/>
        <v>0</v>
      </c>
      <c r="W16" s="643">
        <f>'[1]Table 3 Levels 1&amp;2'!D16</f>
        <v>42137</v>
      </c>
      <c r="X16" s="644">
        <f t="shared" si="7"/>
        <v>3370960</v>
      </c>
      <c r="Y16" s="651">
        <f t="shared" si="8"/>
        <v>16849504</v>
      </c>
    </row>
    <row r="17" spans="1:26" ht="12.75">
      <c r="A17" s="265">
        <v>10</v>
      </c>
      <c r="B17" s="508" t="s">
        <v>125</v>
      </c>
      <c r="C17" s="514">
        <v>1053189</v>
      </c>
      <c r="D17" s="652">
        <v>31472</v>
      </c>
      <c r="E17" s="270">
        <v>33</v>
      </c>
      <c r="F17" s="653">
        <f>ROUND(E17*'[1]Table 3 Levels 1&amp;2'!D17,0)</f>
        <v>1006203</v>
      </c>
      <c r="G17" s="654">
        <v>823246</v>
      </c>
      <c r="H17" s="655">
        <v>31548</v>
      </c>
      <c r="I17" s="656">
        <f t="shared" si="1"/>
        <v>26.1</v>
      </c>
      <c r="J17" s="657">
        <f>ROUND('[1]Table 3 Levels 1&amp;2'!D17*I17,0)</f>
        <v>795815</v>
      </c>
      <c r="K17" s="658">
        <v>2927.1455769812474</v>
      </c>
      <c r="L17" s="266">
        <f t="shared" si="2"/>
        <v>5084452</v>
      </c>
      <c r="M17" s="659">
        <v>1878.6575779999296</v>
      </c>
      <c r="N17" s="513">
        <f t="shared" si="3"/>
        <v>1105590</v>
      </c>
      <c r="O17" s="660">
        <v>18</v>
      </c>
      <c r="P17" s="513">
        <f t="shared" si="4"/>
        <v>360000</v>
      </c>
      <c r="Q17" s="661"/>
      <c r="R17" s="513">
        <f t="shared" si="5"/>
        <v>0</v>
      </c>
      <c r="S17" s="662">
        <v>0</v>
      </c>
      <c r="T17" s="662">
        <f>ROUND(S17*'[1]Table 3 Levels 1&amp;2'!D17,0)</f>
        <v>0</v>
      </c>
      <c r="U17" s="662">
        <v>0</v>
      </c>
      <c r="V17" s="513">
        <f t="shared" si="6"/>
        <v>0</v>
      </c>
      <c r="W17" s="663">
        <f>'[1]Table 3 Levels 1&amp;2'!D17</f>
        <v>30491</v>
      </c>
      <c r="X17" s="664">
        <f t="shared" si="7"/>
        <v>2439280</v>
      </c>
      <c r="Y17" s="665">
        <f t="shared" si="8"/>
        <v>10791340</v>
      </c>
      <c r="Z17"/>
    </row>
    <row r="18" spans="1:25" ht="12.75">
      <c r="A18" s="255">
        <v>11</v>
      </c>
      <c r="B18" s="488" t="s">
        <v>126</v>
      </c>
      <c r="C18" s="493">
        <v>93269</v>
      </c>
      <c r="D18" s="633">
        <v>1819</v>
      </c>
      <c r="E18" s="257">
        <v>51</v>
      </c>
      <c r="F18" s="646">
        <f>ROUND(E18*'[1]Table 3 Levels 1&amp;2'!D18,0)</f>
        <v>88230</v>
      </c>
      <c r="G18" s="647">
        <v>61994</v>
      </c>
      <c r="H18" s="648">
        <v>1800</v>
      </c>
      <c r="I18" s="649">
        <f t="shared" si="1"/>
        <v>34.44</v>
      </c>
      <c r="J18" s="650">
        <f>ROUND('[1]Table 3 Levels 1&amp;2'!D18*I18,0)</f>
        <v>59581</v>
      </c>
      <c r="K18" s="639">
        <v>154.3440925480769</v>
      </c>
      <c r="L18" s="256">
        <f t="shared" si="2"/>
        <v>268096</v>
      </c>
      <c r="M18" s="633">
        <v>130.578984375</v>
      </c>
      <c r="N18" s="492">
        <f t="shared" si="3"/>
        <v>76846</v>
      </c>
      <c r="O18" s="640">
        <v>0</v>
      </c>
      <c r="P18" s="492">
        <f t="shared" si="4"/>
        <v>0</v>
      </c>
      <c r="Q18" s="641"/>
      <c r="R18" s="492">
        <f t="shared" si="5"/>
        <v>0</v>
      </c>
      <c r="S18" s="642">
        <v>0</v>
      </c>
      <c r="T18" s="642">
        <f>ROUND(S18*'[1]Table 3 Levels 1&amp;2'!D18,0)</f>
        <v>0</v>
      </c>
      <c r="U18" s="642">
        <v>0</v>
      </c>
      <c r="V18" s="492">
        <f t="shared" si="6"/>
        <v>0</v>
      </c>
      <c r="W18" s="643">
        <f>'[1]Table 3 Levels 1&amp;2'!D18</f>
        <v>1730</v>
      </c>
      <c r="X18" s="644">
        <f t="shared" si="7"/>
        <v>138400</v>
      </c>
      <c r="Y18" s="651">
        <f t="shared" si="8"/>
        <v>631153</v>
      </c>
    </row>
    <row r="19" spans="1:25" ht="12.75">
      <c r="A19" s="255">
        <v>12</v>
      </c>
      <c r="B19" s="488" t="s">
        <v>127</v>
      </c>
      <c r="C19" s="493">
        <v>366504</v>
      </c>
      <c r="D19" s="633">
        <v>1885</v>
      </c>
      <c r="E19" s="257">
        <v>194</v>
      </c>
      <c r="F19" s="646">
        <f>ROUND(E19*'[1]Table 3 Levels 1&amp;2'!D19,0)</f>
        <v>318742</v>
      </c>
      <c r="G19" s="647">
        <v>62766</v>
      </c>
      <c r="H19" s="648">
        <v>1850</v>
      </c>
      <c r="I19" s="649">
        <f t="shared" si="1"/>
        <v>33.93</v>
      </c>
      <c r="J19" s="650">
        <f>ROUND('[1]Table 3 Levels 1&amp;2'!D19*I19,0)</f>
        <v>55747</v>
      </c>
      <c r="K19" s="639">
        <v>179.02345870898836</v>
      </c>
      <c r="L19" s="256">
        <f t="shared" si="2"/>
        <v>310964</v>
      </c>
      <c r="M19" s="633">
        <v>122.33165989683773</v>
      </c>
      <c r="N19" s="492">
        <f t="shared" si="3"/>
        <v>71992</v>
      </c>
      <c r="O19" s="640">
        <v>1</v>
      </c>
      <c r="P19" s="492">
        <f t="shared" si="4"/>
        <v>20000</v>
      </c>
      <c r="Q19" s="641"/>
      <c r="R19" s="492">
        <f t="shared" si="5"/>
        <v>0</v>
      </c>
      <c r="S19" s="642">
        <v>0</v>
      </c>
      <c r="T19" s="642">
        <f>ROUND(S19*'[1]Table 3 Levels 1&amp;2'!D19,0)</f>
        <v>0</v>
      </c>
      <c r="U19" s="642">
        <v>0</v>
      </c>
      <c r="V19" s="492">
        <f t="shared" si="6"/>
        <v>0</v>
      </c>
      <c r="W19" s="643">
        <f>'[1]Table 3 Levels 1&amp;2'!D19</f>
        <v>1643</v>
      </c>
      <c r="X19" s="644">
        <f t="shared" si="7"/>
        <v>131440</v>
      </c>
      <c r="Y19" s="651">
        <f t="shared" si="8"/>
        <v>908885</v>
      </c>
    </row>
    <row r="20" spans="1:25" ht="12.75">
      <c r="A20" s="255">
        <v>13</v>
      </c>
      <c r="B20" s="488" t="s">
        <v>128</v>
      </c>
      <c r="C20" s="493">
        <v>113817</v>
      </c>
      <c r="D20" s="633">
        <v>1813</v>
      </c>
      <c r="E20" s="257">
        <v>63</v>
      </c>
      <c r="F20" s="646">
        <f>ROUND(E20*'[1]Table 3 Levels 1&amp;2'!D20,0)</f>
        <v>110565</v>
      </c>
      <c r="G20" s="647">
        <v>73184</v>
      </c>
      <c r="H20" s="648">
        <v>1778</v>
      </c>
      <c r="I20" s="649">
        <f t="shared" si="1"/>
        <v>41.16</v>
      </c>
      <c r="J20" s="650">
        <f>ROUND('[1]Table 3 Levels 1&amp;2'!D20*I20,0)</f>
        <v>72236</v>
      </c>
      <c r="K20" s="639">
        <v>159.90283546248102</v>
      </c>
      <c r="L20" s="256">
        <f t="shared" si="2"/>
        <v>277751</v>
      </c>
      <c r="M20" s="633">
        <v>137.87510889356406</v>
      </c>
      <c r="N20" s="492">
        <f t="shared" si="3"/>
        <v>81140</v>
      </c>
      <c r="O20" s="640">
        <v>0</v>
      </c>
      <c r="P20" s="492">
        <f t="shared" si="4"/>
        <v>0</v>
      </c>
      <c r="Q20" s="641"/>
      <c r="R20" s="492">
        <f t="shared" si="5"/>
        <v>0</v>
      </c>
      <c r="S20" s="642">
        <v>0</v>
      </c>
      <c r="T20" s="642">
        <f>ROUND(S20*'[1]Table 3 Levels 1&amp;2'!D20,0)</f>
        <v>0</v>
      </c>
      <c r="U20" s="642">
        <v>0</v>
      </c>
      <c r="V20" s="492">
        <f t="shared" si="6"/>
        <v>0</v>
      </c>
      <c r="W20" s="643">
        <f>'[1]Table 3 Levels 1&amp;2'!D20</f>
        <v>1755</v>
      </c>
      <c r="X20" s="644">
        <f t="shared" si="7"/>
        <v>140400</v>
      </c>
      <c r="Y20" s="651">
        <f t="shared" si="8"/>
        <v>682092</v>
      </c>
    </row>
    <row r="21" spans="1:25" ht="12.75">
      <c r="A21" s="255">
        <v>14</v>
      </c>
      <c r="B21" s="488" t="s">
        <v>129</v>
      </c>
      <c r="C21" s="493">
        <v>297923</v>
      </c>
      <c r="D21" s="633">
        <v>2706</v>
      </c>
      <c r="E21" s="257">
        <v>110</v>
      </c>
      <c r="F21" s="646">
        <f>ROUND(E21*'[1]Table 3 Levels 1&amp;2'!D21,0)</f>
        <v>282260</v>
      </c>
      <c r="G21" s="647">
        <v>83860</v>
      </c>
      <c r="H21" s="648">
        <v>2678</v>
      </c>
      <c r="I21" s="649">
        <f t="shared" si="1"/>
        <v>31.31</v>
      </c>
      <c r="J21" s="650">
        <f>ROUND('[1]Table 3 Levels 1&amp;2'!D21*I21,0)</f>
        <v>80341</v>
      </c>
      <c r="K21" s="639">
        <v>260</v>
      </c>
      <c r="L21" s="256">
        <f t="shared" si="2"/>
        <v>451620</v>
      </c>
      <c r="M21" s="633">
        <v>202</v>
      </c>
      <c r="N21" s="492">
        <f t="shared" si="3"/>
        <v>118877</v>
      </c>
      <c r="O21" s="640">
        <v>0</v>
      </c>
      <c r="P21" s="492">
        <f t="shared" si="4"/>
        <v>0</v>
      </c>
      <c r="Q21" s="641"/>
      <c r="R21" s="492">
        <f t="shared" si="5"/>
        <v>0</v>
      </c>
      <c r="S21" s="642">
        <v>0</v>
      </c>
      <c r="T21" s="642">
        <f>ROUND(S21*'[1]Table 3 Levels 1&amp;2'!D21,0)</f>
        <v>0</v>
      </c>
      <c r="U21" s="642">
        <v>0</v>
      </c>
      <c r="V21" s="492">
        <f t="shared" si="6"/>
        <v>0</v>
      </c>
      <c r="W21" s="643">
        <f>'[1]Table 3 Levels 1&amp;2'!D21</f>
        <v>2566</v>
      </c>
      <c r="X21" s="644">
        <f t="shared" si="7"/>
        <v>205280</v>
      </c>
      <c r="Y21" s="651">
        <f t="shared" si="8"/>
        <v>1138378</v>
      </c>
    </row>
    <row r="22" spans="1:25" ht="12.75">
      <c r="A22" s="265">
        <v>15</v>
      </c>
      <c r="B22" s="508" t="s">
        <v>130</v>
      </c>
      <c r="C22" s="514">
        <v>0</v>
      </c>
      <c r="D22" s="652">
        <v>3767</v>
      </c>
      <c r="E22" s="270">
        <v>0</v>
      </c>
      <c r="F22" s="653">
        <f>ROUND(E22*'[1]Table 3 Levels 1&amp;2'!D22,0)</f>
        <v>0</v>
      </c>
      <c r="G22" s="654">
        <v>122467</v>
      </c>
      <c r="H22" s="655">
        <v>3725</v>
      </c>
      <c r="I22" s="656">
        <f t="shared" si="1"/>
        <v>32.88</v>
      </c>
      <c r="J22" s="657">
        <f>ROUND('[1]Table 3 Levels 1&amp;2'!D22*I22,0)</f>
        <v>129218</v>
      </c>
      <c r="K22" s="658">
        <v>336.41059420551426</v>
      </c>
      <c r="L22" s="266">
        <f t="shared" si="2"/>
        <v>584345</v>
      </c>
      <c r="M22" s="659">
        <v>290.71704980619364</v>
      </c>
      <c r="N22" s="513">
        <f t="shared" si="3"/>
        <v>171087</v>
      </c>
      <c r="O22" s="660">
        <v>3</v>
      </c>
      <c r="P22" s="513">
        <f t="shared" si="4"/>
        <v>60000</v>
      </c>
      <c r="Q22" s="661"/>
      <c r="R22" s="513">
        <f t="shared" si="5"/>
        <v>0</v>
      </c>
      <c r="S22" s="662">
        <v>61</v>
      </c>
      <c r="T22" s="662">
        <f>ROUND(S22*'[1]Table 3 Levels 1&amp;2'!D22,0)</f>
        <v>239730</v>
      </c>
      <c r="U22" s="662">
        <v>224419</v>
      </c>
      <c r="V22" s="513">
        <f t="shared" si="6"/>
        <v>224419</v>
      </c>
      <c r="W22" s="663">
        <f>'[1]Table 3 Levels 1&amp;2'!D22</f>
        <v>3930</v>
      </c>
      <c r="X22" s="664">
        <f t="shared" si="7"/>
        <v>314400</v>
      </c>
      <c r="Y22" s="665">
        <f t="shared" si="8"/>
        <v>1483469</v>
      </c>
    </row>
    <row r="23" spans="1:25" ht="12.75">
      <c r="A23" s="255">
        <v>16</v>
      </c>
      <c r="B23" s="488" t="s">
        <v>131</v>
      </c>
      <c r="C23" s="493">
        <v>0</v>
      </c>
      <c r="D23" s="633">
        <v>4816</v>
      </c>
      <c r="E23" s="257">
        <v>0</v>
      </c>
      <c r="F23" s="646">
        <f>ROUND(E23*'[1]Table 3 Levels 1&amp;2'!D23,0)</f>
        <v>0</v>
      </c>
      <c r="G23" s="647">
        <v>160516</v>
      </c>
      <c r="H23" s="648">
        <v>4837</v>
      </c>
      <c r="I23" s="649">
        <f t="shared" si="1"/>
        <v>33.19</v>
      </c>
      <c r="J23" s="650">
        <f>ROUND('[1]Table 3 Levels 1&amp;2'!D23*I23,0)</f>
        <v>157287</v>
      </c>
      <c r="K23" s="639">
        <v>427.50816326530617</v>
      </c>
      <c r="L23" s="256">
        <f t="shared" si="2"/>
        <v>742582</v>
      </c>
      <c r="M23" s="633">
        <v>358.4</v>
      </c>
      <c r="N23" s="492">
        <f t="shared" si="3"/>
        <v>210918</v>
      </c>
      <c r="O23" s="640">
        <v>4</v>
      </c>
      <c r="P23" s="492">
        <f t="shared" si="4"/>
        <v>80000</v>
      </c>
      <c r="Q23" s="641"/>
      <c r="R23" s="492">
        <f t="shared" si="5"/>
        <v>0</v>
      </c>
      <c r="S23" s="642">
        <v>0</v>
      </c>
      <c r="T23" s="642">
        <f>ROUND(S23*'[1]Table 3 Levels 1&amp;2'!D23,0)</f>
        <v>0</v>
      </c>
      <c r="U23" s="642">
        <v>0</v>
      </c>
      <c r="V23" s="492">
        <f t="shared" si="6"/>
        <v>0</v>
      </c>
      <c r="W23" s="643">
        <f>'[1]Table 3 Levels 1&amp;2'!D23</f>
        <v>4739</v>
      </c>
      <c r="X23" s="644">
        <f t="shared" si="7"/>
        <v>379120</v>
      </c>
      <c r="Y23" s="651">
        <f t="shared" si="8"/>
        <v>1569907</v>
      </c>
    </row>
    <row r="24" spans="1:25" ht="12.75">
      <c r="A24" s="255">
        <v>17</v>
      </c>
      <c r="B24" s="488" t="s">
        <v>132</v>
      </c>
      <c r="C24" s="493">
        <v>8916813</v>
      </c>
      <c r="D24" s="633">
        <v>51095</v>
      </c>
      <c r="E24" s="257">
        <v>175</v>
      </c>
      <c r="F24" s="646">
        <f>ROUND(E24*'[1]Table 3 Levels 1&amp;2'!D24,0)</f>
        <v>8130325</v>
      </c>
      <c r="G24" s="647">
        <v>1404528</v>
      </c>
      <c r="H24" s="648">
        <v>50958</v>
      </c>
      <c r="I24" s="649">
        <f t="shared" si="1"/>
        <v>27.56</v>
      </c>
      <c r="J24" s="650">
        <f>ROUND('[1]Table 3 Levels 1&amp;2'!D24*I24,0)</f>
        <v>1280410</v>
      </c>
      <c r="K24" s="639">
        <v>4036.0370633461484</v>
      </c>
      <c r="L24" s="256">
        <f t="shared" si="2"/>
        <v>7010596</v>
      </c>
      <c r="M24" s="633">
        <v>2217.523838375397</v>
      </c>
      <c r="N24" s="492">
        <f t="shared" si="3"/>
        <v>1305013</v>
      </c>
      <c r="O24" s="640">
        <v>11</v>
      </c>
      <c r="P24" s="492">
        <f t="shared" si="4"/>
        <v>220000</v>
      </c>
      <c r="Q24" s="641"/>
      <c r="R24" s="492">
        <f t="shared" si="5"/>
        <v>0</v>
      </c>
      <c r="S24" s="642">
        <v>567</v>
      </c>
      <c r="T24" s="642">
        <f>ROUND(S24*'[1]Table 3 Levels 1&amp;2'!D24,0)</f>
        <v>26342253</v>
      </c>
      <c r="U24" s="642">
        <v>25595514</v>
      </c>
      <c r="V24" s="492">
        <f t="shared" si="6"/>
        <v>25595514</v>
      </c>
      <c r="W24" s="643">
        <f>'[1]Table 3 Levels 1&amp;2'!D24</f>
        <v>46459</v>
      </c>
      <c r="X24" s="644">
        <f t="shared" si="7"/>
        <v>3716720</v>
      </c>
      <c r="Y24" s="651">
        <f t="shared" si="8"/>
        <v>47258578</v>
      </c>
    </row>
    <row r="25" spans="1:25" ht="12.75">
      <c r="A25" s="255">
        <v>18</v>
      </c>
      <c r="B25" s="488" t="s">
        <v>133</v>
      </c>
      <c r="C25" s="493">
        <v>130190</v>
      </c>
      <c r="D25" s="633">
        <v>1722</v>
      </c>
      <c r="E25" s="257">
        <v>76</v>
      </c>
      <c r="F25" s="646">
        <f>ROUND(E25*'[1]Table 3 Levels 1&amp;2'!D25,0)</f>
        <v>111644</v>
      </c>
      <c r="G25" s="647">
        <v>53761</v>
      </c>
      <c r="H25" s="648">
        <v>1709</v>
      </c>
      <c r="I25" s="649">
        <f t="shared" si="1"/>
        <v>31.46</v>
      </c>
      <c r="J25" s="650">
        <f>ROUND('[1]Table 3 Levels 1&amp;2'!D25*I25,0)</f>
        <v>46215</v>
      </c>
      <c r="K25" s="639">
        <v>147.0934065934066</v>
      </c>
      <c r="L25" s="256">
        <f t="shared" si="2"/>
        <v>255501</v>
      </c>
      <c r="M25" s="633">
        <v>135.6</v>
      </c>
      <c r="N25" s="492">
        <f t="shared" si="3"/>
        <v>79801</v>
      </c>
      <c r="O25" s="640">
        <v>2</v>
      </c>
      <c r="P25" s="492">
        <f t="shared" si="4"/>
        <v>40000</v>
      </c>
      <c r="Q25" s="641"/>
      <c r="R25" s="492">
        <f t="shared" si="5"/>
        <v>0</v>
      </c>
      <c r="S25" s="642">
        <v>0</v>
      </c>
      <c r="T25" s="642">
        <f>ROUND(S25*'[1]Table 3 Levels 1&amp;2'!D25,0)</f>
        <v>0</v>
      </c>
      <c r="U25" s="642">
        <v>0</v>
      </c>
      <c r="V25" s="492">
        <f t="shared" si="6"/>
        <v>0</v>
      </c>
      <c r="W25" s="643">
        <f>'[1]Table 3 Levels 1&amp;2'!D25</f>
        <v>1469</v>
      </c>
      <c r="X25" s="644">
        <f t="shared" si="7"/>
        <v>117520</v>
      </c>
      <c r="Y25" s="651">
        <f t="shared" si="8"/>
        <v>650681</v>
      </c>
    </row>
    <row r="26" spans="1:25" ht="12.75">
      <c r="A26" s="255">
        <v>19</v>
      </c>
      <c r="B26" s="488" t="s">
        <v>134</v>
      </c>
      <c r="C26" s="493">
        <v>399040</v>
      </c>
      <c r="D26" s="633">
        <v>2473</v>
      </c>
      <c r="E26" s="257">
        <v>161</v>
      </c>
      <c r="F26" s="646">
        <f>ROUND(E26*'[1]Table 3 Levels 1&amp;2'!D26,0)</f>
        <v>360318</v>
      </c>
      <c r="G26" s="647">
        <v>80773</v>
      </c>
      <c r="H26" s="648">
        <v>2434</v>
      </c>
      <c r="I26" s="649">
        <f t="shared" si="1"/>
        <v>33.19</v>
      </c>
      <c r="J26" s="650">
        <f>ROUND('[1]Table 3 Levels 1&amp;2'!D26*I26,0)</f>
        <v>74279</v>
      </c>
      <c r="K26" s="639">
        <v>212</v>
      </c>
      <c r="L26" s="256">
        <f t="shared" si="2"/>
        <v>368244</v>
      </c>
      <c r="M26" s="633">
        <v>157.94465430402926</v>
      </c>
      <c r="N26" s="492">
        <f t="shared" si="3"/>
        <v>92950</v>
      </c>
      <c r="O26" s="640">
        <v>0</v>
      </c>
      <c r="P26" s="492">
        <f t="shared" si="4"/>
        <v>0</v>
      </c>
      <c r="Q26" s="641"/>
      <c r="R26" s="492">
        <f t="shared" si="5"/>
        <v>0</v>
      </c>
      <c r="S26" s="642">
        <v>0</v>
      </c>
      <c r="T26" s="642">
        <f>ROUND(S26*'[1]Table 3 Levels 1&amp;2'!D26,0)</f>
        <v>0</v>
      </c>
      <c r="U26" s="642">
        <v>0</v>
      </c>
      <c r="V26" s="492">
        <f t="shared" si="6"/>
        <v>0</v>
      </c>
      <c r="W26" s="643">
        <f>'[1]Table 3 Levels 1&amp;2'!D26</f>
        <v>2238</v>
      </c>
      <c r="X26" s="644">
        <f t="shared" si="7"/>
        <v>179040</v>
      </c>
      <c r="Y26" s="651">
        <f t="shared" si="8"/>
        <v>1074831</v>
      </c>
    </row>
    <row r="27" spans="1:25" ht="12.75">
      <c r="A27" s="265">
        <v>20</v>
      </c>
      <c r="B27" s="508" t="s">
        <v>135</v>
      </c>
      <c r="C27" s="514">
        <v>0</v>
      </c>
      <c r="D27" s="652">
        <v>6232</v>
      </c>
      <c r="E27" s="270">
        <v>0</v>
      </c>
      <c r="F27" s="653">
        <f>ROUND(E27*'[1]Table 3 Levels 1&amp;2'!D27,0)</f>
        <v>0</v>
      </c>
      <c r="G27" s="654">
        <v>171621</v>
      </c>
      <c r="H27" s="655">
        <v>6185</v>
      </c>
      <c r="I27" s="656">
        <f t="shared" si="1"/>
        <v>27.75</v>
      </c>
      <c r="J27" s="657">
        <f>ROUND('[1]Table 3 Levels 1&amp;2'!D27*I27,0)</f>
        <v>162449</v>
      </c>
      <c r="K27" s="658">
        <v>532</v>
      </c>
      <c r="L27" s="266">
        <f t="shared" si="2"/>
        <v>924084</v>
      </c>
      <c r="M27" s="659">
        <v>359</v>
      </c>
      <c r="N27" s="513">
        <f t="shared" si="3"/>
        <v>211272</v>
      </c>
      <c r="O27" s="660">
        <v>0</v>
      </c>
      <c r="P27" s="513">
        <f t="shared" si="4"/>
        <v>0</v>
      </c>
      <c r="Q27" s="661"/>
      <c r="R27" s="513">
        <f t="shared" si="5"/>
        <v>0</v>
      </c>
      <c r="S27" s="662">
        <v>30</v>
      </c>
      <c r="T27" s="662">
        <f>ROUND(S27*'[1]Table 3 Levels 1&amp;2'!D27,0)</f>
        <v>175620</v>
      </c>
      <c r="U27" s="662">
        <v>177540</v>
      </c>
      <c r="V27" s="513">
        <f t="shared" si="6"/>
        <v>175620</v>
      </c>
      <c r="W27" s="663">
        <f>'[1]Table 3 Levels 1&amp;2'!D27</f>
        <v>5854</v>
      </c>
      <c r="X27" s="664">
        <f t="shared" si="7"/>
        <v>468320</v>
      </c>
      <c r="Y27" s="665">
        <f t="shared" si="8"/>
        <v>1941745</v>
      </c>
    </row>
    <row r="28" spans="1:25" ht="12.75">
      <c r="A28" s="255">
        <v>21</v>
      </c>
      <c r="B28" s="488" t="s">
        <v>136</v>
      </c>
      <c r="C28" s="493">
        <v>305731</v>
      </c>
      <c r="D28" s="633">
        <v>3716</v>
      </c>
      <c r="E28" s="257">
        <v>82</v>
      </c>
      <c r="F28" s="646">
        <f>ROUND(E28*'[1]Table 3 Levels 1&amp;2'!D28,0)</f>
        <v>259038</v>
      </c>
      <c r="G28" s="647">
        <v>97223</v>
      </c>
      <c r="H28" s="648">
        <v>3701</v>
      </c>
      <c r="I28" s="649">
        <f t="shared" si="1"/>
        <v>26.27</v>
      </c>
      <c r="J28" s="650">
        <f>ROUND('[1]Table 3 Levels 1&amp;2'!D28*I28,0)</f>
        <v>82987</v>
      </c>
      <c r="K28" s="639">
        <v>253.47470884131235</v>
      </c>
      <c r="L28" s="256">
        <f t="shared" si="2"/>
        <v>440286</v>
      </c>
      <c r="M28" s="633">
        <v>205.52526761819806</v>
      </c>
      <c r="N28" s="492">
        <f t="shared" si="3"/>
        <v>120952</v>
      </c>
      <c r="O28" s="640">
        <v>0</v>
      </c>
      <c r="P28" s="492">
        <f t="shared" si="4"/>
        <v>0</v>
      </c>
      <c r="Q28" s="641"/>
      <c r="R28" s="492">
        <f t="shared" si="5"/>
        <v>0</v>
      </c>
      <c r="S28" s="642">
        <v>0</v>
      </c>
      <c r="T28" s="642">
        <f>ROUND(S28*'[1]Table 3 Levels 1&amp;2'!D28,0)</f>
        <v>0</v>
      </c>
      <c r="U28" s="642">
        <v>0</v>
      </c>
      <c r="V28" s="492">
        <f t="shared" si="6"/>
        <v>0</v>
      </c>
      <c r="W28" s="643">
        <f>'[1]Table 3 Levels 1&amp;2'!D28</f>
        <v>3159</v>
      </c>
      <c r="X28" s="644">
        <f t="shared" si="7"/>
        <v>252720</v>
      </c>
      <c r="Y28" s="651">
        <f t="shared" si="8"/>
        <v>1155983</v>
      </c>
    </row>
    <row r="29" spans="1:25" ht="12.75">
      <c r="A29" s="255">
        <v>22</v>
      </c>
      <c r="B29" s="488" t="s">
        <v>137</v>
      </c>
      <c r="C29" s="493">
        <v>0</v>
      </c>
      <c r="D29" s="633">
        <v>3594</v>
      </c>
      <c r="E29" s="257">
        <v>0</v>
      </c>
      <c r="F29" s="646">
        <f>ROUND(E29*'[1]Table 3 Levels 1&amp;2'!D29,0)</f>
        <v>0</v>
      </c>
      <c r="G29" s="647">
        <v>108745</v>
      </c>
      <c r="H29" s="648">
        <v>3574</v>
      </c>
      <c r="I29" s="649">
        <f t="shared" si="1"/>
        <v>30.43</v>
      </c>
      <c r="J29" s="650">
        <f>ROUND('[1]Table 3 Levels 1&amp;2'!D29*I29,0)</f>
        <v>107874</v>
      </c>
      <c r="K29" s="639">
        <v>293.2939560439561</v>
      </c>
      <c r="L29" s="256">
        <f t="shared" si="2"/>
        <v>509452</v>
      </c>
      <c r="M29" s="633">
        <v>207.875</v>
      </c>
      <c r="N29" s="492">
        <f t="shared" si="3"/>
        <v>122334</v>
      </c>
      <c r="O29" s="640">
        <v>0</v>
      </c>
      <c r="P29" s="492">
        <f t="shared" si="4"/>
        <v>0</v>
      </c>
      <c r="Q29" s="641"/>
      <c r="R29" s="492">
        <f t="shared" si="5"/>
        <v>0</v>
      </c>
      <c r="S29" s="642">
        <v>0</v>
      </c>
      <c r="T29" s="642">
        <f>ROUND(S29*'[1]Table 3 Levels 1&amp;2'!D29,0)</f>
        <v>0</v>
      </c>
      <c r="U29" s="642">
        <v>0</v>
      </c>
      <c r="V29" s="492">
        <f t="shared" si="6"/>
        <v>0</v>
      </c>
      <c r="W29" s="643">
        <f>'[1]Table 3 Levels 1&amp;2'!D29</f>
        <v>3545</v>
      </c>
      <c r="X29" s="644">
        <f t="shared" si="7"/>
        <v>283600</v>
      </c>
      <c r="Y29" s="651">
        <f t="shared" si="8"/>
        <v>1023260</v>
      </c>
    </row>
    <row r="30" spans="1:25" ht="12.75">
      <c r="A30" s="255">
        <v>23</v>
      </c>
      <c r="B30" s="488" t="s">
        <v>138</v>
      </c>
      <c r="C30" s="493">
        <v>768993</v>
      </c>
      <c r="D30" s="633">
        <v>14342</v>
      </c>
      <c r="E30" s="257">
        <v>54</v>
      </c>
      <c r="F30" s="646">
        <f>ROUND(E30*'[1]Table 3 Levels 1&amp;2'!D30,0)</f>
        <v>736452</v>
      </c>
      <c r="G30" s="647">
        <v>359799</v>
      </c>
      <c r="H30" s="648">
        <v>14039</v>
      </c>
      <c r="I30" s="649">
        <f t="shared" si="1"/>
        <v>25.63</v>
      </c>
      <c r="J30" s="650">
        <f>ROUND('[1]Table 3 Levels 1&amp;2'!D30*I30,0)</f>
        <v>349542</v>
      </c>
      <c r="K30" s="639">
        <v>1220.1648351648348</v>
      </c>
      <c r="L30" s="256">
        <f t="shared" si="2"/>
        <v>2119426</v>
      </c>
      <c r="M30" s="633">
        <v>736.5937329996736</v>
      </c>
      <c r="N30" s="492">
        <f t="shared" si="3"/>
        <v>433485</v>
      </c>
      <c r="O30" s="640">
        <v>5</v>
      </c>
      <c r="P30" s="492">
        <f t="shared" si="4"/>
        <v>100000</v>
      </c>
      <c r="Q30" s="641"/>
      <c r="R30" s="492">
        <f t="shared" si="5"/>
        <v>0</v>
      </c>
      <c r="S30" s="642">
        <v>0</v>
      </c>
      <c r="T30" s="642">
        <f>ROUND(S30*'[1]Table 3 Levels 1&amp;2'!D30,0)</f>
        <v>0</v>
      </c>
      <c r="U30" s="642">
        <v>0</v>
      </c>
      <c r="V30" s="492">
        <f t="shared" si="6"/>
        <v>0</v>
      </c>
      <c r="W30" s="643">
        <f>'[1]Table 3 Levels 1&amp;2'!D30</f>
        <v>13638</v>
      </c>
      <c r="X30" s="644">
        <f t="shared" si="7"/>
        <v>1091040</v>
      </c>
      <c r="Y30" s="651">
        <f t="shared" si="8"/>
        <v>4829945</v>
      </c>
    </row>
    <row r="31" spans="1:25" ht="12.75">
      <c r="A31" s="255">
        <v>24</v>
      </c>
      <c r="B31" s="488" t="s">
        <v>139</v>
      </c>
      <c r="C31" s="493">
        <v>815110</v>
      </c>
      <c r="D31" s="633">
        <v>4769</v>
      </c>
      <c r="E31" s="257">
        <v>171</v>
      </c>
      <c r="F31" s="646">
        <f>ROUND(E31*'[1]Table 3 Levels 1&amp;2'!D31,0)</f>
        <v>706743</v>
      </c>
      <c r="G31" s="647">
        <v>134222</v>
      </c>
      <c r="H31" s="648">
        <v>4564</v>
      </c>
      <c r="I31" s="649">
        <f t="shared" si="1"/>
        <v>29.41</v>
      </c>
      <c r="J31" s="650">
        <f>ROUND('[1]Table 3 Levels 1&amp;2'!D31*I31,0)</f>
        <v>121552</v>
      </c>
      <c r="K31" s="639">
        <v>381.57142857142856</v>
      </c>
      <c r="L31" s="256">
        <f t="shared" si="2"/>
        <v>662790</v>
      </c>
      <c r="M31" s="633">
        <v>265.09615384615387</v>
      </c>
      <c r="N31" s="492">
        <f t="shared" si="3"/>
        <v>156009</v>
      </c>
      <c r="O31" s="640">
        <v>0</v>
      </c>
      <c r="P31" s="492">
        <f t="shared" si="4"/>
        <v>0</v>
      </c>
      <c r="Q31" s="641"/>
      <c r="R31" s="492">
        <f t="shared" si="5"/>
        <v>0</v>
      </c>
      <c r="S31" s="642">
        <v>586</v>
      </c>
      <c r="T31" s="642">
        <f>ROUND(S31*'[1]Table 3 Levels 1&amp;2'!D31,0)</f>
        <v>2421938</v>
      </c>
      <c r="U31" s="642">
        <v>2446550</v>
      </c>
      <c r="V31" s="492">
        <f t="shared" si="6"/>
        <v>2421938</v>
      </c>
      <c r="W31" s="643">
        <f>'[1]Table 3 Levels 1&amp;2'!D31</f>
        <v>4133</v>
      </c>
      <c r="X31" s="644">
        <f t="shared" si="7"/>
        <v>330640</v>
      </c>
      <c r="Y31" s="651">
        <f t="shared" si="8"/>
        <v>4399672</v>
      </c>
    </row>
    <row r="32" spans="1:25" ht="12.75">
      <c r="A32" s="265">
        <v>25</v>
      </c>
      <c r="B32" s="508" t="s">
        <v>140</v>
      </c>
      <c r="C32" s="514">
        <v>0</v>
      </c>
      <c r="D32" s="652">
        <v>2522</v>
      </c>
      <c r="E32" s="270">
        <v>0</v>
      </c>
      <c r="F32" s="653">
        <f>ROUND(E32*'[1]Table 3 Levels 1&amp;2'!D32,0)</f>
        <v>0</v>
      </c>
      <c r="G32" s="654">
        <v>75708</v>
      </c>
      <c r="H32" s="655">
        <v>2428</v>
      </c>
      <c r="I32" s="656">
        <f t="shared" si="1"/>
        <v>31.18</v>
      </c>
      <c r="J32" s="657">
        <f>ROUND('[1]Table 3 Levels 1&amp;2'!D32*I32,0)</f>
        <v>68159</v>
      </c>
      <c r="K32" s="658">
        <v>187.5339930555555</v>
      </c>
      <c r="L32" s="266">
        <f t="shared" si="2"/>
        <v>325747</v>
      </c>
      <c r="M32" s="659">
        <v>152.9704776785714</v>
      </c>
      <c r="N32" s="513">
        <f t="shared" si="3"/>
        <v>90023</v>
      </c>
      <c r="O32" s="660">
        <v>0</v>
      </c>
      <c r="P32" s="513">
        <f t="shared" si="4"/>
        <v>0</v>
      </c>
      <c r="Q32" s="661"/>
      <c r="R32" s="513">
        <f t="shared" si="5"/>
        <v>0</v>
      </c>
      <c r="S32" s="662">
        <v>0</v>
      </c>
      <c r="T32" s="662">
        <f>ROUND(S32*'[1]Table 3 Levels 1&amp;2'!D32,0)</f>
        <v>0</v>
      </c>
      <c r="U32" s="662">
        <v>0</v>
      </c>
      <c r="V32" s="513">
        <f t="shared" si="6"/>
        <v>0</v>
      </c>
      <c r="W32" s="663">
        <f>'[1]Table 3 Levels 1&amp;2'!D32</f>
        <v>2186</v>
      </c>
      <c r="X32" s="664">
        <f t="shared" si="7"/>
        <v>174880</v>
      </c>
      <c r="Y32" s="665">
        <f t="shared" si="8"/>
        <v>658809</v>
      </c>
    </row>
    <row r="33" spans="1:25" ht="12.75">
      <c r="A33" s="255">
        <v>26</v>
      </c>
      <c r="B33" s="488" t="s">
        <v>141</v>
      </c>
      <c r="C33" s="493">
        <v>7899973</v>
      </c>
      <c r="D33" s="633">
        <v>50077</v>
      </c>
      <c r="E33" s="257">
        <v>158</v>
      </c>
      <c r="F33" s="646">
        <f>ROUND(E33*'[1]Table 3 Levels 1&amp;2'!D33,0)</f>
        <v>7065286</v>
      </c>
      <c r="G33" s="647">
        <v>1468275</v>
      </c>
      <c r="H33" s="648">
        <v>49847</v>
      </c>
      <c r="I33" s="649">
        <f t="shared" si="1"/>
        <v>29.46</v>
      </c>
      <c r="J33" s="650">
        <f>ROUND('[1]Table 3 Levels 1&amp;2'!D33*I33,0)</f>
        <v>1317363</v>
      </c>
      <c r="K33" s="639">
        <v>3720.9887096526563</v>
      </c>
      <c r="L33" s="256">
        <f t="shared" si="2"/>
        <v>6463357</v>
      </c>
      <c r="M33" s="633">
        <v>2529.989207354797</v>
      </c>
      <c r="N33" s="492">
        <f t="shared" si="3"/>
        <v>1488899</v>
      </c>
      <c r="O33" s="640">
        <v>6</v>
      </c>
      <c r="P33" s="492">
        <f t="shared" si="4"/>
        <v>120000</v>
      </c>
      <c r="Q33" s="641"/>
      <c r="R33" s="492">
        <f t="shared" si="5"/>
        <v>0</v>
      </c>
      <c r="S33" s="642">
        <v>523</v>
      </c>
      <c r="T33" s="642">
        <f>ROUND(S33*'[1]Table 3 Levels 1&amp;2'!D33,0)</f>
        <v>23386991</v>
      </c>
      <c r="U33" s="642">
        <v>26013497</v>
      </c>
      <c r="V33" s="492">
        <f t="shared" si="6"/>
        <v>23386991</v>
      </c>
      <c r="W33" s="643">
        <f>'[1]Table 3 Levels 1&amp;2'!D33</f>
        <v>44717</v>
      </c>
      <c r="X33" s="644">
        <f t="shared" si="7"/>
        <v>3577360</v>
      </c>
      <c r="Y33" s="651">
        <f t="shared" si="8"/>
        <v>43419256</v>
      </c>
    </row>
    <row r="34" spans="1:25" ht="12.75">
      <c r="A34" s="255">
        <v>27</v>
      </c>
      <c r="B34" s="488" t="s">
        <v>142</v>
      </c>
      <c r="C34" s="493">
        <v>374353</v>
      </c>
      <c r="D34" s="633">
        <v>5737</v>
      </c>
      <c r="E34" s="257">
        <v>65</v>
      </c>
      <c r="F34" s="646">
        <f>ROUND(E34*'[1]Table 3 Levels 1&amp;2'!D34,0)</f>
        <v>367640</v>
      </c>
      <c r="G34" s="647">
        <v>159489</v>
      </c>
      <c r="H34" s="648">
        <v>5684</v>
      </c>
      <c r="I34" s="649">
        <f t="shared" si="1"/>
        <v>28.06</v>
      </c>
      <c r="J34" s="650">
        <f>ROUND('[1]Table 3 Levels 1&amp;2'!D34*I34,0)</f>
        <v>158707</v>
      </c>
      <c r="K34" s="639">
        <v>474.1875</v>
      </c>
      <c r="L34" s="256">
        <f t="shared" si="2"/>
        <v>823664</v>
      </c>
      <c r="M34" s="633">
        <v>361.5</v>
      </c>
      <c r="N34" s="492">
        <f t="shared" si="3"/>
        <v>212743</v>
      </c>
      <c r="O34" s="640">
        <v>4</v>
      </c>
      <c r="P34" s="492">
        <f t="shared" si="4"/>
        <v>80000</v>
      </c>
      <c r="Q34" s="641"/>
      <c r="R34" s="492">
        <f t="shared" si="5"/>
        <v>0</v>
      </c>
      <c r="S34" s="642">
        <v>0</v>
      </c>
      <c r="T34" s="642">
        <f>ROUND(S34*'[1]Table 3 Levels 1&amp;2'!D34,0)</f>
        <v>0</v>
      </c>
      <c r="U34" s="642">
        <v>0</v>
      </c>
      <c r="V34" s="492">
        <f t="shared" si="6"/>
        <v>0</v>
      </c>
      <c r="W34" s="643">
        <f>'[1]Table 3 Levels 1&amp;2'!D34</f>
        <v>5656</v>
      </c>
      <c r="X34" s="644">
        <f t="shared" si="7"/>
        <v>452480</v>
      </c>
      <c r="Y34" s="651">
        <f t="shared" si="8"/>
        <v>2095234</v>
      </c>
    </row>
    <row r="35" spans="1:25" ht="12.75">
      <c r="A35" s="255">
        <v>28</v>
      </c>
      <c r="B35" s="488" t="s">
        <v>143</v>
      </c>
      <c r="C35" s="493">
        <v>1939111</v>
      </c>
      <c r="D35" s="633">
        <v>29094</v>
      </c>
      <c r="E35" s="257">
        <v>67</v>
      </c>
      <c r="F35" s="646">
        <f>ROUND(E35*'[1]Table 3 Levels 1&amp;2'!D35,0)</f>
        <v>1963770</v>
      </c>
      <c r="G35" s="647">
        <v>638968</v>
      </c>
      <c r="H35" s="648">
        <v>28919</v>
      </c>
      <c r="I35" s="649">
        <f t="shared" si="1"/>
        <v>22.1</v>
      </c>
      <c r="J35" s="650">
        <f>ROUND('[1]Table 3 Levels 1&amp;2'!D35*I35,0)</f>
        <v>647751</v>
      </c>
      <c r="K35" s="639">
        <v>2604.326974540609</v>
      </c>
      <c r="L35" s="256">
        <f t="shared" si="2"/>
        <v>4523716</v>
      </c>
      <c r="M35" s="633">
        <v>1587</v>
      </c>
      <c r="N35" s="492">
        <f t="shared" si="3"/>
        <v>933950</v>
      </c>
      <c r="O35" s="640">
        <v>33</v>
      </c>
      <c r="P35" s="492">
        <f t="shared" si="4"/>
        <v>660000</v>
      </c>
      <c r="Q35" s="641"/>
      <c r="R35" s="492">
        <f t="shared" si="5"/>
        <v>0</v>
      </c>
      <c r="S35" s="642">
        <v>69</v>
      </c>
      <c r="T35" s="642">
        <f>ROUND(S35*'[1]Table 3 Levels 1&amp;2'!D35,0)</f>
        <v>2022390</v>
      </c>
      <c r="U35" s="642">
        <v>1996377</v>
      </c>
      <c r="V35" s="492">
        <f t="shared" si="6"/>
        <v>1996377</v>
      </c>
      <c r="W35" s="643">
        <f>'[1]Table 3 Levels 1&amp;2'!D35</f>
        <v>29310</v>
      </c>
      <c r="X35" s="644">
        <f t="shared" si="7"/>
        <v>2344800</v>
      </c>
      <c r="Y35" s="651">
        <f t="shared" si="8"/>
        <v>13070364</v>
      </c>
    </row>
    <row r="36" spans="1:25" ht="12.75">
      <c r="A36" s="255">
        <v>29</v>
      </c>
      <c r="B36" s="488" t="s">
        <v>144</v>
      </c>
      <c r="C36" s="493">
        <v>1104377</v>
      </c>
      <c r="D36" s="633">
        <v>15067</v>
      </c>
      <c r="E36" s="257">
        <v>73</v>
      </c>
      <c r="F36" s="646">
        <f>ROUND(E36*'[1]Table 3 Levels 1&amp;2'!D36,0)</f>
        <v>1044922</v>
      </c>
      <c r="G36" s="647">
        <v>402838</v>
      </c>
      <c r="H36" s="648">
        <v>15035</v>
      </c>
      <c r="I36" s="649">
        <f t="shared" si="1"/>
        <v>26.79</v>
      </c>
      <c r="J36" s="650">
        <f>ROUND('[1]Table 3 Levels 1&amp;2'!D36*I36,0)</f>
        <v>383472</v>
      </c>
      <c r="K36" s="639">
        <v>1352.3692649827337</v>
      </c>
      <c r="L36" s="256">
        <f t="shared" si="2"/>
        <v>2349065</v>
      </c>
      <c r="M36" s="633">
        <v>969.603295870796</v>
      </c>
      <c r="N36" s="492">
        <f t="shared" si="3"/>
        <v>570612</v>
      </c>
      <c r="O36" s="640">
        <v>40</v>
      </c>
      <c r="P36" s="492">
        <f t="shared" si="4"/>
        <v>800000</v>
      </c>
      <c r="Q36" s="641"/>
      <c r="R36" s="492">
        <f t="shared" si="5"/>
        <v>0</v>
      </c>
      <c r="S36" s="642">
        <v>0</v>
      </c>
      <c r="T36" s="642">
        <f>ROUND(S36*'[1]Table 3 Levels 1&amp;2'!D36,0)</f>
        <v>0</v>
      </c>
      <c r="U36" s="642">
        <v>0</v>
      </c>
      <c r="V36" s="492">
        <f t="shared" si="6"/>
        <v>0</v>
      </c>
      <c r="W36" s="643">
        <f>'[1]Table 3 Levels 1&amp;2'!D36</f>
        <v>14314</v>
      </c>
      <c r="X36" s="644">
        <f t="shared" si="7"/>
        <v>1145120</v>
      </c>
      <c r="Y36" s="651">
        <f t="shared" si="8"/>
        <v>6293191</v>
      </c>
    </row>
    <row r="37" spans="1:25" ht="12.75">
      <c r="A37" s="265">
        <v>30</v>
      </c>
      <c r="B37" s="508" t="s">
        <v>145</v>
      </c>
      <c r="C37" s="514">
        <v>157003</v>
      </c>
      <c r="D37" s="652">
        <v>2537</v>
      </c>
      <c r="E37" s="270">
        <v>62</v>
      </c>
      <c r="F37" s="653">
        <f>ROUND(E37*'[1]Table 3 Levels 1&amp;2'!D37,0)</f>
        <v>156054</v>
      </c>
      <c r="G37" s="654">
        <v>86518</v>
      </c>
      <c r="H37" s="655">
        <v>2547</v>
      </c>
      <c r="I37" s="656">
        <f t="shared" si="1"/>
        <v>33.97</v>
      </c>
      <c r="J37" s="657">
        <f>ROUND('[1]Table 3 Levels 1&amp;2'!D37*I37,0)</f>
        <v>85502</v>
      </c>
      <c r="K37" s="658">
        <v>215</v>
      </c>
      <c r="L37" s="266">
        <f t="shared" si="2"/>
        <v>373455</v>
      </c>
      <c r="M37" s="659">
        <v>177.25196850393698</v>
      </c>
      <c r="N37" s="513">
        <f t="shared" si="3"/>
        <v>104313</v>
      </c>
      <c r="O37" s="660">
        <v>0</v>
      </c>
      <c r="P37" s="513">
        <f t="shared" si="4"/>
        <v>0</v>
      </c>
      <c r="Q37" s="661"/>
      <c r="R37" s="513">
        <f t="shared" si="5"/>
        <v>0</v>
      </c>
      <c r="S37" s="662">
        <v>0</v>
      </c>
      <c r="T37" s="662">
        <f>ROUND(S37*'[1]Table 3 Levels 1&amp;2'!D37,0)</f>
        <v>0</v>
      </c>
      <c r="U37" s="662">
        <v>0</v>
      </c>
      <c r="V37" s="513">
        <f t="shared" si="6"/>
        <v>0</v>
      </c>
      <c r="W37" s="663">
        <f>'[1]Table 3 Levels 1&amp;2'!D37</f>
        <v>2517</v>
      </c>
      <c r="X37" s="664">
        <f t="shared" si="7"/>
        <v>201360</v>
      </c>
      <c r="Y37" s="665">
        <f t="shared" si="8"/>
        <v>920684</v>
      </c>
    </row>
    <row r="38" spans="1:25" ht="12.75">
      <c r="A38" s="255">
        <v>31</v>
      </c>
      <c r="B38" s="488" t="s">
        <v>146</v>
      </c>
      <c r="C38" s="493">
        <v>0</v>
      </c>
      <c r="D38" s="633">
        <v>6596</v>
      </c>
      <c r="E38" s="257">
        <v>0</v>
      </c>
      <c r="F38" s="646">
        <f>ROUND(E38*'[1]Table 3 Levels 1&amp;2'!D38,0)</f>
        <v>0</v>
      </c>
      <c r="G38" s="647">
        <v>145597</v>
      </c>
      <c r="H38" s="648">
        <v>6540</v>
      </c>
      <c r="I38" s="649">
        <f t="shared" si="1"/>
        <v>22.26</v>
      </c>
      <c r="J38" s="650">
        <f>ROUND('[1]Table 3 Levels 1&amp;2'!D38*I38,0)</f>
        <v>147116</v>
      </c>
      <c r="K38" s="639">
        <v>568.126446886447</v>
      </c>
      <c r="L38" s="256">
        <f t="shared" si="2"/>
        <v>986836</v>
      </c>
      <c r="M38" s="633">
        <v>325.97032967032965</v>
      </c>
      <c r="N38" s="492">
        <f t="shared" si="3"/>
        <v>191834</v>
      </c>
      <c r="O38" s="640">
        <v>0</v>
      </c>
      <c r="P38" s="492">
        <f t="shared" si="4"/>
        <v>0</v>
      </c>
      <c r="Q38" s="641"/>
      <c r="R38" s="492">
        <f t="shared" si="5"/>
        <v>0</v>
      </c>
      <c r="S38" s="642">
        <v>0</v>
      </c>
      <c r="T38" s="642">
        <f>ROUND(S38*'[1]Table 3 Levels 1&amp;2'!D38,0)</f>
        <v>0</v>
      </c>
      <c r="U38" s="642">
        <v>0</v>
      </c>
      <c r="V38" s="492">
        <f t="shared" si="6"/>
        <v>0</v>
      </c>
      <c r="W38" s="643">
        <f>'[1]Table 3 Levels 1&amp;2'!D38</f>
        <v>6609</v>
      </c>
      <c r="X38" s="644">
        <f t="shared" si="7"/>
        <v>528720</v>
      </c>
      <c r="Y38" s="651">
        <f t="shared" si="8"/>
        <v>1854506</v>
      </c>
    </row>
    <row r="39" spans="1:25" ht="12.75">
      <c r="A39" s="255">
        <v>32</v>
      </c>
      <c r="B39" s="488" t="s">
        <v>147</v>
      </c>
      <c r="C39" s="493">
        <v>0</v>
      </c>
      <c r="D39" s="633">
        <v>19916</v>
      </c>
      <c r="E39" s="257">
        <v>0</v>
      </c>
      <c r="F39" s="646">
        <f>ROUND(E39*'[1]Table 3 Levels 1&amp;2'!D39,0)</f>
        <v>0</v>
      </c>
      <c r="G39" s="647">
        <v>448240</v>
      </c>
      <c r="H39" s="648">
        <v>20415</v>
      </c>
      <c r="I39" s="649">
        <f t="shared" si="1"/>
        <v>21.96</v>
      </c>
      <c r="J39" s="650">
        <f>ROUND('[1]Table 3 Levels 1&amp;2'!D39*I39,0)</f>
        <v>487951</v>
      </c>
      <c r="K39" s="639">
        <v>1730.5219780219782</v>
      </c>
      <c r="L39" s="256">
        <f t="shared" si="2"/>
        <v>3005917</v>
      </c>
      <c r="M39" s="633">
        <v>1127.1434810052606</v>
      </c>
      <c r="N39" s="492">
        <f t="shared" si="3"/>
        <v>663324</v>
      </c>
      <c r="O39" s="640">
        <v>5</v>
      </c>
      <c r="P39" s="492">
        <f t="shared" si="4"/>
        <v>100000</v>
      </c>
      <c r="Q39" s="641"/>
      <c r="R39" s="492">
        <f t="shared" si="5"/>
        <v>0</v>
      </c>
      <c r="S39" s="642">
        <v>0</v>
      </c>
      <c r="T39" s="642">
        <f>ROUND(S39*'[1]Table 3 Levels 1&amp;2'!D39,0)</f>
        <v>0</v>
      </c>
      <c r="U39" s="642">
        <v>0</v>
      </c>
      <c r="V39" s="492">
        <f t="shared" si="6"/>
        <v>0</v>
      </c>
      <c r="W39" s="643">
        <f>'[1]Table 3 Levels 1&amp;2'!D39</f>
        <v>22220</v>
      </c>
      <c r="X39" s="644">
        <f t="shared" si="7"/>
        <v>1777600</v>
      </c>
      <c r="Y39" s="651">
        <f t="shared" si="8"/>
        <v>6034792</v>
      </c>
    </row>
    <row r="40" spans="1:25" ht="12.75">
      <c r="A40" s="255">
        <v>33</v>
      </c>
      <c r="B40" s="488" t="s">
        <v>148</v>
      </c>
      <c r="C40" s="493">
        <v>395986</v>
      </c>
      <c r="D40" s="633">
        <v>2360</v>
      </c>
      <c r="E40" s="257">
        <v>168</v>
      </c>
      <c r="F40" s="646">
        <f>ROUND(E40*'[1]Table 3 Levels 1&amp;2'!D40,0)</f>
        <v>363552</v>
      </c>
      <c r="G40" s="647">
        <v>65849</v>
      </c>
      <c r="H40" s="648">
        <v>2280</v>
      </c>
      <c r="I40" s="649">
        <f aca="true" t="shared" si="9" ref="I40:I71">ROUND(G40/H40,2)</f>
        <v>28.88</v>
      </c>
      <c r="J40" s="650">
        <f>ROUND('[1]Table 3 Levels 1&amp;2'!D40*I40,0)</f>
        <v>62496</v>
      </c>
      <c r="K40" s="639">
        <v>157.9812341504649</v>
      </c>
      <c r="L40" s="256">
        <f aca="true" t="shared" si="10" ref="L40:L71">ROUND($L$6*K40*1.158,0)</f>
        <v>274413</v>
      </c>
      <c r="M40" s="633">
        <v>170.91</v>
      </c>
      <c r="N40" s="492">
        <f aca="true" t="shared" si="11" ref="N40:N71">ROUND(M40*$N$6*1.177,0)</f>
        <v>100581</v>
      </c>
      <c r="O40" s="640">
        <v>1</v>
      </c>
      <c r="P40" s="492">
        <f aca="true" t="shared" si="12" ref="P40:P71">ROUND($P$6*O40,0)</f>
        <v>20000</v>
      </c>
      <c r="Q40" s="641"/>
      <c r="R40" s="492">
        <f aca="true" t="shared" si="13" ref="R40:R71">ROUND(Q40*$R$6,0)</f>
        <v>0</v>
      </c>
      <c r="S40" s="642">
        <v>0</v>
      </c>
      <c r="T40" s="642">
        <f>ROUND(S40*'[1]Table 3 Levels 1&amp;2'!D40,0)</f>
        <v>0</v>
      </c>
      <c r="U40" s="642">
        <v>0</v>
      </c>
      <c r="V40" s="492">
        <f aca="true" t="shared" si="14" ref="V40:V71">IF(T40&gt;U40,U40,T40)</f>
        <v>0</v>
      </c>
      <c r="W40" s="643">
        <f>'[1]Table 3 Levels 1&amp;2'!D40</f>
        <v>2164</v>
      </c>
      <c r="X40" s="644">
        <f aca="true" t="shared" si="15" ref="X40:X71">ROUND(W40*$X$6,0)</f>
        <v>173120</v>
      </c>
      <c r="Y40" s="651">
        <f aca="true" t="shared" si="16" ref="Y40:Y71">X40+V40+P40+F40+J40+R40+L40+N40</f>
        <v>994162</v>
      </c>
    </row>
    <row r="41" spans="1:25" ht="12.75">
      <c r="A41" s="255">
        <v>34</v>
      </c>
      <c r="B41" s="488" t="s">
        <v>149</v>
      </c>
      <c r="C41" s="493">
        <v>490129</v>
      </c>
      <c r="D41" s="633">
        <v>5134</v>
      </c>
      <c r="E41" s="257">
        <v>95</v>
      </c>
      <c r="F41" s="646">
        <f>ROUND(E41*'[1]Table 3 Levels 1&amp;2'!D41,0)</f>
        <v>462460</v>
      </c>
      <c r="G41" s="647">
        <v>123539</v>
      </c>
      <c r="H41" s="648">
        <v>5115</v>
      </c>
      <c r="I41" s="649">
        <f t="shared" si="9"/>
        <v>24.15</v>
      </c>
      <c r="J41" s="650">
        <f>ROUND('[1]Table 3 Levels 1&amp;2'!D41*I41,0)</f>
        <v>117562</v>
      </c>
      <c r="K41" s="639">
        <v>431.1707079231129</v>
      </c>
      <c r="L41" s="256">
        <f t="shared" si="10"/>
        <v>748944</v>
      </c>
      <c r="M41" s="633">
        <v>309.7691437552633</v>
      </c>
      <c r="N41" s="492">
        <f t="shared" si="11"/>
        <v>182299</v>
      </c>
      <c r="O41" s="640">
        <v>0</v>
      </c>
      <c r="P41" s="492">
        <f t="shared" si="12"/>
        <v>0</v>
      </c>
      <c r="Q41" s="641"/>
      <c r="R41" s="492">
        <f t="shared" si="13"/>
        <v>0</v>
      </c>
      <c r="S41" s="642">
        <v>0</v>
      </c>
      <c r="T41" s="642">
        <f>ROUND(S41*'[1]Table 3 Levels 1&amp;2'!D41,0)</f>
        <v>0</v>
      </c>
      <c r="U41" s="642">
        <v>0</v>
      </c>
      <c r="V41" s="492">
        <f t="shared" si="14"/>
        <v>0</v>
      </c>
      <c r="W41" s="643">
        <f>'[1]Table 3 Levels 1&amp;2'!D41</f>
        <v>4868</v>
      </c>
      <c r="X41" s="644">
        <f t="shared" si="15"/>
        <v>389440</v>
      </c>
      <c r="Y41" s="651">
        <f t="shared" si="16"/>
        <v>1900705</v>
      </c>
    </row>
    <row r="42" spans="1:25" ht="12.75">
      <c r="A42" s="265">
        <v>35</v>
      </c>
      <c r="B42" s="508" t="s">
        <v>150</v>
      </c>
      <c r="C42" s="514">
        <v>391619</v>
      </c>
      <c r="D42" s="652">
        <v>6657</v>
      </c>
      <c r="E42" s="270">
        <v>59</v>
      </c>
      <c r="F42" s="653">
        <f>ROUND(E42*'[1]Table 3 Levels 1&amp;2'!D42,0)</f>
        <v>386096</v>
      </c>
      <c r="G42" s="654">
        <v>168087</v>
      </c>
      <c r="H42" s="655">
        <v>6601</v>
      </c>
      <c r="I42" s="656">
        <f t="shared" si="9"/>
        <v>25.46</v>
      </c>
      <c r="J42" s="657">
        <f>ROUND('[1]Table 3 Levels 1&amp;2'!D42*I42,0)</f>
        <v>166610</v>
      </c>
      <c r="K42" s="658">
        <v>525.7582705904135</v>
      </c>
      <c r="L42" s="266">
        <f t="shared" si="10"/>
        <v>913242</v>
      </c>
      <c r="M42" s="659">
        <v>326.8005514459086</v>
      </c>
      <c r="N42" s="513">
        <f t="shared" si="11"/>
        <v>192322</v>
      </c>
      <c r="O42" s="660">
        <v>0</v>
      </c>
      <c r="P42" s="513">
        <f t="shared" si="12"/>
        <v>0</v>
      </c>
      <c r="Q42" s="661"/>
      <c r="R42" s="513">
        <f t="shared" si="13"/>
        <v>0</v>
      </c>
      <c r="S42" s="662">
        <v>0</v>
      </c>
      <c r="T42" s="662">
        <f>ROUND(S42*'[1]Table 3 Levels 1&amp;2'!D42,0)</f>
        <v>0</v>
      </c>
      <c r="U42" s="662">
        <v>0</v>
      </c>
      <c r="V42" s="513">
        <f t="shared" si="14"/>
        <v>0</v>
      </c>
      <c r="W42" s="663">
        <f>'[1]Table 3 Levels 1&amp;2'!D42</f>
        <v>6544</v>
      </c>
      <c r="X42" s="664">
        <f t="shared" si="15"/>
        <v>523520</v>
      </c>
      <c r="Y42" s="665">
        <f t="shared" si="16"/>
        <v>2181790</v>
      </c>
    </row>
    <row r="43" spans="1:28" ht="12.75">
      <c r="A43" s="255">
        <v>36</v>
      </c>
      <c r="B43" s="488" t="s">
        <v>68</v>
      </c>
      <c r="C43" s="493">
        <v>10540777</v>
      </c>
      <c r="D43" s="633">
        <v>70912</v>
      </c>
      <c r="E43" s="257">
        <v>149</v>
      </c>
      <c r="F43" s="646">
        <f>ROUND(E43*'[1]Table 3 Levels 1&amp;2'!D43,0)</f>
        <v>3260865</v>
      </c>
      <c r="G43" s="647">
        <v>1616719</v>
      </c>
      <c r="H43" s="648">
        <v>67871</v>
      </c>
      <c r="I43" s="649">
        <f t="shared" si="9"/>
        <v>23.82</v>
      </c>
      <c r="J43" s="650">
        <f>ROUND('[1]Table 3 Levels 1&amp;2'!D43*I43,0)</f>
        <v>521301</v>
      </c>
      <c r="K43" s="639">
        <v>194</v>
      </c>
      <c r="L43" s="256">
        <f t="shared" si="10"/>
        <v>336978</v>
      </c>
      <c r="M43" s="633">
        <v>122</v>
      </c>
      <c r="N43" s="492">
        <f t="shared" si="11"/>
        <v>71797</v>
      </c>
      <c r="O43" s="640">
        <v>3</v>
      </c>
      <c r="P43" s="492">
        <f t="shared" si="12"/>
        <v>60000</v>
      </c>
      <c r="Q43" s="641"/>
      <c r="R43" s="492">
        <f t="shared" si="13"/>
        <v>0</v>
      </c>
      <c r="S43" s="642">
        <v>0</v>
      </c>
      <c r="T43" s="642">
        <f>ROUND(S43*'[1]Table 3 Levels 1&amp;2'!D43,0)</f>
        <v>0</v>
      </c>
      <c r="U43" s="642">
        <v>0</v>
      </c>
      <c r="V43" s="492">
        <f t="shared" si="14"/>
        <v>0</v>
      </c>
      <c r="W43" s="643">
        <f>'[1]Table 3 Levels 1&amp;2'!D43</f>
        <v>21885</v>
      </c>
      <c r="X43" s="644">
        <f t="shared" si="15"/>
        <v>1750800</v>
      </c>
      <c r="Y43" s="651">
        <f t="shared" si="16"/>
        <v>6001741</v>
      </c>
      <c r="Z43" s="666"/>
      <c r="AB43" s="228"/>
    </row>
    <row r="44" spans="1:25" ht="12.75">
      <c r="A44" s="255">
        <v>37</v>
      </c>
      <c r="B44" s="488" t="s">
        <v>151</v>
      </c>
      <c r="C44" s="493">
        <v>0</v>
      </c>
      <c r="D44" s="633">
        <v>17620</v>
      </c>
      <c r="E44" s="257">
        <v>0</v>
      </c>
      <c r="F44" s="646">
        <f>ROUND(E44*'[1]Table 3 Levels 1&amp;2'!D44,0)</f>
        <v>0</v>
      </c>
      <c r="G44" s="647">
        <v>542706</v>
      </c>
      <c r="H44" s="648">
        <v>17850</v>
      </c>
      <c r="I44" s="649">
        <f t="shared" si="9"/>
        <v>30.4</v>
      </c>
      <c r="J44" s="650">
        <f>ROUND('[1]Table 3 Levels 1&amp;2'!D44*I44,0)</f>
        <v>547595</v>
      </c>
      <c r="K44" s="639">
        <v>1518.561885138671</v>
      </c>
      <c r="L44" s="256">
        <f t="shared" si="10"/>
        <v>2637742</v>
      </c>
      <c r="M44" s="633">
        <v>1223.0365413490413</v>
      </c>
      <c r="N44" s="492">
        <f t="shared" si="11"/>
        <v>719757</v>
      </c>
      <c r="O44" s="640">
        <v>2</v>
      </c>
      <c r="P44" s="492">
        <f t="shared" si="12"/>
        <v>40000</v>
      </c>
      <c r="Q44" s="641"/>
      <c r="R44" s="492">
        <f t="shared" si="13"/>
        <v>0</v>
      </c>
      <c r="S44" s="642">
        <v>0</v>
      </c>
      <c r="T44" s="642">
        <f>ROUND(S44*'[1]Table 3 Levels 1&amp;2'!D44,0)</f>
        <v>0</v>
      </c>
      <c r="U44" s="642">
        <v>0</v>
      </c>
      <c r="V44" s="492">
        <f t="shared" si="14"/>
        <v>0</v>
      </c>
      <c r="W44" s="643">
        <f>'[1]Table 3 Levels 1&amp;2'!D44</f>
        <v>18013</v>
      </c>
      <c r="X44" s="644">
        <f t="shared" si="15"/>
        <v>1441040</v>
      </c>
      <c r="Y44" s="651">
        <f t="shared" si="16"/>
        <v>5386134</v>
      </c>
    </row>
    <row r="45" spans="1:25" ht="12.75">
      <c r="A45" s="255">
        <v>38</v>
      </c>
      <c r="B45" s="488" t="s">
        <v>152</v>
      </c>
      <c r="C45" s="493">
        <v>291773</v>
      </c>
      <c r="D45" s="633">
        <v>4727</v>
      </c>
      <c r="E45" s="257">
        <v>62</v>
      </c>
      <c r="F45" s="646">
        <f>ROUND(E45*'[1]Table 3 Levels 1&amp;2'!D45,0)</f>
        <v>223138</v>
      </c>
      <c r="G45" s="647">
        <v>173840</v>
      </c>
      <c r="H45" s="648">
        <v>4604</v>
      </c>
      <c r="I45" s="649">
        <f t="shared" si="9"/>
        <v>37.76</v>
      </c>
      <c r="J45" s="650">
        <f>ROUND('[1]Table 3 Levels 1&amp;2'!D45*I45,0)</f>
        <v>135898</v>
      </c>
      <c r="K45" s="639">
        <v>280</v>
      </c>
      <c r="L45" s="256">
        <f t="shared" si="10"/>
        <v>486360</v>
      </c>
      <c r="M45" s="633">
        <v>238</v>
      </c>
      <c r="N45" s="492">
        <f t="shared" si="11"/>
        <v>140063</v>
      </c>
      <c r="O45" s="640">
        <v>1</v>
      </c>
      <c r="P45" s="492">
        <f t="shared" si="12"/>
        <v>20000</v>
      </c>
      <c r="Q45" s="641"/>
      <c r="R45" s="492">
        <f t="shared" si="13"/>
        <v>0</v>
      </c>
      <c r="S45" s="642">
        <v>1497</v>
      </c>
      <c r="T45" s="642">
        <f>ROUND(S45*'[1]Table 3 Levels 1&amp;2'!D45,0)</f>
        <v>5387703</v>
      </c>
      <c r="U45" s="642">
        <v>6901170</v>
      </c>
      <c r="V45" s="492">
        <f t="shared" si="14"/>
        <v>5387703</v>
      </c>
      <c r="W45" s="643">
        <f>'[1]Table 3 Levels 1&amp;2'!D45</f>
        <v>3599</v>
      </c>
      <c r="X45" s="644">
        <f t="shared" si="15"/>
        <v>287920</v>
      </c>
      <c r="Y45" s="651">
        <f t="shared" si="16"/>
        <v>6681082</v>
      </c>
    </row>
    <row r="46" spans="1:25" ht="12.75">
      <c r="A46" s="255">
        <v>39</v>
      </c>
      <c r="B46" s="488" t="s">
        <v>153</v>
      </c>
      <c r="C46" s="493">
        <v>422566</v>
      </c>
      <c r="D46" s="633">
        <v>3158</v>
      </c>
      <c r="E46" s="257">
        <v>134</v>
      </c>
      <c r="F46" s="646">
        <f>ROUND(E46*'[1]Table 3 Levels 1&amp;2'!D46,0)</f>
        <v>388466</v>
      </c>
      <c r="G46" s="647">
        <v>102365</v>
      </c>
      <c r="H46" s="648">
        <v>3168</v>
      </c>
      <c r="I46" s="649">
        <f t="shared" si="9"/>
        <v>32.31</v>
      </c>
      <c r="J46" s="650">
        <f>ROUND('[1]Table 3 Levels 1&amp;2'!D46*I46,0)</f>
        <v>93667</v>
      </c>
      <c r="K46" s="639">
        <v>244.9998953427525</v>
      </c>
      <c r="L46" s="256">
        <f t="shared" si="10"/>
        <v>425565</v>
      </c>
      <c r="M46" s="633">
        <v>181</v>
      </c>
      <c r="N46" s="492">
        <f t="shared" si="11"/>
        <v>106519</v>
      </c>
      <c r="O46" s="640">
        <v>2</v>
      </c>
      <c r="P46" s="492">
        <f t="shared" si="12"/>
        <v>40000</v>
      </c>
      <c r="Q46" s="641"/>
      <c r="R46" s="492">
        <f t="shared" si="13"/>
        <v>0</v>
      </c>
      <c r="S46" s="642">
        <v>112</v>
      </c>
      <c r="T46" s="642">
        <f>ROUND(S46*'[1]Table 3 Levels 1&amp;2'!D46,0)</f>
        <v>324688</v>
      </c>
      <c r="U46" s="642">
        <v>332752</v>
      </c>
      <c r="V46" s="492">
        <f t="shared" si="14"/>
        <v>324688</v>
      </c>
      <c r="W46" s="643">
        <f>'[1]Table 3 Levels 1&amp;2'!D46</f>
        <v>2899</v>
      </c>
      <c r="X46" s="644">
        <f t="shared" si="15"/>
        <v>231920</v>
      </c>
      <c r="Y46" s="651">
        <f t="shared" si="16"/>
        <v>1610825</v>
      </c>
    </row>
    <row r="47" spans="1:25" ht="12.75">
      <c r="A47" s="265">
        <v>40</v>
      </c>
      <c r="B47" s="508" t="s">
        <v>154</v>
      </c>
      <c r="C47" s="514">
        <v>3710521</v>
      </c>
      <c r="D47" s="652">
        <v>22520</v>
      </c>
      <c r="E47" s="270">
        <v>165</v>
      </c>
      <c r="F47" s="653">
        <f>ROUND(E47*'[1]Table 3 Levels 1&amp;2'!D47,0)</f>
        <v>3733455</v>
      </c>
      <c r="G47" s="654">
        <v>642690</v>
      </c>
      <c r="H47" s="655">
        <v>22373</v>
      </c>
      <c r="I47" s="656">
        <f t="shared" si="9"/>
        <v>28.73</v>
      </c>
      <c r="J47" s="657">
        <f>ROUND('[1]Table 3 Levels 1&amp;2'!D47*I47,0)</f>
        <v>650074</v>
      </c>
      <c r="K47" s="658">
        <v>1958.949018597602</v>
      </c>
      <c r="L47" s="266">
        <f t="shared" si="10"/>
        <v>3402694</v>
      </c>
      <c r="M47" s="659">
        <v>1318.568139029139</v>
      </c>
      <c r="N47" s="513">
        <f t="shared" si="11"/>
        <v>775977</v>
      </c>
      <c r="O47" s="660">
        <v>0</v>
      </c>
      <c r="P47" s="513">
        <f t="shared" si="12"/>
        <v>0</v>
      </c>
      <c r="Q47" s="661"/>
      <c r="R47" s="513">
        <f t="shared" si="13"/>
        <v>0</v>
      </c>
      <c r="S47" s="662">
        <v>0</v>
      </c>
      <c r="T47" s="662">
        <f>ROUND(S47*'[1]Table 3 Levels 1&amp;2'!D47,0)</f>
        <v>0</v>
      </c>
      <c r="U47" s="662">
        <v>0</v>
      </c>
      <c r="V47" s="513">
        <f t="shared" si="14"/>
        <v>0</v>
      </c>
      <c r="W47" s="663">
        <f>'[1]Table 3 Levels 1&amp;2'!D47</f>
        <v>22627</v>
      </c>
      <c r="X47" s="664">
        <f t="shared" si="15"/>
        <v>1810160</v>
      </c>
      <c r="Y47" s="665">
        <f t="shared" si="16"/>
        <v>10372360</v>
      </c>
    </row>
    <row r="48" spans="1:25" ht="12.75">
      <c r="A48" s="255">
        <v>41</v>
      </c>
      <c r="B48" s="488" t="s">
        <v>155</v>
      </c>
      <c r="C48" s="493">
        <v>334357</v>
      </c>
      <c r="D48" s="633">
        <v>1647</v>
      </c>
      <c r="E48" s="257">
        <v>203</v>
      </c>
      <c r="F48" s="646">
        <f>ROUND(E48*'[1]Table 3 Levels 1&amp;2'!D48,0)</f>
        <v>294756</v>
      </c>
      <c r="G48" s="647">
        <v>63072</v>
      </c>
      <c r="H48" s="648">
        <v>1531</v>
      </c>
      <c r="I48" s="649">
        <f t="shared" si="9"/>
        <v>41.2</v>
      </c>
      <c r="J48" s="650">
        <f>ROUND('[1]Table 3 Levels 1&amp;2'!D48*I48,0)</f>
        <v>59822</v>
      </c>
      <c r="K48" s="639">
        <v>140.14026040523734</v>
      </c>
      <c r="L48" s="256">
        <f t="shared" si="10"/>
        <v>243424</v>
      </c>
      <c r="M48" s="633">
        <v>125.85973959476264</v>
      </c>
      <c r="N48" s="492">
        <f t="shared" si="11"/>
        <v>74068</v>
      </c>
      <c r="O48" s="640">
        <v>0</v>
      </c>
      <c r="P48" s="492">
        <f t="shared" si="12"/>
        <v>0</v>
      </c>
      <c r="Q48" s="641"/>
      <c r="R48" s="492">
        <f t="shared" si="13"/>
        <v>0</v>
      </c>
      <c r="S48" s="642">
        <v>0</v>
      </c>
      <c r="T48" s="642">
        <f>ROUND(S48*'[1]Table 3 Levels 1&amp;2'!D48,0)</f>
        <v>0</v>
      </c>
      <c r="U48" s="642">
        <v>0</v>
      </c>
      <c r="V48" s="492">
        <f t="shared" si="14"/>
        <v>0</v>
      </c>
      <c r="W48" s="643">
        <f>'[1]Table 3 Levels 1&amp;2'!D48</f>
        <v>1452</v>
      </c>
      <c r="X48" s="644">
        <f t="shared" si="15"/>
        <v>116160</v>
      </c>
      <c r="Y48" s="651">
        <f t="shared" si="16"/>
        <v>788230</v>
      </c>
    </row>
    <row r="49" spans="1:25" ht="12.75">
      <c r="A49" s="255">
        <v>42</v>
      </c>
      <c r="B49" s="488" t="s">
        <v>156</v>
      </c>
      <c r="C49" s="493">
        <v>9080</v>
      </c>
      <c r="D49" s="633">
        <v>3566</v>
      </c>
      <c r="E49" s="257">
        <v>3</v>
      </c>
      <c r="F49" s="646">
        <f>ROUND(E49*'[1]Table 3 Levels 1&amp;2'!D49,0)</f>
        <v>9981</v>
      </c>
      <c r="G49" s="647">
        <v>106093</v>
      </c>
      <c r="H49" s="648">
        <v>3517</v>
      </c>
      <c r="I49" s="649">
        <f t="shared" si="9"/>
        <v>30.17</v>
      </c>
      <c r="J49" s="650">
        <f>ROUND('[1]Table 3 Levels 1&amp;2'!D49*I49,0)</f>
        <v>100376</v>
      </c>
      <c r="K49" s="639">
        <v>284.05765115034774</v>
      </c>
      <c r="L49" s="256">
        <f t="shared" si="10"/>
        <v>493408</v>
      </c>
      <c r="M49" s="633">
        <v>215.5</v>
      </c>
      <c r="N49" s="492">
        <f t="shared" si="11"/>
        <v>126822</v>
      </c>
      <c r="O49" s="640">
        <v>0</v>
      </c>
      <c r="P49" s="492">
        <f t="shared" si="12"/>
        <v>0</v>
      </c>
      <c r="Q49" s="641"/>
      <c r="R49" s="492">
        <f t="shared" si="13"/>
        <v>0</v>
      </c>
      <c r="S49" s="642">
        <v>0</v>
      </c>
      <c r="T49" s="642">
        <f>ROUND(S49*'[1]Table 3 Levels 1&amp;2'!D49,0)</f>
        <v>0</v>
      </c>
      <c r="U49" s="642">
        <v>0</v>
      </c>
      <c r="V49" s="492">
        <f t="shared" si="14"/>
        <v>0</v>
      </c>
      <c r="W49" s="643">
        <f>'[1]Table 3 Levels 1&amp;2'!D49</f>
        <v>3327</v>
      </c>
      <c r="X49" s="644">
        <f t="shared" si="15"/>
        <v>266160</v>
      </c>
      <c r="Y49" s="651">
        <f t="shared" si="16"/>
        <v>996747</v>
      </c>
    </row>
    <row r="50" spans="1:25" ht="12.75">
      <c r="A50" s="255">
        <v>43</v>
      </c>
      <c r="B50" s="488" t="s">
        <v>157</v>
      </c>
      <c r="C50" s="493">
        <v>0</v>
      </c>
      <c r="D50" s="633">
        <v>4158</v>
      </c>
      <c r="E50" s="257">
        <v>0</v>
      </c>
      <c r="F50" s="646">
        <f>ROUND(E50*'[1]Table 3 Levels 1&amp;2'!D50,0)</f>
        <v>0</v>
      </c>
      <c r="G50" s="647">
        <v>121212</v>
      </c>
      <c r="H50" s="648">
        <v>4127</v>
      </c>
      <c r="I50" s="649">
        <f t="shared" si="9"/>
        <v>29.37</v>
      </c>
      <c r="J50" s="650">
        <f>ROUND('[1]Table 3 Levels 1&amp;2'!D50*I50,0)</f>
        <v>118302</v>
      </c>
      <c r="K50" s="639">
        <v>361</v>
      </c>
      <c r="L50" s="256">
        <f t="shared" si="10"/>
        <v>627057</v>
      </c>
      <c r="M50" s="633">
        <v>290</v>
      </c>
      <c r="N50" s="492">
        <f t="shared" si="11"/>
        <v>170665</v>
      </c>
      <c r="O50" s="640">
        <v>0</v>
      </c>
      <c r="P50" s="492">
        <f t="shared" si="12"/>
        <v>0</v>
      </c>
      <c r="Q50" s="641"/>
      <c r="R50" s="492">
        <f t="shared" si="13"/>
        <v>0</v>
      </c>
      <c r="S50" s="642">
        <v>0</v>
      </c>
      <c r="T50" s="642">
        <f>ROUND(S50*'[1]Table 3 Levels 1&amp;2'!D50,0)</f>
        <v>0</v>
      </c>
      <c r="U50" s="642">
        <v>0</v>
      </c>
      <c r="V50" s="492">
        <f t="shared" si="14"/>
        <v>0</v>
      </c>
      <c r="W50" s="643">
        <f>'[1]Table 3 Levels 1&amp;2'!D50</f>
        <v>4028</v>
      </c>
      <c r="X50" s="644">
        <f t="shared" si="15"/>
        <v>322240</v>
      </c>
      <c r="Y50" s="651">
        <f t="shared" si="16"/>
        <v>1238264</v>
      </c>
    </row>
    <row r="51" spans="1:28" ht="12.75">
      <c r="A51" s="255">
        <v>44</v>
      </c>
      <c r="B51" s="488" t="s">
        <v>158</v>
      </c>
      <c r="C51" s="493">
        <v>0</v>
      </c>
      <c r="D51" s="633">
        <v>8406</v>
      </c>
      <c r="E51" s="257">
        <v>0</v>
      </c>
      <c r="F51" s="646">
        <f>ROUND(E51*'[1]Table 3 Levels 1&amp;2'!D51,0)</f>
        <v>0</v>
      </c>
      <c r="G51" s="647">
        <v>192322</v>
      </c>
      <c r="H51" s="648">
        <v>8374</v>
      </c>
      <c r="I51" s="649">
        <f t="shared" si="9"/>
        <v>22.97</v>
      </c>
      <c r="J51" s="650">
        <f>ROUND('[1]Table 3 Levels 1&amp;2'!D51*I51,0)</f>
        <v>68910</v>
      </c>
      <c r="K51" s="639">
        <v>128.47052955194906</v>
      </c>
      <c r="L51" s="256">
        <f t="shared" si="10"/>
        <v>223153</v>
      </c>
      <c r="M51" s="633">
        <v>85.48930481283422</v>
      </c>
      <c r="N51" s="492">
        <f t="shared" si="11"/>
        <v>50310</v>
      </c>
      <c r="O51" s="640">
        <v>0</v>
      </c>
      <c r="P51" s="492">
        <f t="shared" si="12"/>
        <v>0</v>
      </c>
      <c r="Q51" s="641"/>
      <c r="R51" s="492">
        <f t="shared" si="13"/>
        <v>0</v>
      </c>
      <c r="S51" s="642">
        <v>0</v>
      </c>
      <c r="T51" s="642">
        <f>ROUND(S51*'[1]Table 3 Levels 1&amp;2'!D51,0)</f>
        <v>0</v>
      </c>
      <c r="U51" s="642">
        <v>0</v>
      </c>
      <c r="V51" s="492">
        <f t="shared" si="14"/>
        <v>0</v>
      </c>
      <c r="W51" s="643">
        <f>'[1]Table 3 Levels 1&amp;2'!D51</f>
        <v>3000</v>
      </c>
      <c r="X51" s="644">
        <f t="shared" si="15"/>
        <v>240000</v>
      </c>
      <c r="Y51" s="651">
        <f t="shared" si="16"/>
        <v>582373</v>
      </c>
      <c r="Z51" s="666"/>
      <c r="AB51" s="228"/>
    </row>
    <row r="52" spans="1:25" ht="12.75">
      <c r="A52" s="265">
        <v>45</v>
      </c>
      <c r="B52" s="508" t="s">
        <v>159</v>
      </c>
      <c r="C52" s="514">
        <v>0</v>
      </c>
      <c r="D52" s="652">
        <v>9641</v>
      </c>
      <c r="E52" s="270">
        <v>0</v>
      </c>
      <c r="F52" s="653">
        <f>ROUND(E52*'[1]Table 3 Levels 1&amp;2'!D52,0)</f>
        <v>0</v>
      </c>
      <c r="G52" s="654">
        <v>284288</v>
      </c>
      <c r="H52" s="655">
        <v>9462</v>
      </c>
      <c r="I52" s="656">
        <f t="shared" si="9"/>
        <v>30.05</v>
      </c>
      <c r="J52" s="657">
        <f>ROUND('[1]Table 3 Levels 1&amp;2'!D52*I52,0)</f>
        <v>284604</v>
      </c>
      <c r="K52" s="658">
        <v>983.3312119004247</v>
      </c>
      <c r="L52" s="266">
        <f t="shared" si="10"/>
        <v>1708046</v>
      </c>
      <c r="M52" s="659">
        <v>685.2810385910386</v>
      </c>
      <c r="N52" s="513">
        <f t="shared" si="11"/>
        <v>403288</v>
      </c>
      <c r="O52" s="660">
        <v>0</v>
      </c>
      <c r="P52" s="513">
        <f t="shared" si="12"/>
        <v>0</v>
      </c>
      <c r="Q52" s="661"/>
      <c r="R52" s="513">
        <f t="shared" si="13"/>
        <v>0</v>
      </c>
      <c r="S52" s="662">
        <v>1010</v>
      </c>
      <c r="T52" s="662">
        <f>ROUND(S52*'[1]Table 3 Levels 1&amp;2'!D52,0)</f>
        <v>9565710</v>
      </c>
      <c r="U52" s="662">
        <v>9520260</v>
      </c>
      <c r="V52" s="513">
        <f t="shared" si="14"/>
        <v>9520260</v>
      </c>
      <c r="W52" s="663">
        <f>'[1]Table 3 Levels 1&amp;2'!D52</f>
        <v>9471</v>
      </c>
      <c r="X52" s="664">
        <f t="shared" si="15"/>
        <v>757680</v>
      </c>
      <c r="Y52" s="665">
        <f t="shared" si="16"/>
        <v>12673878</v>
      </c>
    </row>
    <row r="53" spans="1:25" ht="12.75">
      <c r="A53" s="255">
        <v>46</v>
      </c>
      <c r="B53" s="488" t="s">
        <v>160</v>
      </c>
      <c r="C53" s="493">
        <v>228130</v>
      </c>
      <c r="D53" s="633">
        <v>1333</v>
      </c>
      <c r="E53" s="257">
        <v>171</v>
      </c>
      <c r="F53" s="646">
        <f>ROUND(E53*'[1]Table 3 Levels 1&amp;2'!D53,0)</f>
        <v>245898</v>
      </c>
      <c r="G53" s="647">
        <v>59068</v>
      </c>
      <c r="H53" s="648">
        <v>1300</v>
      </c>
      <c r="I53" s="649">
        <f t="shared" si="9"/>
        <v>45.44</v>
      </c>
      <c r="J53" s="650">
        <f>ROUND('[1]Table 3 Levels 1&amp;2'!D53*I53,0)</f>
        <v>65343</v>
      </c>
      <c r="K53" s="639">
        <v>89</v>
      </c>
      <c r="L53" s="256">
        <f t="shared" si="10"/>
        <v>154593</v>
      </c>
      <c r="M53" s="633">
        <v>91</v>
      </c>
      <c r="N53" s="492">
        <f t="shared" si="11"/>
        <v>53554</v>
      </c>
      <c r="O53" s="640">
        <v>0</v>
      </c>
      <c r="P53" s="492">
        <f t="shared" si="12"/>
        <v>0</v>
      </c>
      <c r="Q53" s="641"/>
      <c r="R53" s="492">
        <f t="shared" si="13"/>
        <v>0</v>
      </c>
      <c r="S53" s="642">
        <v>0</v>
      </c>
      <c r="T53" s="642">
        <f>ROUND(S53*'[1]Table 3 Levels 1&amp;2'!D53,0)</f>
        <v>0</v>
      </c>
      <c r="U53" s="642">
        <v>0</v>
      </c>
      <c r="V53" s="492">
        <f t="shared" si="14"/>
        <v>0</v>
      </c>
      <c r="W53" s="643">
        <f>'[1]Table 3 Levels 1&amp;2'!D53</f>
        <v>1438</v>
      </c>
      <c r="X53" s="644">
        <f t="shared" si="15"/>
        <v>115040</v>
      </c>
      <c r="Y53" s="651">
        <f t="shared" si="16"/>
        <v>634428</v>
      </c>
    </row>
    <row r="54" spans="1:25" ht="12.75">
      <c r="A54" s="255">
        <v>47</v>
      </c>
      <c r="B54" s="488" t="s">
        <v>161</v>
      </c>
      <c r="C54" s="493">
        <v>701074</v>
      </c>
      <c r="D54" s="633">
        <v>3777</v>
      </c>
      <c r="E54" s="257">
        <v>186</v>
      </c>
      <c r="F54" s="646">
        <f>ROUND(E54*'[1]Table 3 Levels 1&amp;2'!D54,0)</f>
        <v>708846</v>
      </c>
      <c r="G54" s="647">
        <v>128105</v>
      </c>
      <c r="H54" s="648">
        <v>3801</v>
      </c>
      <c r="I54" s="649">
        <f t="shared" si="9"/>
        <v>33.7</v>
      </c>
      <c r="J54" s="650">
        <f>ROUND('[1]Table 3 Levels 1&amp;2'!D54*I54,0)</f>
        <v>128431</v>
      </c>
      <c r="K54" s="639">
        <v>370.29615384615386</v>
      </c>
      <c r="L54" s="256">
        <f t="shared" si="10"/>
        <v>643204</v>
      </c>
      <c r="M54" s="633">
        <v>232.70384615384614</v>
      </c>
      <c r="N54" s="492">
        <f t="shared" si="11"/>
        <v>136946</v>
      </c>
      <c r="O54" s="640">
        <v>0</v>
      </c>
      <c r="P54" s="492">
        <f t="shared" si="12"/>
        <v>0</v>
      </c>
      <c r="Q54" s="641"/>
      <c r="R54" s="492">
        <f t="shared" si="13"/>
        <v>0</v>
      </c>
      <c r="S54" s="642">
        <v>498</v>
      </c>
      <c r="T54" s="642">
        <f>ROUND(S54*'[1]Table 3 Levels 1&amp;2'!D54,0)</f>
        <v>1897878</v>
      </c>
      <c r="U54" s="642">
        <v>1851066</v>
      </c>
      <c r="V54" s="492">
        <f t="shared" si="14"/>
        <v>1851066</v>
      </c>
      <c r="W54" s="643">
        <f>'[1]Table 3 Levels 1&amp;2'!D54</f>
        <v>3811</v>
      </c>
      <c r="X54" s="644">
        <f t="shared" si="15"/>
        <v>304880</v>
      </c>
      <c r="Y54" s="651">
        <f t="shared" si="16"/>
        <v>3773373</v>
      </c>
    </row>
    <row r="55" spans="1:25" ht="12.75">
      <c r="A55" s="255">
        <v>48</v>
      </c>
      <c r="B55" s="488" t="s">
        <v>162</v>
      </c>
      <c r="C55" s="493">
        <v>1119258</v>
      </c>
      <c r="D55" s="633">
        <v>6104</v>
      </c>
      <c r="E55" s="257">
        <v>183</v>
      </c>
      <c r="F55" s="646">
        <f>ROUND(E55*'[1]Table 3 Levels 1&amp;2'!D55,0)</f>
        <v>1199565</v>
      </c>
      <c r="G55" s="647">
        <v>161546</v>
      </c>
      <c r="H55" s="648">
        <v>6166</v>
      </c>
      <c r="I55" s="649">
        <f t="shared" si="9"/>
        <v>26.2</v>
      </c>
      <c r="J55" s="650">
        <f>ROUND('[1]Table 3 Levels 1&amp;2'!D55*I55,0)</f>
        <v>171741</v>
      </c>
      <c r="K55" s="639">
        <v>607.5431811313002</v>
      </c>
      <c r="L55" s="256">
        <f t="shared" si="10"/>
        <v>1055303</v>
      </c>
      <c r="M55" s="633">
        <v>338.6333333333333</v>
      </c>
      <c r="N55" s="492">
        <f t="shared" si="11"/>
        <v>199286</v>
      </c>
      <c r="O55" s="640">
        <v>5</v>
      </c>
      <c r="P55" s="492">
        <f t="shared" si="12"/>
        <v>100000</v>
      </c>
      <c r="Q55" s="641"/>
      <c r="R55" s="492">
        <f t="shared" si="13"/>
        <v>0</v>
      </c>
      <c r="S55" s="642">
        <v>0</v>
      </c>
      <c r="T55" s="642">
        <f>ROUND(S55*'[1]Table 3 Levels 1&amp;2'!D55,0)</f>
        <v>0</v>
      </c>
      <c r="U55" s="642">
        <v>0</v>
      </c>
      <c r="V55" s="492">
        <f t="shared" si="14"/>
        <v>0</v>
      </c>
      <c r="W55" s="643">
        <f>'[1]Table 3 Levels 1&amp;2'!D55</f>
        <v>6555</v>
      </c>
      <c r="X55" s="644">
        <f t="shared" si="15"/>
        <v>524400</v>
      </c>
      <c r="Y55" s="651">
        <f t="shared" si="16"/>
        <v>3250295</v>
      </c>
    </row>
    <row r="56" spans="1:25" ht="12.75">
      <c r="A56" s="255">
        <v>49</v>
      </c>
      <c r="B56" s="488" t="s">
        <v>163</v>
      </c>
      <c r="C56" s="493">
        <v>92418</v>
      </c>
      <c r="D56" s="633">
        <v>15331</v>
      </c>
      <c r="E56" s="257">
        <v>6</v>
      </c>
      <c r="F56" s="646">
        <f>ROUND(E56*'[1]Table 3 Levels 1&amp;2'!D56,0)</f>
        <v>89280</v>
      </c>
      <c r="G56" s="647">
        <v>481858</v>
      </c>
      <c r="H56" s="648">
        <v>15324</v>
      </c>
      <c r="I56" s="649">
        <f t="shared" si="9"/>
        <v>31.44</v>
      </c>
      <c r="J56" s="650">
        <f>ROUND('[1]Table 3 Levels 1&amp;2'!D56*I56,0)</f>
        <v>467827</v>
      </c>
      <c r="K56" s="639">
        <v>1211.5</v>
      </c>
      <c r="L56" s="256">
        <f t="shared" si="10"/>
        <v>2104376</v>
      </c>
      <c r="M56" s="633">
        <v>911</v>
      </c>
      <c r="N56" s="492">
        <f t="shared" si="11"/>
        <v>536124</v>
      </c>
      <c r="O56" s="640">
        <v>19</v>
      </c>
      <c r="P56" s="492">
        <f t="shared" si="12"/>
        <v>380000</v>
      </c>
      <c r="Q56" s="641"/>
      <c r="R56" s="492">
        <f t="shared" si="13"/>
        <v>0</v>
      </c>
      <c r="S56" s="642">
        <v>0</v>
      </c>
      <c r="T56" s="642">
        <f>ROUND(S56*'[1]Table 3 Levels 1&amp;2'!D56,0)</f>
        <v>0</v>
      </c>
      <c r="U56" s="642">
        <v>0</v>
      </c>
      <c r="V56" s="492">
        <f t="shared" si="14"/>
        <v>0</v>
      </c>
      <c r="W56" s="643">
        <f>'[1]Table 3 Levels 1&amp;2'!D56</f>
        <v>14880</v>
      </c>
      <c r="X56" s="644">
        <f t="shared" si="15"/>
        <v>1190400</v>
      </c>
      <c r="Y56" s="651">
        <f t="shared" si="16"/>
        <v>4768007</v>
      </c>
    </row>
    <row r="57" spans="1:25" ht="12.75">
      <c r="A57" s="265">
        <v>50</v>
      </c>
      <c r="B57" s="508" t="s">
        <v>164</v>
      </c>
      <c r="C57" s="514">
        <v>347511</v>
      </c>
      <c r="D57" s="652">
        <v>8418</v>
      </c>
      <c r="E57" s="270">
        <v>41</v>
      </c>
      <c r="F57" s="653">
        <f>ROUND(E57*'[1]Table 3 Levels 1&amp;2'!D57,0)</f>
        <v>333453</v>
      </c>
      <c r="G57" s="654">
        <v>198707</v>
      </c>
      <c r="H57" s="655">
        <v>8371</v>
      </c>
      <c r="I57" s="656">
        <f t="shared" si="9"/>
        <v>23.74</v>
      </c>
      <c r="J57" s="657">
        <f>ROUND('[1]Table 3 Levels 1&amp;2'!D57*I57,0)</f>
        <v>193077</v>
      </c>
      <c r="K57" s="658">
        <v>663.1208791208791</v>
      </c>
      <c r="L57" s="266">
        <f t="shared" si="10"/>
        <v>1151841</v>
      </c>
      <c r="M57" s="659">
        <v>470</v>
      </c>
      <c r="N57" s="513">
        <f t="shared" si="11"/>
        <v>276595</v>
      </c>
      <c r="O57" s="660">
        <v>15</v>
      </c>
      <c r="P57" s="513">
        <f t="shared" si="12"/>
        <v>300000</v>
      </c>
      <c r="Q57" s="661"/>
      <c r="R57" s="513">
        <f t="shared" si="13"/>
        <v>0</v>
      </c>
      <c r="S57" s="662">
        <v>0</v>
      </c>
      <c r="T57" s="662">
        <f>ROUND(S57*'[1]Table 3 Levels 1&amp;2'!D57,0)</f>
        <v>0</v>
      </c>
      <c r="U57" s="662">
        <v>0</v>
      </c>
      <c r="V57" s="513">
        <f t="shared" si="14"/>
        <v>0</v>
      </c>
      <c r="W57" s="663">
        <f>'[1]Table 3 Levels 1&amp;2'!D57</f>
        <v>8133</v>
      </c>
      <c r="X57" s="664">
        <f t="shared" si="15"/>
        <v>650640</v>
      </c>
      <c r="Y57" s="665">
        <f t="shared" si="16"/>
        <v>2905606</v>
      </c>
    </row>
    <row r="58" spans="1:25" ht="12.75">
      <c r="A58" s="255">
        <v>51</v>
      </c>
      <c r="B58" s="488" t="s">
        <v>165</v>
      </c>
      <c r="C58" s="493">
        <v>318532</v>
      </c>
      <c r="D58" s="633">
        <v>10321</v>
      </c>
      <c r="E58" s="257">
        <v>31</v>
      </c>
      <c r="F58" s="646">
        <f>ROUND(E58*'[1]Table 3 Levels 1&amp;2'!D58,0)</f>
        <v>298933</v>
      </c>
      <c r="G58" s="647">
        <v>279681</v>
      </c>
      <c r="H58" s="648">
        <v>10181</v>
      </c>
      <c r="I58" s="649">
        <f t="shared" si="9"/>
        <v>27.47</v>
      </c>
      <c r="J58" s="650">
        <f>ROUND('[1]Table 3 Levels 1&amp;2'!D58*I58,0)</f>
        <v>264893</v>
      </c>
      <c r="K58" s="639">
        <v>865.713008334761</v>
      </c>
      <c r="L58" s="256">
        <f t="shared" si="10"/>
        <v>1503743</v>
      </c>
      <c r="M58" s="633">
        <v>593.5344827586206</v>
      </c>
      <c r="N58" s="492">
        <f t="shared" si="11"/>
        <v>349295</v>
      </c>
      <c r="O58" s="640">
        <v>0</v>
      </c>
      <c r="P58" s="492">
        <f t="shared" si="12"/>
        <v>0</v>
      </c>
      <c r="Q58" s="641"/>
      <c r="R58" s="492">
        <f t="shared" si="13"/>
        <v>0</v>
      </c>
      <c r="S58" s="642">
        <v>0</v>
      </c>
      <c r="T58" s="642">
        <f>ROUND(S58*'[1]Table 3 Levels 1&amp;2'!D58,0)</f>
        <v>0</v>
      </c>
      <c r="U58" s="642">
        <v>0</v>
      </c>
      <c r="V58" s="492">
        <f t="shared" si="14"/>
        <v>0</v>
      </c>
      <c r="W58" s="643">
        <f>'[1]Table 3 Levels 1&amp;2'!D58</f>
        <v>9643</v>
      </c>
      <c r="X58" s="644">
        <f t="shared" si="15"/>
        <v>771440</v>
      </c>
      <c r="Y58" s="651">
        <f t="shared" si="16"/>
        <v>3188304</v>
      </c>
    </row>
    <row r="59" spans="1:25" ht="12.75">
      <c r="A59" s="255">
        <v>52</v>
      </c>
      <c r="B59" s="488" t="s">
        <v>166</v>
      </c>
      <c r="C59" s="493">
        <v>362798</v>
      </c>
      <c r="D59" s="633">
        <v>32844</v>
      </c>
      <c r="E59" s="257">
        <v>11</v>
      </c>
      <c r="F59" s="646">
        <f>ROUND(E59*'[1]Table 3 Levels 1&amp;2'!D59,0)</f>
        <v>376640</v>
      </c>
      <c r="G59" s="647">
        <v>929136</v>
      </c>
      <c r="H59" s="648">
        <v>33946</v>
      </c>
      <c r="I59" s="649">
        <f t="shared" si="9"/>
        <v>27.37</v>
      </c>
      <c r="J59" s="650">
        <f>ROUND('[1]Table 3 Levels 1&amp;2'!D59*I59,0)</f>
        <v>937149</v>
      </c>
      <c r="K59" s="639">
        <v>3033.2064750947234</v>
      </c>
      <c r="L59" s="256">
        <f t="shared" si="10"/>
        <v>5268680</v>
      </c>
      <c r="M59" s="633">
        <v>2016.7213004678565</v>
      </c>
      <c r="N59" s="492">
        <f t="shared" si="11"/>
        <v>1186840</v>
      </c>
      <c r="O59" s="640">
        <v>1</v>
      </c>
      <c r="P59" s="492">
        <f t="shared" si="12"/>
        <v>20000</v>
      </c>
      <c r="Q59" s="641"/>
      <c r="R59" s="492">
        <f t="shared" si="13"/>
        <v>0</v>
      </c>
      <c r="S59" s="642">
        <v>0</v>
      </c>
      <c r="T59" s="642">
        <f>ROUND(S59*'[1]Table 3 Levels 1&amp;2'!D59,0)</f>
        <v>0</v>
      </c>
      <c r="U59" s="642">
        <v>0</v>
      </c>
      <c r="V59" s="492">
        <f t="shared" si="14"/>
        <v>0</v>
      </c>
      <c r="W59" s="643">
        <f>'[1]Table 3 Levels 1&amp;2'!D59</f>
        <v>34240</v>
      </c>
      <c r="X59" s="644">
        <f t="shared" si="15"/>
        <v>2739200</v>
      </c>
      <c r="Y59" s="651">
        <f t="shared" si="16"/>
        <v>10528509</v>
      </c>
    </row>
    <row r="60" spans="1:25" ht="12.75">
      <c r="A60" s="255">
        <v>53</v>
      </c>
      <c r="B60" s="488" t="s">
        <v>167</v>
      </c>
      <c r="C60" s="493">
        <v>2317638</v>
      </c>
      <c r="D60" s="633">
        <v>17839</v>
      </c>
      <c r="E60" s="257">
        <v>130</v>
      </c>
      <c r="F60" s="646">
        <f>ROUND(E60*'[1]Table 3 Levels 1&amp;2'!D60,0)</f>
        <v>2409420</v>
      </c>
      <c r="G60" s="647">
        <v>420684</v>
      </c>
      <c r="H60" s="648">
        <v>17636</v>
      </c>
      <c r="I60" s="649">
        <f t="shared" si="9"/>
        <v>23.85</v>
      </c>
      <c r="J60" s="650">
        <f>ROUND('[1]Table 3 Levels 1&amp;2'!D60*I60,0)</f>
        <v>442036</v>
      </c>
      <c r="K60" s="639">
        <v>1332.924751278588</v>
      </c>
      <c r="L60" s="256">
        <f t="shared" si="10"/>
        <v>2315290</v>
      </c>
      <c r="M60" s="633">
        <v>890.371863194318</v>
      </c>
      <c r="N60" s="492">
        <f t="shared" si="11"/>
        <v>523984</v>
      </c>
      <c r="O60" s="640">
        <v>2</v>
      </c>
      <c r="P60" s="492">
        <f t="shared" si="12"/>
        <v>40000</v>
      </c>
      <c r="Q60" s="641"/>
      <c r="R60" s="492">
        <f t="shared" si="13"/>
        <v>0</v>
      </c>
      <c r="S60" s="642">
        <v>0</v>
      </c>
      <c r="T60" s="642">
        <f>ROUND(S60*'[1]Table 3 Levels 1&amp;2'!D60,0)</f>
        <v>0</v>
      </c>
      <c r="U60" s="642">
        <v>0</v>
      </c>
      <c r="V60" s="492">
        <f t="shared" si="14"/>
        <v>0</v>
      </c>
      <c r="W60" s="643">
        <f>'[1]Table 3 Levels 1&amp;2'!D60</f>
        <v>18534</v>
      </c>
      <c r="X60" s="644">
        <f t="shared" si="15"/>
        <v>1482720</v>
      </c>
      <c r="Y60" s="651">
        <f t="shared" si="16"/>
        <v>7213450</v>
      </c>
    </row>
    <row r="61" spans="1:25" ht="12.75">
      <c r="A61" s="255">
        <v>54</v>
      </c>
      <c r="B61" s="488" t="s">
        <v>168</v>
      </c>
      <c r="C61" s="493">
        <v>143741</v>
      </c>
      <c r="D61" s="633">
        <v>953</v>
      </c>
      <c r="E61" s="257">
        <v>151</v>
      </c>
      <c r="F61" s="646">
        <f>ROUND(E61*'[1]Table 3 Levels 1&amp;2'!D61,0)</f>
        <v>119441</v>
      </c>
      <c r="G61" s="647">
        <v>45644</v>
      </c>
      <c r="H61" s="648">
        <v>916</v>
      </c>
      <c r="I61" s="649">
        <f t="shared" si="9"/>
        <v>49.83</v>
      </c>
      <c r="J61" s="650">
        <f>ROUND('[1]Table 3 Levels 1&amp;2'!D61*I61,0)</f>
        <v>39416</v>
      </c>
      <c r="K61" s="639">
        <v>81</v>
      </c>
      <c r="L61" s="256">
        <f t="shared" si="10"/>
        <v>140697</v>
      </c>
      <c r="M61" s="633">
        <v>92</v>
      </c>
      <c r="N61" s="492">
        <f t="shared" si="11"/>
        <v>54142</v>
      </c>
      <c r="O61" s="640">
        <v>0</v>
      </c>
      <c r="P61" s="492">
        <f t="shared" si="12"/>
        <v>0</v>
      </c>
      <c r="Q61" s="641"/>
      <c r="R61" s="492">
        <f t="shared" si="13"/>
        <v>0</v>
      </c>
      <c r="S61" s="642">
        <v>0</v>
      </c>
      <c r="T61" s="642">
        <f>ROUND(S61*'[1]Table 3 Levels 1&amp;2'!D61,0)</f>
        <v>0</v>
      </c>
      <c r="U61" s="642">
        <v>0</v>
      </c>
      <c r="V61" s="492">
        <f t="shared" si="14"/>
        <v>0</v>
      </c>
      <c r="W61" s="643">
        <f>'[1]Table 3 Levels 1&amp;2'!D61</f>
        <v>791</v>
      </c>
      <c r="X61" s="644">
        <f t="shared" si="15"/>
        <v>63280</v>
      </c>
      <c r="Y61" s="651">
        <f t="shared" si="16"/>
        <v>416976</v>
      </c>
    </row>
    <row r="62" spans="1:25" ht="12.75">
      <c r="A62" s="265">
        <v>55</v>
      </c>
      <c r="B62" s="508" t="s">
        <v>169</v>
      </c>
      <c r="C62" s="514">
        <v>2873694</v>
      </c>
      <c r="D62" s="652">
        <v>19262</v>
      </c>
      <c r="E62" s="270">
        <v>149</v>
      </c>
      <c r="F62" s="653">
        <f>ROUND(E62*'[1]Table 3 Levels 1&amp;2'!D62,0)</f>
        <v>2804478</v>
      </c>
      <c r="G62" s="654">
        <v>524229</v>
      </c>
      <c r="H62" s="655">
        <v>19250</v>
      </c>
      <c r="I62" s="656">
        <f t="shared" si="9"/>
        <v>27.23</v>
      </c>
      <c r="J62" s="657">
        <f>ROUND('[1]Table 3 Levels 1&amp;2'!D62*I62,0)</f>
        <v>512523</v>
      </c>
      <c r="K62" s="658">
        <v>1681.565762498078</v>
      </c>
      <c r="L62" s="266">
        <f t="shared" si="10"/>
        <v>2920880</v>
      </c>
      <c r="M62" s="659">
        <v>941.1289415154083</v>
      </c>
      <c r="N62" s="513">
        <f t="shared" si="11"/>
        <v>553854</v>
      </c>
      <c r="O62" s="660">
        <v>0</v>
      </c>
      <c r="P62" s="513">
        <f t="shared" si="12"/>
        <v>0</v>
      </c>
      <c r="Q62" s="661"/>
      <c r="R62" s="513">
        <f t="shared" si="13"/>
        <v>0</v>
      </c>
      <c r="S62" s="662">
        <v>0</v>
      </c>
      <c r="T62" s="662">
        <f>ROUND(S62*'[1]Table 3 Levels 1&amp;2'!D62,0)</f>
        <v>0</v>
      </c>
      <c r="U62" s="662">
        <v>0</v>
      </c>
      <c r="V62" s="513">
        <f t="shared" si="14"/>
        <v>0</v>
      </c>
      <c r="W62" s="663">
        <f>'[1]Table 3 Levels 1&amp;2'!D62</f>
        <v>18822</v>
      </c>
      <c r="X62" s="664">
        <f t="shared" si="15"/>
        <v>1505760</v>
      </c>
      <c r="Y62" s="665">
        <f t="shared" si="16"/>
        <v>8297495</v>
      </c>
    </row>
    <row r="63" spans="1:25" ht="12.75">
      <c r="A63" s="255">
        <v>56</v>
      </c>
      <c r="B63" s="488" t="s">
        <v>170</v>
      </c>
      <c r="C63" s="493">
        <v>0</v>
      </c>
      <c r="D63" s="633">
        <v>3487</v>
      </c>
      <c r="E63" s="257">
        <v>0</v>
      </c>
      <c r="F63" s="646">
        <f>ROUND(E63*'[1]Table 3 Levels 1&amp;2'!D63,0)</f>
        <v>0</v>
      </c>
      <c r="G63" s="647">
        <v>97236</v>
      </c>
      <c r="H63" s="648">
        <v>3425</v>
      </c>
      <c r="I63" s="649">
        <f t="shared" si="9"/>
        <v>28.39</v>
      </c>
      <c r="J63" s="650">
        <f>ROUND('[1]Table 3 Levels 1&amp;2'!D63*I63,0)</f>
        <v>86306</v>
      </c>
      <c r="K63" s="639">
        <v>217.0842908797514</v>
      </c>
      <c r="L63" s="256">
        <f t="shared" si="10"/>
        <v>377075</v>
      </c>
      <c r="M63" s="633">
        <v>196.91570912024864</v>
      </c>
      <c r="N63" s="492">
        <f t="shared" si="11"/>
        <v>115885</v>
      </c>
      <c r="O63" s="640">
        <v>0</v>
      </c>
      <c r="P63" s="492">
        <f t="shared" si="12"/>
        <v>0</v>
      </c>
      <c r="Q63" s="641"/>
      <c r="R63" s="492">
        <f t="shared" si="13"/>
        <v>0</v>
      </c>
      <c r="S63" s="642">
        <v>0</v>
      </c>
      <c r="T63" s="642">
        <f>ROUND(S63*'[1]Table 3 Levels 1&amp;2'!D63,0)</f>
        <v>0</v>
      </c>
      <c r="U63" s="642">
        <v>0</v>
      </c>
      <c r="V63" s="492">
        <f t="shared" si="14"/>
        <v>0</v>
      </c>
      <c r="W63" s="643">
        <f>'[1]Table 3 Levels 1&amp;2'!D63</f>
        <v>3040</v>
      </c>
      <c r="X63" s="644">
        <f t="shared" si="15"/>
        <v>243200</v>
      </c>
      <c r="Y63" s="651">
        <f t="shared" si="16"/>
        <v>822466</v>
      </c>
    </row>
    <row r="64" spans="1:25" ht="12.75">
      <c r="A64" s="255">
        <v>57</v>
      </c>
      <c r="B64" s="488" t="s">
        <v>171</v>
      </c>
      <c r="C64" s="493">
        <v>1405239</v>
      </c>
      <c r="D64" s="633">
        <v>8687</v>
      </c>
      <c r="E64" s="257">
        <v>162</v>
      </c>
      <c r="F64" s="646">
        <f>ROUND(E64*'[1]Table 3 Levels 1&amp;2'!D64,0)</f>
        <v>1383480</v>
      </c>
      <c r="G64" s="647">
        <v>191386</v>
      </c>
      <c r="H64" s="648">
        <v>8707</v>
      </c>
      <c r="I64" s="649">
        <f t="shared" si="9"/>
        <v>21.98</v>
      </c>
      <c r="J64" s="650">
        <f>ROUND('[1]Table 3 Levels 1&amp;2'!D64*I64,0)</f>
        <v>187709</v>
      </c>
      <c r="K64" s="639">
        <v>767.9287739926741</v>
      </c>
      <c r="L64" s="256">
        <f t="shared" si="10"/>
        <v>1333892</v>
      </c>
      <c r="M64" s="633">
        <v>410.4392146927147</v>
      </c>
      <c r="N64" s="492">
        <f t="shared" si="11"/>
        <v>241543</v>
      </c>
      <c r="O64" s="640">
        <v>0</v>
      </c>
      <c r="P64" s="492">
        <f t="shared" si="12"/>
        <v>0</v>
      </c>
      <c r="Q64" s="641"/>
      <c r="R64" s="492">
        <f t="shared" si="13"/>
        <v>0</v>
      </c>
      <c r="S64" s="642">
        <v>0</v>
      </c>
      <c r="T64" s="642">
        <f>ROUND(S64*'[1]Table 3 Levels 1&amp;2'!D64,0)</f>
        <v>0</v>
      </c>
      <c r="U64" s="642">
        <v>0</v>
      </c>
      <c r="V64" s="492">
        <f t="shared" si="14"/>
        <v>0</v>
      </c>
      <c r="W64" s="643">
        <f>'[1]Table 3 Levels 1&amp;2'!D64</f>
        <v>8540</v>
      </c>
      <c r="X64" s="644">
        <f t="shared" si="15"/>
        <v>683200</v>
      </c>
      <c r="Y64" s="651">
        <f t="shared" si="16"/>
        <v>3829824</v>
      </c>
    </row>
    <row r="65" spans="1:25" ht="12.75">
      <c r="A65" s="255">
        <v>58</v>
      </c>
      <c r="B65" s="488" t="s">
        <v>172</v>
      </c>
      <c r="C65" s="493">
        <v>1546233</v>
      </c>
      <c r="D65" s="633">
        <v>9794</v>
      </c>
      <c r="E65" s="257">
        <v>158</v>
      </c>
      <c r="F65" s="646">
        <f>ROUND(E65*'[1]Table 3 Levels 1&amp;2'!D65,0)</f>
        <v>1458656</v>
      </c>
      <c r="G65" s="647">
        <v>316027</v>
      </c>
      <c r="H65" s="648">
        <v>9630</v>
      </c>
      <c r="I65" s="649">
        <f t="shared" si="9"/>
        <v>32.82</v>
      </c>
      <c r="J65" s="650">
        <f>ROUND('[1]Table 3 Levels 1&amp;2'!D65*I65,0)</f>
        <v>302994</v>
      </c>
      <c r="K65" s="639">
        <v>838</v>
      </c>
      <c r="L65" s="256">
        <f t="shared" si="10"/>
        <v>1455606</v>
      </c>
      <c r="M65" s="633">
        <v>652</v>
      </c>
      <c r="N65" s="492">
        <f t="shared" si="11"/>
        <v>383702</v>
      </c>
      <c r="O65" s="640">
        <v>2</v>
      </c>
      <c r="P65" s="492">
        <f t="shared" si="12"/>
        <v>40000</v>
      </c>
      <c r="Q65" s="641"/>
      <c r="R65" s="492">
        <f t="shared" si="13"/>
        <v>0</v>
      </c>
      <c r="S65" s="642">
        <v>0</v>
      </c>
      <c r="T65" s="642">
        <f>ROUND(S65*'[1]Table 3 Levels 1&amp;2'!D65,0)</f>
        <v>0</v>
      </c>
      <c r="U65" s="642">
        <v>0</v>
      </c>
      <c r="V65" s="492">
        <f t="shared" si="14"/>
        <v>0</v>
      </c>
      <c r="W65" s="643">
        <f>'[1]Table 3 Levels 1&amp;2'!D65</f>
        <v>9232</v>
      </c>
      <c r="X65" s="644">
        <f t="shared" si="15"/>
        <v>738560</v>
      </c>
      <c r="Y65" s="651">
        <f t="shared" si="16"/>
        <v>4379518</v>
      </c>
    </row>
    <row r="66" spans="1:25" ht="12.75">
      <c r="A66" s="255">
        <v>59</v>
      </c>
      <c r="B66" s="488" t="s">
        <v>173</v>
      </c>
      <c r="C66" s="493">
        <v>567537</v>
      </c>
      <c r="D66" s="633">
        <v>4496</v>
      </c>
      <c r="E66" s="257">
        <v>126</v>
      </c>
      <c r="F66" s="646">
        <f>ROUND(E66*'[1]Table 3 Levels 1&amp;2'!D66,0)</f>
        <v>593460</v>
      </c>
      <c r="G66" s="647">
        <v>141222</v>
      </c>
      <c r="H66" s="648">
        <v>4528</v>
      </c>
      <c r="I66" s="649">
        <f t="shared" si="9"/>
        <v>31.19</v>
      </c>
      <c r="J66" s="650">
        <f>ROUND('[1]Table 3 Levels 1&amp;2'!D66*I66,0)</f>
        <v>146905</v>
      </c>
      <c r="K66" s="639">
        <v>435.14171472092255</v>
      </c>
      <c r="L66" s="256">
        <f t="shared" si="10"/>
        <v>755841</v>
      </c>
      <c r="M66" s="633">
        <v>320.8277777777778</v>
      </c>
      <c r="N66" s="492">
        <f t="shared" si="11"/>
        <v>188807</v>
      </c>
      <c r="O66" s="640">
        <v>0</v>
      </c>
      <c r="P66" s="492">
        <f t="shared" si="12"/>
        <v>0</v>
      </c>
      <c r="Q66" s="641"/>
      <c r="R66" s="492">
        <f t="shared" si="13"/>
        <v>0</v>
      </c>
      <c r="S66" s="642">
        <v>0</v>
      </c>
      <c r="T66" s="642">
        <f>ROUND(S66*'[1]Table 3 Levels 1&amp;2'!D66,0)</f>
        <v>0</v>
      </c>
      <c r="U66" s="642">
        <v>0</v>
      </c>
      <c r="V66" s="492">
        <f t="shared" si="14"/>
        <v>0</v>
      </c>
      <c r="W66" s="643">
        <f>'[1]Table 3 Levels 1&amp;2'!D66</f>
        <v>4710</v>
      </c>
      <c r="X66" s="644">
        <f t="shared" si="15"/>
        <v>376800</v>
      </c>
      <c r="Y66" s="651">
        <f t="shared" si="16"/>
        <v>2061813</v>
      </c>
    </row>
    <row r="67" spans="1:25" ht="12.75">
      <c r="A67" s="265">
        <v>60</v>
      </c>
      <c r="B67" s="508" t="s">
        <v>174</v>
      </c>
      <c r="C67" s="514">
        <v>154833</v>
      </c>
      <c r="D67" s="652">
        <v>7527</v>
      </c>
      <c r="E67" s="270">
        <v>21</v>
      </c>
      <c r="F67" s="653">
        <f>ROUND(E67*'[1]Table 3 Levels 1&amp;2'!D67,0)</f>
        <v>148365</v>
      </c>
      <c r="G67" s="654">
        <v>186111</v>
      </c>
      <c r="H67" s="655">
        <v>7512</v>
      </c>
      <c r="I67" s="656">
        <f t="shared" si="9"/>
        <v>24.78</v>
      </c>
      <c r="J67" s="657">
        <f>ROUND('[1]Table 3 Levels 1&amp;2'!D67*I67,0)</f>
        <v>175071</v>
      </c>
      <c r="K67" s="658">
        <v>574</v>
      </c>
      <c r="L67" s="266">
        <f t="shared" si="10"/>
        <v>997038</v>
      </c>
      <c r="M67" s="659">
        <v>394</v>
      </c>
      <c r="N67" s="513">
        <f t="shared" si="11"/>
        <v>231869</v>
      </c>
      <c r="O67" s="660">
        <v>0</v>
      </c>
      <c r="P67" s="513">
        <f t="shared" si="12"/>
        <v>0</v>
      </c>
      <c r="Q67" s="661"/>
      <c r="R67" s="513">
        <f t="shared" si="13"/>
        <v>0</v>
      </c>
      <c r="S67" s="662">
        <v>0</v>
      </c>
      <c r="T67" s="662">
        <f>ROUND(S67*'[1]Table 3 Levels 1&amp;2'!D67,0)</f>
        <v>0</v>
      </c>
      <c r="U67" s="662">
        <v>0</v>
      </c>
      <c r="V67" s="513">
        <f t="shared" si="14"/>
        <v>0</v>
      </c>
      <c r="W67" s="663">
        <f>'[1]Table 3 Levels 1&amp;2'!D67</f>
        <v>7065</v>
      </c>
      <c r="X67" s="664">
        <f t="shared" si="15"/>
        <v>565200</v>
      </c>
      <c r="Y67" s="665">
        <f t="shared" si="16"/>
        <v>2117543</v>
      </c>
    </row>
    <row r="68" spans="1:25" ht="12.75">
      <c r="A68" s="255">
        <v>61</v>
      </c>
      <c r="B68" s="488" t="s">
        <v>175</v>
      </c>
      <c r="C68" s="493">
        <v>605895</v>
      </c>
      <c r="D68" s="633">
        <v>3641</v>
      </c>
      <c r="E68" s="257">
        <v>166</v>
      </c>
      <c r="F68" s="646">
        <f>ROUND(E68*'[1]Table 3 Levels 1&amp;2'!D68,0)</f>
        <v>557262</v>
      </c>
      <c r="G68" s="647">
        <v>110093</v>
      </c>
      <c r="H68" s="648">
        <v>3492</v>
      </c>
      <c r="I68" s="649">
        <f t="shared" si="9"/>
        <v>31.53</v>
      </c>
      <c r="J68" s="650">
        <f>ROUND('[1]Table 3 Levels 1&amp;2'!D68*I68,0)</f>
        <v>105846</v>
      </c>
      <c r="K68" s="639">
        <v>308.3000587199061</v>
      </c>
      <c r="L68" s="256">
        <f t="shared" si="10"/>
        <v>535517</v>
      </c>
      <c r="M68" s="633">
        <v>193.9372222222222</v>
      </c>
      <c r="N68" s="492">
        <f t="shared" si="11"/>
        <v>114132</v>
      </c>
      <c r="O68" s="640">
        <v>0</v>
      </c>
      <c r="P68" s="492">
        <f t="shared" si="12"/>
        <v>0</v>
      </c>
      <c r="Q68" s="641"/>
      <c r="R68" s="492">
        <f t="shared" si="13"/>
        <v>0</v>
      </c>
      <c r="S68" s="642">
        <v>0</v>
      </c>
      <c r="T68" s="642">
        <f>ROUND(S68*'[1]Table 3 Levels 1&amp;2'!D68,0)</f>
        <v>0</v>
      </c>
      <c r="U68" s="642">
        <v>0</v>
      </c>
      <c r="V68" s="492">
        <f t="shared" si="14"/>
        <v>0</v>
      </c>
      <c r="W68" s="643">
        <f>'[1]Table 3 Levels 1&amp;2'!D68</f>
        <v>3357</v>
      </c>
      <c r="X68" s="644">
        <f t="shared" si="15"/>
        <v>268560</v>
      </c>
      <c r="Y68" s="651">
        <f t="shared" si="16"/>
        <v>1581317</v>
      </c>
    </row>
    <row r="69" spans="1:25" ht="12.75">
      <c r="A69" s="255">
        <v>62</v>
      </c>
      <c r="B69" s="488" t="s">
        <v>176</v>
      </c>
      <c r="C69" s="493">
        <v>18940</v>
      </c>
      <c r="D69" s="633">
        <v>2481</v>
      </c>
      <c r="E69" s="257">
        <v>8</v>
      </c>
      <c r="F69" s="646">
        <f>ROUND(E69*'[1]Table 3 Levels 1&amp;2'!D69,0)</f>
        <v>17416</v>
      </c>
      <c r="G69" s="647">
        <v>58650</v>
      </c>
      <c r="H69" s="648">
        <v>2382</v>
      </c>
      <c r="I69" s="649">
        <f t="shared" si="9"/>
        <v>24.62</v>
      </c>
      <c r="J69" s="650">
        <f>ROUND('[1]Table 3 Levels 1&amp;2'!D69*I69,0)</f>
        <v>53598</v>
      </c>
      <c r="K69" s="639">
        <v>200.07318576388886</v>
      </c>
      <c r="L69" s="256">
        <f t="shared" si="10"/>
        <v>347527</v>
      </c>
      <c r="M69" s="633">
        <v>120.9268142361111</v>
      </c>
      <c r="N69" s="492">
        <f t="shared" si="11"/>
        <v>71165</v>
      </c>
      <c r="O69" s="640">
        <v>0</v>
      </c>
      <c r="P69" s="492">
        <f t="shared" si="12"/>
        <v>0</v>
      </c>
      <c r="Q69" s="641"/>
      <c r="R69" s="492">
        <f t="shared" si="13"/>
        <v>0</v>
      </c>
      <c r="S69" s="642">
        <v>0</v>
      </c>
      <c r="T69" s="642">
        <f>ROUND(S69*'[1]Table 3 Levels 1&amp;2'!D69,0)</f>
        <v>0</v>
      </c>
      <c r="U69" s="642">
        <v>0</v>
      </c>
      <c r="V69" s="492">
        <f t="shared" si="14"/>
        <v>0</v>
      </c>
      <c r="W69" s="643">
        <f>'[1]Table 3 Levels 1&amp;2'!D69</f>
        <v>2177</v>
      </c>
      <c r="X69" s="644">
        <f t="shared" si="15"/>
        <v>174160</v>
      </c>
      <c r="Y69" s="651">
        <f t="shared" si="16"/>
        <v>663866</v>
      </c>
    </row>
    <row r="70" spans="1:25" ht="12.75">
      <c r="A70" s="255">
        <v>63</v>
      </c>
      <c r="B70" s="488" t="s">
        <v>177</v>
      </c>
      <c r="C70" s="493">
        <v>0</v>
      </c>
      <c r="D70" s="633">
        <v>2209</v>
      </c>
      <c r="E70" s="257">
        <v>0</v>
      </c>
      <c r="F70" s="646">
        <f>ROUND(E70*'[1]Table 3 Levels 1&amp;2'!D70,0)</f>
        <v>0</v>
      </c>
      <c r="G70" s="647">
        <v>70476</v>
      </c>
      <c r="H70" s="648">
        <v>2224</v>
      </c>
      <c r="I70" s="649">
        <f t="shared" si="9"/>
        <v>31.69</v>
      </c>
      <c r="J70" s="650">
        <f>ROUND('[1]Table 3 Levels 1&amp;2'!D70*I70,0)</f>
        <v>72285</v>
      </c>
      <c r="K70" s="639">
        <v>227.99400475277145</v>
      </c>
      <c r="L70" s="256">
        <f t="shared" si="10"/>
        <v>396026</v>
      </c>
      <c r="M70" s="633">
        <v>160</v>
      </c>
      <c r="N70" s="492">
        <f t="shared" si="11"/>
        <v>94160</v>
      </c>
      <c r="O70" s="640">
        <v>0</v>
      </c>
      <c r="P70" s="492">
        <f t="shared" si="12"/>
        <v>0</v>
      </c>
      <c r="Q70" s="641"/>
      <c r="R70" s="492">
        <f t="shared" si="13"/>
        <v>0</v>
      </c>
      <c r="S70" s="642">
        <v>2697</v>
      </c>
      <c r="T70" s="642">
        <f>ROUND(S70*'[1]Table 3 Levels 1&amp;2'!D70,0)</f>
        <v>6151857</v>
      </c>
      <c r="U70" s="642">
        <v>5908357</v>
      </c>
      <c r="V70" s="492">
        <f t="shared" si="14"/>
        <v>5908357</v>
      </c>
      <c r="W70" s="643">
        <f>'[1]Table 3 Levels 1&amp;2'!D70</f>
        <v>2281</v>
      </c>
      <c r="X70" s="644">
        <f t="shared" si="15"/>
        <v>182480</v>
      </c>
      <c r="Y70" s="651">
        <f t="shared" si="16"/>
        <v>6653308</v>
      </c>
    </row>
    <row r="71" spans="1:25" ht="12.75">
      <c r="A71" s="255">
        <v>64</v>
      </c>
      <c r="B71" s="488" t="s">
        <v>178</v>
      </c>
      <c r="C71" s="493">
        <v>131366</v>
      </c>
      <c r="D71" s="633">
        <v>2813</v>
      </c>
      <c r="E71" s="257">
        <v>47</v>
      </c>
      <c r="F71" s="646">
        <f>ROUND(E71*'[1]Table 3 Levels 1&amp;2'!D71,0)</f>
        <v>121918</v>
      </c>
      <c r="G71" s="647">
        <v>88281</v>
      </c>
      <c r="H71" s="648">
        <v>2777</v>
      </c>
      <c r="I71" s="649">
        <f t="shared" si="9"/>
        <v>31.79</v>
      </c>
      <c r="J71" s="650">
        <f>ROUND('[1]Table 3 Levels 1&amp;2'!D71*I71,0)</f>
        <v>82463</v>
      </c>
      <c r="K71" s="639">
        <v>225</v>
      </c>
      <c r="L71" s="256">
        <f t="shared" si="10"/>
        <v>390825</v>
      </c>
      <c r="M71" s="633">
        <v>187</v>
      </c>
      <c r="N71" s="492">
        <f t="shared" si="11"/>
        <v>110050</v>
      </c>
      <c r="O71" s="640">
        <v>0</v>
      </c>
      <c r="P71" s="492">
        <f t="shared" si="12"/>
        <v>0</v>
      </c>
      <c r="Q71" s="641"/>
      <c r="R71" s="492">
        <f t="shared" si="13"/>
        <v>0</v>
      </c>
      <c r="S71" s="642">
        <v>0</v>
      </c>
      <c r="T71" s="642">
        <f>ROUND(S71*'[1]Table 3 Levels 1&amp;2'!D71,0)</f>
        <v>0</v>
      </c>
      <c r="U71" s="642">
        <v>0</v>
      </c>
      <c r="V71" s="492">
        <f t="shared" si="14"/>
        <v>0</v>
      </c>
      <c r="W71" s="643">
        <f>'[1]Table 3 Levels 1&amp;2'!D71</f>
        <v>2594</v>
      </c>
      <c r="X71" s="644">
        <f t="shared" si="15"/>
        <v>207520</v>
      </c>
      <c r="Y71" s="651">
        <f t="shared" si="16"/>
        <v>912776</v>
      </c>
    </row>
    <row r="72" spans="1:25" ht="12.75">
      <c r="A72" s="265">
        <v>65</v>
      </c>
      <c r="B72" s="508" t="s">
        <v>179</v>
      </c>
      <c r="C72" s="514">
        <v>1554565</v>
      </c>
      <c r="D72" s="659">
        <v>9546</v>
      </c>
      <c r="E72" s="270">
        <v>163</v>
      </c>
      <c r="F72" s="653">
        <f>ROUND(E72*'[1]Table 3 Levels 1&amp;2'!D72,0)</f>
        <v>1429021</v>
      </c>
      <c r="G72" s="654">
        <v>277304</v>
      </c>
      <c r="H72" s="655">
        <v>9266</v>
      </c>
      <c r="I72" s="656">
        <f>ROUND(G72/H72,2)</f>
        <v>29.93</v>
      </c>
      <c r="J72" s="657">
        <f>ROUND('[1]Table 3 Levels 1&amp;2'!D72*I72,0)</f>
        <v>262396</v>
      </c>
      <c r="K72" s="658">
        <v>756</v>
      </c>
      <c r="L72" s="266">
        <f>ROUND($L$6*K72*1.158,0)</f>
        <v>1313172</v>
      </c>
      <c r="M72" s="659">
        <v>649</v>
      </c>
      <c r="N72" s="513">
        <f>ROUND(M72*$N$6*1.177,0)</f>
        <v>381937</v>
      </c>
      <c r="O72" s="667">
        <v>0</v>
      </c>
      <c r="P72" s="513">
        <f>ROUND($P$6*O72,0)</f>
        <v>0</v>
      </c>
      <c r="Q72" s="661"/>
      <c r="R72" s="668">
        <f>ROUND(Q72*$R$6,0)</f>
        <v>0</v>
      </c>
      <c r="S72" s="662">
        <v>0</v>
      </c>
      <c r="T72" s="662">
        <f>ROUND(S72*'[1]Table 3 Levels 1&amp;2'!D72,0)</f>
        <v>0</v>
      </c>
      <c r="U72" s="662">
        <v>0</v>
      </c>
      <c r="V72" s="513">
        <f>IF(T72&gt;U72,U72,T72)</f>
        <v>0</v>
      </c>
      <c r="W72" s="663">
        <f>'[1]Table 3 Levels 1&amp;2'!D72</f>
        <v>8767</v>
      </c>
      <c r="X72" s="664">
        <f>ROUND(W72*$X$6,0)</f>
        <v>701360</v>
      </c>
      <c r="Y72" s="665">
        <f>X72+V72+P72+F72+J72+R72+L72+N72</f>
        <v>4087886</v>
      </c>
    </row>
    <row r="73" spans="1:25" ht="12.75">
      <c r="A73" s="530">
        <v>66</v>
      </c>
      <c r="B73" s="531" t="s">
        <v>180</v>
      </c>
      <c r="C73" s="536">
        <v>0</v>
      </c>
      <c r="D73" s="669">
        <v>3016</v>
      </c>
      <c r="E73" s="539">
        <v>0</v>
      </c>
      <c r="F73" s="634">
        <f>ROUND(E73*'[1]Table 3 Levels 1&amp;2'!D73,0)</f>
        <v>0</v>
      </c>
      <c r="G73" s="635">
        <v>89005</v>
      </c>
      <c r="H73" s="636">
        <v>2913</v>
      </c>
      <c r="I73" s="637">
        <f>ROUND(G73/H73,2)</f>
        <v>30.55</v>
      </c>
      <c r="J73" s="638">
        <f>ROUND('[1]Table 3 Levels 1&amp;2'!D73*I73,0)</f>
        <v>76100</v>
      </c>
      <c r="K73" s="670">
        <v>207.5994767137624</v>
      </c>
      <c r="L73" s="260">
        <f>ROUND($L$6*K73*1.158,0)</f>
        <v>360600</v>
      </c>
      <c r="M73" s="669">
        <v>226.99565217391307</v>
      </c>
      <c r="N73" s="535">
        <f>ROUND(M73*$N$6*1.177,0)</f>
        <v>133587</v>
      </c>
      <c r="O73" s="671">
        <v>0</v>
      </c>
      <c r="P73" s="535">
        <f>ROUND($P$6*O73,0)</f>
        <v>0</v>
      </c>
      <c r="Q73" s="672"/>
      <c r="R73" s="492">
        <f>ROUND(Q73*$R$6,0)</f>
        <v>0</v>
      </c>
      <c r="S73" s="673">
        <v>0</v>
      </c>
      <c r="T73" s="674">
        <f>ROUND(S73*'[1]Table 3 Levels 1&amp;2'!D73,0)</f>
        <v>0</v>
      </c>
      <c r="U73" s="674">
        <v>0</v>
      </c>
      <c r="V73" s="535">
        <f>IF(T73&gt;U73,U73,T73)</f>
        <v>0</v>
      </c>
      <c r="W73" s="675">
        <f>'[1]Table 3 Levels 1&amp;2'!D73</f>
        <v>2491</v>
      </c>
      <c r="X73" s="676">
        <f>ROUND(W73*$X$6,0)</f>
        <v>199280</v>
      </c>
      <c r="Y73" s="645">
        <f>X73+V73+P73+F73+J73+R73+L73+N73</f>
        <v>769567</v>
      </c>
    </row>
    <row r="74" spans="1:25" ht="12.75">
      <c r="A74" s="382">
        <v>67</v>
      </c>
      <c r="B74" s="410" t="s">
        <v>181</v>
      </c>
      <c r="C74" s="677">
        <v>0</v>
      </c>
      <c r="D74" s="506">
        <v>0</v>
      </c>
      <c r="E74" s="678">
        <f>E24</f>
        <v>175</v>
      </c>
      <c r="F74" s="646">
        <f>ROUND(E74*'[1]Table 3 Levels 1&amp;2'!D74,0)</f>
        <v>602525</v>
      </c>
      <c r="G74" s="679">
        <v>0</v>
      </c>
      <c r="H74" s="680">
        <v>0</v>
      </c>
      <c r="I74" s="649">
        <f>I24</f>
        <v>27.56</v>
      </c>
      <c r="J74" s="650">
        <f>ROUND('[1]Table 3 Levels 1&amp;2'!D74*I74,0)</f>
        <v>94889</v>
      </c>
      <c r="K74" s="639">
        <v>265.74029304029307</v>
      </c>
      <c r="L74" s="681">
        <f>ROUND($L$6*K74*1.158,0)</f>
        <v>461591</v>
      </c>
      <c r="M74" s="682">
        <v>98.56875786296578</v>
      </c>
      <c r="N74" s="644">
        <f>ROUND(M74*$N$6*1.177,0)</f>
        <v>58008</v>
      </c>
      <c r="O74" s="640">
        <v>2</v>
      </c>
      <c r="P74" s="492">
        <f>ROUND($P$6*O74,0)</f>
        <v>40000</v>
      </c>
      <c r="Q74" s="683"/>
      <c r="R74" s="492">
        <f>ROUND(Q74*$R$6,0)</f>
        <v>0</v>
      </c>
      <c r="S74" s="684">
        <v>0</v>
      </c>
      <c r="T74" s="642">
        <f>ROUND(S74*'[1]Table 3 Levels 1&amp;2'!D74,0)</f>
        <v>0</v>
      </c>
      <c r="U74" s="642">
        <v>0</v>
      </c>
      <c r="V74" s="492">
        <f>IF(T74&gt;U74,U74,T74)</f>
        <v>0</v>
      </c>
      <c r="W74" s="643">
        <f>'[1]Table 3 Levels 1&amp;2'!D74</f>
        <v>3443</v>
      </c>
      <c r="X74" s="644">
        <f>ROUND(W74*$X$6,0)</f>
        <v>275440</v>
      </c>
      <c r="Y74" s="651">
        <f>X74+V74+P74+F74+J74+R74+L74+N74</f>
        <v>1532453</v>
      </c>
    </row>
    <row r="75" spans="1:25" ht="12.75">
      <c r="A75" s="546">
        <v>68</v>
      </c>
      <c r="B75" s="547" t="s">
        <v>182</v>
      </c>
      <c r="C75" s="514">
        <v>0</v>
      </c>
      <c r="D75" s="521">
        <v>0</v>
      </c>
      <c r="E75" s="685">
        <f>E24</f>
        <v>175</v>
      </c>
      <c r="F75" s="686">
        <f>ROUND(E75*'[1]Table 3 Levels 1&amp;2'!D75,0)</f>
        <v>381850</v>
      </c>
      <c r="G75" s="687">
        <v>0</v>
      </c>
      <c r="H75" s="688">
        <v>0</v>
      </c>
      <c r="I75" s="656">
        <f>I24</f>
        <v>27.56</v>
      </c>
      <c r="J75" s="657">
        <f>ROUND('[1]Table 3 Levels 1&amp;2'!D75*I75,0)</f>
        <v>60136</v>
      </c>
      <c r="K75" s="639">
        <v>181.7</v>
      </c>
      <c r="L75" s="689">
        <f>ROUND($L$6*K75*1.158,0)</f>
        <v>315613</v>
      </c>
      <c r="M75" s="499">
        <v>103</v>
      </c>
      <c r="N75" s="690">
        <f>ROUND(M75*$N$6*1.177,0)</f>
        <v>60616</v>
      </c>
      <c r="O75" s="667">
        <v>6</v>
      </c>
      <c r="P75" s="513">
        <f>ROUND($P$6*O75,0)</f>
        <v>120000</v>
      </c>
      <c r="Q75" s="691"/>
      <c r="R75" s="668">
        <f>ROUND(Q75*$R$6,0)</f>
        <v>0</v>
      </c>
      <c r="S75" s="692">
        <v>0</v>
      </c>
      <c r="T75" s="662">
        <f>ROUND(S75*'[1]Table 3 Levels 1&amp;2'!D75,0)</f>
        <v>0</v>
      </c>
      <c r="U75" s="662">
        <v>0</v>
      </c>
      <c r="V75" s="513">
        <f>IF(T75&gt;U75,U75,T75)</f>
        <v>0</v>
      </c>
      <c r="W75" s="663">
        <f>'[1]Table 3 Levels 1&amp;2'!D75</f>
        <v>2182</v>
      </c>
      <c r="X75" s="664">
        <f>ROUND(W75*$X$6,0)</f>
        <v>174560</v>
      </c>
      <c r="Y75" s="665">
        <f>X75+V75+P75+F75+J75+R75+L75+N75</f>
        <v>1112775</v>
      </c>
    </row>
    <row r="76" spans="1:25" s="300" customFormat="1" ht="13.5" thickBot="1">
      <c r="A76" s="548"/>
      <c r="B76" s="549" t="s">
        <v>183</v>
      </c>
      <c r="C76" s="693">
        <f>SUM(C8:C75)</f>
        <v>65417228</v>
      </c>
      <c r="D76" s="694">
        <f>SUM(D8:D75)</f>
        <v>712598</v>
      </c>
      <c r="E76" s="695">
        <f>ROUND(C76/D76,0)</f>
        <v>92</v>
      </c>
      <c r="F76" s="696">
        <f>SUM(F8:F75)</f>
        <v>56507216</v>
      </c>
      <c r="G76" s="696">
        <f>SUM(G8:G75)</f>
        <v>19687471</v>
      </c>
      <c r="H76" s="697">
        <f>SUM(H8:H75)</f>
        <v>707867</v>
      </c>
      <c r="I76" s="698">
        <f>ROUND(G76/H76,2)</f>
        <v>27.81</v>
      </c>
      <c r="J76" s="699">
        <f aca="true" t="shared" si="17" ref="J76:R76">SUM(J8:J75)</f>
        <v>18113128</v>
      </c>
      <c r="K76" s="700">
        <f t="shared" si="17"/>
        <v>53955.05541405158</v>
      </c>
      <c r="L76" s="701">
        <f t="shared" si="17"/>
        <v>93719932</v>
      </c>
      <c r="M76" s="700">
        <f t="shared" si="17"/>
        <v>36901.67169334615</v>
      </c>
      <c r="N76" s="701">
        <f t="shared" si="17"/>
        <v>21716638</v>
      </c>
      <c r="O76" s="702">
        <f t="shared" si="17"/>
        <v>207</v>
      </c>
      <c r="P76" s="703">
        <f t="shared" si="17"/>
        <v>4140000</v>
      </c>
      <c r="Q76" s="704">
        <f t="shared" si="17"/>
        <v>0</v>
      </c>
      <c r="R76" s="705">
        <f t="shared" si="17"/>
        <v>0</v>
      </c>
      <c r="S76" s="706">
        <v>507</v>
      </c>
      <c r="T76" s="707">
        <f aca="true" t="shared" si="18" ref="T76:Y76">SUM(T8:T75)</f>
        <v>77916758</v>
      </c>
      <c r="U76" s="707">
        <f t="shared" si="18"/>
        <v>80967502</v>
      </c>
      <c r="V76" s="703">
        <f t="shared" si="18"/>
        <v>76792933</v>
      </c>
      <c r="W76" s="708">
        <f t="shared" si="18"/>
        <v>645747</v>
      </c>
      <c r="X76" s="703">
        <f t="shared" si="18"/>
        <v>51659760</v>
      </c>
      <c r="Y76" s="709">
        <f t="shared" si="18"/>
        <v>322649607</v>
      </c>
    </row>
    <row r="77" spans="1:25" s="300" customFormat="1" ht="14.25" thickBot="1" thickTop="1">
      <c r="A77" s="710"/>
      <c r="B77" s="711"/>
      <c r="C77" s="712"/>
      <c r="D77" s="712"/>
      <c r="E77" s="713"/>
      <c r="F77" s="714"/>
      <c r="G77" s="715"/>
      <c r="H77" s="716"/>
      <c r="I77" s="715"/>
      <c r="J77" s="715"/>
      <c r="K77" s="715"/>
      <c r="L77" s="715"/>
      <c r="M77" s="715"/>
      <c r="N77" s="715"/>
      <c r="O77" s="717"/>
      <c r="P77" s="718"/>
      <c r="Q77" s="719"/>
      <c r="R77" s="713"/>
      <c r="S77" s="719"/>
      <c r="T77" s="719"/>
      <c r="U77" s="719"/>
      <c r="V77" s="719"/>
      <c r="X77" s="720"/>
      <c r="Y77" s="713"/>
    </row>
    <row r="78" spans="8:25" ht="12.75">
      <c r="H78" s="721"/>
      <c r="O78" s="722"/>
      <c r="P78" s="723"/>
      <c r="Q78" s="302"/>
      <c r="R78" s="302"/>
      <c r="S78" s="302"/>
      <c r="T78" s="302"/>
      <c r="U78" s="302"/>
      <c r="V78" s="443"/>
      <c r="W78" s="724"/>
      <c r="X78" s="228"/>
      <c r="Y78" s="302"/>
    </row>
    <row r="79" spans="6:25" ht="13.5" customHeight="1" thickBot="1">
      <c r="F79" s="304"/>
      <c r="G79" s="304"/>
      <c r="H79" s="304"/>
      <c r="I79" s="304"/>
      <c r="J79" s="304"/>
      <c r="K79" s="304"/>
      <c r="L79" s="304"/>
      <c r="M79" s="304"/>
      <c r="N79" s="304"/>
      <c r="O79" s="725" t="s">
        <v>424</v>
      </c>
      <c r="P79" s="726">
        <f>300*20000</f>
        <v>6000000</v>
      </c>
      <c r="Q79" s="727"/>
      <c r="R79" s="727"/>
      <c r="S79" s="302"/>
      <c r="T79" s="302"/>
      <c r="U79" s="302"/>
      <c r="V79" s="443"/>
      <c r="W79" s="724"/>
      <c r="X79" s="228"/>
      <c r="Y79" s="302"/>
    </row>
    <row r="80" ht="12.75" customHeight="1"/>
  </sheetData>
  <sheetProtection/>
  <mergeCells count="17">
    <mergeCell ref="W2:X2"/>
    <mergeCell ref="U3:U6"/>
    <mergeCell ref="V3:V6"/>
    <mergeCell ref="Q2:R2"/>
    <mergeCell ref="S2:V2"/>
    <mergeCell ref="W3:W6"/>
    <mergeCell ref="Q5:Q6"/>
    <mergeCell ref="T3:T6"/>
    <mergeCell ref="S3:S6"/>
    <mergeCell ref="Q3:Q4"/>
    <mergeCell ref="O2:P2"/>
    <mergeCell ref="C2:F2"/>
    <mergeCell ref="G2:J2"/>
    <mergeCell ref="M3:M4"/>
    <mergeCell ref="K2:N2"/>
    <mergeCell ref="K3:K6"/>
    <mergeCell ref="L3:L5"/>
  </mergeCells>
  <printOptions horizontalCentered="1"/>
  <pageMargins left="0.25" right="0.25" top="1.25" bottom="0.27" header="0.25" footer="0.35"/>
  <pageSetup firstPageNumber="15" useFirstPageNumber="1" horizontalDpi="600" verticalDpi="600" orientation="portrait" paperSize="5" scale="75" r:id="rId2"/>
  <headerFooter alignWithMargins="0">
    <oddHeader>&amp;L&amp;"Arial,Bold"&amp;20Table 4: FY 2006-2007 Budget Letter
Level 3 Unequalized Funding</oddHeader>
    <oddFooter>&amp;R&amp;P</oddFooter>
  </headerFooter>
  <colBreaks count="2" manualBreakCount="2">
    <brk id="10" max="75" man="1"/>
    <brk id="18" max="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I3" sqref="I3"/>
    </sheetView>
  </sheetViews>
  <sheetFormatPr defaultColWidth="9.140625" defaultRowHeight="12.75"/>
  <cols>
    <col min="1" max="1" width="16.00390625" style="0" bestFit="1" customWidth="1"/>
    <col min="2" max="3" width="18.421875" style="0" customWidth="1"/>
    <col min="4" max="4" width="19.00390625" style="0" bestFit="1" customWidth="1"/>
    <col min="5" max="6" width="19.421875" style="0" customWidth="1"/>
    <col min="7" max="7" width="24.8515625" style="0" customWidth="1"/>
    <col min="8" max="8" width="19.421875" style="0" customWidth="1"/>
    <col min="9" max="9" width="18.8515625" style="0" customWidth="1"/>
    <col min="10" max="10" width="17.00390625" style="0" customWidth="1"/>
  </cols>
  <sheetData>
    <row r="1" spans="1:8" ht="53.25" customHeight="1">
      <c r="A1" s="1125" t="s">
        <v>433</v>
      </c>
      <c r="B1" s="1125"/>
      <c r="C1" s="1125"/>
      <c r="D1" s="1125"/>
      <c r="E1" s="1125"/>
      <c r="F1" s="1125"/>
      <c r="G1" s="1125"/>
      <c r="H1" s="1125"/>
    </row>
    <row r="2" spans="2:8" ht="34.5" customHeight="1" hidden="1">
      <c r="B2" s="328" t="s">
        <v>434</v>
      </c>
      <c r="C2" s="328"/>
      <c r="D2" s="728" t="s">
        <v>435</v>
      </c>
      <c r="E2" s="328" t="s">
        <v>436</v>
      </c>
      <c r="F2" s="328"/>
      <c r="G2" s="328"/>
      <c r="H2" s="328"/>
    </row>
    <row r="3" spans="1:8" ht="63.75" customHeight="1">
      <c r="A3" s="582" t="s">
        <v>437</v>
      </c>
      <c r="B3" s="582" t="s">
        <v>438</v>
      </c>
      <c r="C3" s="584" t="s">
        <v>439</v>
      </c>
      <c r="D3" s="582" t="s">
        <v>440</v>
      </c>
      <c r="E3" s="582" t="s">
        <v>441</v>
      </c>
      <c r="F3" s="582" t="s">
        <v>442</v>
      </c>
      <c r="G3" s="582" t="s">
        <v>443</v>
      </c>
      <c r="H3" s="582" t="s">
        <v>444</v>
      </c>
    </row>
    <row r="4" spans="1:8" ht="15" customHeight="1">
      <c r="A4" s="729"/>
      <c r="B4" s="730"/>
      <c r="C4" s="731" t="s">
        <v>445</v>
      </c>
      <c r="D4" s="731"/>
      <c r="E4" s="731"/>
      <c r="F4" s="731"/>
      <c r="G4" s="731"/>
      <c r="H4" s="731"/>
    </row>
    <row r="5" spans="1:8" ht="12.75">
      <c r="A5" s="732"/>
      <c r="B5" s="733">
        <v>1</v>
      </c>
      <c r="C5" s="733">
        <f aca="true" t="shared" si="0" ref="C5:H5">B5+1</f>
        <v>2</v>
      </c>
      <c r="D5" s="733">
        <f t="shared" si="0"/>
        <v>3</v>
      </c>
      <c r="E5" s="733">
        <f t="shared" si="0"/>
        <v>4</v>
      </c>
      <c r="F5" s="733">
        <f t="shared" si="0"/>
        <v>5</v>
      </c>
      <c r="G5" s="733">
        <f t="shared" si="0"/>
        <v>6</v>
      </c>
      <c r="H5" s="733">
        <f t="shared" si="0"/>
        <v>7</v>
      </c>
    </row>
    <row r="6" spans="1:8" ht="25.5">
      <c r="A6" s="734" t="s">
        <v>446</v>
      </c>
      <c r="B6" s="735">
        <f>'[1]4-MFP_&amp;_Other_Funded'!E90</f>
        <v>1006</v>
      </c>
      <c r="C6" s="736">
        <f>'[1]Table 3 Levels 1&amp;2'!AO76</f>
        <v>4208</v>
      </c>
      <c r="D6" s="736">
        <f>B6*ROUND(C6,0)</f>
        <v>4233248</v>
      </c>
      <c r="E6" s="737">
        <f>'[3]Table 5A Lab Schools'!$D$23</f>
        <v>-1583</v>
      </c>
      <c r="F6" s="738">
        <v>0</v>
      </c>
      <c r="G6" s="738">
        <f>ROUND(D6+E6+F6,0)</f>
        <v>4231665</v>
      </c>
      <c r="H6" s="739">
        <f>ROUND(G6/12,0)</f>
        <v>352639</v>
      </c>
    </row>
    <row r="7" spans="1:8" ht="25.5">
      <c r="A7" s="740" t="s">
        <v>447</v>
      </c>
      <c r="B7" s="735">
        <f>'[1]4-MFP_&amp;_Other_Funded'!E91</f>
        <v>507</v>
      </c>
      <c r="C7" s="736">
        <f>'[1]Table 3 Levels 1&amp;2'!AO76</f>
        <v>4208</v>
      </c>
      <c r="D7" s="736">
        <f>B7*ROUND(C7,0)</f>
        <v>2133456</v>
      </c>
      <c r="E7" s="737">
        <f>'[3]Table 5A Lab Schools'!D24</f>
        <v>-749</v>
      </c>
      <c r="F7" s="738">
        <f>'[6]Table 5A Lab Schools'!$R$18</f>
        <v>72500</v>
      </c>
      <c r="G7" s="738">
        <f>ROUND(D7+E7+F7,0)</f>
        <v>2205207</v>
      </c>
      <c r="H7" s="739">
        <f>ROUND(G7/12,0)</f>
        <v>183767</v>
      </c>
    </row>
    <row r="8" spans="1:8" s="300" customFormat="1" ht="25.5" customHeight="1" thickBot="1">
      <c r="A8" s="741" t="s">
        <v>448</v>
      </c>
      <c r="B8" s="742">
        <f>SUM(B6:B7)</f>
        <v>1513</v>
      </c>
      <c r="C8" s="743"/>
      <c r="D8" s="418">
        <f>SUM(D6:D7)</f>
        <v>6366704</v>
      </c>
      <c r="E8" s="418">
        <f>SUM(E6:E7)</f>
        <v>-2332</v>
      </c>
      <c r="F8" s="418">
        <f>SUM(F6:F7)</f>
        <v>72500</v>
      </c>
      <c r="G8" s="418">
        <f>SUM(G6:G7)</f>
        <v>6436872</v>
      </c>
      <c r="H8" s="418">
        <f>SUM(H6:H7)</f>
        <v>536406</v>
      </c>
    </row>
    <row r="9" spans="1:7" s="300" customFormat="1" ht="15" customHeight="1" thickTop="1">
      <c r="A9" s="744"/>
      <c r="B9" s="745"/>
      <c r="C9" s="746"/>
      <c r="D9" s="747"/>
      <c r="E9" s="747"/>
      <c r="F9" s="747"/>
      <c r="G9" s="747"/>
    </row>
    <row r="10" spans="1:7" s="300" customFormat="1" ht="15" customHeight="1">
      <c r="A10" s="744"/>
      <c r="B10" s="745"/>
      <c r="C10" s="746"/>
      <c r="D10" s="747"/>
      <c r="E10" s="747"/>
      <c r="F10" s="747"/>
      <c r="G10" s="747"/>
    </row>
    <row r="11" spans="1:8" s="300" customFormat="1" ht="15" customHeight="1">
      <c r="A11" s="748"/>
      <c r="B11" s="749"/>
      <c r="C11" s="749"/>
      <c r="D11" s="246"/>
      <c r="E11" s="750"/>
      <c r="F11" s="750"/>
      <c r="G11" s="750"/>
      <c r="H11" s="750"/>
    </row>
    <row r="12" spans="1:8" ht="18">
      <c r="A12" s="751" t="s">
        <v>449</v>
      </c>
      <c r="B12" s="752"/>
      <c r="C12" s="752"/>
      <c r="D12" s="246"/>
      <c r="E12" s="246"/>
      <c r="F12" s="246"/>
      <c r="G12" s="246"/>
      <c r="H12" s="246"/>
    </row>
    <row r="13" spans="1:8" ht="66" customHeight="1">
      <c r="A13" s="582" t="s">
        <v>437</v>
      </c>
      <c r="B13" s="582" t="s">
        <v>450</v>
      </c>
      <c r="C13" s="582" t="s">
        <v>451</v>
      </c>
      <c r="D13" s="582" t="s">
        <v>452</v>
      </c>
      <c r="E13" s="582" t="s">
        <v>453</v>
      </c>
      <c r="F13" s="582" t="s">
        <v>454</v>
      </c>
      <c r="G13" s="582" t="s">
        <v>455</v>
      </c>
      <c r="H13" s="582" t="s">
        <v>456</v>
      </c>
    </row>
    <row r="14" spans="1:8" ht="12.75">
      <c r="A14" s="729"/>
      <c r="B14" s="730"/>
      <c r="C14" s="731"/>
      <c r="D14" s="731"/>
      <c r="E14" s="731"/>
      <c r="F14" s="731"/>
      <c r="G14" s="731"/>
      <c r="H14" s="731"/>
    </row>
    <row r="15" spans="1:8" ht="12.75">
      <c r="A15" s="732"/>
      <c r="B15" s="733">
        <v>8</v>
      </c>
      <c r="C15" s="733">
        <f aca="true" t="shared" si="1" ref="C15:H15">B15+1</f>
        <v>9</v>
      </c>
      <c r="D15" s="733">
        <f t="shared" si="1"/>
        <v>10</v>
      </c>
      <c r="E15" s="733">
        <f t="shared" si="1"/>
        <v>11</v>
      </c>
      <c r="F15" s="733">
        <f t="shared" si="1"/>
        <v>12</v>
      </c>
      <c r="G15" s="733">
        <f t="shared" si="1"/>
        <v>13</v>
      </c>
      <c r="H15" s="733">
        <f t="shared" si="1"/>
        <v>14</v>
      </c>
    </row>
    <row r="16" spans="1:8" ht="25.5">
      <c r="A16" s="734" t="s">
        <v>446</v>
      </c>
      <c r="B16" s="753">
        <f>'[3]Table 3 Levels 1&amp;2'!$AJ$76</f>
        <v>3562.85</v>
      </c>
      <c r="C16" s="735">
        <f>'[3]Table 5A Lab Schools'!$B$9</f>
        <v>951</v>
      </c>
      <c r="D16" s="753">
        <f>ROUND(B16*C16,0)</f>
        <v>3388270</v>
      </c>
      <c r="E16" s="736">
        <f>'[1]Table 3 Levels 1&amp;2'!$AK$76</f>
        <v>3708.11</v>
      </c>
      <c r="F16" s="735">
        <f>B6</f>
        <v>1006</v>
      </c>
      <c r="G16" s="753">
        <f>ROUND(E16*F16,0)</f>
        <v>3730359</v>
      </c>
      <c r="H16" s="753">
        <f>G16-D16</f>
        <v>342089</v>
      </c>
    </row>
    <row r="17" spans="1:8" ht="25.5">
      <c r="A17" s="740" t="s">
        <v>447</v>
      </c>
      <c r="B17" s="753">
        <f>'[3]Table 3 Levels 1&amp;2'!$AJ$76</f>
        <v>3562.85</v>
      </c>
      <c r="C17" s="735">
        <f>'[3]Table 5A Lab Schools'!$B$11</f>
        <v>450</v>
      </c>
      <c r="D17" s="753">
        <f>ROUND(B17*C17,0)</f>
        <v>1603283</v>
      </c>
      <c r="E17" s="736">
        <f>'[1]Table 3 Levels 1&amp;2'!$AK$76</f>
        <v>3708.11</v>
      </c>
      <c r="F17" s="735">
        <f>B7</f>
        <v>507</v>
      </c>
      <c r="G17" s="753">
        <f>ROUND(E17*F17,0)</f>
        <v>1880012</v>
      </c>
      <c r="H17" s="753">
        <f>G17-D17</f>
        <v>276729</v>
      </c>
    </row>
    <row r="18" spans="1:8" ht="13.5" thickBot="1">
      <c r="A18" s="741" t="s">
        <v>448</v>
      </c>
      <c r="B18" s="742"/>
      <c r="C18" s="742">
        <f>SUM(C16:C17)</f>
        <v>1401</v>
      </c>
      <c r="D18" s="754">
        <f>SUM(D16:D17)</f>
        <v>4991553</v>
      </c>
      <c r="E18" s="743"/>
      <c r="F18" s="742">
        <f>SUM(F16:F17)</f>
        <v>1513</v>
      </c>
      <c r="G18" s="754">
        <f>SUM(G16:G17)</f>
        <v>5610371</v>
      </c>
      <c r="H18" s="754">
        <f>SUM(H16:H17)</f>
        <v>618818</v>
      </c>
    </row>
    <row r="19" spans="1:8" ht="13.5" thickTop="1">
      <c r="A19" s="744"/>
      <c r="B19" s="745"/>
      <c r="C19" s="745"/>
      <c r="D19" s="755"/>
      <c r="E19" s="746"/>
      <c r="F19" s="745"/>
      <c r="G19" s="755"/>
      <c r="H19" s="755"/>
    </row>
    <row r="20" spans="1:8" ht="63.75">
      <c r="A20" s="582" t="s">
        <v>437</v>
      </c>
      <c r="B20" s="582" t="s">
        <v>457</v>
      </c>
      <c r="C20" s="584" t="s">
        <v>439</v>
      </c>
      <c r="D20" s="582" t="s">
        <v>458</v>
      </c>
      <c r="E20" s="582" t="s">
        <v>459</v>
      </c>
      <c r="F20" s="582" t="s">
        <v>462</v>
      </c>
      <c r="G20" s="582" t="s">
        <v>460</v>
      </c>
      <c r="H20" s="1126" t="s">
        <v>463</v>
      </c>
    </row>
    <row r="21" spans="1:8" ht="12.75">
      <c r="A21" s="597"/>
      <c r="B21" s="597"/>
      <c r="C21" s="599"/>
      <c r="D21" s="597"/>
      <c r="E21" s="597"/>
      <c r="F21" s="597"/>
      <c r="G21" s="597" t="s">
        <v>461</v>
      </c>
      <c r="H21" s="1127"/>
    </row>
    <row r="22" spans="1:8" ht="12.75">
      <c r="A22" s="729"/>
      <c r="B22" s="731"/>
      <c r="C22" s="731" t="s">
        <v>445</v>
      </c>
      <c r="D22" s="731"/>
      <c r="E22" s="731"/>
      <c r="F22" s="731"/>
      <c r="G22" s="756">
        <v>42291</v>
      </c>
      <c r="H22" s="1128"/>
    </row>
    <row r="23" spans="1:8" ht="12.75">
      <c r="A23" s="732"/>
      <c r="B23" s="733">
        <v>15</v>
      </c>
      <c r="C23" s="733">
        <f aca="true" t="shared" si="2" ref="C23:H23">B23+1</f>
        <v>16</v>
      </c>
      <c r="D23" s="733">
        <f t="shared" si="2"/>
        <v>17</v>
      </c>
      <c r="E23" s="733">
        <f t="shared" si="2"/>
        <v>18</v>
      </c>
      <c r="F23" s="733">
        <f t="shared" si="2"/>
        <v>19</v>
      </c>
      <c r="G23" s="733">
        <f t="shared" si="2"/>
        <v>20</v>
      </c>
      <c r="H23" s="733">
        <f t="shared" si="2"/>
        <v>21</v>
      </c>
    </row>
    <row r="24" spans="1:8" ht="25.5">
      <c r="A24" s="734" t="s">
        <v>446</v>
      </c>
      <c r="B24" s="735">
        <f>F16-C16</f>
        <v>55</v>
      </c>
      <c r="C24" s="736">
        <f>E16</f>
        <v>3708.11</v>
      </c>
      <c r="D24" s="736">
        <f>ROUND(B24*C24,0)*-1</f>
        <v>-203946</v>
      </c>
      <c r="E24" s="736">
        <f>ROUND(H16+D24,0)</f>
        <v>138143</v>
      </c>
      <c r="F24" s="736">
        <f>ROUND(E24*0.5,0)</f>
        <v>69072</v>
      </c>
      <c r="G24" s="736">
        <v>48382</v>
      </c>
      <c r="H24" s="757">
        <f>IF(G24&lt;$G$22,ROUND(F24/1.158,0),0)</f>
        <v>0</v>
      </c>
    </row>
    <row r="25" spans="1:8" ht="25.5">
      <c r="A25" s="740" t="s">
        <v>447</v>
      </c>
      <c r="B25" s="735">
        <f>F17-C17</f>
        <v>57</v>
      </c>
      <c r="C25" s="736">
        <f>E17</f>
        <v>3708.11</v>
      </c>
      <c r="D25" s="736">
        <f>ROUND(B25*C25,0)*-1</f>
        <v>-211362</v>
      </c>
      <c r="E25" s="736">
        <f>ROUND(H17+D25,0)</f>
        <v>65367</v>
      </c>
      <c r="F25" s="736">
        <f>ROUND(E25*0.5,0)</f>
        <v>32684</v>
      </c>
      <c r="G25" s="736">
        <v>41910</v>
      </c>
      <c r="H25" s="736">
        <f>IF(G25&lt;$G$22,ROUND(F25/1.158,0),0)</f>
        <v>28225</v>
      </c>
    </row>
    <row r="26" spans="1:8" ht="13.5" thickBot="1">
      <c r="A26" s="741" t="s">
        <v>448</v>
      </c>
      <c r="B26" s="742">
        <f>SUM(B24:B25)</f>
        <v>112</v>
      </c>
      <c r="C26" s="743"/>
      <c r="D26" s="418">
        <f>SUM(D24:D25)</f>
        <v>-415308</v>
      </c>
      <c r="E26" s="418">
        <f>SUM(E24:E25)</f>
        <v>203510</v>
      </c>
      <c r="F26" s="418">
        <f>SUM(F24:F25)</f>
        <v>101756</v>
      </c>
      <c r="G26" s="418"/>
      <c r="H26" s="418">
        <f>SUM(H24:H25)</f>
        <v>28225</v>
      </c>
    </row>
    <row r="27" ht="13.5" thickTop="1"/>
  </sheetData>
  <sheetProtection/>
  <mergeCells count="2">
    <mergeCell ref="A1:H1"/>
    <mergeCell ref="H20:H22"/>
  </mergeCells>
  <printOptions horizontalCentered="1"/>
  <pageMargins left="0.25" right="0" top="0.25" bottom="0.25" header="0.25" footer="0.25"/>
  <pageSetup firstPageNumber="18" useFirstPageNumber="1" horizontalDpi="600" verticalDpi="600" orientation="landscape" paperSize="5" scale="90" r:id="rId1"/>
  <headerFooter alignWithMargins="0">
    <oddHeader>&amp;R
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zoomScale="75" zoomScaleNormal="75" zoomScaleSheetLayoutView="75" zoomScalePageLayoutView="0" workbookViewId="0" topLeftCell="A1">
      <selection activeCell="G5" sqref="G5"/>
    </sheetView>
  </sheetViews>
  <sheetFormatPr defaultColWidth="9.140625" defaultRowHeight="12.75"/>
  <cols>
    <col min="2" max="2" width="31.57421875" style="0" customWidth="1"/>
    <col min="3" max="3" width="23.7109375" style="0" customWidth="1"/>
    <col min="4" max="4" width="23.57421875" style="759" customWidth="1"/>
    <col min="5" max="5" width="23.7109375" style="0" customWidth="1"/>
    <col min="6" max="6" width="17.28125" style="0" customWidth="1"/>
    <col min="7" max="7" width="14.00390625" style="0" customWidth="1"/>
    <col min="8" max="9" width="2.140625" style="0" customWidth="1"/>
    <col min="10" max="10" width="20.00390625" style="0" bestFit="1" customWidth="1"/>
  </cols>
  <sheetData>
    <row r="1" ht="16.5" customHeight="1">
      <c r="B1" s="758"/>
    </row>
    <row r="2" spans="2:10" ht="53.25" customHeight="1" hidden="1">
      <c r="B2" s="1129"/>
      <c r="C2" s="1130"/>
      <c r="D2" s="1130"/>
      <c r="E2" s="1130"/>
      <c r="F2" s="760"/>
      <c r="G2" s="760"/>
      <c r="H2" s="760"/>
      <c r="I2" s="760"/>
      <c r="J2" s="760"/>
    </row>
    <row r="3" spans="2:10" ht="73.5" customHeight="1" hidden="1">
      <c r="B3" s="761"/>
      <c r="C3" s="762"/>
      <c r="D3" s="763"/>
      <c r="E3" s="764"/>
      <c r="F3" s="765"/>
      <c r="G3" s="766"/>
      <c r="H3" s="767"/>
      <c r="I3" s="767"/>
      <c r="J3" s="765"/>
    </row>
    <row r="4" spans="3:10" ht="34.5" customHeight="1" hidden="1">
      <c r="C4" s="328" t="s">
        <v>434</v>
      </c>
      <c r="D4" s="768"/>
      <c r="E4" s="728" t="s">
        <v>435</v>
      </c>
      <c r="F4" s="328"/>
      <c r="G4" s="768"/>
      <c r="H4" s="767"/>
      <c r="I4" s="767"/>
      <c r="J4" s="767"/>
    </row>
    <row r="5" spans="2:10" ht="166.5" customHeight="1">
      <c r="B5" s="582" t="s">
        <v>464</v>
      </c>
      <c r="C5" s="582" t="s">
        <v>465</v>
      </c>
      <c r="D5" s="582" t="s">
        <v>466</v>
      </c>
      <c r="E5" s="582" t="s">
        <v>467</v>
      </c>
      <c r="F5" s="769"/>
      <c r="G5" s="769"/>
      <c r="H5" s="767"/>
      <c r="I5" s="767"/>
      <c r="J5" s="770"/>
    </row>
    <row r="6" spans="2:10" ht="18" customHeight="1">
      <c r="B6" s="729"/>
      <c r="C6" s="771"/>
      <c r="D6" s="771"/>
      <c r="E6" s="731"/>
      <c r="F6" s="772"/>
      <c r="G6" s="773"/>
      <c r="H6" s="767"/>
      <c r="I6" s="767"/>
      <c r="J6" s="774"/>
    </row>
    <row r="7" spans="2:10" ht="12.75">
      <c r="B7" s="775"/>
      <c r="C7" s="776">
        <v>1</v>
      </c>
      <c r="D7" s="776">
        <v>2</v>
      </c>
      <c r="E7" s="776">
        <v>3</v>
      </c>
      <c r="F7" s="777"/>
      <c r="G7" s="777"/>
      <c r="H7" s="767"/>
      <c r="I7" s="767"/>
      <c r="J7" s="777"/>
    </row>
    <row r="8" spans="2:10" ht="34.5" customHeight="1">
      <c r="B8" s="778"/>
      <c r="C8" s="779" t="s">
        <v>468</v>
      </c>
      <c r="D8" s="780" t="s">
        <v>469</v>
      </c>
      <c r="E8" s="780" t="s">
        <v>470</v>
      </c>
      <c r="F8" s="777"/>
      <c r="G8" s="777"/>
      <c r="H8" s="767"/>
      <c r="I8" s="767"/>
      <c r="J8" s="777"/>
    </row>
    <row r="9" spans="2:10" ht="15.75">
      <c r="B9" s="781" t="s">
        <v>471</v>
      </c>
      <c r="C9" s="782">
        <v>6014</v>
      </c>
      <c r="D9" s="783"/>
      <c r="E9" s="783"/>
      <c r="F9" s="777"/>
      <c r="G9" s="777"/>
      <c r="H9" s="767"/>
      <c r="I9" s="767"/>
      <c r="J9" s="777"/>
    </row>
    <row r="10" spans="2:10" ht="15.75">
      <c r="B10" s="781" t="s">
        <v>472</v>
      </c>
      <c r="C10" s="782">
        <v>5235</v>
      </c>
      <c r="D10" s="783"/>
      <c r="E10" s="783"/>
      <c r="F10" s="777"/>
      <c r="G10" s="777"/>
      <c r="H10" s="767"/>
      <c r="I10" s="767"/>
      <c r="J10" s="777"/>
    </row>
    <row r="11" spans="2:10" ht="24.75" customHeight="1">
      <c r="B11" s="781" t="s">
        <v>473</v>
      </c>
      <c r="C11" s="782">
        <f>+C9+C10</f>
        <v>11249</v>
      </c>
      <c r="D11" s="783"/>
      <c r="E11" s="783"/>
      <c r="F11" s="777"/>
      <c r="G11" s="777"/>
      <c r="H11" s="767"/>
      <c r="I11" s="767"/>
      <c r="J11" s="777"/>
    </row>
    <row r="12" spans="2:10" ht="16.5" customHeight="1">
      <c r="B12" s="784"/>
      <c r="C12" s="785"/>
      <c r="D12" s="786"/>
      <c r="E12" s="786"/>
      <c r="F12" s="777"/>
      <c r="G12" s="777"/>
      <c r="H12" s="767"/>
      <c r="I12" s="767"/>
      <c r="J12" s="777"/>
    </row>
    <row r="13" spans="2:10" ht="40.5" customHeight="1">
      <c r="B13" s="787" t="s">
        <v>474</v>
      </c>
      <c r="C13" s="779" t="s">
        <v>475</v>
      </c>
      <c r="D13" s="780" t="s">
        <v>476</v>
      </c>
      <c r="E13" s="780" t="s">
        <v>477</v>
      </c>
      <c r="F13" s="777"/>
      <c r="G13" s="777"/>
      <c r="H13" s="767"/>
      <c r="I13" s="767"/>
      <c r="J13" s="777"/>
    </row>
    <row r="14" spans="2:10" ht="50.25" customHeight="1">
      <c r="B14" s="781" t="s">
        <v>478</v>
      </c>
      <c r="C14" s="782">
        <f>'[1]Table 3 Levels 1&amp;2'!D43</f>
        <v>21885</v>
      </c>
      <c r="D14" s="783"/>
      <c r="E14" s="783"/>
      <c r="F14" s="777"/>
      <c r="G14" s="777"/>
      <c r="H14" s="767"/>
      <c r="I14" s="767"/>
      <c r="J14" s="777"/>
    </row>
    <row r="15" spans="2:10" s="795" customFormat="1" ht="51" customHeight="1">
      <c r="B15" s="788" t="s">
        <v>479</v>
      </c>
      <c r="C15" s="789">
        <f>'[1]Table 8A Orleans-RSD'!K51</f>
        <v>13749</v>
      </c>
      <c r="D15" s="790"/>
      <c r="E15" s="790"/>
      <c r="F15" s="791"/>
      <c r="G15" s="792"/>
      <c r="H15" s="793"/>
      <c r="I15" s="793"/>
      <c r="J15" s="794"/>
    </row>
    <row r="16" spans="2:10" s="795" customFormat="1" ht="31.5">
      <c r="B16" s="796" t="s">
        <v>480</v>
      </c>
      <c r="C16" s="797">
        <f>'[1]Table 3 Levels 1&amp;2'!AO43</f>
        <v>3686</v>
      </c>
      <c r="D16" s="798"/>
      <c r="E16" s="798"/>
      <c r="F16" s="791"/>
      <c r="G16" s="792"/>
      <c r="H16" s="793"/>
      <c r="I16" s="793"/>
      <c r="J16" s="794"/>
    </row>
    <row r="17" spans="2:10" ht="15">
      <c r="B17" s="781" t="s">
        <v>481</v>
      </c>
      <c r="C17" s="799">
        <f>ROUND(C15*C16,0)</f>
        <v>50678814</v>
      </c>
      <c r="D17" s="800"/>
      <c r="E17" s="799"/>
      <c r="G17" s="767"/>
      <c r="H17" s="767"/>
      <c r="I17" s="767"/>
      <c r="J17" s="767"/>
    </row>
    <row r="18" spans="2:10" ht="15">
      <c r="B18" s="781" t="s">
        <v>482</v>
      </c>
      <c r="C18" s="799">
        <v>0</v>
      </c>
      <c r="D18" s="800"/>
      <c r="E18" s="799"/>
      <c r="G18" s="767"/>
      <c r="H18" s="767"/>
      <c r="I18" s="767"/>
      <c r="J18" s="767"/>
    </row>
    <row r="19" spans="2:10" ht="30">
      <c r="B19" s="781" t="s">
        <v>483</v>
      </c>
      <c r="C19" s="799">
        <f>+C17-C18</f>
        <v>50678814</v>
      </c>
      <c r="D19" s="800"/>
      <c r="E19" s="799"/>
      <c r="G19" s="767"/>
      <c r="H19" s="767"/>
      <c r="I19" s="767"/>
      <c r="J19" s="767"/>
    </row>
    <row r="20" spans="2:10" ht="31.5">
      <c r="B20" s="796" t="s">
        <v>484</v>
      </c>
      <c r="C20" s="797">
        <f>ROUND(C19/12,0)</f>
        <v>4223235</v>
      </c>
      <c r="D20" s="797"/>
      <c r="E20" s="797"/>
      <c r="G20" s="767"/>
      <c r="H20" s="767"/>
      <c r="I20" s="767"/>
      <c r="J20" s="767"/>
    </row>
    <row r="21" spans="2:10" ht="15.75">
      <c r="B21" s="801"/>
      <c r="C21" s="802"/>
      <c r="D21" s="802"/>
      <c r="E21" s="802"/>
      <c r="G21" s="767"/>
      <c r="H21" s="767"/>
      <c r="I21" s="767"/>
      <c r="J21" s="767"/>
    </row>
    <row r="22" spans="2:10" ht="44.25" customHeight="1">
      <c r="B22" s="803" t="s">
        <v>485</v>
      </c>
      <c r="C22" s="779" t="s">
        <v>475</v>
      </c>
      <c r="D22" s="780" t="s">
        <v>476</v>
      </c>
      <c r="E22" s="780" t="s">
        <v>477</v>
      </c>
      <c r="G22" s="767"/>
      <c r="H22" s="767"/>
      <c r="I22" s="767"/>
      <c r="J22" s="767"/>
    </row>
    <row r="23" spans="2:7" ht="78.75">
      <c r="B23" s="788" t="s">
        <v>486</v>
      </c>
      <c r="C23" s="799">
        <f>'[7]Detail Calculation'!$M$44</f>
        <v>179993993</v>
      </c>
      <c r="D23" s="804"/>
      <c r="E23" s="805"/>
      <c r="F23" s="806"/>
      <c r="G23" s="807"/>
    </row>
    <row r="24" spans="2:7" ht="45">
      <c r="B24" s="808" t="s">
        <v>487</v>
      </c>
      <c r="C24" s="799">
        <f>ROUND(C23*0.35,0)</f>
        <v>62997898</v>
      </c>
      <c r="D24" s="804"/>
      <c r="E24" s="809"/>
      <c r="F24" s="806"/>
      <c r="G24" s="807"/>
    </row>
    <row r="25" spans="2:7" ht="31.5">
      <c r="B25" s="796" t="s">
        <v>488</v>
      </c>
      <c r="C25" s="797">
        <f>ROUND(C24/C14,0)</f>
        <v>2879</v>
      </c>
      <c r="D25" s="810"/>
      <c r="E25" s="811"/>
      <c r="F25" s="806"/>
      <c r="G25" s="807"/>
    </row>
    <row r="26" spans="2:7" ht="15.75">
      <c r="B26" s="812" t="s">
        <v>489</v>
      </c>
      <c r="C26" s="799">
        <f>ROUND(C25*C15,0)</f>
        <v>39583371</v>
      </c>
      <c r="D26" s="804"/>
      <c r="E26" s="813"/>
      <c r="F26" s="806"/>
      <c r="G26" s="807"/>
    </row>
    <row r="27" spans="2:7" ht="15.75">
      <c r="B27" s="781" t="s">
        <v>482</v>
      </c>
      <c r="C27" s="799">
        <v>0</v>
      </c>
      <c r="D27" s="804"/>
      <c r="E27" s="814"/>
      <c r="F27" s="806"/>
      <c r="G27" s="807"/>
    </row>
    <row r="28" spans="2:7" ht="30.75">
      <c r="B28" s="781" t="s">
        <v>483</v>
      </c>
      <c r="C28" s="799">
        <f>+C26-C27</f>
        <v>39583371</v>
      </c>
      <c r="D28" s="804"/>
      <c r="E28" s="814"/>
      <c r="F28" s="806"/>
      <c r="G28" s="807"/>
    </row>
    <row r="29" spans="2:7" ht="15.75">
      <c r="B29" s="796" t="s">
        <v>490</v>
      </c>
      <c r="C29" s="797">
        <f>ROUND(C28/12,0)</f>
        <v>3298614</v>
      </c>
      <c r="D29" s="815"/>
      <c r="E29" s="816"/>
      <c r="F29" s="806"/>
      <c r="G29" s="807"/>
    </row>
    <row r="30" spans="2:7" ht="15.75">
      <c r="B30" s="801"/>
      <c r="C30" s="802"/>
      <c r="D30" s="802"/>
      <c r="E30" s="802"/>
      <c r="F30" s="806"/>
      <c r="G30" s="807"/>
    </row>
    <row r="31" spans="2:7" ht="31.5" customHeight="1">
      <c r="B31" s="1131" t="s">
        <v>491</v>
      </c>
      <c r="C31" s="1132"/>
      <c r="D31" s="1132"/>
      <c r="E31" s="1133"/>
      <c r="F31" s="806"/>
      <c r="G31" s="807"/>
    </row>
    <row r="32" spans="2:7" ht="30" customHeight="1">
      <c r="B32" s="788" t="s">
        <v>492</v>
      </c>
      <c r="C32" s="817">
        <f>+C26+C17</f>
        <v>90262185</v>
      </c>
      <c r="D32" s="800"/>
      <c r="E32" s="799"/>
      <c r="F32" s="806"/>
      <c r="G32" s="807"/>
    </row>
    <row r="33" spans="2:7" ht="30" customHeight="1">
      <c r="B33" s="788" t="s">
        <v>708</v>
      </c>
      <c r="C33" s="818">
        <f>ROUND(C32/13749,2)</f>
        <v>6565</v>
      </c>
      <c r="D33" s="800"/>
      <c r="E33" s="799"/>
      <c r="F33" s="806"/>
      <c r="G33" s="807"/>
    </row>
    <row r="34" spans="2:7" ht="15.75">
      <c r="B34" s="801"/>
      <c r="C34" s="802"/>
      <c r="D34" s="802"/>
      <c r="E34" s="802"/>
      <c r="F34" s="806"/>
      <c r="G34" s="807"/>
    </row>
  </sheetData>
  <sheetProtection/>
  <mergeCells count="2">
    <mergeCell ref="B2:E2"/>
    <mergeCell ref="B31:E31"/>
  </mergeCells>
  <printOptions horizontalCentered="1"/>
  <pageMargins left="0" right="0" top="0.88" bottom="0.5" header="0.39" footer="0.25"/>
  <pageSetup firstPageNumber="15" useFirstPageNumber="1" fitToHeight="1" fitToWidth="1" horizontalDpi="600" verticalDpi="600" orientation="portrait" paperSize="5" scale="95" r:id="rId1"/>
  <headerFooter alignWithMargins="0">
    <oddHeader>&amp;L&amp;"Arial,Bold"&amp;18Table 5-B: 2006-07 Recovery School District MFP Allocations&amp;R
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78"/>
  <sheetViews>
    <sheetView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21.140625" style="0" customWidth="1"/>
    <col min="3" max="3" width="14.57421875" style="0" customWidth="1"/>
    <col min="4" max="4" width="17.00390625" style="0" customWidth="1"/>
    <col min="5" max="5" width="9.421875" style="0" customWidth="1"/>
    <col min="6" max="6" width="14.421875" style="0" customWidth="1"/>
    <col min="7" max="7" width="9.421875" style="0" customWidth="1"/>
    <col min="8" max="8" width="18.7109375" style="0" customWidth="1"/>
    <col min="9" max="9" width="8.00390625" style="0" customWidth="1"/>
    <col min="10" max="10" width="16.8515625" style="0" customWidth="1"/>
    <col min="11" max="11" width="9.00390625" style="0" customWidth="1"/>
    <col min="12" max="12" width="13.28125" style="0" customWidth="1"/>
    <col min="13" max="13" width="8.140625" style="0" bestFit="1" customWidth="1"/>
    <col min="14" max="14" width="16.00390625" style="0" customWidth="1"/>
    <col min="15" max="15" width="9.28125" style="0" customWidth="1"/>
    <col min="16" max="16" width="13.28125" style="0" customWidth="1"/>
    <col min="17" max="17" width="9.28125" style="0" customWidth="1"/>
    <col min="18" max="18" width="13.7109375" style="0" customWidth="1"/>
    <col min="20" max="20" width="12.7109375" style="0" customWidth="1"/>
  </cols>
  <sheetData>
    <row r="1" spans="2:17" ht="46.5" customHeight="1">
      <c r="B1" s="1"/>
      <c r="C1" s="1137" t="s">
        <v>493</v>
      </c>
      <c r="D1" s="1138"/>
      <c r="E1" s="1138"/>
      <c r="F1" s="1138"/>
      <c r="G1" s="1138"/>
      <c r="H1" s="1138"/>
      <c r="J1" s="819" t="s">
        <v>523</v>
      </c>
      <c r="K1" s="820"/>
      <c r="L1" s="820"/>
      <c r="M1" s="820"/>
      <c r="N1" s="819"/>
      <c r="O1" s="819"/>
      <c r="P1" s="1139"/>
      <c r="Q1" s="1139"/>
    </row>
    <row r="2" spans="1:17" ht="15" customHeight="1">
      <c r="A2" s="821"/>
      <c r="B2" s="821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1139"/>
      <c r="Q2" s="1139"/>
    </row>
    <row r="3" spans="1:17" ht="40.5" customHeight="1" hidden="1">
      <c r="A3" s="821"/>
      <c r="C3" s="337" t="s">
        <v>494</v>
      </c>
      <c r="D3" s="337" t="s">
        <v>495</v>
      </c>
      <c r="E3" s="337" t="s">
        <v>496</v>
      </c>
      <c r="F3" s="337" t="s">
        <v>497</v>
      </c>
      <c r="G3" s="337" t="s">
        <v>498</v>
      </c>
      <c r="H3" s="337" t="s">
        <v>499</v>
      </c>
      <c r="I3" s="337" t="s">
        <v>500</v>
      </c>
      <c r="J3" s="337" t="s">
        <v>501</v>
      </c>
      <c r="K3" s="337" t="s">
        <v>502</v>
      </c>
      <c r="L3" s="337" t="s">
        <v>503</v>
      </c>
      <c r="M3" s="452"/>
      <c r="N3" s="337" t="s">
        <v>504</v>
      </c>
      <c r="O3" s="337" t="s">
        <v>505</v>
      </c>
      <c r="P3" s="337" t="s">
        <v>506</v>
      </c>
      <c r="Q3" s="337" t="s">
        <v>507</v>
      </c>
    </row>
    <row r="4" spans="1:17" ht="45" customHeight="1">
      <c r="A4" s="822"/>
      <c r="B4" s="822"/>
      <c r="C4" s="1147" t="s">
        <v>508</v>
      </c>
      <c r="D4" s="1140" t="s">
        <v>509</v>
      </c>
      <c r="E4" s="1141"/>
      <c r="F4" s="1141"/>
      <c r="G4" s="1142"/>
      <c r="H4" s="1143" t="s">
        <v>510</v>
      </c>
      <c r="I4" s="824"/>
      <c r="J4" s="1134" t="s">
        <v>511</v>
      </c>
      <c r="K4" s="1135"/>
      <c r="L4" s="1135"/>
      <c r="M4" s="1136"/>
      <c r="N4" s="1145" t="s">
        <v>512</v>
      </c>
      <c r="O4" s="1134" t="s">
        <v>513</v>
      </c>
      <c r="P4" s="1135"/>
      <c r="Q4" s="1136"/>
    </row>
    <row r="5" spans="1:17" ht="51">
      <c r="A5" s="825" t="s">
        <v>228</v>
      </c>
      <c r="B5" s="825" t="s">
        <v>103</v>
      </c>
      <c r="C5" s="1148"/>
      <c r="D5" s="823" t="s">
        <v>514</v>
      </c>
      <c r="E5" s="823" t="s">
        <v>515</v>
      </c>
      <c r="F5" s="823" t="s">
        <v>516</v>
      </c>
      <c r="G5" s="823" t="s">
        <v>515</v>
      </c>
      <c r="H5" s="1144"/>
      <c r="I5" s="826" t="s">
        <v>515</v>
      </c>
      <c r="J5" s="823" t="s">
        <v>517</v>
      </c>
      <c r="K5" s="823" t="s">
        <v>515</v>
      </c>
      <c r="L5" s="827" t="s">
        <v>518</v>
      </c>
      <c r="M5" s="823" t="s">
        <v>519</v>
      </c>
      <c r="N5" s="1146"/>
      <c r="O5" s="828" t="s">
        <v>515</v>
      </c>
      <c r="P5" s="829" t="s">
        <v>520</v>
      </c>
      <c r="Q5" s="830" t="s">
        <v>521</v>
      </c>
    </row>
    <row r="6" spans="1:17" ht="12.75">
      <c r="A6" s="831"/>
      <c r="B6" s="831"/>
      <c r="C6" s="368">
        <v>1</v>
      </c>
      <c r="D6" s="368">
        <f aca="true" t="shared" si="0" ref="D6:Q6">C6+1</f>
        <v>2</v>
      </c>
      <c r="E6" s="368">
        <f t="shared" si="0"/>
        <v>3</v>
      </c>
      <c r="F6" s="368">
        <f t="shared" si="0"/>
        <v>4</v>
      </c>
      <c r="G6" s="368">
        <f t="shared" si="0"/>
        <v>5</v>
      </c>
      <c r="H6" s="368">
        <f t="shared" si="0"/>
        <v>6</v>
      </c>
      <c r="I6" s="368">
        <f t="shared" si="0"/>
        <v>7</v>
      </c>
      <c r="J6" s="368">
        <f t="shared" si="0"/>
        <v>8</v>
      </c>
      <c r="K6" s="368">
        <f t="shared" si="0"/>
        <v>9</v>
      </c>
      <c r="L6" s="368">
        <f t="shared" si="0"/>
        <v>10</v>
      </c>
      <c r="M6" s="368">
        <f t="shared" si="0"/>
        <v>11</v>
      </c>
      <c r="N6" s="368">
        <f t="shared" si="0"/>
        <v>12</v>
      </c>
      <c r="O6" s="368">
        <f t="shared" si="0"/>
        <v>13</v>
      </c>
      <c r="P6" s="368">
        <f t="shared" si="0"/>
        <v>14</v>
      </c>
      <c r="Q6" s="368">
        <f t="shared" si="0"/>
        <v>15</v>
      </c>
    </row>
    <row r="7" spans="1:17" ht="12.75">
      <c r="A7" s="371"/>
      <c r="B7" s="372"/>
      <c r="C7" s="832"/>
      <c r="D7" s="833"/>
      <c r="E7" s="833"/>
      <c r="F7" s="833"/>
      <c r="G7" s="833"/>
      <c r="H7" s="833"/>
      <c r="I7" s="833"/>
      <c r="J7" s="833"/>
      <c r="K7" s="833"/>
      <c r="L7" s="834"/>
      <c r="M7" s="833"/>
      <c r="N7" s="833"/>
      <c r="O7" s="833"/>
      <c r="P7" s="833"/>
      <c r="Q7" s="833"/>
    </row>
    <row r="8" spans="1:17" ht="12.75">
      <c r="A8" s="835">
        <v>1</v>
      </c>
      <c r="B8" s="384" t="s">
        <v>284</v>
      </c>
      <c r="C8" s="832">
        <f>'[1]Table 3 Levels 1&amp;2'!Q8</f>
        <v>12739</v>
      </c>
      <c r="D8" s="387">
        <f>('[1]Table 7 Local Revenue'!G7*'[1]Table 7 Local Revenue'!$AC$76)/1000</f>
        <v>7567759.1364</v>
      </c>
      <c r="E8" s="387">
        <f aca="true" t="shared" si="1" ref="E8:E39">ROUND(D8/C8,2)</f>
        <v>594.06</v>
      </c>
      <c r="F8" s="387">
        <f>'[1]Table 7 Local Revenue'!AN7*'[1]Table 7 Local Revenue'!$AF$76</f>
        <v>9739719.253809584</v>
      </c>
      <c r="G8" s="387">
        <f aca="true" t="shared" si="2" ref="G8:G39">ROUND(F8/C8,2)</f>
        <v>764.56</v>
      </c>
      <c r="H8" s="387">
        <f>'[1]Table 7 Local Revenue'!AQ7</f>
        <v>373678</v>
      </c>
      <c r="I8" s="387">
        <f aca="true" t="shared" si="3" ref="I8:I39">ROUND(H8/C8,2)</f>
        <v>29.33</v>
      </c>
      <c r="J8" s="387">
        <f aca="true" t="shared" si="4" ref="J8:J39">H8+F8+D8</f>
        <v>17681156.390209585</v>
      </c>
      <c r="K8" s="387">
        <f aca="true" t="shared" si="5" ref="K8:K39">IF(ROUND(J8/C8,2)&lt;6000,ROUND(J8/C8,2),6000)</f>
        <v>1387.95</v>
      </c>
      <c r="L8" s="836">
        <f aca="true" t="shared" si="6" ref="L8:L39">ROUND(K8/K$77,8)</f>
        <v>0.62262247</v>
      </c>
      <c r="M8" s="384">
        <f aca="true" t="shared" si="7" ref="M8:M39">RANK(L8,L$8:L$75,0)</f>
        <v>45</v>
      </c>
      <c r="N8" s="387">
        <f>'[1]Table 7 Local Revenue'!AR7</f>
        <v>12741464</v>
      </c>
      <c r="O8" s="387">
        <f aca="true" t="shared" si="8" ref="O8:O39">ROUND(N8/C8,2)</f>
        <v>1000.19</v>
      </c>
      <c r="P8" s="837">
        <f aca="true" t="shared" si="9" ref="P8:P39">ROUND(O8/K8,6)</f>
        <v>0.720624</v>
      </c>
      <c r="Q8" s="384">
        <f aca="true" t="shared" si="10" ref="Q8:Q39">RANK(P8,P$8:P$75,0)</f>
        <v>60</v>
      </c>
    </row>
    <row r="9" spans="1:17" ht="12.75">
      <c r="A9" s="835">
        <v>2</v>
      </c>
      <c r="B9" s="384" t="s">
        <v>285</v>
      </c>
      <c r="C9" s="832">
        <f>'[1]Table 3 Levels 1&amp;2'!Q9</f>
        <v>5908</v>
      </c>
      <c r="D9" s="387">
        <f>('[1]Table 7 Local Revenue'!G8*'[1]Table 7 Local Revenue'!$AC$76)/1000</f>
        <v>2895383.0136</v>
      </c>
      <c r="E9" s="387">
        <f t="shared" si="1"/>
        <v>490.08</v>
      </c>
      <c r="F9" s="387">
        <f>'[1]Table 7 Local Revenue'!AN8*'[1]Table 7 Local Revenue'!$AF$76</f>
        <v>3721732.3689279673</v>
      </c>
      <c r="G9" s="387">
        <f t="shared" si="2"/>
        <v>629.95</v>
      </c>
      <c r="H9" s="387">
        <f>'[1]Table 7 Local Revenue'!AQ8</f>
        <v>96519</v>
      </c>
      <c r="I9" s="387">
        <f t="shared" si="3"/>
        <v>16.34</v>
      </c>
      <c r="J9" s="387">
        <f t="shared" si="4"/>
        <v>6713634.382527968</v>
      </c>
      <c r="K9" s="387">
        <f t="shared" si="5"/>
        <v>1136.36</v>
      </c>
      <c r="L9" s="836">
        <f t="shared" si="6"/>
        <v>0.50976135</v>
      </c>
      <c r="M9" s="384">
        <f t="shared" si="7"/>
        <v>57</v>
      </c>
      <c r="N9" s="387">
        <f>'[1]Table 7 Local Revenue'!AR8</f>
        <v>8930310</v>
      </c>
      <c r="O9" s="387">
        <f t="shared" si="8"/>
        <v>1511.56</v>
      </c>
      <c r="P9" s="837">
        <f t="shared" si="9"/>
        <v>1.330177</v>
      </c>
      <c r="Q9" s="384">
        <f t="shared" si="10"/>
        <v>6</v>
      </c>
    </row>
    <row r="10" spans="1:17" ht="12.75">
      <c r="A10" s="835">
        <v>3</v>
      </c>
      <c r="B10" s="384" t="s">
        <v>286</v>
      </c>
      <c r="C10" s="832">
        <f>'[1]Table 3 Levels 1&amp;2'!Q10</f>
        <v>23226</v>
      </c>
      <c r="D10" s="387">
        <f>('[1]Table 7 Local Revenue'!G9*'[1]Table 7 Local Revenue'!$AC$76)/1000</f>
        <v>20415811.492800005</v>
      </c>
      <c r="E10" s="387">
        <f t="shared" si="1"/>
        <v>879.01</v>
      </c>
      <c r="F10" s="387">
        <f>'[1]Table 7 Local Revenue'!AN9*'[1]Table 7 Local Revenue'!$AF$76</f>
        <v>29134961.855203893</v>
      </c>
      <c r="G10" s="387">
        <f t="shared" si="2"/>
        <v>1254.41</v>
      </c>
      <c r="H10" s="387">
        <f>'[1]Table 7 Local Revenue'!AQ9</f>
        <v>162802</v>
      </c>
      <c r="I10" s="387">
        <f t="shared" si="3"/>
        <v>7.01</v>
      </c>
      <c r="J10" s="387">
        <f t="shared" si="4"/>
        <v>49713575.348003894</v>
      </c>
      <c r="K10" s="387">
        <f t="shared" si="5"/>
        <v>2140.43</v>
      </c>
      <c r="L10" s="836">
        <f t="shared" si="6"/>
        <v>0.96017854</v>
      </c>
      <c r="M10" s="384">
        <f t="shared" si="7"/>
        <v>20</v>
      </c>
      <c r="N10" s="387">
        <f>'[1]Table 7 Local Revenue'!AR9</f>
        <v>56156244</v>
      </c>
      <c r="O10" s="387">
        <f t="shared" si="8"/>
        <v>2417.82</v>
      </c>
      <c r="P10" s="837">
        <f t="shared" si="9"/>
        <v>1.129595</v>
      </c>
      <c r="Q10" s="384">
        <f t="shared" si="10"/>
        <v>18</v>
      </c>
    </row>
    <row r="11" spans="1:17" ht="12.75">
      <c r="A11" s="835">
        <v>4</v>
      </c>
      <c r="B11" s="384" t="s">
        <v>287</v>
      </c>
      <c r="C11" s="832">
        <f>'[1]Table 3 Levels 1&amp;2'!Q11</f>
        <v>6004</v>
      </c>
      <c r="D11" s="387">
        <f>('[1]Table 7 Local Revenue'!G10*'[1]Table 7 Local Revenue'!$AC$76)/1000</f>
        <v>3507921.5688</v>
      </c>
      <c r="E11" s="387">
        <f t="shared" si="1"/>
        <v>584.26</v>
      </c>
      <c r="F11" s="387">
        <f>'[1]Table 7 Local Revenue'!AN10*'[1]Table 7 Local Revenue'!$AF$76</f>
        <v>3352176.8019691766</v>
      </c>
      <c r="G11" s="387">
        <f t="shared" si="2"/>
        <v>558.32</v>
      </c>
      <c r="H11" s="387">
        <f>'[1]Table 7 Local Revenue'!AQ10</f>
        <v>119548</v>
      </c>
      <c r="I11" s="387">
        <f t="shared" si="3"/>
        <v>19.91</v>
      </c>
      <c r="J11" s="387">
        <f t="shared" si="4"/>
        <v>6979646.370769177</v>
      </c>
      <c r="K11" s="387">
        <f t="shared" si="5"/>
        <v>1162.5</v>
      </c>
      <c r="L11" s="836">
        <f t="shared" si="6"/>
        <v>0.52148753</v>
      </c>
      <c r="M11" s="384">
        <f t="shared" si="7"/>
        <v>56</v>
      </c>
      <c r="N11" s="387">
        <f>'[1]Table 7 Local Revenue'!AR10</f>
        <v>7978457</v>
      </c>
      <c r="O11" s="387">
        <f t="shared" si="8"/>
        <v>1328.86</v>
      </c>
      <c r="P11" s="837">
        <f t="shared" si="9"/>
        <v>1.143105</v>
      </c>
      <c r="Q11" s="384">
        <f t="shared" si="10"/>
        <v>15</v>
      </c>
    </row>
    <row r="12" spans="1:17" ht="12.75">
      <c r="A12" s="838">
        <v>5</v>
      </c>
      <c r="B12" s="397" t="s">
        <v>288</v>
      </c>
      <c r="C12" s="839">
        <f>'[1]Table 3 Levels 1&amp;2'!Q12</f>
        <v>8413</v>
      </c>
      <c r="D12" s="399">
        <f>('[1]Table 7 Local Revenue'!G11*'[1]Table 7 Local Revenue'!$AC$76)/1000</f>
        <v>3113701.3596000005</v>
      </c>
      <c r="E12" s="399">
        <f t="shared" si="1"/>
        <v>370.11</v>
      </c>
      <c r="F12" s="399">
        <f>'[1]Table 7 Local Revenue'!AN11*'[1]Table 7 Local Revenue'!$AF$76</f>
        <v>6395544.48723634</v>
      </c>
      <c r="G12" s="399">
        <f t="shared" si="2"/>
        <v>760.2</v>
      </c>
      <c r="H12" s="399">
        <f>'[1]Table 7 Local Revenue'!AQ11</f>
        <v>848743</v>
      </c>
      <c r="I12" s="399">
        <f t="shared" si="3"/>
        <v>100.88</v>
      </c>
      <c r="J12" s="399">
        <f t="shared" si="4"/>
        <v>10357988.84683634</v>
      </c>
      <c r="K12" s="399">
        <f t="shared" si="5"/>
        <v>1231.19</v>
      </c>
      <c r="L12" s="840">
        <f t="shared" si="6"/>
        <v>0.55230127</v>
      </c>
      <c r="M12" s="397">
        <f t="shared" si="7"/>
        <v>53</v>
      </c>
      <c r="N12" s="399">
        <f>'[1]Table 7 Local Revenue'!AR11</f>
        <v>6986324</v>
      </c>
      <c r="O12" s="399">
        <f t="shared" si="8"/>
        <v>830.42</v>
      </c>
      <c r="P12" s="841">
        <f t="shared" si="9"/>
        <v>0.674486</v>
      </c>
      <c r="Q12" s="397">
        <f t="shared" si="10"/>
        <v>63</v>
      </c>
    </row>
    <row r="13" spans="1:17" ht="12.75">
      <c r="A13" s="835">
        <v>6</v>
      </c>
      <c r="B13" s="384" t="s">
        <v>289</v>
      </c>
      <c r="C13" s="832">
        <f>'[1]Table 3 Levels 1&amp;2'!Q13</f>
        <v>8271</v>
      </c>
      <c r="D13" s="387">
        <f>('[1]Table 7 Local Revenue'!G12*'[1]Table 7 Local Revenue'!$AC$76)/1000</f>
        <v>5877676.70148</v>
      </c>
      <c r="E13" s="387">
        <f t="shared" si="1"/>
        <v>710.64</v>
      </c>
      <c r="F13" s="387">
        <f>'[1]Table 7 Local Revenue'!AN12*'[1]Table 7 Local Revenue'!$AF$76</f>
        <v>7225975.886449396</v>
      </c>
      <c r="G13" s="387">
        <f t="shared" si="2"/>
        <v>873.65</v>
      </c>
      <c r="H13" s="387">
        <f>'[1]Table 7 Local Revenue'!AQ12</f>
        <v>291162</v>
      </c>
      <c r="I13" s="387">
        <f t="shared" si="3"/>
        <v>35.2</v>
      </c>
      <c r="J13" s="387">
        <f t="shared" si="4"/>
        <v>13394814.587929396</v>
      </c>
      <c r="K13" s="387">
        <f t="shared" si="5"/>
        <v>1619.49</v>
      </c>
      <c r="L13" s="836">
        <f t="shared" si="6"/>
        <v>0.72648932</v>
      </c>
      <c r="M13" s="384">
        <f t="shared" si="7"/>
        <v>37</v>
      </c>
      <c r="N13" s="387">
        <f>'[1]Table 7 Local Revenue'!AR12</f>
        <v>14573203</v>
      </c>
      <c r="O13" s="387">
        <f t="shared" si="8"/>
        <v>1761.96</v>
      </c>
      <c r="P13" s="837">
        <f t="shared" si="9"/>
        <v>1.087972</v>
      </c>
      <c r="Q13" s="384">
        <f t="shared" si="10"/>
        <v>22</v>
      </c>
    </row>
    <row r="14" spans="1:17" ht="12.75">
      <c r="A14" s="835">
        <v>7</v>
      </c>
      <c r="B14" s="384" t="s">
        <v>290</v>
      </c>
      <c r="C14" s="832">
        <f>'[1]Table 3 Levels 1&amp;2'!Q14</f>
        <v>3323</v>
      </c>
      <c r="D14" s="387">
        <f>('[1]Table 7 Local Revenue'!G13*'[1]Table 7 Local Revenue'!$AC$76)/1000</f>
        <v>5768209.0404</v>
      </c>
      <c r="E14" s="387">
        <f t="shared" si="1"/>
        <v>1735.84</v>
      </c>
      <c r="F14" s="387">
        <f>'[1]Table 7 Local Revenue'!AN13*'[1]Table 7 Local Revenue'!$AF$76</f>
        <v>3198510.204165385</v>
      </c>
      <c r="G14" s="387">
        <f t="shared" si="2"/>
        <v>962.54</v>
      </c>
      <c r="H14" s="387">
        <f>'[1]Table 7 Local Revenue'!AQ13</f>
        <v>495882</v>
      </c>
      <c r="I14" s="387">
        <f t="shared" si="3"/>
        <v>149.23</v>
      </c>
      <c r="J14" s="387">
        <f t="shared" si="4"/>
        <v>9462601.244565386</v>
      </c>
      <c r="K14" s="387">
        <f t="shared" si="5"/>
        <v>2847.61</v>
      </c>
      <c r="L14" s="836">
        <f t="shared" si="6"/>
        <v>1.27741342</v>
      </c>
      <c r="M14" s="384">
        <f t="shared" si="7"/>
        <v>13</v>
      </c>
      <c r="N14" s="387">
        <f>'[1]Table 7 Local Revenue'!AR13</f>
        <v>11744440</v>
      </c>
      <c r="O14" s="387">
        <f t="shared" si="8"/>
        <v>3534.29</v>
      </c>
      <c r="P14" s="837">
        <f t="shared" si="9"/>
        <v>1.241143</v>
      </c>
      <c r="Q14" s="384">
        <f t="shared" si="10"/>
        <v>9</v>
      </c>
    </row>
    <row r="15" spans="1:17" ht="12.75">
      <c r="A15" s="835">
        <v>8</v>
      </c>
      <c r="B15" s="384" t="s">
        <v>291</v>
      </c>
      <c r="C15" s="832">
        <f>'[1]Table 3 Levels 1&amp;2'!Q15</f>
        <v>24491</v>
      </c>
      <c r="D15" s="387">
        <f>('[1]Table 7 Local Revenue'!G14*'[1]Table 7 Local Revenue'!$AC$76)/1000</f>
        <v>19483792.614</v>
      </c>
      <c r="E15" s="387">
        <f t="shared" si="1"/>
        <v>795.55</v>
      </c>
      <c r="F15" s="387">
        <f>'[1]Table 7 Local Revenue'!AN14*'[1]Table 7 Local Revenue'!$AF$76</f>
        <v>36150695.21299611</v>
      </c>
      <c r="G15" s="387">
        <f t="shared" si="2"/>
        <v>1476.08</v>
      </c>
      <c r="H15" s="387">
        <f>'[1]Table 7 Local Revenue'!AQ14</f>
        <v>609192</v>
      </c>
      <c r="I15" s="387">
        <f t="shared" si="3"/>
        <v>24.87</v>
      </c>
      <c r="J15" s="387">
        <f t="shared" si="4"/>
        <v>56243679.82699611</v>
      </c>
      <c r="K15" s="387">
        <f t="shared" si="5"/>
        <v>2296.5</v>
      </c>
      <c r="L15" s="836">
        <f t="shared" si="6"/>
        <v>1.0301902</v>
      </c>
      <c r="M15" s="384">
        <f t="shared" si="7"/>
        <v>17</v>
      </c>
      <c r="N15" s="387">
        <f>'[1]Table 7 Local Revenue'!AR14</f>
        <v>55684302</v>
      </c>
      <c r="O15" s="387">
        <f t="shared" si="8"/>
        <v>2273.66</v>
      </c>
      <c r="P15" s="837">
        <f t="shared" si="9"/>
        <v>0.990054</v>
      </c>
      <c r="Q15" s="384">
        <f t="shared" si="10"/>
        <v>33</v>
      </c>
    </row>
    <row r="16" spans="1:17" ht="12.75">
      <c r="A16" s="835">
        <v>9</v>
      </c>
      <c r="B16" s="384" t="s">
        <v>292</v>
      </c>
      <c r="C16" s="832">
        <f>'[1]Table 3 Levels 1&amp;2'!Q16</f>
        <v>57098</v>
      </c>
      <c r="D16" s="387">
        <f>('[1]Table 7 Local Revenue'!G15*'[1]Table 7 Local Revenue'!$AC$76)/1000</f>
        <v>43398984.668400005</v>
      </c>
      <c r="E16" s="387">
        <f t="shared" si="1"/>
        <v>760.08</v>
      </c>
      <c r="F16" s="387">
        <f>'[1]Table 7 Local Revenue'!AN15*'[1]Table 7 Local Revenue'!$AF$76</f>
        <v>73722294.24935111</v>
      </c>
      <c r="G16" s="387">
        <f t="shared" si="2"/>
        <v>1291.15</v>
      </c>
      <c r="H16" s="387">
        <f>'[1]Table 7 Local Revenue'!AQ15</f>
        <v>2389330</v>
      </c>
      <c r="I16" s="387">
        <f t="shared" si="3"/>
        <v>41.85</v>
      </c>
      <c r="J16" s="387">
        <f t="shared" si="4"/>
        <v>119510608.91775112</v>
      </c>
      <c r="K16" s="387">
        <f t="shared" si="5"/>
        <v>2093.08</v>
      </c>
      <c r="L16" s="836">
        <f t="shared" si="6"/>
        <v>0.93893774</v>
      </c>
      <c r="M16" s="384">
        <f t="shared" si="7"/>
        <v>23</v>
      </c>
      <c r="N16" s="387">
        <f>'[1]Table 7 Local Revenue'!AR15</f>
        <v>140770270</v>
      </c>
      <c r="O16" s="387">
        <f t="shared" si="8"/>
        <v>2465.42</v>
      </c>
      <c r="P16" s="837">
        <f t="shared" si="9"/>
        <v>1.177891</v>
      </c>
      <c r="Q16" s="384">
        <f t="shared" si="10"/>
        <v>13</v>
      </c>
    </row>
    <row r="17" spans="1:20" ht="12.75">
      <c r="A17" s="838">
        <v>10</v>
      </c>
      <c r="B17" s="397" t="s">
        <v>293</v>
      </c>
      <c r="C17" s="839">
        <f>'[1]Table 3 Levels 1&amp;2'!Q17</f>
        <v>40637</v>
      </c>
      <c r="D17" s="399">
        <f>('[1]Table 7 Local Revenue'!G16*'[1]Table 7 Local Revenue'!$AC$76)/1000</f>
        <v>39488497.88160001</v>
      </c>
      <c r="E17" s="399">
        <f t="shared" si="1"/>
        <v>971.74</v>
      </c>
      <c r="F17" s="399">
        <f>'[1]Table 7 Local Revenue'!AN16*'[1]Table 7 Local Revenue'!$AF$76</f>
        <v>70873300.32173353</v>
      </c>
      <c r="G17" s="399">
        <f t="shared" si="2"/>
        <v>1744.06</v>
      </c>
      <c r="H17" s="399">
        <f>'[1]Table 7 Local Revenue'!AQ16</f>
        <v>1013045</v>
      </c>
      <c r="I17" s="399">
        <f t="shared" si="3"/>
        <v>24.93</v>
      </c>
      <c r="J17" s="399">
        <f t="shared" si="4"/>
        <v>111374843.20333354</v>
      </c>
      <c r="K17" s="399">
        <f t="shared" si="5"/>
        <v>2740.73</v>
      </c>
      <c r="L17" s="840">
        <f t="shared" si="6"/>
        <v>1.22946797</v>
      </c>
      <c r="M17" s="397">
        <f t="shared" si="7"/>
        <v>14</v>
      </c>
      <c r="N17" s="399">
        <f>'[1]Table 7 Local Revenue'!AR16</f>
        <v>111757310</v>
      </c>
      <c r="O17" s="399">
        <f t="shared" si="8"/>
        <v>2750.14</v>
      </c>
      <c r="P17" s="841">
        <f t="shared" si="9"/>
        <v>1.003433</v>
      </c>
      <c r="Q17" s="397">
        <f t="shared" si="10"/>
        <v>32</v>
      </c>
      <c r="R17" s="1"/>
      <c r="S17" s="1"/>
      <c r="T17" s="1"/>
    </row>
    <row r="18" spans="1:20" ht="12" customHeight="1">
      <c r="A18" s="835">
        <v>11</v>
      </c>
      <c r="B18" s="384" t="s">
        <v>294</v>
      </c>
      <c r="C18" s="832">
        <f>'[1]Table 3 Levels 1&amp;2'!Q18</f>
        <v>2644</v>
      </c>
      <c r="D18" s="387">
        <f>('[1]Table 7 Local Revenue'!G17*'[1]Table 7 Local Revenue'!$AC$76)/1000</f>
        <v>1212354.804</v>
      </c>
      <c r="E18" s="387">
        <f t="shared" si="1"/>
        <v>458.53</v>
      </c>
      <c r="F18" s="387">
        <f>'[1]Table 7 Local Revenue'!AN17*'[1]Table 7 Local Revenue'!$AF$76</f>
        <v>1683239.5203903038</v>
      </c>
      <c r="G18" s="387">
        <f t="shared" si="2"/>
        <v>636.63</v>
      </c>
      <c r="H18" s="387">
        <f>'[1]Table 7 Local Revenue'!AQ17</f>
        <v>460106</v>
      </c>
      <c r="I18" s="387">
        <f t="shared" si="3"/>
        <v>174.02</v>
      </c>
      <c r="J18" s="387">
        <f t="shared" si="4"/>
        <v>3355700.324390304</v>
      </c>
      <c r="K18" s="387">
        <f t="shared" si="5"/>
        <v>1269.18</v>
      </c>
      <c r="L18" s="836">
        <f t="shared" si="6"/>
        <v>0.56934326</v>
      </c>
      <c r="M18" s="384">
        <f t="shared" si="7"/>
        <v>50</v>
      </c>
      <c r="N18" s="387">
        <f>'[1]Table 7 Local Revenue'!AR17</f>
        <v>3289529</v>
      </c>
      <c r="O18" s="387">
        <f t="shared" si="8"/>
        <v>1244.15</v>
      </c>
      <c r="P18" s="837">
        <f t="shared" si="9"/>
        <v>0.980279</v>
      </c>
      <c r="Q18" s="384">
        <f t="shared" si="10"/>
        <v>34</v>
      </c>
      <c r="R18" s="1"/>
      <c r="S18" s="1"/>
      <c r="T18" s="1"/>
    </row>
    <row r="19" spans="1:20" ht="12.75">
      <c r="A19" s="835">
        <v>12</v>
      </c>
      <c r="B19" s="384" t="s">
        <v>295</v>
      </c>
      <c r="C19" s="832">
        <f>'[1]Table 3 Levels 1&amp;2'!Q19</f>
        <v>2589</v>
      </c>
      <c r="D19" s="387">
        <f>('[1]Table 7 Local Revenue'!G18*'[1]Table 7 Local Revenue'!$AC$76)/1000</f>
        <v>5654458.26984</v>
      </c>
      <c r="E19" s="387">
        <f t="shared" si="1"/>
        <v>2184.03</v>
      </c>
      <c r="F19" s="387">
        <f>'[1]Table 7 Local Revenue'!AN18*'[1]Table 7 Local Revenue'!$AF$76</f>
        <v>562098.2009452488</v>
      </c>
      <c r="G19" s="387">
        <f t="shared" si="2"/>
        <v>217.11</v>
      </c>
      <c r="H19" s="387">
        <f>'[1]Table 7 Local Revenue'!AQ18</f>
        <v>1184320</v>
      </c>
      <c r="I19" s="387">
        <f t="shared" si="3"/>
        <v>457.44</v>
      </c>
      <c r="J19" s="387">
        <f t="shared" si="4"/>
        <v>7400876.470785249</v>
      </c>
      <c r="K19" s="387">
        <f t="shared" si="5"/>
        <v>2858.58</v>
      </c>
      <c r="L19" s="836">
        <f t="shared" si="6"/>
        <v>1.28233447</v>
      </c>
      <c r="M19" s="384">
        <f t="shared" si="7"/>
        <v>12</v>
      </c>
      <c r="N19" s="387">
        <f>'[1]Table 7 Local Revenue'!AR18</f>
        <v>9110614</v>
      </c>
      <c r="O19" s="387">
        <f t="shared" si="8"/>
        <v>3518.97</v>
      </c>
      <c r="P19" s="837">
        <f t="shared" si="9"/>
        <v>1.23102</v>
      </c>
      <c r="Q19" s="384">
        <f t="shared" si="10"/>
        <v>10</v>
      </c>
      <c r="R19" s="1"/>
      <c r="S19" s="1"/>
      <c r="T19" s="1"/>
    </row>
    <row r="20" spans="1:20" ht="12.75">
      <c r="A20" s="835">
        <v>13</v>
      </c>
      <c r="B20" s="384" t="s">
        <v>296</v>
      </c>
      <c r="C20" s="832">
        <f>'[1]Table 3 Levels 1&amp;2'!Q20</f>
        <v>2589</v>
      </c>
      <c r="D20" s="387">
        <f>('[1]Table 7 Local Revenue'!G19*'[1]Table 7 Local Revenue'!$AC$76)/1000</f>
        <v>1251505.0656</v>
      </c>
      <c r="E20" s="387">
        <f t="shared" si="1"/>
        <v>483.39</v>
      </c>
      <c r="F20" s="387">
        <f>'[1]Table 7 Local Revenue'!AN19*'[1]Table 7 Local Revenue'!$AF$76</f>
        <v>1470829.48292245</v>
      </c>
      <c r="G20" s="387">
        <f t="shared" si="2"/>
        <v>568.11</v>
      </c>
      <c r="H20" s="387">
        <f>'[1]Table 7 Local Revenue'!AQ19</f>
        <v>85058</v>
      </c>
      <c r="I20" s="387">
        <f t="shared" si="3"/>
        <v>32.85</v>
      </c>
      <c r="J20" s="387">
        <f t="shared" si="4"/>
        <v>2807392.54852245</v>
      </c>
      <c r="K20" s="387">
        <f t="shared" si="5"/>
        <v>1084.35</v>
      </c>
      <c r="L20" s="836">
        <f t="shared" si="6"/>
        <v>0.48643011</v>
      </c>
      <c r="M20" s="384">
        <f t="shared" si="7"/>
        <v>60</v>
      </c>
      <c r="N20" s="387">
        <f>'[1]Table 7 Local Revenue'!AR19</f>
        <v>2491184</v>
      </c>
      <c r="O20" s="387">
        <f t="shared" si="8"/>
        <v>962.22</v>
      </c>
      <c r="P20" s="837">
        <f t="shared" si="9"/>
        <v>0.88737</v>
      </c>
      <c r="Q20" s="384">
        <f t="shared" si="10"/>
        <v>46</v>
      </c>
      <c r="R20" s="1"/>
      <c r="S20" s="1"/>
      <c r="T20" s="1"/>
    </row>
    <row r="21" spans="1:20" ht="12.75">
      <c r="A21" s="835">
        <v>14</v>
      </c>
      <c r="B21" s="384" t="s">
        <v>297</v>
      </c>
      <c r="C21" s="832">
        <f>'[1]Table 3 Levels 1&amp;2'!Q21</f>
        <v>4097</v>
      </c>
      <c r="D21" s="387">
        <f>('[1]Table 7 Local Revenue'!G20*'[1]Table 7 Local Revenue'!$AC$76)/1000</f>
        <v>3097220.1138000004</v>
      </c>
      <c r="E21" s="387">
        <f t="shared" si="1"/>
        <v>755.97</v>
      </c>
      <c r="F21" s="387">
        <f>'[1]Table 7 Local Revenue'!AN20*'[1]Table 7 Local Revenue'!$AF$76</f>
        <v>2586592.499839898</v>
      </c>
      <c r="G21" s="387">
        <f t="shared" si="2"/>
        <v>631.34</v>
      </c>
      <c r="H21" s="387">
        <f>'[1]Table 7 Local Revenue'!AQ20</f>
        <v>192427</v>
      </c>
      <c r="I21" s="387">
        <f t="shared" si="3"/>
        <v>46.97</v>
      </c>
      <c r="J21" s="387">
        <f t="shared" si="4"/>
        <v>5876239.613639899</v>
      </c>
      <c r="K21" s="387">
        <f t="shared" si="5"/>
        <v>1434.28</v>
      </c>
      <c r="L21" s="836">
        <f t="shared" si="6"/>
        <v>0.64340571</v>
      </c>
      <c r="M21" s="384">
        <f t="shared" si="7"/>
        <v>42</v>
      </c>
      <c r="N21" s="387">
        <f>'[1]Table 7 Local Revenue'!AR20</f>
        <v>6154501</v>
      </c>
      <c r="O21" s="387">
        <f t="shared" si="8"/>
        <v>1502.2</v>
      </c>
      <c r="P21" s="837">
        <f t="shared" si="9"/>
        <v>1.047355</v>
      </c>
      <c r="Q21" s="384">
        <f t="shared" si="10"/>
        <v>25</v>
      </c>
      <c r="R21" s="1"/>
      <c r="S21" s="1"/>
      <c r="T21" s="1"/>
    </row>
    <row r="22" spans="1:20" ht="12.75">
      <c r="A22" s="838">
        <v>15</v>
      </c>
      <c r="B22" s="397" t="s">
        <v>298</v>
      </c>
      <c r="C22" s="839">
        <f>'[1]Table 3 Levels 1&amp;2'!Q22</f>
        <v>5632</v>
      </c>
      <c r="D22" s="399">
        <f>('[1]Table 7 Local Revenue'!G21*'[1]Table 7 Local Revenue'!$AC$76)/1000</f>
        <v>4142483.1408</v>
      </c>
      <c r="E22" s="399">
        <f t="shared" si="1"/>
        <v>735.53</v>
      </c>
      <c r="F22" s="399">
        <f>'[1]Table 7 Local Revenue'!AN21*'[1]Table 7 Local Revenue'!$AF$76</f>
        <v>3276141.6131712194</v>
      </c>
      <c r="G22" s="399">
        <f t="shared" si="2"/>
        <v>581.7</v>
      </c>
      <c r="H22" s="399">
        <f>'[1]Table 7 Local Revenue'!AQ21</f>
        <v>218856</v>
      </c>
      <c r="I22" s="399">
        <f t="shared" si="3"/>
        <v>38.86</v>
      </c>
      <c r="J22" s="399">
        <f t="shared" si="4"/>
        <v>7637480.753971219</v>
      </c>
      <c r="K22" s="399">
        <f t="shared" si="5"/>
        <v>1356.09</v>
      </c>
      <c r="L22" s="840">
        <f t="shared" si="6"/>
        <v>0.60833034</v>
      </c>
      <c r="M22" s="397">
        <f t="shared" si="7"/>
        <v>47</v>
      </c>
      <c r="N22" s="399">
        <f>'[1]Table 7 Local Revenue'!AR21</f>
        <v>7376786</v>
      </c>
      <c r="O22" s="399">
        <f t="shared" si="8"/>
        <v>1309.8</v>
      </c>
      <c r="P22" s="841">
        <f t="shared" si="9"/>
        <v>0.965865</v>
      </c>
      <c r="Q22" s="397">
        <f t="shared" si="10"/>
        <v>36</v>
      </c>
      <c r="R22" s="1"/>
      <c r="S22" s="1"/>
      <c r="T22" s="1"/>
    </row>
    <row r="23" spans="1:20" ht="12.75">
      <c r="A23" s="835">
        <v>16</v>
      </c>
      <c r="B23" s="384" t="s">
        <v>299</v>
      </c>
      <c r="C23" s="832">
        <f>'[1]Table 3 Levels 1&amp;2'!Q23</f>
        <v>6830</v>
      </c>
      <c r="D23" s="387">
        <f>('[1]Table 7 Local Revenue'!G22*'[1]Table 7 Local Revenue'!$AC$76)/1000</f>
        <v>7186692.30444</v>
      </c>
      <c r="E23" s="387">
        <f t="shared" si="1"/>
        <v>1052.22</v>
      </c>
      <c r="F23" s="387">
        <f>'[1]Table 7 Local Revenue'!AN22*'[1]Table 7 Local Revenue'!$AF$76</f>
        <v>6499404.490853379</v>
      </c>
      <c r="G23" s="387">
        <f t="shared" si="2"/>
        <v>951.6</v>
      </c>
      <c r="H23" s="387">
        <f>'[1]Table 7 Local Revenue'!AQ22</f>
        <v>445266</v>
      </c>
      <c r="I23" s="387">
        <f t="shared" si="3"/>
        <v>65.19</v>
      </c>
      <c r="J23" s="387">
        <f t="shared" si="4"/>
        <v>14131362.79529338</v>
      </c>
      <c r="K23" s="387">
        <f t="shared" si="5"/>
        <v>2069.01</v>
      </c>
      <c r="L23" s="836">
        <f t="shared" si="6"/>
        <v>0.92814014</v>
      </c>
      <c r="M23" s="384">
        <f t="shared" si="7"/>
        <v>24</v>
      </c>
      <c r="N23" s="387">
        <f>'[1]Table 7 Local Revenue'!AR22</f>
        <v>19780834</v>
      </c>
      <c r="O23" s="387">
        <f t="shared" si="8"/>
        <v>2896.17</v>
      </c>
      <c r="P23" s="837">
        <f t="shared" si="9"/>
        <v>1.399785</v>
      </c>
      <c r="Q23" s="384">
        <f t="shared" si="10"/>
        <v>4</v>
      </c>
      <c r="R23" s="1"/>
      <c r="S23" s="1"/>
      <c r="T23" s="1"/>
    </row>
    <row r="24" spans="1:17" ht="12.75">
      <c r="A24" s="835">
        <v>17</v>
      </c>
      <c r="B24" s="384" t="s">
        <v>300</v>
      </c>
      <c r="C24" s="832">
        <f>'[1]Table 3 Levels 1&amp;2'!Q24</f>
        <v>64042</v>
      </c>
      <c r="D24" s="387">
        <f>('[1]Table 7 Local Revenue'!G23*'[1]Table 7 Local Revenue'!$AC$76)/1000</f>
        <v>90247120.2828</v>
      </c>
      <c r="E24" s="387">
        <f t="shared" si="1"/>
        <v>1409.19</v>
      </c>
      <c r="F24" s="387">
        <f>'[1]Table 7 Local Revenue'!AN23*'[1]Table 7 Local Revenue'!$AF$76</f>
        <v>126171022.25133856</v>
      </c>
      <c r="G24" s="387">
        <f t="shared" si="2"/>
        <v>1970.13</v>
      </c>
      <c r="H24" s="387">
        <f>'[1]Table 7 Local Revenue'!AQ23</f>
        <v>3745686</v>
      </c>
      <c r="I24" s="387">
        <f t="shared" si="3"/>
        <v>58.49</v>
      </c>
      <c r="J24" s="387">
        <f t="shared" si="4"/>
        <v>220163828.53413856</v>
      </c>
      <c r="K24" s="387">
        <f t="shared" si="5"/>
        <v>3437.8</v>
      </c>
      <c r="L24" s="836">
        <f t="shared" si="6"/>
        <v>1.54216759</v>
      </c>
      <c r="M24" s="384">
        <f t="shared" si="7"/>
        <v>6</v>
      </c>
      <c r="N24" s="387">
        <f>'[1]Table 7 Local Revenue'!AR23</f>
        <v>224697572</v>
      </c>
      <c r="O24" s="387">
        <f t="shared" si="8"/>
        <v>3508.6</v>
      </c>
      <c r="P24" s="837">
        <f t="shared" si="9"/>
        <v>1.020595</v>
      </c>
      <c r="Q24" s="384">
        <f t="shared" si="10"/>
        <v>28</v>
      </c>
    </row>
    <row r="25" spans="1:17" ht="12.75">
      <c r="A25" s="835">
        <v>18</v>
      </c>
      <c r="B25" s="384" t="s">
        <v>301</v>
      </c>
      <c r="C25" s="832">
        <f>'[1]Table 3 Levels 1&amp;2'!Q25</f>
        <v>2305</v>
      </c>
      <c r="D25" s="387">
        <f>('[1]Table 7 Local Revenue'!G24*'[1]Table 7 Local Revenue'!$AC$76)/1000</f>
        <v>1202476.27524</v>
      </c>
      <c r="E25" s="387">
        <f t="shared" si="1"/>
        <v>521.68</v>
      </c>
      <c r="F25" s="387">
        <f>'[1]Table 7 Local Revenue'!AN24*'[1]Table 7 Local Revenue'!$AF$76</f>
        <v>894134.6266052342</v>
      </c>
      <c r="G25" s="387">
        <f t="shared" si="2"/>
        <v>387.91</v>
      </c>
      <c r="H25" s="387">
        <f>'[1]Table 7 Local Revenue'!AQ24</f>
        <v>114525</v>
      </c>
      <c r="I25" s="387">
        <f t="shared" si="3"/>
        <v>49.69</v>
      </c>
      <c r="J25" s="387">
        <f t="shared" si="4"/>
        <v>2211135.9018452344</v>
      </c>
      <c r="K25" s="387">
        <f t="shared" si="5"/>
        <v>959.28</v>
      </c>
      <c r="L25" s="836">
        <f t="shared" si="6"/>
        <v>0.43032478</v>
      </c>
      <c r="M25" s="384">
        <f t="shared" si="7"/>
        <v>65</v>
      </c>
      <c r="N25" s="387">
        <f>'[1]Table 7 Local Revenue'!AR24</f>
        <v>1839952</v>
      </c>
      <c r="O25" s="387">
        <f t="shared" si="8"/>
        <v>798.24</v>
      </c>
      <c r="P25" s="837">
        <f t="shared" si="9"/>
        <v>0.832124</v>
      </c>
      <c r="Q25" s="384">
        <f t="shared" si="10"/>
        <v>52</v>
      </c>
    </row>
    <row r="26" spans="1:17" ht="12.75">
      <c r="A26" s="835">
        <v>19</v>
      </c>
      <c r="B26" s="434" t="s">
        <v>302</v>
      </c>
      <c r="C26" s="832">
        <f>'[1]Table 3 Levels 1&amp;2'!Q26</f>
        <v>3524</v>
      </c>
      <c r="D26" s="387">
        <f>('[1]Table 7 Local Revenue'!G25*'[1]Table 7 Local Revenue'!$AC$76)/1000</f>
        <v>2638831.9968000003</v>
      </c>
      <c r="E26" s="387">
        <f t="shared" si="1"/>
        <v>748.82</v>
      </c>
      <c r="F26" s="387">
        <f>'[1]Table 7 Local Revenue'!AN25*'[1]Table 7 Local Revenue'!$AF$76</f>
        <v>2068515.153925958</v>
      </c>
      <c r="G26" s="387">
        <f t="shared" si="2"/>
        <v>586.98</v>
      </c>
      <c r="H26" s="387">
        <f>'[1]Table 7 Local Revenue'!AQ25</f>
        <v>123489</v>
      </c>
      <c r="I26" s="387">
        <f t="shared" si="3"/>
        <v>35.04</v>
      </c>
      <c r="J26" s="387">
        <f t="shared" si="4"/>
        <v>4830836.150725959</v>
      </c>
      <c r="K26" s="387">
        <f t="shared" si="5"/>
        <v>1370.84</v>
      </c>
      <c r="L26" s="836">
        <f t="shared" si="6"/>
        <v>0.61494707</v>
      </c>
      <c r="M26" s="384">
        <f t="shared" si="7"/>
        <v>46</v>
      </c>
      <c r="N26" s="387">
        <f>'[1]Table 7 Local Revenue'!AR25</f>
        <v>3376947</v>
      </c>
      <c r="O26" s="387">
        <f t="shared" si="8"/>
        <v>958.27</v>
      </c>
      <c r="P26" s="837">
        <f t="shared" si="9"/>
        <v>0.699039</v>
      </c>
      <c r="Q26" s="384">
        <f t="shared" si="10"/>
        <v>62</v>
      </c>
    </row>
    <row r="27" spans="1:17" ht="12.75">
      <c r="A27" s="838">
        <v>20</v>
      </c>
      <c r="B27" s="397" t="s">
        <v>303</v>
      </c>
      <c r="C27" s="839">
        <f>'[1]Table 3 Levels 1&amp;2'!Q27</f>
        <v>8726</v>
      </c>
      <c r="D27" s="399">
        <f>('[1]Table 7 Local Revenue'!G26*'[1]Table 7 Local Revenue'!$AC$76)/1000</f>
        <v>4538378.9688</v>
      </c>
      <c r="E27" s="399">
        <f t="shared" si="1"/>
        <v>520.1</v>
      </c>
      <c r="F27" s="399">
        <f>'[1]Table 7 Local Revenue'!AN26*'[1]Table 7 Local Revenue'!$AF$76</f>
        <v>5065689.3308652</v>
      </c>
      <c r="G27" s="399">
        <f t="shared" si="2"/>
        <v>580.53</v>
      </c>
      <c r="H27" s="399">
        <f>'[1]Table 7 Local Revenue'!AQ26</f>
        <v>232202</v>
      </c>
      <c r="I27" s="399">
        <f t="shared" si="3"/>
        <v>26.61</v>
      </c>
      <c r="J27" s="399">
        <f t="shared" si="4"/>
        <v>9836270.2996652</v>
      </c>
      <c r="K27" s="399">
        <f t="shared" si="5"/>
        <v>1127.24</v>
      </c>
      <c r="L27" s="840">
        <f t="shared" si="6"/>
        <v>0.5056702</v>
      </c>
      <c r="M27" s="397">
        <f t="shared" si="7"/>
        <v>58</v>
      </c>
      <c r="N27" s="399">
        <f>'[1]Table 7 Local Revenue'!AR26</f>
        <v>9170113</v>
      </c>
      <c r="O27" s="399">
        <f t="shared" si="8"/>
        <v>1050.9</v>
      </c>
      <c r="P27" s="841">
        <f t="shared" si="9"/>
        <v>0.932277</v>
      </c>
      <c r="Q27" s="397">
        <f t="shared" si="10"/>
        <v>42</v>
      </c>
    </row>
    <row r="28" spans="1:17" ht="12.75">
      <c r="A28" s="835">
        <v>21</v>
      </c>
      <c r="B28" s="384" t="s">
        <v>304</v>
      </c>
      <c r="C28" s="832">
        <f>'[1]Table 3 Levels 1&amp;2'!Q28</f>
        <v>4625</v>
      </c>
      <c r="D28" s="387">
        <f>('[1]Table 7 Local Revenue'!G27*'[1]Table 7 Local Revenue'!$AC$76)/1000</f>
        <v>1971093.17256</v>
      </c>
      <c r="E28" s="387">
        <f t="shared" si="1"/>
        <v>426.18</v>
      </c>
      <c r="F28" s="387">
        <f>'[1]Table 7 Local Revenue'!AN27*'[1]Table 7 Local Revenue'!$AF$76</f>
        <v>3684617.7718299995</v>
      </c>
      <c r="G28" s="387">
        <f t="shared" si="2"/>
        <v>796.67</v>
      </c>
      <c r="H28" s="387">
        <f>'[1]Table 7 Local Revenue'!AQ27</f>
        <v>109695</v>
      </c>
      <c r="I28" s="387">
        <f t="shared" si="3"/>
        <v>23.72</v>
      </c>
      <c r="J28" s="387">
        <f t="shared" si="4"/>
        <v>5765405.94439</v>
      </c>
      <c r="K28" s="387">
        <f t="shared" si="5"/>
        <v>1246.57</v>
      </c>
      <c r="L28" s="836">
        <f t="shared" si="6"/>
        <v>0.55920061</v>
      </c>
      <c r="M28" s="384">
        <f t="shared" si="7"/>
        <v>52</v>
      </c>
      <c r="N28" s="387">
        <f>'[1]Table 7 Local Revenue'!AR27</f>
        <v>3566292</v>
      </c>
      <c r="O28" s="387">
        <f t="shared" si="8"/>
        <v>771.09</v>
      </c>
      <c r="P28" s="837">
        <f t="shared" si="9"/>
        <v>0.618569</v>
      </c>
      <c r="Q28" s="384">
        <f t="shared" si="10"/>
        <v>66</v>
      </c>
    </row>
    <row r="29" spans="1:17" ht="12.75">
      <c r="A29" s="835">
        <v>22</v>
      </c>
      <c r="B29" s="384" t="s">
        <v>305</v>
      </c>
      <c r="C29" s="832">
        <f>'[1]Table 3 Levels 1&amp;2'!Q29</f>
        <v>5272</v>
      </c>
      <c r="D29" s="387">
        <f>('[1]Table 7 Local Revenue'!G28*'[1]Table 7 Local Revenue'!$AC$76)/1000</f>
        <v>1260932.3373600002</v>
      </c>
      <c r="E29" s="387">
        <f t="shared" si="1"/>
        <v>239.18</v>
      </c>
      <c r="F29" s="387">
        <f>'[1]Table 7 Local Revenue'!AN28*'[1]Table 7 Local Revenue'!$AF$76</f>
        <v>1674860.1476237976</v>
      </c>
      <c r="G29" s="387">
        <f t="shared" si="2"/>
        <v>317.69</v>
      </c>
      <c r="H29" s="387">
        <f>'[1]Table 7 Local Revenue'!AQ28</f>
        <v>564262</v>
      </c>
      <c r="I29" s="387">
        <f t="shared" si="3"/>
        <v>107.03</v>
      </c>
      <c r="J29" s="387">
        <f t="shared" si="4"/>
        <v>3500054.484983798</v>
      </c>
      <c r="K29" s="387">
        <f t="shared" si="5"/>
        <v>663.9</v>
      </c>
      <c r="L29" s="836">
        <f t="shared" si="6"/>
        <v>0.29781985</v>
      </c>
      <c r="M29" s="384">
        <f t="shared" si="7"/>
        <v>68</v>
      </c>
      <c r="N29" s="387">
        <f>'[1]Table 7 Local Revenue'!AR28</f>
        <v>2961554</v>
      </c>
      <c r="O29" s="387">
        <f t="shared" si="8"/>
        <v>561.75</v>
      </c>
      <c r="P29" s="837">
        <f t="shared" si="9"/>
        <v>0.846136</v>
      </c>
      <c r="Q29" s="384">
        <f t="shared" si="10"/>
        <v>51</v>
      </c>
    </row>
    <row r="30" spans="1:17" ht="12.75">
      <c r="A30" s="835">
        <v>23</v>
      </c>
      <c r="B30" s="384" t="s">
        <v>306</v>
      </c>
      <c r="C30" s="832">
        <f>'[1]Table 3 Levels 1&amp;2'!Q30</f>
        <v>19299</v>
      </c>
      <c r="D30" s="387">
        <f>('[1]Table 7 Local Revenue'!G29*'[1]Table 7 Local Revenue'!$AC$76)/1000</f>
        <v>11661255.199320002</v>
      </c>
      <c r="E30" s="387">
        <f t="shared" si="1"/>
        <v>604.24</v>
      </c>
      <c r="F30" s="387">
        <f>'[1]Table 7 Local Revenue'!AN29*'[1]Table 7 Local Revenue'!$AF$76</f>
        <v>19462486.22209947</v>
      </c>
      <c r="G30" s="387">
        <f t="shared" si="2"/>
        <v>1008.47</v>
      </c>
      <c r="H30" s="387">
        <f>'[1]Table 7 Local Revenue'!AQ29</f>
        <v>548083</v>
      </c>
      <c r="I30" s="387">
        <f t="shared" si="3"/>
        <v>28.4</v>
      </c>
      <c r="J30" s="387">
        <f t="shared" si="4"/>
        <v>31671824.42141947</v>
      </c>
      <c r="K30" s="387">
        <f t="shared" si="5"/>
        <v>1641.11</v>
      </c>
      <c r="L30" s="836">
        <f t="shared" si="6"/>
        <v>0.73618787</v>
      </c>
      <c r="M30" s="384">
        <f t="shared" si="7"/>
        <v>35</v>
      </c>
      <c r="N30" s="387">
        <f>'[1]Table 7 Local Revenue'!AR29</f>
        <v>30469784</v>
      </c>
      <c r="O30" s="387">
        <f t="shared" si="8"/>
        <v>1578.83</v>
      </c>
      <c r="P30" s="837">
        <f t="shared" si="9"/>
        <v>0.96205</v>
      </c>
      <c r="Q30" s="384">
        <f t="shared" si="10"/>
        <v>38</v>
      </c>
    </row>
    <row r="31" spans="1:17" ht="12.75">
      <c r="A31" s="835">
        <v>24</v>
      </c>
      <c r="B31" s="384" t="s">
        <v>307</v>
      </c>
      <c r="C31" s="832">
        <f>'[1]Table 3 Levels 1&amp;2'!Q31</f>
        <v>6155</v>
      </c>
      <c r="D31" s="387">
        <f>('[1]Table 7 Local Revenue'!G30*'[1]Table 7 Local Revenue'!$AC$76)/1000</f>
        <v>12769957.84092</v>
      </c>
      <c r="E31" s="387">
        <f t="shared" si="1"/>
        <v>2074.73</v>
      </c>
      <c r="F31" s="387">
        <f>'[1]Table 7 Local Revenue'!AN30*'[1]Table 7 Local Revenue'!$AF$76</f>
        <v>10830578.337182216</v>
      </c>
      <c r="G31" s="387">
        <f t="shared" si="2"/>
        <v>1759.64</v>
      </c>
      <c r="H31" s="387">
        <f>'[1]Table 7 Local Revenue'!AQ30</f>
        <v>153646</v>
      </c>
      <c r="I31" s="387">
        <f t="shared" si="3"/>
        <v>24.96</v>
      </c>
      <c r="J31" s="387">
        <f t="shared" si="4"/>
        <v>23754182.178102218</v>
      </c>
      <c r="K31" s="387">
        <f t="shared" si="5"/>
        <v>3859.33</v>
      </c>
      <c r="L31" s="836">
        <f t="shared" si="6"/>
        <v>1.73126234</v>
      </c>
      <c r="M31" s="384">
        <f t="shared" si="7"/>
        <v>4</v>
      </c>
      <c r="N31" s="387">
        <f>'[1]Table 7 Local Revenue'!AR30</f>
        <v>23234952</v>
      </c>
      <c r="O31" s="387">
        <f t="shared" si="8"/>
        <v>3774.97</v>
      </c>
      <c r="P31" s="837">
        <f t="shared" si="9"/>
        <v>0.978141</v>
      </c>
      <c r="Q31" s="384">
        <f t="shared" si="10"/>
        <v>35</v>
      </c>
    </row>
    <row r="32" spans="1:17" ht="12.75">
      <c r="A32" s="838">
        <v>25</v>
      </c>
      <c r="B32" s="397" t="s">
        <v>308</v>
      </c>
      <c r="C32" s="839">
        <f>'[1]Table 3 Levels 1&amp;2'!Q32</f>
        <v>3167</v>
      </c>
      <c r="D32" s="399">
        <f>('[1]Table 7 Local Revenue'!G31*'[1]Table 7 Local Revenue'!$AC$76)/1000</f>
        <v>3137352.6708</v>
      </c>
      <c r="E32" s="399">
        <f t="shared" si="1"/>
        <v>990.64</v>
      </c>
      <c r="F32" s="399">
        <f>'[1]Table 7 Local Revenue'!AN31*'[1]Table 7 Local Revenue'!$AF$76</f>
        <v>4869338.774630605</v>
      </c>
      <c r="G32" s="399">
        <f t="shared" si="2"/>
        <v>1537.52</v>
      </c>
      <c r="H32" s="399">
        <f>'[1]Table 7 Local Revenue'!AQ31</f>
        <v>161233</v>
      </c>
      <c r="I32" s="399">
        <f t="shared" si="3"/>
        <v>50.91</v>
      </c>
      <c r="J32" s="399">
        <f t="shared" si="4"/>
        <v>8167924.445430605</v>
      </c>
      <c r="K32" s="399">
        <f t="shared" si="5"/>
        <v>2579.07</v>
      </c>
      <c r="L32" s="840">
        <f t="shared" si="6"/>
        <v>1.15694868</v>
      </c>
      <c r="M32" s="397">
        <f t="shared" si="7"/>
        <v>15</v>
      </c>
      <c r="N32" s="399">
        <f>'[1]Table 7 Local Revenue'!AR31</f>
        <v>11472115</v>
      </c>
      <c r="O32" s="399">
        <f t="shared" si="8"/>
        <v>3622.39</v>
      </c>
      <c r="P32" s="841">
        <f t="shared" si="9"/>
        <v>1.404533</v>
      </c>
      <c r="Q32" s="397">
        <f t="shared" si="10"/>
        <v>3</v>
      </c>
    </row>
    <row r="33" spans="1:17" ht="12.75">
      <c r="A33" s="835">
        <v>26</v>
      </c>
      <c r="B33" s="384" t="s">
        <v>309</v>
      </c>
      <c r="C33" s="832">
        <f>'[1]Table 3 Levels 1&amp;2'!Q33</f>
        <v>62250</v>
      </c>
      <c r="D33" s="387">
        <f>('[1]Table 7 Local Revenue'!G32*'[1]Table 7 Local Revenue'!$AC$76)/1000</f>
        <v>91455451.17264</v>
      </c>
      <c r="E33" s="387">
        <f t="shared" si="1"/>
        <v>1469.16</v>
      </c>
      <c r="F33" s="387">
        <f>'[1]Table 7 Local Revenue'!AN32*'[1]Table 7 Local Revenue'!$AF$76</f>
        <v>137515633.04075372</v>
      </c>
      <c r="G33" s="387">
        <f t="shared" si="2"/>
        <v>2209.09</v>
      </c>
      <c r="H33" s="387">
        <f>'[1]Table 7 Local Revenue'!AQ32</f>
        <v>2240249</v>
      </c>
      <c r="I33" s="387">
        <f t="shared" si="3"/>
        <v>35.99</v>
      </c>
      <c r="J33" s="387">
        <f t="shared" si="4"/>
        <v>231211333.21339372</v>
      </c>
      <c r="K33" s="387">
        <f t="shared" si="5"/>
        <v>3714.24</v>
      </c>
      <c r="L33" s="842">
        <f t="shared" si="6"/>
        <v>1.66617621</v>
      </c>
      <c r="M33" s="384">
        <f t="shared" si="7"/>
        <v>5</v>
      </c>
      <c r="N33" s="387">
        <f>'[1]Table 7 Local Revenue'!AR32</f>
        <v>191306649</v>
      </c>
      <c r="O33" s="387">
        <f t="shared" si="8"/>
        <v>3073.2</v>
      </c>
      <c r="P33" s="837">
        <f t="shared" si="9"/>
        <v>0.82741</v>
      </c>
      <c r="Q33" s="384">
        <f t="shared" si="10"/>
        <v>53</v>
      </c>
    </row>
    <row r="34" spans="1:17" ht="12.75">
      <c r="A34" s="835">
        <v>27</v>
      </c>
      <c r="B34" s="384" t="s">
        <v>310</v>
      </c>
      <c r="C34" s="832">
        <f>'[1]Table 3 Levels 1&amp;2'!Q34</f>
        <v>8191</v>
      </c>
      <c r="D34" s="387">
        <f>('[1]Table 7 Local Revenue'!G33*'[1]Table 7 Local Revenue'!$AC$76)/1000</f>
        <v>4801370.292</v>
      </c>
      <c r="E34" s="387">
        <f t="shared" si="1"/>
        <v>586.18</v>
      </c>
      <c r="F34" s="387">
        <f>'[1]Table 7 Local Revenue'!AN33*'[1]Table 7 Local Revenue'!$AF$76</f>
        <v>6563355.914723469</v>
      </c>
      <c r="G34" s="387">
        <f t="shared" si="2"/>
        <v>801.29</v>
      </c>
      <c r="H34" s="387">
        <f>'[1]Table 7 Local Revenue'!AQ33</f>
        <v>307626</v>
      </c>
      <c r="I34" s="387">
        <f t="shared" si="3"/>
        <v>37.56</v>
      </c>
      <c r="J34" s="387">
        <f t="shared" si="4"/>
        <v>11672352.20672347</v>
      </c>
      <c r="K34" s="387">
        <f t="shared" si="5"/>
        <v>1425.02</v>
      </c>
      <c r="L34" s="836">
        <f t="shared" si="6"/>
        <v>0.63925175</v>
      </c>
      <c r="M34" s="384">
        <f t="shared" si="7"/>
        <v>43</v>
      </c>
      <c r="N34" s="387">
        <f>'[1]Table 7 Local Revenue'!AR33</f>
        <v>13988493</v>
      </c>
      <c r="O34" s="387">
        <f t="shared" si="8"/>
        <v>1707.79</v>
      </c>
      <c r="P34" s="837">
        <f t="shared" si="9"/>
        <v>1.198432</v>
      </c>
      <c r="Q34" s="384">
        <f t="shared" si="10"/>
        <v>12</v>
      </c>
    </row>
    <row r="35" spans="1:17" ht="12.75">
      <c r="A35" s="835">
        <v>28</v>
      </c>
      <c r="B35" s="384" t="s">
        <v>311</v>
      </c>
      <c r="C35" s="832">
        <f>'[1]Table 3 Levels 1&amp;2'!Q35</f>
        <v>37610</v>
      </c>
      <c r="D35" s="387">
        <f>('[1]Table 7 Local Revenue'!G34*'[1]Table 7 Local Revenue'!$AC$76)/1000</f>
        <v>38744604.67476</v>
      </c>
      <c r="E35" s="387">
        <f t="shared" si="1"/>
        <v>1030.17</v>
      </c>
      <c r="F35" s="387">
        <f>'[1]Table 7 Local Revenue'!AN34*'[1]Table 7 Local Revenue'!$AF$76</f>
        <v>73854331.15272303</v>
      </c>
      <c r="G35" s="387">
        <f t="shared" si="2"/>
        <v>1963.69</v>
      </c>
      <c r="H35" s="387">
        <f>'[1]Table 7 Local Revenue'!AQ34</f>
        <v>2109558</v>
      </c>
      <c r="I35" s="387">
        <f t="shared" si="3"/>
        <v>56.09</v>
      </c>
      <c r="J35" s="387">
        <f t="shared" si="4"/>
        <v>114708493.82748303</v>
      </c>
      <c r="K35" s="387">
        <f t="shared" si="5"/>
        <v>3049.95</v>
      </c>
      <c r="L35" s="836">
        <f t="shared" si="6"/>
        <v>1.36818141</v>
      </c>
      <c r="M35" s="384">
        <f t="shared" si="7"/>
        <v>10</v>
      </c>
      <c r="N35" s="387">
        <f>'[1]Table 7 Local Revenue'!AR34</f>
        <v>108311210</v>
      </c>
      <c r="O35" s="387">
        <f t="shared" si="8"/>
        <v>2879.85</v>
      </c>
      <c r="P35" s="837">
        <f t="shared" si="9"/>
        <v>0.944229</v>
      </c>
      <c r="Q35" s="384">
        <f t="shared" si="10"/>
        <v>40</v>
      </c>
    </row>
    <row r="36" spans="1:17" ht="12.75">
      <c r="A36" s="835">
        <v>29</v>
      </c>
      <c r="B36" s="384" t="s">
        <v>312</v>
      </c>
      <c r="C36" s="832">
        <f>'[1]Table 3 Levels 1&amp;2'!Q36</f>
        <v>19220</v>
      </c>
      <c r="D36" s="387">
        <f>('[1]Table 7 Local Revenue'!G35*'[1]Table 7 Local Revenue'!$AC$76)/1000</f>
        <v>18247652.064</v>
      </c>
      <c r="E36" s="387">
        <f t="shared" si="1"/>
        <v>949.41</v>
      </c>
      <c r="F36" s="387">
        <f>'[1]Table 7 Local Revenue'!AN35*'[1]Table 7 Local Revenue'!$AF$76</f>
        <v>19759967.541100767</v>
      </c>
      <c r="G36" s="387">
        <f t="shared" si="2"/>
        <v>1028.09</v>
      </c>
      <c r="H36" s="387">
        <f>'[1]Table 7 Local Revenue'!AQ35</f>
        <v>1052746</v>
      </c>
      <c r="I36" s="387">
        <f t="shared" si="3"/>
        <v>54.77</v>
      </c>
      <c r="J36" s="387">
        <f t="shared" si="4"/>
        <v>39060365.605100766</v>
      </c>
      <c r="K36" s="387">
        <f t="shared" si="5"/>
        <v>2032.28</v>
      </c>
      <c r="L36" s="836">
        <f t="shared" si="6"/>
        <v>0.91166338</v>
      </c>
      <c r="M36" s="384">
        <f t="shared" si="7"/>
        <v>27</v>
      </c>
      <c r="N36" s="387">
        <f>'[1]Table 7 Local Revenue'!AR35</f>
        <v>39468975</v>
      </c>
      <c r="O36" s="387">
        <f t="shared" si="8"/>
        <v>2053.54</v>
      </c>
      <c r="P36" s="837">
        <f t="shared" si="9"/>
        <v>1.010461</v>
      </c>
      <c r="Q36" s="384">
        <f t="shared" si="10"/>
        <v>30</v>
      </c>
    </row>
    <row r="37" spans="1:17" ht="12.75">
      <c r="A37" s="838">
        <v>30</v>
      </c>
      <c r="B37" s="397" t="s">
        <v>313</v>
      </c>
      <c r="C37" s="839">
        <f>'[1]Table 3 Levels 1&amp;2'!Q37</f>
        <v>3585</v>
      </c>
      <c r="D37" s="399">
        <f>('[1]Table 7 Local Revenue'!G36*'[1]Table 7 Local Revenue'!$AC$76)/1000</f>
        <v>1726063.93008</v>
      </c>
      <c r="E37" s="399">
        <f t="shared" si="1"/>
        <v>481.47</v>
      </c>
      <c r="F37" s="399">
        <f>'[1]Table 7 Local Revenue'!AN36*'[1]Table 7 Local Revenue'!$AF$76</f>
        <v>2711594.4998387853</v>
      </c>
      <c r="G37" s="399">
        <f t="shared" si="2"/>
        <v>756.37</v>
      </c>
      <c r="H37" s="399">
        <f>'[1]Table 7 Local Revenue'!AQ36</f>
        <v>65614</v>
      </c>
      <c r="I37" s="399">
        <f t="shared" si="3"/>
        <v>18.3</v>
      </c>
      <c r="J37" s="399">
        <f t="shared" si="4"/>
        <v>4503272.429918786</v>
      </c>
      <c r="K37" s="399">
        <f t="shared" si="5"/>
        <v>1256.14</v>
      </c>
      <c r="L37" s="840">
        <f t="shared" si="6"/>
        <v>0.56349363</v>
      </c>
      <c r="M37" s="397">
        <f t="shared" si="7"/>
        <v>51</v>
      </c>
      <c r="N37" s="399">
        <f>'[1]Table 7 Local Revenue'!AR36</f>
        <v>4936352</v>
      </c>
      <c r="O37" s="399">
        <f t="shared" si="8"/>
        <v>1376.95</v>
      </c>
      <c r="P37" s="841">
        <f t="shared" si="9"/>
        <v>1.096176</v>
      </c>
      <c r="Q37" s="397">
        <f t="shared" si="10"/>
        <v>21</v>
      </c>
    </row>
    <row r="38" spans="1:17" ht="12.75">
      <c r="A38" s="835">
        <v>31</v>
      </c>
      <c r="B38" s="384" t="s">
        <v>314</v>
      </c>
      <c r="C38" s="832">
        <f>'[1]Table 3 Levels 1&amp;2'!Q38</f>
        <v>9043</v>
      </c>
      <c r="D38" s="387">
        <f>('[1]Table 7 Local Revenue'!G37*'[1]Table 7 Local Revenue'!$AC$76)/1000</f>
        <v>8358914.6352</v>
      </c>
      <c r="E38" s="387">
        <f t="shared" si="1"/>
        <v>924.35</v>
      </c>
      <c r="F38" s="387">
        <f>'[1]Table 7 Local Revenue'!AN37*'[1]Table 7 Local Revenue'!$AF$76</f>
        <v>10058415.868815325</v>
      </c>
      <c r="G38" s="387">
        <f t="shared" si="2"/>
        <v>1112.29</v>
      </c>
      <c r="H38" s="387">
        <f>'[1]Table 7 Local Revenue'!AQ37</f>
        <v>282590</v>
      </c>
      <c r="I38" s="387">
        <f t="shared" si="3"/>
        <v>31.25</v>
      </c>
      <c r="J38" s="387">
        <f t="shared" si="4"/>
        <v>18699920.504015326</v>
      </c>
      <c r="K38" s="387">
        <f t="shared" si="5"/>
        <v>2067.89</v>
      </c>
      <c r="L38" s="836">
        <f t="shared" si="6"/>
        <v>0.92763772</v>
      </c>
      <c r="M38" s="384">
        <f t="shared" si="7"/>
        <v>25</v>
      </c>
      <c r="N38" s="387">
        <f>'[1]Table 7 Local Revenue'!AR37</f>
        <v>20775273</v>
      </c>
      <c r="O38" s="387">
        <f t="shared" si="8"/>
        <v>2297.39</v>
      </c>
      <c r="P38" s="837">
        <f t="shared" si="9"/>
        <v>1.110983</v>
      </c>
      <c r="Q38" s="384">
        <f t="shared" si="10"/>
        <v>20</v>
      </c>
    </row>
    <row r="39" spans="1:17" ht="12.75">
      <c r="A39" s="835">
        <v>32</v>
      </c>
      <c r="B39" s="384" t="s">
        <v>315</v>
      </c>
      <c r="C39" s="832">
        <f>'[1]Table 3 Levels 1&amp;2'!Q39</f>
        <v>28982</v>
      </c>
      <c r="D39" s="387">
        <f>('[1]Table 7 Local Revenue'!G38*'[1]Table 7 Local Revenue'!$AC$76)/1000</f>
        <v>8514259.2816</v>
      </c>
      <c r="E39" s="387">
        <f t="shared" si="1"/>
        <v>293.78</v>
      </c>
      <c r="F39" s="387">
        <f>'[1]Table 7 Local Revenue'!AN38*'[1]Table 7 Local Revenue'!$AF$76</f>
        <v>17902438.976521447</v>
      </c>
      <c r="G39" s="387">
        <f t="shared" si="2"/>
        <v>617.71</v>
      </c>
      <c r="H39" s="387">
        <f>'[1]Table 7 Local Revenue'!AQ38</f>
        <v>724187</v>
      </c>
      <c r="I39" s="387">
        <f t="shared" si="3"/>
        <v>24.99</v>
      </c>
      <c r="J39" s="387">
        <f t="shared" si="4"/>
        <v>27140885.258121446</v>
      </c>
      <c r="K39" s="387">
        <f t="shared" si="5"/>
        <v>936.47</v>
      </c>
      <c r="L39" s="836">
        <f t="shared" si="6"/>
        <v>0.42009241</v>
      </c>
      <c r="M39" s="384">
        <f t="shared" si="7"/>
        <v>66</v>
      </c>
      <c r="N39" s="387">
        <f>'[1]Table 7 Local Revenue'!AR38</f>
        <v>31007985</v>
      </c>
      <c r="O39" s="387">
        <f t="shared" si="8"/>
        <v>1069.9</v>
      </c>
      <c r="P39" s="837">
        <f t="shared" si="9"/>
        <v>1.142482</v>
      </c>
      <c r="Q39" s="384">
        <f t="shared" si="10"/>
        <v>16</v>
      </c>
    </row>
    <row r="40" spans="1:17" ht="12.75">
      <c r="A40" s="835">
        <v>33</v>
      </c>
      <c r="B40" s="384" t="s">
        <v>316</v>
      </c>
      <c r="C40" s="832">
        <f>'[1]Table 3 Levels 1&amp;2'!Q40</f>
        <v>3200</v>
      </c>
      <c r="D40" s="387">
        <f>('[1]Table 7 Local Revenue'!G39*'[1]Table 7 Local Revenue'!$AC$76)/1000</f>
        <v>1876425.19152</v>
      </c>
      <c r="E40" s="387">
        <f aca="true" t="shared" si="11" ref="E40:E71">ROUND(D40/C40,2)</f>
        <v>586.38</v>
      </c>
      <c r="F40" s="387">
        <f>'[1]Table 7 Local Revenue'!AN39*'[1]Table 7 Local Revenue'!$AF$76</f>
        <v>1704617.6794220963</v>
      </c>
      <c r="G40" s="387">
        <f aca="true" t="shared" si="12" ref="G40:G71">ROUND(F40/C40,2)</f>
        <v>532.69</v>
      </c>
      <c r="H40" s="387">
        <f>'[1]Table 7 Local Revenue'!AQ39</f>
        <v>14617</v>
      </c>
      <c r="I40" s="387">
        <f aca="true" t="shared" si="13" ref="I40:I71">ROUND(H40/C40,2)</f>
        <v>4.57</v>
      </c>
      <c r="J40" s="387">
        <f aca="true" t="shared" si="14" ref="J40:J75">H40+F40+D40</f>
        <v>3595659.870942096</v>
      </c>
      <c r="K40" s="387">
        <f aca="true" t="shared" si="15" ref="K40:K71">IF(ROUND(J40/C40,2)&lt;6000,ROUND(J40/C40,2),6000)</f>
        <v>1123.64</v>
      </c>
      <c r="L40" s="836">
        <f aca="true" t="shared" si="16" ref="L40:L71">ROUND(K40/K$77,8)</f>
        <v>0.50405527</v>
      </c>
      <c r="M40" s="384">
        <f aca="true" t="shared" si="17" ref="M40:M71">RANK(L40,L$8:L$75,0)</f>
        <v>59</v>
      </c>
      <c r="N40" s="387">
        <f>'[1]Table 7 Local Revenue'!AR39</f>
        <v>2202236</v>
      </c>
      <c r="O40" s="387">
        <f aca="true" t="shared" si="18" ref="O40:O71">ROUND(N40/C40,2)</f>
        <v>688.2</v>
      </c>
      <c r="P40" s="837">
        <f aca="true" t="shared" si="19" ref="P40:P71">ROUND(O40/K40,6)</f>
        <v>0.612474</v>
      </c>
      <c r="Q40" s="384">
        <f aca="true" t="shared" si="20" ref="Q40:Q71">RANK(P40,P$8:P$75,0)</f>
        <v>67</v>
      </c>
    </row>
    <row r="41" spans="1:17" ht="12.75">
      <c r="A41" s="835">
        <v>34</v>
      </c>
      <c r="B41" s="384" t="s">
        <v>317</v>
      </c>
      <c r="C41" s="832">
        <f>'[1]Table 3 Levels 1&amp;2'!Q41</f>
        <v>7101</v>
      </c>
      <c r="D41" s="387">
        <f>('[1]Table 7 Local Revenue'!G40*'[1]Table 7 Local Revenue'!$AC$76)/1000</f>
        <v>5534386.718400001</v>
      </c>
      <c r="E41" s="387">
        <f t="shared" si="11"/>
        <v>779.38</v>
      </c>
      <c r="F41" s="387">
        <f>'[1]Table 7 Local Revenue'!AN40*'[1]Table 7 Local Revenue'!$AF$76</f>
        <v>5736684.416028775</v>
      </c>
      <c r="G41" s="387">
        <f t="shared" si="12"/>
        <v>807.87</v>
      </c>
      <c r="H41" s="387">
        <f>'[1]Table 7 Local Revenue'!AQ40</f>
        <v>311894</v>
      </c>
      <c r="I41" s="387">
        <f t="shared" si="13"/>
        <v>43.92</v>
      </c>
      <c r="J41" s="387">
        <f t="shared" si="14"/>
        <v>11582965.134428777</v>
      </c>
      <c r="K41" s="387">
        <f t="shared" si="15"/>
        <v>1631.17</v>
      </c>
      <c r="L41" s="836">
        <f t="shared" si="16"/>
        <v>0.73172887</v>
      </c>
      <c r="M41" s="384">
        <f t="shared" si="17"/>
        <v>36</v>
      </c>
      <c r="N41" s="387">
        <f>'[1]Table 7 Local Revenue'!AR40</f>
        <v>11169719</v>
      </c>
      <c r="O41" s="387">
        <f t="shared" si="18"/>
        <v>1572.98</v>
      </c>
      <c r="P41" s="837">
        <f t="shared" si="19"/>
        <v>0.964326</v>
      </c>
      <c r="Q41" s="384">
        <f t="shared" si="20"/>
        <v>37</v>
      </c>
    </row>
    <row r="42" spans="1:17" ht="12.75">
      <c r="A42" s="838">
        <v>35</v>
      </c>
      <c r="B42" s="397" t="s">
        <v>318</v>
      </c>
      <c r="C42" s="839">
        <f>'[1]Table 3 Levels 1&amp;2'!Q42</f>
        <v>8936</v>
      </c>
      <c r="D42" s="399">
        <f>('[1]Table 7 Local Revenue'!G41*'[1]Table 7 Local Revenue'!$AC$76)/1000</f>
        <v>5839516.0224</v>
      </c>
      <c r="E42" s="399">
        <f t="shared" si="11"/>
        <v>653.48</v>
      </c>
      <c r="F42" s="399">
        <f>'[1]Table 7 Local Revenue'!AN41*'[1]Table 7 Local Revenue'!$AF$76</f>
        <v>8851034.19858489</v>
      </c>
      <c r="G42" s="399">
        <f t="shared" si="12"/>
        <v>990.49</v>
      </c>
      <c r="H42" s="399">
        <f>'[1]Table 7 Local Revenue'!AQ41</f>
        <v>681572</v>
      </c>
      <c r="I42" s="399">
        <f t="shared" si="13"/>
        <v>76.27</v>
      </c>
      <c r="J42" s="399">
        <f t="shared" si="14"/>
        <v>15372122.220984891</v>
      </c>
      <c r="K42" s="399">
        <f t="shared" si="15"/>
        <v>1720.25</v>
      </c>
      <c r="L42" s="840">
        <f t="shared" si="16"/>
        <v>0.7716894</v>
      </c>
      <c r="M42" s="397">
        <f t="shared" si="17"/>
        <v>33</v>
      </c>
      <c r="N42" s="399">
        <f>'[1]Table 7 Local Revenue'!AR41</f>
        <v>16288687</v>
      </c>
      <c r="O42" s="399">
        <f t="shared" si="18"/>
        <v>1822.82</v>
      </c>
      <c r="P42" s="841">
        <f t="shared" si="19"/>
        <v>1.059625</v>
      </c>
      <c r="Q42" s="397">
        <f t="shared" si="20"/>
        <v>24</v>
      </c>
    </row>
    <row r="43" spans="1:17" s="759" customFormat="1" ht="12.75">
      <c r="A43" s="382">
        <v>36</v>
      </c>
      <c r="B43" s="383" t="s">
        <v>522</v>
      </c>
      <c r="C43" s="843">
        <f>'[1]Table 3 Levels 1&amp;2'!Q43</f>
        <v>29746</v>
      </c>
      <c r="D43" s="844">
        <f>('[1]Table 7 Local Revenue'!G42*'[1]Table 7 Local Revenue'!$AC$76)/1000</f>
        <v>31347893.46768</v>
      </c>
      <c r="E43" s="844">
        <f t="shared" si="11"/>
        <v>1053.85</v>
      </c>
      <c r="F43" s="844">
        <f>'[1]Table 7 Local Revenue'!AN42*'[1]Table 7 Local Revenue'!$AF$76</f>
        <v>41149082.99628368</v>
      </c>
      <c r="G43" s="844">
        <f t="shared" si="12"/>
        <v>1383.35</v>
      </c>
      <c r="H43" s="844">
        <f>'[1]Table 7 Local Revenue'!AQ42</f>
        <v>2850361</v>
      </c>
      <c r="I43" s="844">
        <f t="shared" si="13"/>
        <v>95.82</v>
      </c>
      <c r="J43" s="844">
        <f t="shared" si="14"/>
        <v>75347337.46396369</v>
      </c>
      <c r="K43" s="844">
        <f t="shared" si="15"/>
        <v>2533.02</v>
      </c>
      <c r="L43" s="842">
        <f t="shared" si="16"/>
        <v>1.13629105</v>
      </c>
      <c r="M43" s="383">
        <f t="shared" si="17"/>
        <v>16</v>
      </c>
      <c r="N43" s="844">
        <f>'[1]Table 7 Local Revenue'!AR42</f>
        <v>72241096</v>
      </c>
      <c r="O43" s="844">
        <f t="shared" si="18"/>
        <v>2428.6</v>
      </c>
      <c r="P43" s="845">
        <f t="shared" si="19"/>
        <v>0.958776</v>
      </c>
      <c r="Q43" s="383">
        <f t="shared" si="20"/>
        <v>39</v>
      </c>
    </row>
    <row r="44" spans="1:17" s="759" customFormat="1" ht="12.75">
      <c r="A44" s="382">
        <v>37</v>
      </c>
      <c r="B44" s="383" t="s">
        <v>320</v>
      </c>
      <c r="C44" s="843">
        <f>'[1]Table 3 Levels 1&amp;2'!Q44</f>
        <v>24128</v>
      </c>
      <c r="D44" s="844">
        <f>('[1]Table 7 Local Revenue'!G43*'[1]Table 7 Local Revenue'!$AC$76)/1000</f>
        <v>14970102.324</v>
      </c>
      <c r="E44" s="844">
        <f t="shared" si="11"/>
        <v>620.45</v>
      </c>
      <c r="F44" s="844">
        <f>'[1]Table 7 Local Revenue'!AN43*'[1]Table 7 Local Revenue'!$AF$76</f>
        <v>18834441.484564193</v>
      </c>
      <c r="G44" s="844">
        <f t="shared" si="12"/>
        <v>780.61</v>
      </c>
      <c r="H44" s="844">
        <f>'[1]Table 7 Local Revenue'!AQ43</f>
        <v>1026336</v>
      </c>
      <c r="I44" s="844">
        <f t="shared" si="13"/>
        <v>42.54</v>
      </c>
      <c r="J44" s="844">
        <f t="shared" si="14"/>
        <v>34830879.80856419</v>
      </c>
      <c r="K44" s="844">
        <f t="shared" si="15"/>
        <v>1443.59</v>
      </c>
      <c r="L44" s="842">
        <f t="shared" si="16"/>
        <v>0.64758209</v>
      </c>
      <c r="M44" s="383">
        <f t="shared" si="17"/>
        <v>41</v>
      </c>
      <c r="N44" s="844">
        <f>'[1]Table 7 Local Revenue'!AR43</f>
        <v>45473183</v>
      </c>
      <c r="O44" s="844">
        <f t="shared" si="18"/>
        <v>1884.66</v>
      </c>
      <c r="P44" s="845">
        <f t="shared" si="19"/>
        <v>1.305537</v>
      </c>
      <c r="Q44" s="383">
        <f t="shared" si="20"/>
        <v>7</v>
      </c>
    </row>
    <row r="45" spans="1:17" s="759" customFormat="1" ht="12.75">
      <c r="A45" s="382">
        <v>38</v>
      </c>
      <c r="B45" s="383" t="s">
        <v>321</v>
      </c>
      <c r="C45" s="843">
        <f>'[1]Table 3 Levels 1&amp;2'!Q45</f>
        <v>5237</v>
      </c>
      <c r="D45" s="844">
        <f>('[1]Table 7 Local Revenue'!G44*'[1]Table 7 Local Revenue'!$AC$76)/1000</f>
        <v>18518751.48084</v>
      </c>
      <c r="E45" s="844">
        <f t="shared" si="11"/>
        <v>3536.14</v>
      </c>
      <c r="F45" s="844">
        <f>'[1]Table 7 Local Revenue'!AN44*'[1]Table 7 Local Revenue'!$AF$76</f>
        <v>8777008.042189412</v>
      </c>
      <c r="G45" s="844">
        <f t="shared" si="12"/>
        <v>1675.96</v>
      </c>
      <c r="H45" s="844">
        <f>'[1]Table 7 Local Revenue'!AQ44</f>
        <v>1637187</v>
      </c>
      <c r="I45" s="844">
        <f t="shared" si="13"/>
        <v>312.62</v>
      </c>
      <c r="J45" s="844">
        <f t="shared" si="14"/>
        <v>28932946.523029413</v>
      </c>
      <c r="K45" s="844">
        <f t="shared" si="15"/>
        <v>5524.72</v>
      </c>
      <c r="L45" s="842">
        <f t="shared" si="16"/>
        <v>2.47834201</v>
      </c>
      <c r="M45" s="383">
        <f t="shared" si="17"/>
        <v>1</v>
      </c>
      <c r="N45" s="844">
        <f>'[1]Table 7 Local Revenue'!AR44</f>
        <v>20826956</v>
      </c>
      <c r="O45" s="844">
        <f t="shared" si="18"/>
        <v>3976.89</v>
      </c>
      <c r="P45" s="845">
        <f t="shared" si="19"/>
        <v>0.719836</v>
      </c>
      <c r="Q45" s="383">
        <f t="shared" si="20"/>
        <v>61</v>
      </c>
    </row>
    <row r="46" spans="1:17" s="759" customFormat="1" ht="12.75">
      <c r="A46" s="382">
        <v>39</v>
      </c>
      <c r="B46" s="383" t="s">
        <v>322</v>
      </c>
      <c r="C46" s="843">
        <f>'[1]Table 3 Levels 1&amp;2'!Q46</f>
        <v>4595</v>
      </c>
      <c r="D46" s="844">
        <f>('[1]Table 7 Local Revenue'!G45*'[1]Table 7 Local Revenue'!$AC$76)/1000</f>
        <v>10189349.26284</v>
      </c>
      <c r="E46" s="844">
        <f t="shared" si="11"/>
        <v>2217.49</v>
      </c>
      <c r="F46" s="844">
        <f>'[1]Table 7 Local Revenue'!AN45*'[1]Table 7 Local Revenue'!$AF$76</f>
        <v>5277610.035092416</v>
      </c>
      <c r="G46" s="844">
        <f t="shared" si="12"/>
        <v>1148.55</v>
      </c>
      <c r="H46" s="844">
        <f>'[1]Table 7 Local Revenue'!AQ45</f>
        <v>153823</v>
      </c>
      <c r="I46" s="844">
        <f t="shared" si="13"/>
        <v>33.48</v>
      </c>
      <c r="J46" s="844">
        <f t="shared" si="14"/>
        <v>15620782.297932416</v>
      </c>
      <c r="K46" s="844">
        <f t="shared" si="15"/>
        <v>3399.52</v>
      </c>
      <c r="L46" s="842">
        <f t="shared" si="16"/>
        <v>1.52499551</v>
      </c>
      <c r="M46" s="383">
        <f t="shared" si="17"/>
        <v>7</v>
      </c>
      <c r="N46" s="844">
        <f>'[1]Table 7 Local Revenue'!AR45</f>
        <v>10299272</v>
      </c>
      <c r="O46" s="844">
        <f t="shared" si="18"/>
        <v>2241.41</v>
      </c>
      <c r="P46" s="845">
        <f t="shared" si="19"/>
        <v>0.659331</v>
      </c>
      <c r="Q46" s="383">
        <f t="shared" si="20"/>
        <v>65</v>
      </c>
    </row>
    <row r="47" spans="1:17" s="759" customFormat="1" ht="12.75">
      <c r="A47" s="395">
        <v>40</v>
      </c>
      <c r="B47" s="396" t="s">
        <v>323</v>
      </c>
      <c r="C47" s="846">
        <f>'[1]Table 3 Levels 1&amp;2'!Q47</f>
        <v>31148</v>
      </c>
      <c r="D47" s="847">
        <f>('[1]Table 7 Local Revenue'!G46*'[1]Table 7 Local Revenue'!$AC$76)/1000</f>
        <v>18928049.74644</v>
      </c>
      <c r="E47" s="847">
        <f t="shared" si="11"/>
        <v>607.68</v>
      </c>
      <c r="F47" s="847">
        <f>'[1]Table 7 Local Revenue'!AN46*'[1]Table 7 Local Revenue'!$AF$76</f>
        <v>39505316.28223613</v>
      </c>
      <c r="G47" s="847">
        <f t="shared" si="12"/>
        <v>1268.31</v>
      </c>
      <c r="H47" s="847">
        <f>'[1]Table 7 Local Revenue'!AQ46</f>
        <v>1222202</v>
      </c>
      <c r="I47" s="847">
        <f t="shared" si="13"/>
        <v>39.24</v>
      </c>
      <c r="J47" s="847">
        <f t="shared" si="14"/>
        <v>59655568.02867613</v>
      </c>
      <c r="K47" s="847">
        <f t="shared" si="15"/>
        <v>1915.23</v>
      </c>
      <c r="L47" s="848">
        <f t="shared" si="16"/>
        <v>0.85915575</v>
      </c>
      <c r="M47" s="396">
        <f t="shared" si="17"/>
        <v>30</v>
      </c>
      <c r="N47" s="847">
        <f>'[1]Table 7 Local Revenue'!AR46</f>
        <v>55326392</v>
      </c>
      <c r="O47" s="847">
        <f t="shared" si="18"/>
        <v>1776.24</v>
      </c>
      <c r="P47" s="849">
        <f t="shared" si="19"/>
        <v>0.927429</v>
      </c>
      <c r="Q47" s="396">
        <f t="shared" si="20"/>
        <v>43</v>
      </c>
    </row>
    <row r="48" spans="1:17" s="759" customFormat="1" ht="12.75">
      <c r="A48" s="382">
        <v>41</v>
      </c>
      <c r="B48" s="383" t="s">
        <v>324</v>
      </c>
      <c r="C48" s="843">
        <f>'[1]Table 3 Levels 1&amp;2'!Q48</f>
        <v>2239</v>
      </c>
      <c r="D48" s="844">
        <f>('[1]Table 7 Local Revenue'!G47*'[1]Table 7 Local Revenue'!$AC$76)/1000</f>
        <v>1117509.168</v>
      </c>
      <c r="E48" s="844">
        <f t="shared" si="11"/>
        <v>499.11</v>
      </c>
      <c r="F48" s="844">
        <f>'[1]Table 7 Local Revenue'!AN47*'[1]Table 7 Local Revenue'!$AF$76</f>
        <v>1203405.3174736032</v>
      </c>
      <c r="G48" s="844">
        <f t="shared" si="12"/>
        <v>537.47</v>
      </c>
      <c r="H48" s="844">
        <f>'[1]Table 7 Local Revenue'!AQ47</f>
        <v>47140</v>
      </c>
      <c r="I48" s="844">
        <f t="shared" si="13"/>
        <v>21.05</v>
      </c>
      <c r="J48" s="844">
        <f t="shared" si="14"/>
        <v>2368054.485473603</v>
      </c>
      <c r="K48" s="844">
        <f t="shared" si="15"/>
        <v>1057.64</v>
      </c>
      <c r="L48" s="842">
        <f t="shared" si="16"/>
        <v>0.47444823</v>
      </c>
      <c r="M48" s="383">
        <f t="shared" si="17"/>
        <v>64</v>
      </c>
      <c r="N48" s="844">
        <f>'[1]Table 7 Local Revenue'!AR47</f>
        <v>3500259</v>
      </c>
      <c r="O48" s="844">
        <f t="shared" si="18"/>
        <v>1563.31</v>
      </c>
      <c r="P48" s="845">
        <f t="shared" si="19"/>
        <v>1.478112</v>
      </c>
      <c r="Q48" s="383">
        <f t="shared" si="20"/>
        <v>1</v>
      </c>
    </row>
    <row r="49" spans="1:17" s="759" customFormat="1" ht="12.75">
      <c r="A49" s="382">
        <v>42</v>
      </c>
      <c r="B49" s="383" t="s">
        <v>325</v>
      </c>
      <c r="C49" s="843">
        <f>'[1]Table 3 Levels 1&amp;2'!Q49</f>
        <v>4960</v>
      </c>
      <c r="D49" s="844">
        <f>('[1]Table 7 Local Revenue'!G48*'[1]Table 7 Local Revenue'!$AC$76)/1000</f>
        <v>2551069.944</v>
      </c>
      <c r="E49" s="844">
        <f t="shared" si="11"/>
        <v>514.33</v>
      </c>
      <c r="F49" s="844">
        <f>'[1]Table 7 Local Revenue'!AN48*'[1]Table 7 Local Revenue'!$AF$76</f>
        <v>3194041.335910723</v>
      </c>
      <c r="G49" s="844">
        <f t="shared" si="12"/>
        <v>643.96</v>
      </c>
      <c r="H49" s="844">
        <f>'[1]Table 7 Local Revenue'!AQ48</f>
        <v>234791</v>
      </c>
      <c r="I49" s="844">
        <f t="shared" si="13"/>
        <v>47.34</v>
      </c>
      <c r="J49" s="844">
        <f t="shared" si="14"/>
        <v>5979902.279910723</v>
      </c>
      <c r="K49" s="844">
        <f t="shared" si="15"/>
        <v>1205.63</v>
      </c>
      <c r="L49" s="842">
        <f t="shared" si="16"/>
        <v>0.54083528</v>
      </c>
      <c r="M49" s="383">
        <f t="shared" si="17"/>
        <v>54</v>
      </c>
      <c r="N49" s="844">
        <f>'[1]Table 7 Local Revenue'!AR48</f>
        <v>5250033</v>
      </c>
      <c r="O49" s="844">
        <f t="shared" si="18"/>
        <v>1058.47</v>
      </c>
      <c r="P49" s="845">
        <f t="shared" si="19"/>
        <v>0.877939</v>
      </c>
      <c r="Q49" s="383">
        <f t="shared" si="20"/>
        <v>47</v>
      </c>
    </row>
    <row r="50" spans="1:17" s="759" customFormat="1" ht="12.75">
      <c r="A50" s="382">
        <v>43</v>
      </c>
      <c r="B50" s="383" t="s">
        <v>326</v>
      </c>
      <c r="C50" s="843">
        <f>'[1]Table 3 Levels 1&amp;2'!Q50</f>
        <v>5967</v>
      </c>
      <c r="D50" s="844">
        <f>('[1]Table 7 Local Revenue'!G49*'[1]Table 7 Local Revenue'!$AC$76)/1000</f>
        <v>3232893.9336000006</v>
      </c>
      <c r="E50" s="844">
        <f t="shared" si="11"/>
        <v>541.8</v>
      </c>
      <c r="F50" s="844">
        <f>'[1]Table 7 Local Revenue'!AN49*'[1]Table 7 Local Revenue'!$AF$76</f>
        <v>4686885.830757497</v>
      </c>
      <c r="G50" s="844">
        <f t="shared" si="12"/>
        <v>785.47</v>
      </c>
      <c r="H50" s="844">
        <f>'[1]Table 7 Local Revenue'!AQ49</f>
        <v>163248</v>
      </c>
      <c r="I50" s="844">
        <f t="shared" si="13"/>
        <v>27.36</v>
      </c>
      <c r="J50" s="844">
        <f t="shared" si="14"/>
        <v>8083027.764357498</v>
      </c>
      <c r="K50" s="844">
        <f t="shared" si="15"/>
        <v>1354.62</v>
      </c>
      <c r="L50" s="842">
        <f t="shared" si="16"/>
        <v>0.60767091</v>
      </c>
      <c r="M50" s="383">
        <f t="shared" si="17"/>
        <v>48</v>
      </c>
      <c r="N50" s="844">
        <f>'[1]Table 7 Local Revenue'!AR49</f>
        <v>7379298</v>
      </c>
      <c r="O50" s="844">
        <f t="shared" si="18"/>
        <v>1236.68</v>
      </c>
      <c r="P50" s="845">
        <f t="shared" si="19"/>
        <v>0.912935</v>
      </c>
      <c r="Q50" s="383">
        <f t="shared" si="20"/>
        <v>44</v>
      </c>
    </row>
    <row r="51" spans="1:17" s="759" customFormat="1" ht="12.75">
      <c r="A51" s="382">
        <v>44</v>
      </c>
      <c r="B51" s="383" t="s">
        <v>327</v>
      </c>
      <c r="C51" s="843">
        <f>'[1]Table 3 Levels 1&amp;2'!Q51</f>
        <v>4434</v>
      </c>
      <c r="D51" s="844">
        <f>('[1]Table 7 Local Revenue'!G50*'[1]Table 7 Local Revenue'!$AC$76)/1000</f>
        <v>4275181.00968</v>
      </c>
      <c r="E51" s="844">
        <f t="shared" si="11"/>
        <v>964.18</v>
      </c>
      <c r="F51" s="844">
        <f>'[1]Table 7 Local Revenue'!AN50*'[1]Table 7 Local Revenue'!$AF$76</f>
        <v>5337668.530301927</v>
      </c>
      <c r="G51" s="844">
        <f t="shared" si="12"/>
        <v>1203.8</v>
      </c>
      <c r="H51" s="844">
        <f>'[1]Table 7 Local Revenue'!AQ50</f>
        <v>538220</v>
      </c>
      <c r="I51" s="844">
        <f t="shared" si="13"/>
        <v>121.38</v>
      </c>
      <c r="J51" s="844">
        <f t="shared" si="14"/>
        <v>10151069.539981928</v>
      </c>
      <c r="K51" s="844">
        <f t="shared" si="15"/>
        <v>2289.37</v>
      </c>
      <c r="L51" s="842">
        <f t="shared" si="16"/>
        <v>1.02699175</v>
      </c>
      <c r="M51" s="383">
        <f t="shared" si="17"/>
        <v>18</v>
      </c>
      <c r="N51" s="844">
        <f>'[1]Table 7 Local Revenue'!AR50</f>
        <v>10586602</v>
      </c>
      <c r="O51" s="844">
        <f t="shared" si="18"/>
        <v>2387.6</v>
      </c>
      <c r="P51" s="845">
        <f t="shared" si="19"/>
        <v>1.042907</v>
      </c>
      <c r="Q51" s="383">
        <f t="shared" si="20"/>
        <v>26</v>
      </c>
    </row>
    <row r="52" spans="1:17" ht="12.75">
      <c r="A52" s="838">
        <v>45</v>
      </c>
      <c r="B52" s="397" t="s">
        <v>328</v>
      </c>
      <c r="C52" s="839">
        <f>'[1]Table 3 Levels 1&amp;2'!Q52</f>
        <v>12530</v>
      </c>
      <c r="D52" s="399">
        <f>('[1]Table 7 Local Revenue'!G51*'[1]Table 7 Local Revenue'!$AC$76)/1000</f>
        <v>31849950.36324</v>
      </c>
      <c r="E52" s="399">
        <f t="shared" si="11"/>
        <v>2541.9</v>
      </c>
      <c r="F52" s="399">
        <f>'[1]Table 7 Local Revenue'!AN51*'[1]Table 7 Local Revenue'!$AF$76</f>
        <v>20471675.28896719</v>
      </c>
      <c r="G52" s="399">
        <f t="shared" si="12"/>
        <v>1633.81</v>
      </c>
      <c r="H52" s="399">
        <f>'[1]Table 7 Local Revenue'!AQ51</f>
        <v>288432</v>
      </c>
      <c r="I52" s="399">
        <f t="shared" si="13"/>
        <v>23.02</v>
      </c>
      <c r="J52" s="399">
        <f t="shared" si="14"/>
        <v>52610057.65220719</v>
      </c>
      <c r="K52" s="399">
        <f t="shared" si="15"/>
        <v>4198.73</v>
      </c>
      <c r="L52" s="840">
        <f t="shared" si="16"/>
        <v>1.88351427</v>
      </c>
      <c r="M52" s="397">
        <f t="shared" si="17"/>
        <v>3</v>
      </c>
      <c r="N52" s="399">
        <f>'[1]Table 7 Local Revenue'!AR51</f>
        <v>74789072</v>
      </c>
      <c r="O52" s="399">
        <f t="shared" si="18"/>
        <v>5968.8</v>
      </c>
      <c r="P52" s="841">
        <f t="shared" si="19"/>
        <v>1.421573</v>
      </c>
      <c r="Q52" s="397">
        <f t="shared" si="20"/>
        <v>2</v>
      </c>
    </row>
    <row r="53" spans="1:17" ht="12.75">
      <c r="A53" s="835">
        <v>46</v>
      </c>
      <c r="B53" s="384" t="s">
        <v>329</v>
      </c>
      <c r="C53" s="832">
        <f>'[1]Table 3 Levels 1&amp;2'!Q53</f>
        <v>2275</v>
      </c>
      <c r="D53" s="387">
        <f>('[1]Table 7 Local Revenue'!G52*'[1]Table 7 Local Revenue'!$AC$76)/1000</f>
        <v>1405142.6832</v>
      </c>
      <c r="E53" s="387">
        <f t="shared" si="11"/>
        <v>617.65</v>
      </c>
      <c r="F53" s="387">
        <f>'[1]Table 7 Local Revenue'!AN52*'[1]Table 7 Local Revenue'!$AF$76</f>
        <v>960527.6152754406</v>
      </c>
      <c r="G53" s="387">
        <f t="shared" si="12"/>
        <v>422.21</v>
      </c>
      <c r="H53" s="387">
        <f>'[1]Table 7 Local Revenue'!AQ52</f>
        <v>78643</v>
      </c>
      <c r="I53" s="387">
        <f t="shared" si="13"/>
        <v>34.57</v>
      </c>
      <c r="J53" s="387">
        <f t="shared" si="14"/>
        <v>2444313.2984754406</v>
      </c>
      <c r="K53" s="387">
        <f t="shared" si="15"/>
        <v>1074.42</v>
      </c>
      <c r="L53" s="836">
        <f t="shared" si="16"/>
        <v>0.4819756</v>
      </c>
      <c r="M53" s="384">
        <f t="shared" si="17"/>
        <v>63</v>
      </c>
      <c r="N53" s="387">
        <f>'[1]Table 7 Local Revenue'!AR52</f>
        <v>1643871</v>
      </c>
      <c r="O53" s="387">
        <f t="shared" si="18"/>
        <v>722.58</v>
      </c>
      <c r="P53" s="837">
        <f t="shared" si="19"/>
        <v>0.67253</v>
      </c>
      <c r="Q53" s="384">
        <f t="shared" si="20"/>
        <v>64</v>
      </c>
    </row>
    <row r="54" spans="1:17" ht="12.75">
      <c r="A54" s="835">
        <v>47</v>
      </c>
      <c r="B54" s="384" t="s">
        <v>330</v>
      </c>
      <c r="C54" s="832">
        <f>'[1]Table 3 Levels 1&amp;2'!Q54</f>
        <v>5656</v>
      </c>
      <c r="D54" s="387">
        <f>('[1]Table 7 Local Revenue'!G53*'[1]Table 7 Local Revenue'!$AC$76)/1000</f>
        <v>9895176.520680001</v>
      </c>
      <c r="E54" s="387">
        <f t="shared" si="11"/>
        <v>1749.5</v>
      </c>
      <c r="F54" s="387">
        <f>'[1]Table 7 Local Revenue'!AN53*'[1]Table 7 Local Revenue'!$AF$76</f>
        <v>7452880.067524744</v>
      </c>
      <c r="G54" s="387">
        <f t="shared" si="12"/>
        <v>1317.69</v>
      </c>
      <c r="H54" s="387">
        <f>'[1]Table 7 Local Revenue'!AQ53</f>
        <v>86478</v>
      </c>
      <c r="I54" s="387">
        <f t="shared" si="13"/>
        <v>15.29</v>
      </c>
      <c r="J54" s="387">
        <f t="shared" si="14"/>
        <v>17434534.588204745</v>
      </c>
      <c r="K54" s="387">
        <f t="shared" si="15"/>
        <v>3082.48</v>
      </c>
      <c r="L54" s="836">
        <f t="shared" si="16"/>
        <v>1.38277409</v>
      </c>
      <c r="M54" s="384">
        <f t="shared" si="17"/>
        <v>9</v>
      </c>
      <c r="N54" s="387">
        <f>'[1]Table 7 Local Revenue'!AR53</f>
        <v>21265621</v>
      </c>
      <c r="O54" s="387">
        <f t="shared" si="18"/>
        <v>3759.83</v>
      </c>
      <c r="P54" s="837">
        <f t="shared" si="19"/>
        <v>1.219742</v>
      </c>
      <c r="Q54" s="384">
        <f t="shared" si="20"/>
        <v>11</v>
      </c>
    </row>
    <row r="55" spans="1:17" ht="12.75">
      <c r="A55" s="835">
        <v>48</v>
      </c>
      <c r="B55" s="384" t="s">
        <v>331</v>
      </c>
      <c r="C55" s="832">
        <f>'[1]Table 3 Levels 1&amp;2'!Q55</f>
        <v>9685</v>
      </c>
      <c r="D55" s="387">
        <f>('[1]Table 7 Local Revenue'!G54*'[1]Table 7 Local Revenue'!$AC$76)/1000</f>
        <v>8124603.699240001</v>
      </c>
      <c r="E55" s="387">
        <f t="shared" si="11"/>
        <v>838.89</v>
      </c>
      <c r="F55" s="387">
        <f>'[1]Table 7 Local Revenue'!AN54*'[1]Table 7 Local Revenue'!$AF$76</f>
        <v>12483322.828367822</v>
      </c>
      <c r="G55" s="387">
        <f t="shared" si="12"/>
        <v>1288.93</v>
      </c>
      <c r="H55" s="387">
        <f>'[1]Table 7 Local Revenue'!AQ54</f>
        <v>211788</v>
      </c>
      <c r="I55" s="387">
        <f t="shared" si="13"/>
        <v>21.87</v>
      </c>
      <c r="J55" s="387">
        <f t="shared" si="14"/>
        <v>20819714.52760782</v>
      </c>
      <c r="K55" s="387">
        <f t="shared" si="15"/>
        <v>2149.69</v>
      </c>
      <c r="L55" s="836">
        <f t="shared" si="16"/>
        <v>0.9643325</v>
      </c>
      <c r="M55" s="384">
        <f t="shared" si="17"/>
        <v>19</v>
      </c>
      <c r="N55" s="387">
        <f>'[1]Table 7 Local Revenue'!AR54</f>
        <v>23346339</v>
      </c>
      <c r="O55" s="387">
        <f t="shared" si="18"/>
        <v>2410.57</v>
      </c>
      <c r="P55" s="837">
        <f t="shared" si="19"/>
        <v>1.121357</v>
      </c>
      <c r="Q55" s="384">
        <f t="shared" si="20"/>
        <v>19</v>
      </c>
    </row>
    <row r="56" spans="1:17" ht="12.75">
      <c r="A56" s="835">
        <v>49</v>
      </c>
      <c r="B56" s="384" t="s">
        <v>332</v>
      </c>
      <c r="C56" s="832">
        <f>'[1]Table 3 Levels 1&amp;2'!Q56</f>
        <v>20900</v>
      </c>
      <c r="D56" s="387">
        <f>('[1]Table 7 Local Revenue'!G55*'[1]Table 7 Local Revenue'!$AC$76)/1000</f>
        <v>13731604.7676</v>
      </c>
      <c r="E56" s="387">
        <f t="shared" si="11"/>
        <v>657.01</v>
      </c>
      <c r="F56" s="387">
        <f>'[1]Table 7 Local Revenue'!AN55*'[1]Table 7 Local Revenue'!$AF$76</f>
        <v>17551800.25421662</v>
      </c>
      <c r="G56" s="387">
        <f t="shared" si="12"/>
        <v>839.8</v>
      </c>
      <c r="H56" s="387">
        <f>'[1]Table 7 Local Revenue'!AQ55</f>
        <v>483200</v>
      </c>
      <c r="I56" s="387">
        <f t="shared" si="13"/>
        <v>23.12</v>
      </c>
      <c r="J56" s="387">
        <f t="shared" si="14"/>
        <v>31766605.02181662</v>
      </c>
      <c r="K56" s="387">
        <f t="shared" si="15"/>
        <v>1519.93</v>
      </c>
      <c r="L56" s="836">
        <f t="shared" si="16"/>
        <v>0.68182756</v>
      </c>
      <c r="M56" s="384">
        <f t="shared" si="17"/>
        <v>38</v>
      </c>
      <c r="N56" s="387">
        <f>'[1]Table 7 Local Revenue'!AR55</f>
        <v>27383347</v>
      </c>
      <c r="O56" s="387">
        <f t="shared" si="18"/>
        <v>1310.21</v>
      </c>
      <c r="P56" s="837">
        <f t="shared" si="19"/>
        <v>0.86202</v>
      </c>
      <c r="Q56" s="384">
        <f t="shared" si="20"/>
        <v>48</v>
      </c>
    </row>
    <row r="57" spans="1:17" ht="12.75">
      <c r="A57" s="838">
        <v>50</v>
      </c>
      <c r="B57" s="397" t="s">
        <v>333</v>
      </c>
      <c r="C57" s="839">
        <f>'[1]Table 3 Levels 1&amp;2'!Q57</f>
        <v>11229</v>
      </c>
      <c r="D57" s="399">
        <f>('[1]Table 7 Local Revenue'!G56*'[1]Table 7 Local Revenue'!$AC$76)/1000</f>
        <v>5611577.71476</v>
      </c>
      <c r="E57" s="399">
        <f t="shared" si="11"/>
        <v>499.74</v>
      </c>
      <c r="F57" s="399">
        <f>'[1]Table 7 Local Revenue'!AN56*'[1]Table 7 Local Revenue'!$AF$76</f>
        <v>8363911.892329777</v>
      </c>
      <c r="G57" s="399">
        <f t="shared" si="12"/>
        <v>744.85</v>
      </c>
      <c r="H57" s="399">
        <f>'[1]Table 7 Local Revenue'!AQ56</f>
        <v>601474</v>
      </c>
      <c r="I57" s="399">
        <f t="shared" si="13"/>
        <v>53.56</v>
      </c>
      <c r="J57" s="399">
        <f t="shared" si="14"/>
        <v>14576963.607089777</v>
      </c>
      <c r="K57" s="399">
        <f t="shared" si="15"/>
        <v>1298.15</v>
      </c>
      <c r="L57" s="840">
        <f t="shared" si="16"/>
        <v>0.58233896</v>
      </c>
      <c r="M57" s="397">
        <f t="shared" si="17"/>
        <v>49</v>
      </c>
      <c r="N57" s="399">
        <f>'[1]Table 7 Local Revenue'!AR56</f>
        <v>13755085</v>
      </c>
      <c r="O57" s="399">
        <f t="shared" si="18"/>
        <v>1224.96</v>
      </c>
      <c r="P57" s="841">
        <f t="shared" si="19"/>
        <v>0.94362</v>
      </c>
      <c r="Q57" s="397">
        <f t="shared" si="20"/>
        <v>41</v>
      </c>
    </row>
    <row r="58" spans="1:17" ht="12.75">
      <c r="A58" s="835">
        <v>51</v>
      </c>
      <c r="B58" s="384" t="s">
        <v>334</v>
      </c>
      <c r="C58" s="832">
        <f>'[1]Table 3 Levels 1&amp;2'!Q58</f>
        <v>13606</v>
      </c>
      <c r="D58" s="387">
        <f>('[1]Table 7 Local Revenue'!G57*'[1]Table 7 Local Revenue'!$AC$76)/1000</f>
        <v>12948321.829320002</v>
      </c>
      <c r="E58" s="387">
        <f t="shared" si="11"/>
        <v>951.66</v>
      </c>
      <c r="F58" s="387">
        <f>'[1]Table 7 Local Revenue'!AN57*'[1]Table 7 Local Revenue'!$AF$76</f>
        <v>13741534.317721076</v>
      </c>
      <c r="G58" s="387">
        <f t="shared" si="12"/>
        <v>1009.96</v>
      </c>
      <c r="H58" s="387">
        <f>'[1]Table 7 Local Revenue'!AQ57</f>
        <v>563459</v>
      </c>
      <c r="I58" s="387">
        <f t="shared" si="13"/>
        <v>41.41</v>
      </c>
      <c r="J58" s="387">
        <f t="shared" si="14"/>
        <v>27253315.14704108</v>
      </c>
      <c r="K58" s="387">
        <f t="shared" si="15"/>
        <v>2003.04</v>
      </c>
      <c r="L58" s="836">
        <f t="shared" si="16"/>
        <v>0.89854656</v>
      </c>
      <c r="M58" s="384">
        <f t="shared" si="17"/>
        <v>28</v>
      </c>
      <c r="N58" s="387">
        <f>'[1]Table 7 Local Revenue'!AR57</f>
        <v>24559519</v>
      </c>
      <c r="O58" s="387">
        <f t="shared" si="18"/>
        <v>1805.05</v>
      </c>
      <c r="P58" s="837">
        <f t="shared" si="19"/>
        <v>0.901155</v>
      </c>
      <c r="Q58" s="384">
        <f t="shared" si="20"/>
        <v>45</v>
      </c>
    </row>
    <row r="59" spans="1:17" ht="12.75">
      <c r="A59" s="835">
        <v>52</v>
      </c>
      <c r="B59" s="384" t="s">
        <v>335</v>
      </c>
      <c r="C59" s="832">
        <f>'[1]Table 3 Levels 1&amp;2'!Q59</f>
        <v>48306</v>
      </c>
      <c r="D59" s="387">
        <f>('[1]Table 7 Local Revenue'!G58*'[1]Table 7 Local Revenue'!$AC$76)/1000</f>
        <v>36403321.031880006</v>
      </c>
      <c r="E59" s="387">
        <f t="shared" si="11"/>
        <v>753.6</v>
      </c>
      <c r="F59" s="387">
        <f>'[1]Table 7 Local Revenue'!AN58*'[1]Table 7 Local Revenue'!$AF$76</f>
        <v>64326896.92752721</v>
      </c>
      <c r="G59" s="387">
        <f t="shared" si="12"/>
        <v>1331.65</v>
      </c>
      <c r="H59" s="387">
        <f>'[1]Table 7 Local Revenue'!AQ58</f>
        <v>1768679</v>
      </c>
      <c r="I59" s="387">
        <f t="shared" si="13"/>
        <v>36.61</v>
      </c>
      <c r="J59" s="387">
        <f t="shared" si="14"/>
        <v>102498896.95940721</v>
      </c>
      <c r="K59" s="387">
        <f t="shared" si="15"/>
        <v>2121.87</v>
      </c>
      <c r="L59" s="842">
        <f t="shared" si="16"/>
        <v>0.95185268</v>
      </c>
      <c r="M59" s="384">
        <f t="shared" si="17"/>
        <v>21</v>
      </c>
      <c r="N59" s="387">
        <f>'[1]Table 7 Local Revenue'!AR58</f>
        <v>128869710</v>
      </c>
      <c r="O59" s="387">
        <f t="shared" si="18"/>
        <v>2667.78</v>
      </c>
      <c r="P59" s="837">
        <f t="shared" si="19"/>
        <v>1.257278</v>
      </c>
      <c r="Q59" s="384">
        <f t="shared" si="20"/>
        <v>8</v>
      </c>
    </row>
    <row r="60" spans="1:17" ht="12.75">
      <c r="A60" s="835">
        <v>53</v>
      </c>
      <c r="B60" s="384" t="s">
        <v>336</v>
      </c>
      <c r="C60" s="832">
        <f>'[1]Table 3 Levels 1&amp;2'!Q60</f>
        <v>25466</v>
      </c>
      <c r="D60" s="387">
        <f>('[1]Table 7 Local Revenue'!G59*'[1]Table 7 Local Revenue'!$AC$76)/1000</f>
        <v>12750211.462800002</v>
      </c>
      <c r="E60" s="387">
        <f t="shared" si="11"/>
        <v>500.68</v>
      </c>
      <c r="F60" s="387">
        <f>'[1]Table 7 Local Revenue'!AN59*'[1]Table 7 Local Revenue'!$AF$76</f>
        <v>23867354.878413323</v>
      </c>
      <c r="G60" s="387">
        <f t="shared" si="12"/>
        <v>937.22</v>
      </c>
      <c r="H60" s="387">
        <f>'[1]Table 7 Local Revenue'!AQ59</f>
        <v>220096</v>
      </c>
      <c r="I60" s="387">
        <f t="shared" si="13"/>
        <v>8.64</v>
      </c>
      <c r="J60" s="387">
        <f t="shared" si="14"/>
        <v>36837662.34121332</v>
      </c>
      <c r="K60" s="387">
        <f t="shared" si="15"/>
        <v>1446.54</v>
      </c>
      <c r="L60" s="842">
        <f t="shared" si="16"/>
        <v>0.6489054400000001</v>
      </c>
      <c r="M60" s="384">
        <f t="shared" si="17"/>
        <v>40</v>
      </c>
      <c r="N60" s="387">
        <f>'[1]Table 7 Local Revenue'!AR59</f>
        <v>29318107</v>
      </c>
      <c r="O60" s="387">
        <f t="shared" si="18"/>
        <v>1151.26</v>
      </c>
      <c r="P60" s="837">
        <f t="shared" si="19"/>
        <v>0.795872</v>
      </c>
      <c r="Q60" s="384">
        <f t="shared" si="20"/>
        <v>55</v>
      </c>
    </row>
    <row r="61" spans="1:17" ht="12.75">
      <c r="A61" s="835">
        <v>54</v>
      </c>
      <c r="B61" s="384" t="s">
        <v>337</v>
      </c>
      <c r="C61" s="832">
        <f>'[1]Table 3 Levels 1&amp;2'!Q61</f>
        <v>1339</v>
      </c>
      <c r="D61" s="387">
        <f>('[1]Table 7 Local Revenue'!G60*'[1]Table 7 Local Revenue'!$AC$76)/1000</f>
        <v>1606553.4868800002</v>
      </c>
      <c r="E61" s="387">
        <f t="shared" si="11"/>
        <v>1199.82</v>
      </c>
      <c r="F61" s="387">
        <f>'[1]Table 7 Local Revenue'!AN60*'[1]Table 7 Local Revenue'!$AF$76</f>
        <v>882991.184407359</v>
      </c>
      <c r="G61" s="387">
        <f t="shared" si="12"/>
        <v>659.44</v>
      </c>
      <c r="H61" s="387">
        <f>'[1]Table 7 Local Revenue'!AQ60</f>
        <v>59175</v>
      </c>
      <c r="I61" s="387">
        <f t="shared" si="13"/>
        <v>44.19</v>
      </c>
      <c r="J61" s="387">
        <f t="shared" si="14"/>
        <v>2548719.671287359</v>
      </c>
      <c r="K61" s="387">
        <f t="shared" si="15"/>
        <v>1903.45</v>
      </c>
      <c r="L61" s="836">
        <f t="shared" si="16"/>
        <v>0.85387134</v>
      </c>
      <c r="M61" s="384">
        <f t="shared" si="17"/>
        <v>31</v>
      </c>
      <c r="N61" s="387">
        <f>'[1]Table 7 Local Revenue'!AR60</f>
        <v>1959354</v>
      </c>
      <c r="O61" s="387">
        <f t="shared" si="18"/>
        <v>1463.3</v>
      </c>
      <c r="P61" s="837">
        <f t="shared" si="19"/>
        <v>0.768762</v>
      </c>
      <c r="Q61" s="384">
        <f t="shared" si="20"/>
        <v>56</v>
      </c>
    </row>
    <row r="62" spans="1:17" ht="12.75">
      <c r="A62" s="838">
        <v>55</v>
      </c>
      <c r="B62" s="397" t="s">
        <v>338</v>
      </c>
      <c r="C62" s="839">
        <f>'[1]Table 3 Levels 1&amp;2'!Q62</f>
        <v>26645</v>
      </c>
      <c r="D62" s="399">
        <f>('[1]Table 7 Local Revenue'!G61*'[1]Table 7 Local Revenue'!$AC$76)/1000</f>
        <v>19342707.27</v>
      </c>
      <c r="E62" s="399">
        <f t="shared" si="11"/>
        <v>725.94</v>
      </c>
      <c r="F62" s="399">
        <f>'[1]Table 7 Local Revenue'!AN61*'[1]Table 7 Local Revenue'!$AF$76</f>
        <v>34549844.47819918</v>
      </c>
      <c r="G62" s="399">
        <f t="shared" si="12"/>
        <v>1296.67</v>
      </c>
      <c r="H62" s="399">
        <f>'[1]Table 7 Local Revenue'!AQ61</f>
        <v>840390</v>
      </c>
      <c r="I62" s="399">
        <f t="shared" si="13"/>
        <v>31.54</v>
      </c>
      <c r="J62" s="399">
        <f t="shared" si="14"/>
        <v>54732941.74819918</v>
      </c>
      <c r="K62" s="399">
        <f t="shared" si="15"/>
        <v>2054.15</v>
      </c>
      <c r="L62" s="840">
        <f t="shared" si="16"/>
        <v>0.92147407</v>
      </c>
      <c r="M62" s="397">
        <f t="shared" si="17"/>
        <v>26</v>
      </c>
      <c r="N62" s="399">
        <f>'[1]Table 7 Local Revenue'!AR61</f>
        <v>41791639</v>
      </c>
      <c r="O62" s="399">
        <f t="shared" si="18"/>
        <v>1568.46</v>
      </c>
      <c r="P62" s="841">
        <f t="shared" si="19"/>
        <v>0.763557</v>
      </c>
      <c r="Q62" s="397">
        <f t="shared" si="20"/>
        <v>57</v>
      </c>
    </row>
    <row r="63" spans="1:17" ht="12.75">
      <c r="A63" s="835">
        <v>56</v>
      </c>
      <c r="B63" s="384" t="s">
        <v>339</v>
      </c>
      <c r="C63" s="832">
        <f>'[1]Table 3 Levels 1&amp;2'!Q63</f>
        <v>4405</v>
      </c>
      <c r="D63" s="387">
        <f>('[1]Table 7 Local Revenue'!G62*'[1]Table 7 Local Revenue'!$AC$76)/1000</f>
        <v>4157442.6768</v>
      </c>
      <c r="E63" s="387">
        <f t="shared" si="11"/>
        <v>943.8</v>
      </c>
      <c r="F63" s="387">
        <f>'[1]Table 7 Local Revenue'!AN62*'[1]Table 7 Local Revenue'!$AF$76</f>
        <v>3267025.670259102</v>
      </c>
      <c r="G63" s="387">
        <f t="shared" si="12"/>
        <v>741.66</v>
      </c>
      <c r="H63" s="387">
        <f>'[1]Table 7 Local Revenue'!AQ62</f>
        <v>155612</v>
      </c>
      <c r="I63" s="387">
        <f t="shared" si="13"/>
        <v>35.33</v>
      </c>
      <c r="J63" s="387">
        <f t="shared" si="14"/>
        <v>7580080.347059102</v>
      </c>
      <c r="K63" s="387">
        <f t="shared" si="15"/>
        <v>1720.79</v>
      </c>
      <c r="L63" s="836">
        <f t="shared" si="16"/>
        <v>0.77193163</v>
      </c>
      <c r="M63" s="384">
        <f t="shared" si="17"/>
        <v>32</v>
      </c>
      <c r="N63" s="387">
        <f>'[1]Table 7 Local Revenue'!AR62</f>
        <v>4240886</v>
      </c>
      <c r="O63" s="387">
        <f t="shared" si="18"/>
        <v>962.74</v>
      </c>
      <c r="P63" s="837">
        <f t="shared" si="19"/>
        <v>0.559476</v>
      </c>
      <c r="Q63" s="384">
        <f t="shared" si="20"/>
        <v>68</v>
      </c>
    </row>
    <row r="64" spans="1:17" ht="12.75">
      <c r="A64" s="835">
        <v>57</v>
      </c>
      <c r="B64" s="384" t="s">
        <v>340</v>
      </c>
      <c r="C64" s="832">
        <f>'[1]Table 3 Levels 1&amp;2'!Q64</f>
        <v>11666</v>
      </c>
      <c r="D64" s="387">
        <f>('[1]Table 7 Local Revenue'!G63*'[1]Table 7 Local Revenue'!$AC$76)/1000</f>
        <v>8773679.916</v>
      </c>
      <c r="E64" s="387">
        <f t="shared" si="11"/>
        <v>752.07</v>
      </c>
      <c r="F64" s="387">
        <f>'[1]Table 7 Local Revenue'!AN63*'[1]Table 7 Local Revenue'!$AF$76</f>
        <v>11514849.799353892</v>
      </c>
      <c r="G64" s="387">
        <f t="shared" si="12"/>
        <v>987.04</v>
      </c>
      <c r="H64" s="387">
        <f>'[1]Table 7 Local Revenue'!AQ63</f>
        <v>2226835</v>
      </c>
      <c r="I64" s="387">
        <f t="shared" si="13"/>
        <v>190.88</v>
      </c>
      <c r="J64" s="387">
        <f t="shared" si="14"/>
        <v>22515364.71535389</v>
      </c>
      <c r="K64" s="387">
        <f t="shared" si="15"/>
        <v>1930</v>
      </c>
      <c r="L64" s="842">
        <f t="shared" si="16"/>
        <v>0.86578145</v>
      </c>
      <c r="M64" s="384">
        <f t="shared" si="17"/>
        <v>29</v>
      </c>
      <c r="N64" s="387">
        <f>'[1]Table 7 Local Revenue'!AR63</f>
        <v>16387307</v>
      </c>
      <c r="O64" s="387">
        <f t="shared" si="18"/>
        <v>1404.71</v>
      </c>
      <c r="P64" s="837">
        <f t="shared" si="19"/>
        <v>0.727829</v>
      </c>
      <c r="Q64" s="384">
        <f t="shared" si="20"/>
        <v>59</v>
      </c>
    </row>
    <row r="65" spans="1:17" ht="12.75">
      <c r="A65" s="835">
        <v>58</v>
      </c>
      <c r="B65" s="384" t="s">
        <v>341</v>
      </c>
      <c r="C65" s="832">
        <f>'[1]Table 3 Levels 1&amp;2'!Q65</f>
        <v>12460</v>
      </c>
      <c r="D65" s="387">
        <f>('[1]Table 7 Local Revenue'!G64*'[1]Table 7 Local Revenue'!$AC$76)/1000</f>
        <v>3770849.2344</v>
      </c>
      <c r="E65" s="387">
        <f t="shared" si="11"/>
        <v>302.64</v>
      </c>
      <c r="F65" s="387">
        <f>'[1]Table 7 Local Revenue'!AN64*'[1]Table 7 Local Revenue'!$AF$76</f>
        <v>9089993.31823372</v>
      </c>
      <c r="G65" s="387">
        <f t="shared" si="12"/>
        <v>729.53</v>
      </c>
      <c r="H65" s="387">
        <f>'[1]Table 7 Local Revenue'!AQ64</f>
        <v>648211</v>
      </c>
      <c r="I65" s="387">
        <f t="shared" si="13"/>
        <v>52.02</v>
      </c>
      <c r="J65" s="387">
        <f t="shared" si="14"/>
        <v>13509053.55263372</v>
      </c>
      <c r="K65" s="387">
        <f t="shared" si="15"/>
        <v>1084.19</v>
      </c>
      <c r="L65" s="836">
        <f t="shared" si="16"/>
        <v>0.48635833</v>
      </c>
      <c r="M65" s="384">
        <f t="shared" si="17"/>
        <v>61</v>
      </c>
      <c r="N65" s="387">
        <f>'[1]Table 7 Local Revenue'!AR64</f>
        <v>14431463</v>
      </c>
      <c r="O65" s="387">
        <f t="shared" si="18"/>
        <v>1158.22</v>
      </c>
      <c r="P65" s="837">
        <f t="shared" si="19"/>
        <v>1.068281</v>
      </c>
      <c r="Q65" s="384">
        <f t="shared" si="20"/>
        <v>23</v>
      </c>
    </row>
    <row r="66" spans="1:17" ht="12.75">
      <c r="A66" s="835">
        <v>59</v>
      </c>
      <c r="B66" s="384" t="s">
        <v>342</v>
      </c>
      <c r="C66" s="832">
        <f>'[1]Table 3 Levels 1&amp;2'!Q66</f>
        <v>7186</v>
      </c>
      <c r="D66" s="387">
        <f>('[1]Table 7 Local Revenue'!G65*'[1]Table 7 Local Revenue'!$AC$76)/1000</f>
        <v>2302890.3204</v>
      </c>
      <c r="E66" s="387">
        <f t="shared" si="11"/>
        <v>320.47</v>
      </c>
      <c r="F66" s="387">
        <f>'[1]Table 7 Local Revenue'!AN65*'[1]Table 7 Local Revenue'!$AF$76</f>
        <v>3423254.915301303</v>
      </c>
      <c r="G66" s="387">
        <f t="shared" si="12"/>
        <v>476.38</v>
      </c>
      <c r="H66" s="387">
        <f>'[1]Table 7 Local Revenue'!AQ65</f>
        <v>146504</v>
      </c>
      <c r="I66" s="387">
        <f t="shared" si="13"/>
        <v>20.39</v>
      </c>
      <c r="J66" s="387">
        <f t="shared" si="14"/>
        <v>5872649.235701303</v>
      </c>
      <c r="K66" s="387">
        <f t="shared" si="15"/>
        <v>817.23</v>
      </c>
      <c r="L66" s="836">
        <f t="shared" si="16"/>
        <v>0.36660237</v>
      </c>
      <c r="M66" s="384">
        <f t="shared" si="17"/>
        <v>67</v>
      </c>
      <c r="N66" s="387">
        <f>'[1]Table 7 Local Revenue'!AR65</f>
        <v>6650712</v>
      </c>
      <c r="O66" s="387">
        <f t="shared" si="18"/>
        <v>925.51</v>
      </c>
      <c r="P66" s="837">
        <f t="shared" si="19"/>
        <v>1.132496</v>
      </c>
      <c r="Q66" s="384">
        <f t="shared" si="20"/>
        <v>17</v>
      </c>
    </row>
    <row r="67" spans="1:17" ht="12.75">
      <c r="A67" s="838">
        <v>60</v>
      </c>
      <c r="B67" s="397" t="s">
        <v>343</v>
      </c>
      <c r="C67" s="839">
        <f>'[1]Table 3 Levels 1&amp;2'!Q67</f>
        <v>9661</v>
      </c>
      <c r="D67" s="399">
        <f>('[1]Table 7 Local Revenue'!G66*'[1]Table 7 Local Revenue'!$AC$76)/1000</f>
        <v>5215127.5212</v>
      </c>
      <c r="E67" s="399">
        <f t="shared" si="11"/>
        <v>539.81</v>
      </c>
      <c r="F67" s="399">
        <f>'[1]Table 7 Local Revenue'!AN66*'[1]Table 7 Local Revenue'!$AF$76</f>
        <v>10519657.9426437</v>
      </c>
      <c r="G67" s="399">
        <f t="shared" si="12"/>
        <v>1088.88</v>
      </c>
      <c r="H67" s="399">
        <f>'[1]Table 7 Local Revenue'!AQ66</f>
        <v>478886</v>
      </c>
      <c r="I67" s="399">
        <f t="shared" si="13"/>
        <v>49.57</v>
      </c>
      <c r="J67" s="399">
        <f t="shared" si="14"/>
        <v>16213671.4638437</v>
      </c>
      <c r="K67" s="399">
        <f t="shared" si="15"/>
        <v>1678.26</v>
      </c>
      <c r="L67" s="840">
        <f t="shared" si="16"/>
        <v>0.75285304</v>
      </c>
      <c r="M67" s="397">
        <f t="shared" si="17"/>
        <v>34</v>
      </c>
      <c r="N67" s="399">
        <f>'[1]Table 7 Local Revenue'!AR66</f>
        <v>19030478</v>
      </c>
      <c r="O67" s="399">
        <f t="shared" si="18"/>
        <v>1969.82</v>
      </c>
      <c r="P67" s="841">
        <f t="shared" si="19"/>
        <v>1.173728</v>
      </c>
      <c r="Q67" s="397">
        <f t="shared" si="20"/>
        <v>14</v>
      </c>
    </row>
    <row r="68" spans="1:17" ht="12.75">
      <c r="A68" s="835">
        <v>61</v>
      </c>
      <c r="B68" s="384" t="s">
        <v>344</v>
      </c>
      <c r="C68" s="832">
        <f>'[1]Table 3 Levels 1&amp;2'!Q68</f>
        <v>4962</v>
      </c>
      <c r="D68" s="387">
        <f>('[1]Table 7 Local Revenue'!G67*'[1]Table 7 Local Revenue'!$AC$76)/1000</f>
        <v>8655723.639600001</v>
      </c>
      <c r="E68" s="387">
        <f t="shared" si="11"/>
        <v>1744.4</v>
      </c>
      <c r="F68" s="387">
        <f>'[1]Table 7 Local Revenue'!AN67*'[1]Table 7 Local Revenue'!$AF$76</f>
        <v>7035330.2850787295</v>
      </c>
      <c r="G68" s="387">
        <f t="shared" si="12"/>
        <v>1417.84</v>
      </c>
      <c r="H68" s="387">
        <f>'[1]Table 7 Local Revenue'!AQ67</f>
        <v>131527</v>
      </c>
      <c r="I68" s="387">
        <f t="shared" si="13"/>
        <v>26.51</v>
      </c>
      <c r="J68" s="387">
        <f t="shared" si="14"/>
        <v>15822580.924678732</v>
      </c>
      <c r="K68" s="387">
        <f t="shared" si="15"/>
        <v>3188.75</v>
      </c>
      <c r="L68" s="836">
        <f t="shared" si="16"/>
        <v>1.4304459</v>
      </c>
      <c r="M68" s="384">
        <f t="shared" si="17"/>
        <v>8</v>
      </c>
      <c r="N68" s="387">
        <f>'[1]Table 7 Local Revenue'!AR67</f>
        <v>12923369</v>
      </c>
      <c r="O68" s="387">
        <f t="shared" si="18"/>
        <v>2604.47</v>
      </c>
      <c r="P68" s="837">
        <f t="shared" si="19"/>
        <v>0.816768</v>
      </c>
      <c r="Q68" s="384">
        <f t="shared" si="20"/>
        <v>54</v>
      </c>
    </row>
    <row r="69" spans="1:17" ht="12.75">
      <c r="A69" s="835">
        <v>62</v>
      </c>
      <c r="B69" s="384" t="s">
        <v>345</v>
      </c>
      <c r="C69" s="832">
        <f>'[1]Table 3 Levels 1&amp;2'!Q69</f>
        <v>3250</v>
      </c>
      <c r="D69" s="387">
        <f>('[1]Table 7 Local Revenue'!G68*'[1]Table 7 Local Revenue'!$AC$76)/1000</f>
        <v>1663934.6988000001</v>
      </c>
      <c r="E69" s="387">
        <f t="shared" si="11"/>
        <v>511.98</v>
      </c>
      <c r="F69" s="387">
        <f>'[1]Table 7 Local Revenue'!AN68*'[1]Table 7 Local Revenue'!$AF$76</f>
        <v>1753754.6679461335</v>
      </c>
      <c r="G69" s="387">
        <f t="shared" si="12"/>
        <v>539.62</v>
      </c>
      <c r="H69" s="387">
        <f>'[1]Table 7 Local Revenue'!AQ68</f>
        <v>100719</v>
      </c>
      <c r="I69" s="387">
        <f t="shared" si="13"/>
        <v>30.99</v>
      </c>
      <c r="J69" s="387">
        <f t="shared" si="14"/>
        <v>3518408.3667461337</v>
      </c>
      <c r="K69" s="387">
        <f t="shared" si="15"/>
        <v>1082.59</v>
      </c>
      <c r="L69" s="836">
        <f t="shared" si="16"/>
        <v>0.48564059</v>
      </c>
      <c r="M69" s="384">
        <f t="shared" si="17"/>
        <v>62</v>
      </c>
      <c r="N69" s="387">
        <f>'[1]Table 7 Local Revenue'!AR68</f>
        <v>2977154</v>
      </c>
      <c r="O69" s="387">
        <f t="shared" si="18"/>
        <v>916.05</v>
      </c>
      <c r="P69" s="837">
        <f t="shared" si="19"/>
        <v>0.846165</v>
      </c>
      <c r="Q69" s="384">
        <f t="shared" si="20"/>
        <v>50</v>
      </c>
    </row>
    <row r="70" spans="1:17" ht="12.75">
      <c r="A70" s="835">
        <v>63</v>
      </c>
      <c r="B70" s="384" t="s">
        <v>346</v>
      </c>
      <c r="C70" s="832">
        <f>'[1]Table 3 Levels 1&amp;2'!Q70</f>
        <v>3406</v>
      </c>
      <c r="D70" s="387">
        <f>('[1]Table 7 Local Revenue'!G69*'[1]Table 7 Local Revenue'!$AC$76)/1000</f>
        <v>11730995.78556</v>
      </c>
      <c r="E70" s="387">
        <f t="shared" si="11"/>
        <v>3444.21</v>
      </c>
      <c r="F70" s="387">
        <f>'[1]Table 7 Local Revenue'!AN69*'[1]Table 7 Local Revenue'!$AF$76</f>
        <v>3076379.0897323764</v>
      </c>
      <c r="G70" s="387">
        <f t="shared" si="12"/>
        <v>903.22</v>
      </c>
      <c r="H70" s="387">
        <f>'[1]Table 7 Local Revenue'!AQ69</f>
        <v>54368</v>
      </c>
      <c r="I70" s="387">
        <f t="shared" si="13"/>
        <v>15.96</v>
      </c>
      <c r="J70" s="387">
        <f t="shared" si="14"/>
        <v>14861742.875292378</v>
      </c>
      <c r="K70" s="387">
        <f t="shared" si="15"/>
        <v>4363.4</v>
      </c>
      <c r="L70" s="836">
        <f t="shared" si="16"/>
        <v>1.95738381</v>
      </c>
      <c r="M70" s="384">
        <f t="shared" si="17"/>
        <v>2</v>
      </c>
      <c r="N70" s="387">
        <f>'[1]Table 7 Local Revenue'!AR69</f>
        <v>11046882</v>
      </c>
      <c r="O70" s="387">
        <f t="shared" si="18"/>
        <v>3243.36</v>
      </c>
      <c r="P70" s="837">
        <f t="shared" si="19"/>
        <v>0.74331</v>
      </c>
      <c r="Q70" s="384">
        <f t="shared" si="20"/>
        <v>58</v>
      </c>
    </row>
    <row r="71" spans="1:17" ht="12.75">
      <c r="A71" s="835">
        <v>64</v>
      </c>
      <c r="B71" s="384" t="s">
        <v>347</v>
      </c>
      <c r="C71" s="832">
        <f>'[1]Table 3 Levels 1&amp;2'!Q71</f>
        <v>3901</v>
      </c>
      <c r="D71" s="387">
        <f>('[1]Table 7 Local Revenue'!G70*'[1]Table 7 Local Revenue'!$AC$76)/1000</f>
        <v>2144918.3322</v>
      </c>
      <c r="E71" s="387">
        <f t="shared" si="11"/>
        <v>549.84</v>
      </c>
      <c r="F71" s="387">
        <f>'[1]Table 7 Local Revenue'!AN70*'[1]Table 7 Local Revenue'!$AF$76</f>
        <v>3233760.8014563774</v>
      </c>
      <c r="G71" s="387">
        <f t="shared" si="12"/>
        <v>828.96</v>
      </c>
      <c r="H71" s="387">
        <f>'[1]Table 7 Local Revenue'!AQ70</f>
        <v>449221</v>
      </c>
      <c r="I71" s="387">
        <f t="shared" si="13"/>
        <v>115.16</v>
      </c>
      <c r="J71" s="387">
        <f t="shared" si="14"/>
        <v>5827900.133656377</v>
      </c>
      <c r="K71" s="387">
        <f t="shared" si="15"/>
        <v>1493.95</v>
      </c>
      <c r="L71" s="836">
        <f t="shared" si="16"/>
        <v>0.67017316</v>
      </c>
      <c r="M71" s="384">
        <f t="shared" si="17"/>
        <v>39</v>
      </c>
      <c r="N71" s="387">
        <f>'[1]Table 7 Local Revenue'!AR70</f>
        <v>6040063</v>
      </c>
      <c r="O71" s="387">
        <f t="shared" si="18"/>
        <v>1548.34</v>
      </c>
      <c r="P71" s="837">
        <f t="shared" si="19"/>
        <v>1.036407</v>
      </c>
      <c r="Q71" s="384">
        <f t="shared" si="20"/>
        <v>27</v>
      </c>
    </row>
    <row r="72" spans="1:17" ht="12.75">
      <c r="A72" s="838">
        <v>65</v>
      </c>
      <c r="B72" s="397" t="s">
        <v>348</v>
      </c>
      <c r="C72" s="839">
        <f>'[1]Table 3 Levels 1&amp;2'!Q72</f>
        <v>12483</v>
      </c>
      <c r="D72" s="399">
        <f>('[1]Table 7 Local Revenue'!G71*'[1]Table 7 Local Revenue'!$AC$76)/1000</f>
        <v>13581703.64172</v>
      </c>
      <c r="E72" s="399">
        <f>ROUND(D72/C72,2)</f>
        <v>1088.02</v>
      </c>
      <c r="F72" s="399">
        <f>'[1]Table 7 Local Revenue'!AN71*'[1]Table 7 Local Revenue'!$AF$76</f>
        <v>21915891.956440765</v>
      </c>
      <c r="G72" s="399">
        <f>ROUND(F72/C72,2)</f>
        <v>1755.66</v>
      </c>
      <c r="H72" s="399">
        <f>'[1]Table 7 Local Revenue'!AQ71</f>
        <v>313001</v>
      </c>
      <c r="I72" s="399">
        <f>ROUND(H72/C72,2)</f>
        <v>25.07</v>
      </c>
      <c r="J72" s="399">
        <f t="shared" si="14"/>
        <v>35810596.598160766</v>
      </c>
      <c r="K72" s="399">
        <f>IF(ROUND(J72/C72,2)&lt;6000,ROUND(J72/C72,2),6000)</f>
        <v>2868.75</v>
      </c>
      <c r="L72" s="840">
        <f>ROUND(K72/K$77,8)</f>
        <v>1.28689664</v>
      </c>
      <c r="M72" s="397">
        <f>RANK(L72,L$8:L$75,0)</f>
        <v>11</v>
      </c>
      <c r="N72" s="399">
        <f>'[1]Table 7 Local Revenue'!AR71</f>
        <v>36381954</v>
      </c>
      <c r="O72" s="399">
        <f>ROUND(N72/C72,2)</f>
        <v>2914.52</v>
      </c>
      <c r="P72" s="841">
        <f>ROUND(O72/K72,6)</f>
        <v>1.015955</v>
      </c>
      <c r="Q72" s="397">
        <f>RANK(P72,P$8:P$75,0)</f>
        <v>29</v>
      </c>
    </row>
    <row r="73" spans="1:17" ht="12.75">
      <c r="A73" s="835">
        <v>66</v>
      </c>
      <c r="B73" s="384" t="s">
        <v>349</v>
      </c>
      <c r="C73" s="832">
        <f>'[1]Table 3 Levels 1&amp;2'!Q73</f>
        <v>4253</v>
      </c>
      <c r="D73" s="387">
        <f>('[1]Table 7 Local Revenue'!G72*'[1]Table 7 Local Revenue'!$AC$76)/1000</f>
        <v>2092664.3630400002</v>
      </c>
      <c r="E73" s="387">
        <f>ROUND(D73/C73,2)</f>
        <v>492.04</v>
      </c>
      <c r="F73" s="387">
        <f>'[1]Table 7 Local Revenue'!AN72*'[1]Table 7 Local Revenue'!$AF$76</f>
        <v>3743595.611663099</v>
      </c>
      <c r="G73" s="387">
        <f>ROUND(F73/C73,2)</f>
        <v>880.22</v>
      </c>
      <c r="H73" s="387">
        <f>'[1]Table 7 Local Revenue'!AQ72</f>
        <v>211724</v>
      </c>
      <c r="I73" s="387">
        <f>ROUND(H73/C73,2)</f>
        <v>49.78</v>
      </c>
      <c r="J73" s="387">
        <f t="shared" si="14"/>
        <v>6047983.9747031</v>
      </c>
      <c r="K73" s="387">
        <f>IF(ROUND(J73/C73,2)&lt;6000,ROUND(J73/C73,2),6000)</f>
        <v>1422.05</v>
      </c>
      <c r="L73" s="836">
        <f>ROUND(K73/K$77,8)</f>
        <v>0.63791943</v>
      </c>
      <c r="M73" s="384">
        <f>RANK(L73,L$8:L$75,0)</f>
        <v>44</v>
      </c>
      <c r="N73" s="387">
        <f>'[1]Table 7 Local Revenue'!AR72</f>
        <v>5171758</v>
      </c>
      <c r="O73" s="387">
        <f>ROUND(N73/C73,2)</f>
        <v>1216.03</v>
      </c>
      <c r="P73" s="837">
        <f>ROUND(O73/K73,6)</f>
        <v>0.855125</v>
      </c>
      <c r="Q73" s="384">
        <f>RANK(P73,P$8:P$75,0)</f>
        <v>49</v>
      </c>
    </row>
    <row r="74" spans="1:17" ht="12.75">
      <c r="A74" s="835">
        <v>67</v>
      </c>
      <c r="B74" s="384" t="s">
        <v>350</v>
      </c>
      <c r="C74" s="832">
        <f>'[1]Table 3 Levels 1&amp;2'!Q74</f>
        <v>4789</v>
      </c>
      <c r="D74" s="387">
        <f>('[1]Table 7 Local Revenue'!G73*'[1]Table 7 Local Revenue'!$AC$76)/1000</f>
        <v>4243512.3588000005</v>
      </c>
      <c r="E74" s="387">
        <f>ROUND(D74/C74,2)</f>
        <v>886.1</v>
      </c>
      <c r="F74" s="387">
        <f>'[1]Table 7 Local Revenue'!AN73*'[1]Table 7 Local Revenue'!$AF$76</f>
        <v>5750403.371575679</v>
      </c>
      <c r="G74" s="387">
        <f>ROUND(F74/C74,2)</f>
        <v>1200.75</v>
      </c>
      <c r="H74" s="387">
        <f>'[1]Table 7 Local Revenue'!AQ73</f>
        <v>52586</v>
      </c>
      <c r="I74" s="387">
        <f>ROUND(H74/C74,2)</f>
        <v>10.98</v>
      </c>
      <c r="J74" s="387">
        <f t="shared" si="14"/>
        <v>10046501.73037568</v>
      </c>
      <c r="K74" s="387">
        <f>IF(ROUND(J74/C74,2)&lt;6000,ROUND(J74/C74,2),6000)</f>
        <v>2097.83</v>
      </c>
      <c r="L74" s="836">
        <f>ROUND(K74/K$77,8)</f>
        <v>0.94106854</v>
      </c>
      <c r="M74" s="384">
        <f>RANK(L74,L$8:L$75,0)</f>
        <v>22</v>
      </c>
      <c r="N74" s="387">
        <f>'[1]Table 7 Local Revenue'!AR73</f>
        <v>13816077</v>
      </c>
      <c r="O74" s="387">
        <f>ROUND(N74/C74,2)</f>
        <v>2884.96</v>
      </c>
      <c r="P74" s="837">
        <f>ROUND(O74/K74,6)</f>
        <v>1.375212</v>
      </c>
      <c r="Q74" s="384">
        <f>RANK(P74,P$8:P$75,0)</f>
        <v>5</v>
      </c>
    </row>
    <row r="75" spans="1:17" ht="12.75">
      <c r="A75" s="835">
        <v>68</v>
      </c>
      <c r="B75" s="384" t="s">
        <v>351</v>
      </c>
      <c r="C75" s="832">
        <f>'[1]Table 3 Levels 1&amp;2'!Q75</f>
        <v>3133</v>
      </c>
      <c r="D75" s="387">
        <f>('[1]Table 7 Local Revenue'!G74*'[1]Table 7 Local Revenue'!$AC$76)/1000</f>
        <v>1083089.6712</v>
      </c>
      <c r="E75" s="387">
        <f>ROUND(D75/C75,2)</f>
        <v>345.7</v>
      </c>
      <c r="F75" s="387">
        <f>'[1]Table 7 Local Revenue'!AN74*'[1]Table 7 Local Revenue'!$AF$76</f>
        <v>2628048.0090786978</v>
      </c>
      <c r="G75" s="387">
        <f>ROUND(F75/C75,2)</f>
        <v>838.83</v>
      </c>
      <c r="H75" s="387">
        <f>'[1]Table 7 Local Revenue'!AQ74</f>
        <v>35451</v>
      </c>
      <c r="I75" s="387">
        <f>ROUND(H75/C75,2)</f>
        <v>11.32</v>
      </c>
      <c r="J75" s="387">
        <f t="shared" si="14"/>
        <v>3746588.680278698</v>
      </c>
      <c r="K75" s="387">
        <f>IF(ROUND(J75/C75,2)&lt;6000,ROUND(J75/C75,2),6000)</f>
        <v>1195.85</v>
      </c>
      <c r="L75" s="836">
        <f>ROUND(K75/K$77,8)</f>
        <v>0.53644805</v>
      </c>
      <c r="M75" s="384">
        <f>RANK(L75,L$8:L$75,0)</f>
        <v>55</v>
      </c>
      <c r="N75" s="387">
        <f>'[1]Table 7 Local Revenue'!AR74</f>
        <v>3761127</v>
      </c>
      <c r="O75" s="387">
        <f>ROUND(N75/C75,2)</f>
        <v>1200.49</v>
      </c>
      <c r="P75" s="837">
        <f>ROUND(O75/K75,6)</f>
        <v>1.00388</v>
      </c>
      <c r="Q75" s="384">
        <f>RANK(P75,P$8:P$75,0)</f>
        <v>31</v>
      </c>
    </row>
    <row r="76" spans="1:17" ht="12.75">
      <c r="A76" s="850"/>
      <c r="B76" s="833"/>
      <c r="C76" s="832"/>
      <c r="D76" s="387"/>
      <c r="E76" s="392"/>
      <c r="F76" s="387"/>
      <c r="G76" s="392"/>
      <c r="H76" s="392"/>
      <c r="I76" s="392"/>
      <c r="J76" s="833"/>
      <c r="K76" s="392"/>
      <c r="L76" s="836"/>
      <c r="M76" s="833"/>
      <c r="N76" s="392"/>
      <c r="O76" s="392"/>
      <c r="P76" s="851"/>
      <c r="Q76" s="833"/>
    </row>
    <row r="77" spans="1:17" ht="13.5" thickBot="1">
      <c r="A77" s="852"/>
      <c r="B77" s="741" t="s">
        <v>352</v>
      </c>
      <c r="C77" s="853">
        <f>SUM(C8:C75)</f>
        <v>895370</v>
      </c>
      <c r="D77" s="418">
        <f>SUM(D8:D75)</f>
        <v>816804997.22916</v>
      </c>
      <c r="E77" s="418">
        <f>ROUND(D77/C77,2)</f>
        <v>912.25</v>
      </c>
      <c r="F77" s="418">
        <f>SUM(F8:F75)</f>
        <v>1138542677.3811011</v>
      </c>
      <c r="G77" s="418">
        <f>ROUND(F77/C77,2)</f>
        <v>1271.59</v>
      </c>
      <c r="H77" s="418">
        <f>SUM(H8:H75)</f>
        <v>40609175</v>
      </c>
      <c r="I77" s="418">
        <f>ROUND(H77/C77,2)</f>
        <v>45.35</v>
      </c>
      <c r="J77" s="854">
        <f>SUM(J8:J75)</f>
        <v>1995956849.610262</v>
      </c>
      <c r="K77" s="418">
        <f>ROUND(J77/C77,2)</f>
        <v>2229.2</v>
      </c>
      <c r="L77" s="855">
        <f>ROUND(K77/K$77,8)</f>
        <v>1</v>
      </c>
      <c r="M77" s="741"/>
      <c r="N77" s="418">
        <f>SUM(N8:N75)</f>
        <v>1998194617</v>
      </c>
      <c r="O77" s="418">
        <f>ROUND(N77/C77,2)</f>
        <v>2231.7</v>
      </c>
      <c r="P77" s="856">
        <f>ROUND(O77/K77,6)</f>
        <v>1.001121</v>
      </c>
      <c r="Q77" s="741"/>
    </row>
    <row r="78" spans="11:14" ht="13.5" thickTop="1">
      <c r="K78" s="857"/>
      <c r="M78" s="314"/>
      <c r="N78" s="229"/>
    </row>
  </sheetData>
  <sheetProtection/>
  <mergeCells count="8">
    <mergeCell ref="O4:Q4"/>
    <mergeCell ref="C1:H1"/>
    <mergeCell ref="P1:Q2"/>
    <mergeCell ref="D4:G4"/>
    <mergeCell ref="H4:H5"/>
    <mergeCell ref="J4:M4"/>
    <mergeCell ref="N4:N5"/>
    <mergeCell ref="C4:C5"/>
  </mergeCells>
  <printOptions/>
  <pageMargins left="0.48" right="0.29" top="1" bottom="0.38" header="0.21" footer="0.18"/>
  <pageSetup firstPageNumber="21" useFirstPageNumber="1" horizontalDpi="600" verticalDpi="600" orientation="portrait" paperSize="5" scale="85" r:id="rId1"/>
  <headerFooter alignWithMargins="0">
    <oddHeader>&amp;L&amp;"Arial,Bold"&amp;20TABLE 6: FY 2006-2007 Budget Letter
Local Wealth Factor</oddHeader>
    <oddFooter>&amp;R&amp;9&amp;P</oddFooter>
  </headerFooter>
  <colBreaks count="1" manualBreakCount="1">
    <brk id="9" min="2" max="7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89"/>
  <sheetViews>
    <sheetView zoomScale="85" zoomScaleNormal="85" zoomScalePageLayoutView="0" workbookViewId="0" topLeftCell="A3">
      <selection activeCell="A3" sqref="A3"/>
    </sheetView>
  </sheetViews>
  <sheetFormatPr defaultColWidth="9.140625" defaultRowHeight="12.75"/>
  <cols>
    <col min="1" max="1" width="4.7109375" style="0" bestFit="1" customWidth="1"/>
    <col min="2" max="2" width="22.140625" style="0" bestFit="1" customWidth="1"/>
    <col min="3" max="3" width="1.28515625" style="0" customWidth="1"/>
    <col min="4" max="4" width="17.28125" style="0" bestFit="1" customWidth="1"/>
    <col min="5" max="5" width="14.57421875" style="0" bestFit="1" customWidth="1"/>
    <col min="6" max="6" width="15.7109375" style="0" bestFit="1" customWidth="1"/>
    <col min="7" max="7" width="15.57421875" style="0" customWidth="1"/>
    <col min="8" max="8" width="12.28125" style="0" bestFit="1" customWidth="1"/>
    <col min="9" max="9" width="16.421875" style="0" bestFit="1" customWidth="1"/>
    <col min="10" max="10" width="12.28125" style="0" bestFit="1" customWidth="1"/>
    <col min="11" max="11" width="16.421875" style="0" bestFit="1" customWidth="1"/>
    <col min="12" max="12" width="10.421875" style="0" customWidth="1"/>
    <col min="13" max="13" width="9.8515625" style="0" bestFit="1" customWidth="1"/>
    <col min="14" max="14" width="12.421875" style="0" bestFit="1" customWidth="1"/>
    <col min="15" max="15" width="16.7109375" style="0" bestFit="1" customWidth="1"/>
    <col min="16" max="16" width="17.7109375" style="0" bestFit="1" customWidth="1"/>
    <col min="17" max="17" width="7.8515625" style="0" customWidth="1"/>
    <col min="18" max="18" width="17.140625" style="0" bestFit="1" customWidth="1"/>
    <col min="19" max="20" width="16.57421875" style="0" bestFit="1" customWidth="1"/>
    <col min="21" max="21" width="12.421875" style="0" bestFit="1" customWidth="1"/>
    <col min="22" max="22" width="16.57421875" style="0" bestFit="1" customWidth="1"/>
    <col min="23" max="23" width="13.00390625" style="0" bestFit="1" customWidth="1"/>
    <col min="24" max="24" width="15.421875" style="0" bestFit="1" customWidth="1"/>
    <col min="25" max="25" width="16.57421875" style="0" bestFit="1" customWidth="1"/>
    <col min="26" max="26" width="13.57421875" style="0" bestFit="1" customWidth="1"/>
    <col min="27" max="27" width="10.00390625" style="0" bestFit="1" customWidth="1"/>
    <col min="28" max="28" width="12.00390625" style="0" bestFit="1" customWidth="1"/>
    <col min="29" max="29" width="10.140625" style="0" bestFit="1" customWidth="1"/>
    <col min="30" max="30" width="19.8515625" style="0" bestFit="1" customWidth="1"/>
    <col min="31" max="31" width="26.57421875" style="0" bestFit="1" customWidth="1"/>
    <col min="32" max="32" width="10.28125" style="0" bestFit="1" customWidth="1"/>
    <col min="33" max="33" width="15.8515625" style="0" bestFit="1" customWidth="1"/>
    <col min="34" max="34" width="12.00390625" style="0" bestFit="1" customWidth="1"/>
    <col min="35" max="35" width="18.421875" style="0" bestFit="1" customWidth="1"/>
    <col min="36" max="36" width="23.28125" style="0" bestFit="1" customWidth="1"/>
    <col min="37" max="37" width="16.8515625" style="0" bestFit="1" customWidth="1"/>
    <col min="38" max="38" width="17.421875" style="0" bestFit="1" customWidth="1"/>
    <col min="39" max="39" width="12.28125" style="0" bestFit="1" customWidth="1"/>
    <col min="40" max="40" width="20.140625" style="0" bestFit="1" customWidth="1"/>
    <col min="41" max="42" width="13.421875" style="0" bestFit="1" customWidth="1"/>
    <col min="43" max="43" width="23.8515625" style="0" customWidth="1"/>
    <col min="44" max="44" width="19.140625" style="0" bestFit="1" customWidth="1"/>
    <col min="45" max="45" width="14.421875" style="0" bestFit="1" customWidth="1"/>
    <col min="46" max="46" width="16.7109375" style="0" bestFit="1" customWidth="1"/>
    <col min="47" max="47" width="10.421875" style="0" bestFit="1" customWidth="1"/>
  </cols>
  <sheetData>
    <row r="1" spans="1:44" ht="20.25" hidden="1">
      <c r="A1" s="821"/>
      <c r="B1" s="858"/>
      <c r="D1" s="859"/>
      <c r="E1" s="860"/>
      <c r="F1" s="860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861"/>
      <c r="AE1" s="861"/>
      <c r="AF1" s="862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863"/>
      <c r="AR1" s="246"/>
    </row>
    <row r="2" spans="1:45" ht="40.5" hidden="1">
      <c r="A2" s="821"/>
      <c r="D2" s="1149" t="s">
        <v>524</v>
      </c>
      <c r="E2" s="1150"/>
      <c r="F2" s="330"/>
      <c r="G2" s="330" t="s">
        <v>525</v>
      </c>
      <c r="H2" s="858" t="s">
        <v>526</v>
      </c>
      <c r="I2" s="858" t="s">
        <v>527</v>
      </c>
      <c r="J2" s="858" t="s">
        <v>528</v>
      </c>
      <c r="K2" s="858" t="s">
        <v>529</v>
      </c>
      <c r="L2" s="858" t="s">
        <v>530</v>
      </c>
      <c r="M2" s="858" t="s">
        <v>531</v>
      </c>
      <c r="N2" s="858" t="s">
        <v>532</v>
      </c>
      <c r="O2" s="858" t="s">
        <v>533</v>
      </c>
      <c r="P2" s="864" t="s">
        <v>534</v>
      </c>
      <c r="Q2" s="858" t="s">
        <v>535</v>
      </c>
      <c r="R2" s="858" t="s">
        <v>536</v>
      </c>
      <c r="S2" s="858" t="s">
        <v>537</v>
      </c>
      <c r="T2" s="858" t="s">
        <v>538</v>
      </c>
      <c r="U2" s="858" t="s">
        <v>539</v>
      </c>
      <c r="V2" s="858" t="s">
        <v>540</v>
      </c>
      <c r="W2" s="864" t="s">
        <v>541</v>
      </c>
      <c r="X2" s="864" t="s">
        <v>542</v>
      </c>
      <c r="Y2" s="864" t="s">
        <v>543</v>
      </c>
      <c r="Z2" s="864" t="s">
        <v>544</v>
      </c>
      <c r="AA2" s="864" t="s">
        <v>545</v>
      </c>
      <c r="AB2" s="864" t="s">
        <v>546</v>
      </c>
      <c r="AC2" s="864" t="s">
        <v>547</v>
      </c>
      <c r="AD2" s="865" t="s">
        <v>548</v>
      </c>
      <c r="AE2" s="866"/>
      <c r="AF2" s="867" t="s">
        <v>549</v>
      </c>
      <c r="AG2" s="867" t="s">
        <v>550</v>
      </c>
      <c r="AH2" s="868" t="s">
        <v>551</v>
      </c>
      <c r="AI2" s="868"/>
      <c r="AJ2" s="865" t="s">
        <v>552</v>
      </c>
      <c r="AK2" s="865"/>
      <c r="AL2" s="865" t="s">
        <v>553</v>
      </c>
      <c r="AM2" s="869"/>
      <c r="AN2" s="869"/>
      <c r="AO2" s="864" t="s">
        <v>554</v>
      </c>
      <c r="AP2" s="864" t="s">
        <v>555</v>
      </c>
      <c r="AQ2" s="870" t="s">
        <v>556</v>
      </c>
      <c r="AR2" s="871" t="s">
        <v>557</v>
      </c>
      <c r="AS2" s="870" t="s">
        <v>558</v>
      </c>
    </row>
    <row r="3" spans="1:44" ht="51.75" customHeight="1" thickBot="1">
      <c r="A3" s="822"/>
      <c r="B3" s="872"/>
      <c r="C3" s="873"/>
      <c r="D3" s="1151" t="s">
        <v>559</v>
      </c>
      <c r="E3" s="1152"/>
      <c r="F3" s="1152"/>
      <c r="G3" s="1153"/>
      <c r="H3" s="1154" t="s">
        <v>560</v>
      </c>
      <c r="I3" s="1155"/>
      <c r="J3" s="1134" t="s">
        <v>561</v>
      </c>
      <c r="K3" s="1135"/>
      <c r="L3" s="1135"/>
      <c r="M3" s="1135"/>
      <c r="N3" s="1135"/>
      <c r="O3" s="1136"/>
      <c r="P3" s="1156" t="s">
        <v>562</v>
      </c>
      <c r="Q3" s="1134" t="s">
        <v>563</v>
      </c>
      <c r="R3" s="1135"/>
      <c r="S3" s="1135"/>
      <c r="T3" s="1135"/>
      <c r="U3" s="1135"/>
      <c r="V3" s="1136"/>
      <c r="W3" s="1156" t="s">
        <v>564</v>
      </c>
      <c r="X3" s="1134" t="s">
        <v>565</v>
      </c>
      <c r="Y3" s="1135"/>
      <c r="Z3" s="1135"/>
      <c r="AA3" s="1135"/>
      <c r="AB3" s="1135"/>
      <c r="AC3" s="1135"/>
      <c r="AD3" s="1156" t="s">
        <v>566</v>
      </c>
      <c r="AE3" s="1156" t="s">
        <v>567</v>
      </c>
      <c r="AF3" s="1134" t="s">
        <v>568</v>
      </c>
      <c r="AG3" s="1135"/>
      <c r="AH3" s="1135"/>
      <c r="AI3" s="1156" t="s">
        <v>569</v>
      </c>
      <c r="AJ3" s="1156" t="s">
        <v>570</v>
      </c>
      <c r="AK3" s="1134" t="s">
        <v>571</v>
      </c>
      <c r="AL3" s="1135"/>
      <c r="AM3" s="1135"/>
      <c r="AN3" s="1135"/>
      <c r="AO3" s="1135"/>
      <c r="AP3" s="1136"/>
      <c r="AQ3" s="1158" t="s">
        <v>572</v>
      </c>
      <c r="AR3" s="874"/>
    </row>
    <row r="4" spans="1:46" ht="90" customHeight="1">
      <c r="A4" s="825" t="s">
        <v>228</v>
      </c>
      <c r="B4" s="875" t="s">
        <v>103</v>
      </c>
      <c r="C4" s="876"/>
      <c r="D4" s="877" t="s">
        <v>573</v>
      </c>
      <c r="E4" s="878" t="s">
        <v>574</v>
      </c>
      <c r="F4" s="877" t="s">
        <v>575</v>
      </c>
      <c r="G4" s="877" t="s">
        <v>576</v>
      </c>
      <c r="H4" s="829" t="s">
        <v>577</v>
      </c>
      <c r="I4" s="829" t="s">
        <v>578</v>
      </c>
      <c r="J4" s="829" t="s">
        <v>577</v>
      </c>
      <c r="K4" s="829" t="s">
        <v>578</v>
      </c>
      <c r="L4" s="829" t="s">
        <v>579</v>
      </c>
      <c r="M4" s="829" t="s">
        <v>580</v>
      </c>
      <c r="N4" s="829" t="s">
        <v>581</v>
      </c>
      <c r="O4" s="829" t="s">
        <v>582</v>
      </c>
      <c r="P4" s="1157"/>
      <c r="Q4" s="829" t="s">
        <v>577</v>
      </c>
      <c r="R4" s="829" t="s">
        <v>578</v>
      </c>
      <c r="S4" s="829" t="s">
        <v>583</v>
      </c>
      <c r="T4" s="829" t="s">
        <v>584</v>
      </c>
      <c r="U4" s="829" t="s">
        <v>581</v>
      </c>
      <c r="V4" s="829" t="s">
        <v>585</v>
      </c>
      <c r="W4" s="1157"/>
      <c r="X4" s="829" t="s">
        <v>586</v>
      </c>
      <c r="Y4" s="829" t="s">
        <v>587</v>
      </c>
      <c r="Z4" s="829" t="s">
        <v>588</v>
      </c>
      <c r="AA4" s="829" t="s">
        <v>589</v>
      </c>
      <c r="AB4" s="829" t="s">
        <v>590</v>
      </c>
      <c r="AC4" s="879" t="s">
        <v>591</v>
      </c>
      <c r="AD4" s="1157"/>
      <c r="AE4" s="1157"/>
      <c r="AF4" s="880" t="s">
        <v>592</v>
      </c>
      <c r="AG4" s="881" t="s">
        <v>593</v>
      </c>
      <c r="AH4" s="882" t="s">
        <v>594</v>
      </c>
      <c r="AI4" s="1157"/>
      <c r="AJ4" s="1157"/>
      <c r="AK4" s="883" t="s">
        <v>595</v>
      </c>
      <c r="AL4" s="883" t="s">
        <v>596</v>
      </c>
      <c r="AM4" s="883" t="s">
        <v>610</v>
      </c>
      <c r="AN4" s="884" t="s">
        <v>611</v>
      </c>
      <c r="AO4" s="885" t="s">
        <v>597</v>
      </c>
      <c r="AP4" s="885" t="s">
        <v>598</v>
      </c>
      <c r="AQ4" s="1159"/>
      <c r="AR4" s="886" t="s">
        <v>599</v>
      </c>
      <c r="AS4" s="886" t="s">
        <v>263</v>
      </c>
      <c r="AT4" s="887" t="s">
        <v>600</v>
      </c>
    </row>
    <row r="5" spans="1:46" ht="12.75">
      <c r="A5" s="831"/>
      <c r="B5" s="888"/>
      <c r="C5" s="889"/>
      <c r="D5" s="890">
        <v>1</v>
      </c>
      <c r="E5" s="891">
        <f aca="true" t="shared" si="0" ref="E5:AT5">D5+1</f>
        <v>2</v>
      </c>
      <c r="F5" s="891">
        <f t="shared" si="0"/>
        <v>3</v>
      </c>
      <c r="G5" s="891">
        <f t="shared" si="0"/>
        <v>4</v>
      </c>
      <c r="H5" s="891">
        <f t="shared" si="0"/>
        <v>5</v>
      </c>
      <c r="I5" s="891">
        <f t="shared" si="0"/>
        <v>6</v>
      </c>
      <c r="J5" s="891">
        <f t="shared" si="0"/>
        <v>7</v>
      </c>
      <c r="K5" s="891">
        <f t="shared" si="0"/>
        <v>8</v>
      </c>
      <c r="L5" s="891">
        <f t="shared" si="0"/>
        <v>9</v>
      </c>
      <c r="M5" s="891">
        <f t="shared" si="0"/>
        <v>10</v>
      </c>
      <c r="N5" s="891">
        <f t="shared" si="0"/>
        <v>11</v>
      </c>
      <c r="O5" s="891">
        <f t="shared" si="0"/>
        <v>12</v>
      </c>
      <c r="P5" s="891">
        <f t="shared" si="0"/>
        <v>13</v>
      </c>
      <c r="Q5" s="891">
        <f t="shared" si="0"/>
        <v>14</v>
      </c>
      <c r="R5" s="891">
        <f t="shared" si="0"/>
        <v>15</v>
      </c>
      <c r="S5" s="891">
        <f t="shared" si="0"/>
        <v>16</v>
      </c>
      <c r="T5" s="891">
        <f t="shared" si="0"/>
        <v>17</v>
      </c>
      <c r="U5" s="891">
        <f t="shared" si="0"/>
        <v>18</v>
      </c>
      <c r="V5" s="891">
        <f t="shared" si="0"/>
        <v>19</v>
      </c>
      <c r="W5" s="891">
        <f t="shared" si="0"/>
        <v>20</v>
      </c>
      <c r="X5" s="891">
        <f t="shared" si="0"/>
        <v>21</v>
      </c>
      <c r="Y5" s="891">
        <f t="shared" si="0"/>
        <v>22</v>
      </c>
      <c r="Z5" s="891">
        <f t="shared" si="0"/>
        <v>23</v>
      </c>
      <c r="AA5" s="891">
        <f t="shared" si="0"/>
        <v>24</v>
      </c>
      <c r="AB5" s="891">
        <f t="shared" si="0"/>
        <v>25</v>
      </c>
      <c r="AC5" s="891">
        <f t="shared" si="0"/>
        <v>26</v>
      </c>
      <c r="AD5" s="891">
        <f t="shared" si="0"/>
        <v>27</v>
      </c>
      <c r="AE5" s="891">
        <f t="shared" si="0"/>
        <v>28</v>
      </c>
      <c r="AF5" s="891">
        <f t="shared" si="0"/>
        <v>29</v>
      </c>
      <c r="AG5" s="891">
        <f t="shared" si="0"/>
        <v>30</v>
      </c>
      <c r="AH5" s="891">
        <f t="shared" si="0"/>
        <v>31</v>
      </c>
      <c r="AI5" s="891">
        <f t="shared" si="0"/>
        <v>32</v>
      </c>
      <c r="AJ5" s="891">
        <f t="shared" si="0"/>
        <v>33</v>
      </c>
      <c r="AK5" s="891">
        <f t="shared" si="0"/>
        <v>34</v>
      </c>
      <c r="AL5" s="891">
        <f t="shared" si="0"/>
        <v>35</v>
      </c>
      <c r="AM5" s="891">
        <f t="shared" si="0"/>
        <v>36</v>
      </c>
      <c r="AN5" s="891">
        <f t="shared" si="0"/>
        <v>37</v>
      </c>
      <c r="AO5" s="891">
        <f t="shared" si="0"/>
        <v>38</v>
      </c>
      <c r="AP5" s="891">
        <f t="shared" si="0"/>
        <v>39</v>
      </c>
      <c r="AQ5" s="891">
        <f t="shared" si="0"/>
        <v>40</v>
      </c>
      <c r="AR5" s="891">
        <f t="shared" si="0"/>
        <v>41</v>
      </c>
      <c r="AS5" s="891">
        <f t="shared" si="0"/>
        <v>42</v>
      </c>
      <c r="AT5" s="891">
        <f t="shared" si="0"/>
        <v>43</v>
      </c>
    </row>
    <row r="6" spans="1:46" ht="12.75">
      <c r="A6" s="371"/>
      <c r="B6" s="892"/>
      <c r="C6" s="893"/>
      <c r="D6" s="894"/>
      <c r="E6" s="895"/>
      <c r="F6" s="895"/>
      <c r="G6" s="894"/>
      <c r="H6" s="893"/>
      <c r="I6" s="896"/>
      <c r="J6" s="833"/>
      <c r="K6" s="896"/>
      <c r="L6" s="833"/>
      <c r="M6" s="833"/>
      <c r="N6" s="833"/>
      <c r="O6" s="896"/>
      <c r="P6" s="833"/>
      <c r="Q6" s="833"/>
      <c r="R6" s="896"/>
      <c r="S6" s="833"/>
      <c r="T6" s="833"/>
      <c r="U6" s="833"/>
      <c r="V6" s="896"/>
      <c r="W6" s="833"/>
      <c r="X6" s="833"/>
      <c r="Y6" s="833"/>
      <c r="Z6" s="833"/>
      <c r="AA6" s="833"/>
      <c r="AB6" s="833"/>
      <c r="AC6" s="897"/>
      <c r="AD6" s="898"/>
      <c r="AE6" s="899"/>
      <c r="AF6" s="900"/>
      <c r="AG6" s="901"/>
      <c r="AH6" s="902"/>
      <c r="AI6" s="902"/>
      <c r="AJ6" s="903"/>
      <c r="AK6" s="372"/>
      <c r="AL6" s="372"/>
      <c r="AM6" s="833"/>
      <c r="AN6" s="833"/>
      <c r="AO6" s="833"/>
      <c r="AP6" s="833"/>
      <c r="AQ6" s="892"/>
      <c r="AR6" s="904"/>
      <c r="AS6" s="904"/>
      <c r="AT6" s="904"/>
    </row>
    <row r="7" spans="1:46" ht="12.75">
      <c r="A7" s="835">
        <v>1</v>
      </c>
      <c r="B7" s="434" t="s">
        <v>284</v>
      </c>
      <c r="C7" s="905"/>
      <c r="D7" s="387">
        <v>248036580</v>
      </c>
      <c r="E7" s="387">
        <v>67335550</v>
      </c>
      <c r="F7" s="387">
        <f aca="true" t="shared" si="1" ref="F7:F38">D7-E7</f>
        <v>180701030</v>
      </c>
      <c r="G7" s="387">
        <f>IF('[1]Table 8 Membership'!AA8&gt;0,ROUND('[1]Table 8 Membership'!AA8*'Table 7 Local Revenue'!F7,0),'Table 7 Local Revenue'!F7)</f>
        <v>180701030</v>
      </c>
      <c r="H7" s="906">
        <v>5.14</v>
      </c>
      <c r="I7" s="907">
        <v>906508</v>
      </c>
      <c r="J7" s="908">
        <v>20.03</v>
      </c>
      <c r="K7" s="907">
        <v>3542443</v>
      </c>
      <c r="L7" s="908">
        <v>0</v>
      </c>
      <c r="M7" s="908">
        <v>13.45</v>
      </c>
      <c r="N7" s="908">
        <v>1</v>
      </c>
      <c r="O7" s="907">
        <v>160138</v>
      </c>
      <c r="P7" s="387">
        <f aca="true" t="shared" si="2" ref="P7:P38">I7+K7+O7</f>
        <v>4609089</v>
      </c>
      <c r="Q7" s="908">
        <v>0</v>
      </c>
      <c r="R7" s="907">
        <v>0</v>
      </c>
      <c r="S7" s="908">
        <v>0</v>
      </c>
      <c r="T7" s="908">
        <v>26.3</v>
      </c>
      <c r="U7" s="908">
        <v>5</v>
      </c>
      <c r="V7" s="907">
        <v>895229</v>
      </c>
      <c r="W7" s="387">
        <f aca="true" t="shared" si="3" ref="W7:W38">R7+V7</f>
        <v>895229</v>
      </c>
      <c r="X7" s="909">
        <f aca="true" t="shared" si="4" ref="X7:X38">H7+J7+Q7</f>
        <v>25.17</v>
      </c>
      <c r="Y7" s="387">
        <f aca="true" t="shared" si="5" ref="Y7:Y38">I7+K7+R7</f>
        <v>4448951</v>
      </c>
      <c r="Z7" s="387">
        <f aca="true" t="shared" si="6" ref="Z7:Z38">O7+V7</f>
        <v>1055367</v>
      </c>
      <c r="AA7" s="910">
        <f aca="true" t="shared" si="7" ref="AA7:AA38">ROUND((W7/G7)*1000,2)</f>
        <v>4.95</v>
      </c>
      <c r="AB7" s="911">
        <f aca="true" t="shared" si="8" ref="AB7:AB38">ROUND((P7/G7)*1000,2)</f>
        <v>25.51</v>
      </c>
      <c r="AC7" s="912">
        <f aca="true" t="shared" si="9" ref="AC7:AC38">ROUND((AE7/G7)*1000,2)</f>
        <v>30.46</v>
      </c>
      <c r="AD7" s="844">
        <f aca="true" t="shared" si="10" ref="AD7:AD38">P7+W7</f>
        <v>5504318</v>
      </c>
      <c r="AE7" s="844">
        <f>IF('[1]Table 8 Membership'!AA8&gt;0,ROUND('Table 7 Local Revenue'!AD7*'[1]Table 8 Membership'!AA8,0),'Table 7 Local Revenue'!AD7)</f>
        <v>5504318</v>
      </c>
      <c r="AF7" s="913">
        <v>0.0138</v>
      </c>
      <c r="AG7" s="914">
        <v>6863468</v>
      </c>
      <c r="AH7" s="915">
        <v>0</v>
      </c>
      <c r="AI7" s="915">
        <f aca="true" t="shared" si="11" ref="AI7:AI38">AG7+AH7</f>
        <v>6863468</v>
      </c>
      <c r="AJ7" s="844">
        <f>IF('[1]Table 8 Membership'!AA8&gt;0,ROUND('[1]Table 8 Membership'!AA8*'Table 7 Local Revenue'!AI7,0),'Table 7 Local Revenue'!AI7)</f>
        <v>6863468</v>
      </c>
      <c r="AK7" s="844">
        <v>513157200</v>
      </c>
      <c r="AL7" s="844">
        <f aca="true" t="shared" si="12" ref="AL7:AL17">ROUND(AJ7/AF7,0)</f>
        <v>497352754</v>
      </c>
      <c r="AM7" s="913">
        <f aca="true" t="shared" si="13" ref="AM7:AM38">(AL7-AK7)/AK7</f>
        <v>-0.0307984492861057</v>
      </c>
      <c r="AN7" s="844">
        <f aca="true" t="shared" si="14" ref="AN7:AN38">IF((AL7-AK7)/AK7&gt;0.15,AK7*1.15,AL7)</f>
        <v>497352754</v>
      </c>
      <c r="AO7" s="916">
        <f aca="true" t="shared" si="15" ref="AO7:AO38">AG7/AL7</f>
        <v>0.013799999989544644</v>
      </c>
      <c r="AP7" s="916">
        <f aca="true" t="shared" si="16" ref="AP7:AP38">AH7/AL7</f>
        <v>0</v>
      </c>
      <c r="AQ7" s="917">
        <f>'[8]04-05 Other Revenue'!O2</f>
        <v>373678</v>
      </c>
      <c r="AR7" s="918">
        <f aca="true" t="shared" si="17" ref="AR7:AR38">+AQ7+AJ7+AE7</f>
        <v>12741464</v>
      </c>
      <c r="AS7" s="918">
        <f>ROUND(AR7/'[1]Table 3 Levels 1&amp;2'!D8,2)</f>
        <v>1398.16</v>
      </c>
      <c r="AT7" s="918">
        <v>10684380.5</v>
      </c>
    </row>
    <row r="8" spans="1:46" ht="12.75">
      <c r="A8" s="835">
        <v>2</v>
      </c>
      <c r="B8" s="434" t="s">
        <v>285</v>
      </c>
      <c r="C8" s="905"/>
      <c r="D8" s="387">
        <v>91356620</v>
      </c>
      <c r="E8" s="387">
        <v>22221400</v>
      </c>
      <c r="F8" s="387">
        <f t="shared" si="1"/>
        <v>69135220</v>
      </c>
      <c r="G8" s="387">
        <f>IF('[1]Table 8 Membership'!AA9&gt;0,ROUND('[1]Table 8 Membership'!AA9*'Table 7 Local Revenue'!F8,0),'Table 7 Local Revenue'!F8)</f>
        <v>69135220</v>
      </c>
      <c r="H8" s="906">
        <v>4.26</v>
      </c>
      <c r="I8" s="907">
        <v>286452</v>
      </c>
      <c r="J8" s="908">
        <v>5.13</v>
      </c>
      <c r="K8" s="907">
        <v>338554</v>
      </c>
      <c r="L8" s="908">
        <v>12.37</v>
      </c>
      <c r="M8" s="908">
        <v>77.18</v>
      </c>
      <c r="N8" s="908">
        <v>6</v>
      </c>
      <c r="O8" s="907">
        <v>1245754</v>
      </c>
      <c r="P8" s="387">
        <f t="shared" si="2"/>
        <v>1870760</v>
      </c>
      <c r="Q8" s="908">
        <v>0</v>
      </c>
      <c r="R8" s="907">
        <v>0</v>
      </c>
      <c r="S8" s="908">
        <v>8.5</v>
      </c>
      <c r="T8" s="908">
        <v>32.6</v>
      </c>
      <c r="U8" s="908">
        <v>6</v>
      </c>
      <c r="V8" s="907">
        <v>1261592</v>
      </c>
      <c r="W8" s="387">
        <f t="shared" si="3"/>
        <v>1261592</v>
      </c>
      <c r="X8" s="909">
        <f t="shared" si="4"/>
        <v>9.39</v>
      </c>
      <c r="Y8" s="387">
        <f t="shared" si="5"/>
        <v>625006</v>
      </c>
      <c r="Z8" s="387">
        <f t="shared" si="6"/>
        <v>2507346</v>
      </c>
      <c r="AA8" s="910">
        <f t="shared" si="7"/>
        <v>18.25</v>
      </c>
      <c r="AB8" s="911">
        <f t="shared" si="8"/>
        <v>27.06</v>
      </c>
      <c r="AC8" s="912">
        <f t="shared" si="9"/>
        <v>45.31</v>
      </c>
      <c r="AD8" s="844">
        <f t="shared" si="10"/>
        <v>3132352</v>
      </c>
      <c r="AE8" s="844">
        <f>IF('[1]Table 8 Membership'!AA9&gt;0,ROUND('Table 7 Local Revenue'!AD8*'[1]Table 8 Membership'!AA9,0),'Table 7 Local Revenue'!AD8)</f>
        <v>3132352</v>
      </c>
      <c r="AF8" s="913">
        <v>0.03</v>
      </c>
      <c r="AG8" s="914">
        <v>5701439</v>
      </c>
      <c r="AH8" s="915">
        <v>0</v>
      </c>
      <c r="AI8" s="915">
        <f t="shared" si="11"/>
        <v>5701439</v>
      </c>
      <c r="AJ8" s="844">
        <f>IF('[1]Table 8 Membership'!AA9&gt;0,ROUND('[1]Table 8 Membership'!AA9*'Table 7 Local Revenue'!AI8,0),'Table 7 Local Revenue'!AI8)</f>
        <v>5701439</v>
      </c>
      <c r="AK8" s="844">
        <v>179174909</v>
      </c>
      <c r="AL8" s="844">
        <f t="shared" si="12"/>
        <v>190047967</v>
      </c>
      <c r="AM8" s="913">
        <f t="shared" si="13"/>
        <v>0.06068404365702789</v>
      </c>
      <c r="AN8" s="844">
        <f t="shared" si="14"/>
        <v>190047967</v>
      </c>
      <c r="AO8" s="916">
        <f t="shared" si="15"/>
        <v>0.029999999947381704</v>
      </c>
      <c r="AP8" s="916">
        <f t="shared" si="16"/>
        <v>0</v>
      </c>
      <c r="AQ8" s="917">
        <f>'[8]04-05 Other Revenue'!O3</f>
        <v>96519</v>
      </c>
      <c r="AR8" s="918">
        <f t="shared" si="17"/>
        <v>8930310</v>
      </c>
      <c r="AS8" s="918">
        <f>ROUND(AR8/'[1]Table 3 Levels 1&amp;2'!D9,2)</f>
        <v>2147.74</v>
      </c>
      <c r="AT8" s="918">
        <v>8118655</v>
      </c>
    </row>
    <row r="9" spans="1:46" ht="12.75">
      <c r="A9" s="835">
        <v>3</v>
      </c>
      <c r="B9" s="434" t="s">
        <v>286</v>
      </c>
      <c r="C9" s="905"/>
      <c r="D9" s="387">
        <v>624394290</v>
      </c>
      <c r="E9" s="387">
        <v>136910730</v>
      </c>
      <c r="F9" s="387">
        <f t="shared" si="1"/>
        <v>487483560</v>
      </c>
      <c r="G9" s="387">
        <f>IF('[1]Table 8 Membership'!AA10&gt;0,ROUND('[1]Table 8 Membership'!AA10*'Table 7 Local Revenue'!F9,0),'Table 7 Local Revenue'!F9)</f>
        <v>487483560</v>
      </c>
      <c r="H9" s="906">
        <v>3.61</v>
      </c>
      <c r="I9" s="907">
        <v>1789196</v>
      </c>
      <c r="J9" s="908">
        <v>34.22</v>
      </c>
      <c r="K9" s="907">
        <v>16954659</v>
      </c>
      <c r="L9" s="908">
        <v>0</v>
      </c>
      <c r="M9" s="908">
        <v>0</v>
      </c>
      <c r="N9" s="908">
        <v>0</v>
      </c>
      <c r="O9" s="907">
        <v>0</v>
      </c>
      <c r="P9" s="387">
        <f t="shared" si="2"/>
        <v>18743855</v>
      </c>
      <c r="Q9" s="908">
        <v>15.08</v>
      </c>
      <c r="R9" s="907">
        <v>7494410</v>
      </c>
      <c r="S9" s="908">
        <v>0</v>
      </c>
      <c r="T9" s="908">
        <v>0</v>
      </c>
      <c r="U9" s="908">
        <v>0</v>
      </c>
      <c r="V9" s="907">
        <v>0</v>
      </c>
      <c r="W9" s="387">
        <f t="shared" si="3"/>
        <v>7494410</v>
      </c>
      <c r="X9" s="909">
        <f t="shared" si="4"/>
        <v>52.91</v>
      </c>
      <c r="Y9" s="387">
        <f t="shared" si="5"/>
        <v>26238265</v>
      </c>
      <c r="Z9" s="387">
        <f t="shared" si="6"/>
        <v>0</v>
      </c>
      <c r="AA9" s="910">
        <f t="shared" si="7"/>
        <v>15.37</v>
      </c>
      <c r="AB9" s="911">
        <f t="shared" si="8"/>
        <v>38.45</v>
      </c>
      <c r="AC9" s="912">
        <f t="shared" si="9"/>
        <v>53.82</v>
      </c>
      <c r="AD9" s="844">
        <f t="shared" si="10"/>
        <v>26238265</v>
      </c>
      <c r="AE9" s="844">
        <f>IF('[1]Table 8 Membership'!AA10&gt;0,ROUND('Table 7 Local Revenue'!AD9*'[1]Table 8 Membership'!AA10,0),'Table 7 Local Revenue'!AD9)</f>
        <v>26238265</v>
      </c>
      <c r="AF9" s="913">
        <v>0.02</v>
      </c>
      <c r="AG9" s="914">
        <v>29755177</v>
      </c>
      <c r="AH9" s="915">
        <v>0</v>
      </c>
      <c r="AI9" s="915">
        <f t="shared" si="11"/>
        <v>29755177</v>
      </c>
      <c r="AJ9" s="844">
        <f>IF('[1]Table 8 Membership'!AA10&gt;0,ROUND('[1]Table 8 Membership'!AA10*'Table 7 Local Revenue'!AI9,0),'Table 7 Local Revenue'!AI9)</f>
        <v>29755177</v>
      </c>
      <c r="AK9" s="844">
        <v>1391423850</v>
      </c>
      <c r="AL9" s="844">
        <f t="shared" si="12"/>
        <v>1487758850</v>
      </c>
      <c r="AM9" s="913">
        <f t="shared" si="13"/>
        <v>0.069234834518612</v>
      </c>
      <c r="AN9" s="844">
        <f t="shared" si="14"/>
        <v>1487758850</v>
      </c>
      <c r="AO9" s="916">
        <f t="shared" si="15"/>
        <v>0.02</v>
      </c>
      <c r="AP9" s="916">
        <f t="shared" si="16"/>
        <v>0</v>
      </c>
      <c r="AQ9" s="917">
        <f>'[8]04-05 Other Revenue'!O4</f>
        <v>162802</v>
      </c>
      <c r="AR9" s="918">
        <f t="shared" si="17"/>
        <v>56156244</v>
      </c>
      <c r="AS9" s="918">
        <f>ROUND(AR9/'[1]Table 3 Levels 1&amp;2'!D10,2)</f>
        <v>3217.94</v>
      </c>
      <c r="AT9" s="918">
        <v>51604325</v>
      </c>
    </row>
    <row r="10" spans="1:46" ht="12.75">
      <c r="A10" s="835">
        <v>4</v>
      </c>
      <c r="B10" s="434" t="s">
        <v>287</v>
      </c>
      <c r="C10" s="905"/>
      <c r="D10" s="387">
        <v>113612410</v>
      </c>
      <c r="E10" s="387">
        <v>29851150</v>
      </c>
      <c r="F10" s="387">
        <f t="shared" si="1"/>
        <v>83761260</v>
      </c>
      <c r="G10" s="387">
        <f>IF('[1]Table 8 Membership'!AA11&gt;0,ROUND('[1]Table 8 Membership'!AA11*'Table 7 Local Revenue'!F10,0),'Table 7 Local Revenue'!F10)</f>
        <v>83761260</v>
      </c>
      <c r="H10" s="906">
        <v>5.51</v>
      </c>
      <c r="I10" s="907">
        <v>457559</v>
      </c>
      <c r="J10" s="908">
        <v>33.98</v>
      </c>
      <c r="K10" s="907">
        <v>2821746</v>
      </c>
      <c r="L10" s="908">
        <v>0</v>
      </c>
      <c r="M10" s="908">
        <v>0</v>
      </c>
      <c r="N10" s="908">
        <v>0</v>
      </c>
      <c r="O10" s="907">
        <v>0</v>
      </c>
      <c r="P10" s="387">
        <f t="shared" si="2"/>
        <v>3279305</v>
      </c>
      <c r="Q10" s="908">
        <v>3.6</v>
      </c>
      <c r="R10" s="907">
        <v>300183</v>
      </c>
      <c r="S10" s="908">
        <v>0</v>
      </c>
      <c r="T10" s="908">
        <v>0</v>
      </c>
      <c r="U10" s="908">
        <v>0</v>
      </c>
      <c r="V10" s="907">
        <v>0</v>
      </c>
      <c r="W10" s="387">
        <f t="shared" si="3"/>
        <v>300183</v>
      </c>
      <c r="X10" s="909">
        <f t="shared" si="4"/>
        <v>43.089999999999996</v>
      </c>
      <c r="Y10" s="387">
        <f t="shared" si="5"/>
        <v>3579488</v>
      </c>
      <c r="Z10" s="387">
        <f t="shared" si="6"/>
        <v>0</v>
      </c>
      <c r="AA10" s="910">
        <f t="shared" si="7"/>
        <v>3.58</v>
      </c>
      <c r="AB10" s="911">
        <f t="shared" si="8"/>
        <v>39.15</v>
      </c>
      <c r="AC10" s="912">
        <f t="shared" si="9"/>
        <v>42.73</v>
      </c>
      <c r="AD10" s="844">
        <f t="shared" si="10"/>
        <v>3579488</v>
      </c>
      <c r="AE10" s="844">
        <f>IF('[1]Table 8 Membership'!AA11&gt;0,ROUND('Table 7 Local Revenue'!AD10*'[1]Table 8 Membership'!AA11,0),'Table 7 Local Revenue'!AD10)</f>
        <v>3579488</v>
      </c>
      <c r="AF10" s="913">
        <v>0.025</v>
      </c>
      <c r="AG10" s="914">
        <v>3423547</v>
      </c>
      <c r="AH10" s="915">
        <v>855874</v>
      </c>
      <c r="AI10" s="915">
        <f t="shared" si="11"/>
        <v>4279421</v>
      </c>
      <c r="AJ10" s="844">
        <f>IF('[1]Table 8 Membership'!AA11&gt;0,ROUND('[1]Table 8 Membership'!AA11*'Table 7 Local Revenue'!AI10,0),'Table 7 Local Revenue'!AI10)</f>
        <v>4279421</v>
      </c>
      <c r="AK10" s="844">
        <v>186390360</v>
      </c>
      <c r="AL10" s="844">
        <f t="shared" si="12"/>
        <v>171176840</v>
      </c>
      <c r="AM10" s="913">
        <f t="shared" si="13"/>
        <v>-0.08162181778070497</v>
      </c>
      <c r="AN10" s="844">
        <f t="shared" si="14"/>
        <v>171176840</v>
      </c>
      <c r="AO10" s="916">
        <f t="shared" si="15"/>
        <v>0.02000005958750027</v>
      </c>
      <c r="AP10" s="916">
        <f t="shared" si="16"/>
        <v>0.004999940412499728</v>
      </c>
      <c r="AQ10" s="917">
        <f>'[8]04-05 Other Revenue'!O5</f>
        <v>119548</v>
      </c>
      <c r="AR10" s="918">
        <f t="shared" si="17"/>
        <v>7978457</v>
      </c>
      <c r="AS10" s="918">
        <f>ROUND(AR10/'[1]Table 3 Levels 1&amp;2'!D11,2)</f>
        <v>1955.5</v>
      </c>
      <c r="AT10" s="918">
        <v>8111364.5</v>
      </c>
    </row>
    <row r="11" spans="1:46" ht="12.75">
      <c r="A11" s="838">
        <v>5</v>
      </c>
      <c r="B11" s="919" t="s">
        <v>288</v>
      </c>
      <c r="C11" s="920"/>
      <c r="D11" s="399">
        <v>123162770</v>
      </c>
      <c r="E11" s="399">
        <v>48814600</v>
      </c>
      <c r="F11" s="399">
        <f t="shared" si="1"/>
        <v>74348170</v>
      </c>
      <c r="G11" s="399">
        <f>IF('[1]Table 8 Membership'!AA12&gt;0,ROUND('[1]Table 8 Membership'!AA12*'Table 7 Local Revenue'!F11,0),'Table 7 Local Revenue'!F11)</f>
        <v>74348170</v>
      </c>
      <c r="H11" s="921">
        <v>3.62</v>
      </c>
      <c r="I11" s="922">
        <v>293048</v>
      </c>
      <c r="J11" s="923">
        <v>9.6</v>
      </c>
      <c r="K11" s="922">
        <v>837385</v>
      </c>
      <c r="L11" s="923">
        <v>0</v>
      </c>
      <c r="M11" s="923">
        <v>0</v>
      </c>
      <c r="N11" s="923">
        <v>0</v>
      </c>
      <c r="O11" s="922">
        <v>0</v>
      </c>
      <c r="P11" s="399">
        <f t="shared" si="2"/>
        <v>1130433</v>
      </c>
      <c r="Q11" s="923">
        <v>0</v>
      </c>
      <c r="R11" s="922">
        <v>0</v>
      </c>
      <c r="S11" s="923">
        <v>4</v>
      </c>
      <c r="T11" s="923">
        <v>16</v>
      </c>
      <c r="U11" s="923">
        <v>3</v>
      </c>
      <c r="V11" s="922">
        <v>108380</v>
      </c>
      <c r="W11" s="399">
        <f t="shared" si="3"/>
        <v>108380</v>
      </c>
      <c r="X11" s="924">
        <f t="shared" si="4"/>
        <v>13.219999999999999</v>
      </c>
      <c r="Y11" s="399">
        <f t="shared" si="5"/>
        <v>1130433</v>
      </c>
      <c r="Z11" s="399">
        <f t="shared" si="6"/>
        <v>108380</v>
      </c>
      <c r="AA11" s="925">
        <f t="shared" si="7"/>
        <v>1.46</v>
      </c>
      <c r="AB11" s="926">
        <f t="shared" si="8"/>
        <v>15.2</v>
      </c>
      <c r="AC11" s="927">
        <f t="shared" si="9"/>
        <v>16.66</v>
      </c>
      <c r="AD11" s="847">
        <f t="shared" si="10"/>
        <v>1238813</v>
      </c>
      <c r="AE11" s="847">
        <f>IF('[1]Table 8 Membership'!AA12&gt;0,ROUND('Table 7 Local Revenue'!AD11*'[1]Table 8 Membership'!AA12,0),'Table 7 Local Revenue'!AD11)</f>
        <v>1238813</v>
      </c>
      <c r="AF11" s="928">
        <v>0.015</v>
      </c>
      <c r="AG11" s="929">
        <v>4898768</v>
      </c>
      <c r="AH11" s="930">
        <v>0</v>
      </c>
      <c r="AI11" s="930">
        <f t="shared" si="11"/>
        <v>4898768</v>
      </c>
      <c r="AJ11" s="847">
        <f>IF('[1]Table 8 Membership'!AA12&gt;0,ROUND('[1]Table 8 Membership'!AA12*'Table 7 Local Revenue'!AI11,0),'Table 7 Local Revenue'!AI11)</f>
        <v>4898768</v>
      </c>
      <c r="AK11" s="847">
        <v>315419667</v>
      </c>
      <c r="AL11" s="847">
        <f t="shared" si="12"/>
        <v>326584533</v>
      </c>
      <c r="AM11" s="928">
        <f t="shared" si="13"/>
        <v>0.03539686065295351</v>
      </c>
      <c r="AN11" s="847">
        <f t="shared" si="14"/>
        <v>326584533</v>
      </c>
      <c r="AO11" s="931">
        <f t="shared" si="15"/>
        <v>0.015000000015309971</v>
      </c>
      <c r="AP11" s="931">
        <f t="shared" si="16"/>
        <v>0</v>
      </c>
      <c r="AQ11" s="932">
        <f>'[8]04-05 Other Revenue'!O6</f>
        <v>848743</v>
      </c>
      <c r="AR11" s="933">
        <f t="shared" si="17"/>
        <v>6986324</v>
      </c>
      <c r="AS11" s="933">
        <f>ROUND(AR11/'[1]Table 3 Levels 1&amp;2'!D12,2)</f>
        <v>1149.07</v>
      </c>
      <c r="AT11" s="933">
        <v>6170307.5</v>
      </c>
    </row>
    <row r="12" spans="1:46" ht="12.75">
      <c r="A12" s="835">
        <v>6</v>
      </c>
      <c r="B12" s="434" t="s">
        <v>289</v>
      </c>
      <c r="C12" s="905"/>
      <c r="D12" s="387">
        <v>180678691</v>
      </c>
      <c r="E12" s="387">
        <v>40333020</v>
      </c>
      <c r="F12" s="387">
        <f t="shared" si="1"/>
        <v>140345671</v>
      </c>
      <c r="G12" s="387">
        <f>IF('[1]Table 8 Membership'!AA13&gt;0,ROUND('[1]Table 8 Membership'!AA13*'Table 7 Local Revenue'!F12,0),'Table 7 Local Revenue'!F12)</f>
        <v>140345671</v>
      </c>
      <c r="H12" s="906">
        <v>4.37</v>
      </c>
      <c r="I12" s="907">
        <v>611124</v>
      </c>
      <c r="J12" s="908">
        <v>27.18</v>
      </c>
      <c r="K12" s="907">
        <v>3801011</v>
      </c>
      <c r="L12" s="908">
        <v>0</v>
      </c>
      <c r="M12" s="908">
        <v>0</v>
      </c>
      <c r="N12" s="908">
        <v>0</v>
      </c>
      <c r="O12" s="907">
        <v>0</v>
      </c>
      <c r="P12" s="387">
        <f t="shared" si="2"/>
        <v>4412135</v>
      </c>
      <c r="Q12" s="908">
        <v>17.8</v>
      </c>
      <c r="R12" s="907">
        <v>2490106</v>
      </c>
      <c r="S12" s="908">
        <v>0</v>
      </c>
      <c r="T12" s="908">
        <v>0</v>
      </c>
      <c r="U12" s="908">
        <v>0</v>
      </c>
      <c r="V12" s="907">
        <v>0</v>
      </c>
      <c r="W12" s="387">
        <f t="shared" si="3"/>
        <v>2490106</v>
      </c>
      <c r="X12" s="909">
        <f t="shared" si="4"/>
        <v>49.35</v>
      </c>
      <c r="Y12" s="387">
        <f t="shared" si="5"/>
        <v>6902241</v>
      </c>
      <c r="Z12" s="387">
        <f t="shared" si="6"/>
        <v>0</v>
      </c>
      <c r="AA12" s="910">
        <f t="shared" si="7"/>
        <v>17.74</v>
      </c>
      <c r="AB12" s="911">
        <f t="shared" si="8"/>
        <v>31.44</v>
      </c>
      <c r="AC12" s="912">
        <f t="shared" si="9"/>
        <v>49.18</v>
      </c>
      <c r="AD12" s="844">
        <f t="shared" si="10"/>
        <v>6902241</v>
      </c>
      <c r="AE12" s="844">
        <f>IF('[1]Table 8 Membership'!AA13&gt;0,ROUND('Table 7 Local Revenue'!AD12*'[1]Table 8 Membership'!AA13,0),'Table 7 Local Revenue'!AD12)</f>
        <v>6902241</v>
      </c>
      <c r="AF12" s="913">
        <v>0.02</v>
      </c>
      <c r="AG12" s="914">
        <v>7379800</v>
      </c>
      <c r="AH12" s="915">
        <v>0</v>
      </c>
      <c r="AI12" s="915">
        <f t="shared" si="11"/>
        <v>7379800</v>
      </c>
      <c r="AJ12" s="844">
        <f>IF('[1]Table 8 Membership'!AA13&gt;0,ROUND('[1]Table 8 Membership'!AA13*'Table 7 Local Revenue'!AI12,0),'Table 7 Local Revenue'!AI12)</f>
        <v>7379800</v>
      </c>
      <c r="AK12" s="844">
        <v>346304950</v>
      </c>
      <c r="AL12" s="844">
        <f t="shared" si="12"/>
        <v>368990000</v>
      </c>
      <c r="AM12" s="913">
        <f t="shared" si="13"/>
        <v>0.06550599406678997</v>
      </c>
      <c r="AN12" s="844">
        <f t="shared" si="14"/>
        <v>368990000</v>
      </c>
      <c r="AO12" s="916">
        <f t="shared" si="15"/>
        <v>0.02</v>
      </c>
      <c r="AP12" s="916">
        <f t="shared" si="16"/>
        <v>0</v>
      </c>
      <c r="AQ12" s="917">
        <f>'[8]04-05 Other Revenue'!O7</f>
        <v>291162</v>
      </c>
      <c r="AR12" s="918">
        <f t="shared" si="17"/>
        <v>14573203</v>
      </c>
      <c r="AS12" s="918">
        <f>ROUND(AR12/'[1]Table 3 Levels 1&amp;2'!D13,2)</f>
        <v>2404.42</v>
      </c>
      <c r="AT12" s="918">
        <v>13859360</v>
      </c>
    </row>
    <row r="13" spans="1:46" ht="12.75">
      <c r="A13" s="835">
        <v>7</v>
      </c>
      <c r="B13" s="434" t="s">
        <v>290</v>
      </c>
      <c r="C13" s="905"/>
      <c r="D13" s="387">
        <v>150804170</v>
      </c>
      <c r="E13" s="387">
        <v>13072340</v>
      </c>
      <c r="F13" s="387">
        <f t="shared" si="1"/>
        <v>137731830</v>
      </c>
      <c r="G13" s="387">
        <f>IF('[1]Table 8 Membership'!AA14&gt;0,ROUND('[1]Table 8 Membership'!AA14*'Table 7 Local Revenue'!F13,0),'Table 7 Local Revenue'!F13)</f>
        <v>137731830</v>
      </c>
      <c r="H13" s="906">
        <v>5.71</v>
      </c>
      <c r="I13" s="907">
        <v>746669</v>
      </c>
      <c r="J13" s="908">
        <v>46.07</v>
      </c>
      <c r="K13" s="907">
        <v>6023771</v>
      </c>
      <c r="L13" s="908">
        <v>13.11</v>
      </c>
      <c r="M13" s="908">
        <v>47</v>
      </c>
      <c r="N13" s="908">
        <v>7</v>
      </c>
      <c r="O13" s="907">
        <v>0</v>
      </c>
      <c r="P13" s="387">
        <f t="shared" si="2"/>
        <v>6770440</v>
      </c>
      <c r="Q13" s="908">
        <v>0</v>
      </c>
      <c r="R13" s="907">
        <v>0</v>
      </c>
      <c r="S13" s="908">
        <v>13.11</v>
      </c>
      <c r="T13" s="908">
        <v>47</v>
      </c>
      <c r="U13" s="908">
        <v>7</v>
      </c>
      <c r="V13" s="907">
        <v>1211519</v>
      </c>
      <c r="W13" s="387">
        <f t="shared" si="3"/>
        <v>1211519</v>
      </c>
      <c r="X13" s="909">
        <f t="shared" si="4"/>
        <v>51.78</v>
      </c>
      <c r="Y13" s="387">
        <f t="shared" si="5"/>
        <v>6770440</v>
      </c>
      <c r="Z13" s="387">
        <f t="shared" si="6"/>
        <v>1211519</v>
      </c>
      <c r="AA13" s="910">
        <f t="shared" si="7"/>
        <v>8.8</v>
      </c>
      <c r="AB13" s="911">
        <f t="shared" si="8"/>
        <v>49.16</v>
      </c>
      <c r="AC13" s="912">
        <f t="shared" si="9"/>
        <v>57.95</v>
      </c>
      <c r="AD13" s="844">
        <f t="shared" si="10"/>
        <v>7981959</v>
      </c>
      <c r="AE13" s="844">
        <f>IF('[1]Table 8 Membership'!AA14&gt;0,ROUND('Table 7 Local Revenue'!AD13*'[1]Table 8 Membership'!AA14,0),'Table 7 Local Revenue'!AD13)</f>
        <v>7981959</v>
      </c>
      <c r="AF13" s="913">
        <v>0.02</v>
      </c>
      <c r="AG13" s="914">
        <v>3266599</v>
      </c>
      <c r="AH13" s="915">
        <v>0</v>
      </c>
      <c r="AI13" s="915">
        <f t="shared" si="11"/>
        <v>3266599</v>
      </c>
      <c r="AJ13" s="844">
        <f>IF('[1]Table 8 Membership'!AA14&gt;0,ROUND('[1]Table 8 Membership'!AA14*'Table 7 Local Revenue'!AI13,0),'Table 7 Local Revenue'!AI13)</f>
        <v>3266599</v>
      </c>
      <c r="AK13" s="844">
        <v>146483600</v>
      </c>
      <c r="AL13" s="844">
        <f t="shared" si="12"/>
        <v>163329950</v>
      </c>
      <c r="AM13" s="913">
        <f t="shared" si="13"/>
        <v>0.11500502445324938</v>
      </c>
      <c r="AN13" s="844">
        <f t="shared" si="14"/>
        <v>163329950</v>
      </c>
      <c r="AO13" s="916">
        <f t="shared" si="15"/>
        <v>0.02</v>
      </c>
      <c r="AP13" s="916">
        <f t="shared" si="16"/>
        <v>0</v>
      </c>
      <c r="AQ13" s="917">
        <f>'[8]04-05 Other Revenue'!O8</f>
        <v>495882</v>
      </c>
      <c r="AR13" s="918">
        <f t="shared" si="17"/>
        <v>11744440</v>
      </c>
      <c r="AS13" s="918">
        <f>ROUND(AR13/'[1]Table 3 Levels 1&amp;2'!D14,2)</f>
        <v>5196.65</v>
      </c>
      <c r="AT13" s="918">
        <v>11050105.5</v>
      </c>
    </row>
    <row r="14" spans="1:46" ht="12.75">
      <c r="A14" s="835">
        <v>8</v>
      </c>
      <c r="B14" s="434" t="s">
        <v>291</v>
      </c>
      <c r="C14" s="905"/>
      <c r="D14" s="387">
        <v>614574960</v>
      </c>
      <c r="E14" s="387">
        <v>149345910</v>
      </c>
      <c r="F14" s="387">
        <f t="shared" si="1"/>
        <v>465229050</v>
      </c>
      <c r="G14" s="387">
        <f>IF('[1]Table 8 Membership'!AA15&gt;0,ROUND('[1]Table 8 Membership'!AA15*'Table 7 Local Revenue'!F14,0),'Table 7 Local Revenue'!F14)</f>
        <v>465229050</v>
      </c>
      <c r="H14" s="906">
        <v>3.63</v>
      </c>
      <c r="I14" s="907">
        <v>1605103</v>
      </c>
      <c r="J14" s="908">
        <v>39.35</v>
      </c>
      <c r="K14" s="907">
        <v>17399372</v>
      </c>
      <c r="L14" s="908">
        <v>0</v>
      </c>
      <c r="M14" s="908">
        <v>0</v>
      </c>
      <c r="N14" s="908">
        <v>0</v>
      </c>
      <c r="O14" s="907">
        <v>0</v>
      </c>
      <c r="P14" s="387">
        <f t="shared" si="2"/>
        <v>19004475</v>
      </c>
      <c r="Q14" s="908">
        <v>0</v>
      </c>
      <c r="R14" s="907">
        <v>0</v>
      </c>
      <c r="S14" s="908">
        <v>13.55</v>
      </c>
      <c r="T14" s="908">
        <v>13.55</v>
      </c>
      <c r="U14" s="908">
        <v>1</v>
      </c>
      <c r="V14" s="907">
        <v>5980624</v>
      </c>
      <c r="W14" s="387">
        <f t="shared" si="3"/>
        <v>5980624</v>
      </c>
      <c r="X14" s="909">
        <f t="shared" si="4"/>
        <v>42.980000000000004</v>
      </c>
      <c r="Y14" s="387">
        <f t="shared" si="5"/>
        <v>19004475</v>
      </c>
      <c r="Z14" s="387">
        <f t="shared" si="6"/>
        <v>5980624</v>
      </c>
      <c r="AA14" s="910">
        <f t="shared" si="7"/>
        <v>12.86</v>
      </c>
      <c r="AB14" s="911">
        <f t="shared" si="8"/>
        <v>40.85</v>
      </c>
      <c r="AC14" s="912">
        <f t="shared" si="9"/>
        <v>53.7</v>
      </c>
      <c r="AD14" s="844">
        <f t="shared" si="10"/>
        <v>24985099</v>
      </c>
      <c r="AE14" s="844">
        <f>IF('[1]Table 8 Membership'!AA15&gt;0,ROUND('Table 7 Local Revenue'!AD14*'[1]Table 8 Membership'!AA15,0),'Table 7 Local Revenue'!AD14)</f>
        <v>24985099</v>
      </c>
      <c r="AF14" s="913">
        <v>0.0163</v>
      </c>
      <c r="AG14" s="914">
        <v>30090011</v>
      </c>
      <c r="AH14" s="915">
        <v>0</v>
      </c>
      <c r="AI14" s="915">
        <f t="shared" si="11"/>
        <v>30090011</v>
      </c>
      <c r="AJ14" s="844">
        <f>IF('[1]Table 8 Membership'!AA15&gt;0,ROUND('[1]Table 8 Membership'!AA15*'Table 7 Local Revenue'!AI14,0),'Table 7 Local Revenue'!AI14)</f>
        <v>30090011</v>
      </c>
      <c r="AK14" s="844">
        <v>1675782867</v>
      </c>
      <c r="AL14" s="844">
        <f t="shared" si="12"/>
        <v>1846012945</v>
      </c>
      <c r="AM14" s="913">
        <f t="shared" si="13"/>
        <v>0.10158241938870473</v>
      </c>
      <c r="AN14" s="844">
        <f t="shared" si="14"/>
        <v>1846012945</v>
      </c>
      <c r="AO14" s="916">
        <f t="shared" si="15"/>
        <v>0.016299999998104022</v>
      </c>
      <c r="AP14" s="916">
        <f t="shared" si="16"/>
        <v>0</v>
      </c>
      <c r="AQ14" s="917">
        <f>'[8]04-05 Other Revenue'!O9</f>
        <v>609192</v>
      </c>
      <c r="AR14" s="918">
        <f t="shared" si="17"/>
        <v>55684302</v>
      </c>
      <c r="AS14" s="918">
        <f>ROUND(AR14/'[1]Table 3 Levels 1&amp;2'!D15,2)</f>
        <v>2942.21</v>
      </c>
      <c r="AT14" s="918">
        <v>45738460</v>
      </c>
    </row>
    <row r="15" spans="1:46" ht="12.75">
      <c r="A15" s="835">
        <v>9</v>
      </c>
      <c r="B15" s="434" t="s">
        <v>292</v>
      </c>
      <c r="C15" s="905"/>
      <c r="D15" s="387">
        <v>1364082180</v>
      </c>
      <c r="E15" s="387">
        <v>327812250</v>
      </c>
      <c r="F15" s="387">
        <f t="shared" si="1"/>
        <v>1036269930</v>
      </c>
      <c r="G15" s="387">
        <f>IF('[1]Table 8 Membership'!AA16&gt;0,ROUND('[1]Table 8 Membership'!AA16*'Table 7 Local Revenue'!F15,0),'Table 7 Local Revenue'!F15)</f>
        <v>1036269930</v>
      </c>
      <c r="H15" s="906">
        <v>8.48</v>
      </c>
      <c r="I15" s="907">
        <v>8501802</v>
      </c>
      <c r="J15" s="908">
        <v>63.55</v>
      </c>
      <c r="K15" s="907">
        <v>63694129</v>
      </c>
      <c r="L15" s="908">
        <v>0</v>
      </c>
      <c r="M15" s="908">
        <v>0</v>
      </c>
      <c r="N15" s="908">
        <v>0</v>
      </c>
      <c r="O15" s="907">
        <v>0</v>
      </c>
      <c r="P15" s="387">
        <f t="shared" si="2"/>
        <v>72195931</v>
      </c>
      <c r="Q15" s="908">
        <v>9.7</v>
      </c>
      <c r="R15" s="907">
        <v>9716257</v>
      </c>
      <c r="S15" s="908">
        <v>0</v>
      </c>
      <c r="T15" s="908">
        <v>0</v>
      </c>
      <c r="U15" s="908">
        <v>0</v>
      </c>
      <c r="V15" s="907">
        <v>0</v>
      </c>
      <c r="W15" s="387">
        <f t="shared" si="3"/>
        <v>9716257</v>
      </c>
      <c r="X15" s="909">
        <f t="shared" si="4"/>
        <v>81.73</v>
      </c>
      <c r="Y15" s="387">
        <f t="shared" si="5"/>
        <v>81912188</v>
      </c>
      <c r="Z15" s="387">
        <f t="shared" si="6"/>
        <v>0</v>
      </c>
      <c r="AA15" s="910">
        <f t="shared" si="7"/>
        <v>9.38</v>
      </c>
      <c r="AB15" s="911">
        <f t="shared" si="8"/>
        <v>69.67</v>
      </c>
      <c r="AC15" s="912">
        <f t="shared" si="9"/>
        <v>79.05</v>
      </c>
      <c r="AD15" s="844">
        <f t="shared" si="10"/>
        <v>81912188</v>
      </c>
      <c r="AE15" s="844">
        <f>IF('[1]Table 8 Membership'!AA16&gt;0,ROUND('Table 7 Local Revenue'!AD15*'[1]Table 8 Membership'!AA16,0),'Table 7 Local Revenue'!AD15)</f>
        <v>81912188</v>
      </c>
      <c r="AF15" s="913">
        <v>0.015</v>
      </c>
      <c r="AG15" s="914">
        <v>56468752</v>
      </c>
      <c r="AH15" s="915">
        <v>0</v>
      </c>
      <c r="AI15" s="915">
        <f t="shared" si="11"/>
        <v>56468752</v>
      </c>
      <c r="AJ15" s="844">
        <f>IF('[1]Table 8 Membership'!AA16&gt;0,ROUND('[1]Table 8 Membership'!AA16*'Table 7 Local Revenue'!AI15,0),'Table 7 Local Revenue'!AI15)</f>
        <v>56468752</v>
      </c>
      <c r="AK15" s="844">
        <v>3527895067</v>
      </c>
      <c r="AL15" s="844">
        <f t="shared" si="12"/>
        <v>3764583467</v>
      </c>
      <c r="AM15" s="913">
        <f t="shared" si="13"/>
        <v>0.06709054422111019</v>
      </c>
      <c r="AN15" s="844">
        <f t="shared" si="14"/>
        <v>3764583467</v>
      </c>
      <c r="AO15" s="916">
        <f t="shared" si="15"/>
        <v>0.014999999998671831</v>
      </c>
      <c r="AP15" s="916">
        <f t="shared" si="16"/>
        <v>0</v>
      </c>
      <c r="AQ15" s="917">
        <f>'[8]04-05 Other Revenue'!O10</f>
        <v>2389330</v>
      </c>
      <c r="AR15" s="918">
        <f t="shared" si="17"/>
        <v>140770270</v>
      </c>
      <c r="AS15" s="918">
        <f>ROUND(AR15/'[1]Table 3 Levels 1&amp;2'!D16,2)</f>
        <v>3340.78</v>
      </c>
      <c r="AT15" s="918">
        <v>130790670</v>
      </c>
    </row>
    <row r="16" spans="1:46" ht="12.75">
      <c r="A16" s="838">
        <v>10</v>
      </c>
      <c r="B16" s="919" t="s">
        <v>293</v>
      </c>
      <c r="C16" s="920"/>
      <c r="D16" s="399">
        <v>1182346940</v>
      </c>
      <c r="E16" s="399">
        <v>239450620</v>
      </c>
      <c r="F16" s="399">
        <f t="shared" si="1"/>
        <v>942896320</v>
      </c>
      <c r="G16" s="399">
        <f>IF('[1]Table 8 Membership'!AA17&gt;0,ROUND('[1]Table 8 Membership'!AA17*'Table 7 Local Revenue'!F16,0),'Table 7 Local Revenue'!F16)</f>
        <v>942896320</v>
      </c>
      <c r="H16" s="921">
        <v>5.57</v>
      </c>
      <c r="I16" s="922">
        <v>5206687</v>
      </c>
      <c r="J16" s="923">
        <v>13.15</v>
      </c>
      <c r="K16" s="922">
        <v>12290914</v>
      </c>
      <c r="L16" s="923">
        <v>19.5</v>
      </c>
      <c r="M16" s="923">
        <v>19.5</v>
      </c>
      <c r="N16" s="923">
        <v>1</v>
      </c>
      <c r="O16" s="922">
        <v>84544</v>
      </c>
      <c r="P16" s="399">
        <f t="shared" si="2"/>
        <v>17582145</v>
      </c>
      <c r="Q16" s="923">
        <v>0</v>
      </c>
      <c r="R16" s="922">
        <v>0</v>
      </c>
      <c r="S16" s="923">
        <v>10.5</v>
      </c>
      <c r="T16" s="923">
        <v>52</v>
      </c>
      <c r="U16" s="923">
        <v>11</v>
      </c>
      <c r="V16" s="922">
        <v>20780093</v>
      </c>
      <c r="W16" s="399">
        <f t="shared" si="3"/>
        <v>20780093</v>
      </c>
      <c r="X16" s="924">
        <f t="shared" si="4"/>
        <v>18.72</v>
      </c>
      <c r="Y16" s="399">
        <f t="shared" si="5"/>
        <v>17497601</v>
      </c>
      <c r="Z16" s="399">
        <f t="shared" si="6"/>
        <v>20864637</v>
      </c>
      <c r="AA16" s="925">
        <f t="shared" si="7"/>
        <v>22.04</v>
      </c>
      <c r="AB16" s="926">
        <f t="shared" si="8"/>
        <v>18.65</v>
      </c>
      <c r="AC16" s="927">
        <f t="shared" si="9"/>
        <v>40.69</v>
      </c>
      <c r="AD16" s="847">
        <f t="shared" si="10"/>
        <v>38362238</v>
      </c>
      <c r="AE16" s="847">
        <f>IF('[1]Table 8 Membership'!AA17&gt;0,ROUND('Table 7 Local Revenue'!AD16*'[1]Table 8 Membership'!AA17,0),'Table 7 Local Revenue'!AD16)</f>
        <v>38362238</v>
      </c>
      <c r="AF16" s="928">
        <v>0.02</v>
      </c>
      <c r="AG16" s="929">
        <v>72382027</v>
      </c>
      <c r="AH16" s="930">
        <v>0</v>
      </c>
      <c r="AI16" s="930">
        <f t="shared" si="11"/>
        <v>72382027</v>
      </c>
      <c r="AJ16" s="847">
        <f>IF('[1]Table 8 Membership'!AA17&gt;0,ROUND('[1]Table 8 Membership'!AA17*'Table 7 Local Revenue'!AI16,0),'Table 7 Local Revenue'!AI16)</f>
        <v>72382027</v>
      </c>
      <c r="AK16" s="847">
        <v>3302402050</v>
      </c>
      <c r="AL16" s="847">
        <f t="shared" si="12"/>
        <v>3619101350</v>
      </c>
      <c r="AM16" s="928">
        <f t="shared" si="13"/>
        <v>0.09589968005258476</v>
      </c>
      <c r="AN16" s="847">
        <f t="shared" si="14"/>
        <v>3619101350</v>
      </c>
      <c r="AO16" s="931">
        <f t="shared" si="15"/>
        <v>0.02</v>
      </c>
      <c r="AP16" s="931">
        <f t="shared" si="16"/>
        <v>0</v>
      </c>
      <c r="AQ16" s="932">
        <f>'[8]04-05 Other Revenue'!O11</f>
        <v>1013045</v>
      </c>
      <c r="AR16" s="933">
        <f t="shared" si="17"/>
        <v>111757310</v>
      </c>
      <c r="AS16" s="933">
        <f>ROUND(AR16/'[1]Table 3 Levels 1&amp;2'!D17,2)</f>
        <v>3665.26</v>
      </c>
      <c r="AT16" s="933">
        <v>105296911.5</v>
      </c>
    </row>
    <row r="17" spans="1:46" ht="12.75">
      <c r="A17" s="835">
        <v>11</v>
      </c>
      <c r="B17" s="434" t="s">
        <v>294</v>
      </c>
      <c r="C17" s="905"/>
      <c r="D17" s="387">
        <v>40472430</v>
      </c>
      <c r="E17" s="387">
        <v>11524130</v>
      </c>
      <c r="F17" s="387">
        <f t="shared" si="1"/>
        <v>28948300</v>
      </c>
      <c r="G17" s="387">
        <f>IF('[1]Table 8 Membership'!AA18&gt;0,ROUND('[1]Table 8 Membership'!AA18*'Table 7 Local Revenue'!F17,0),'Table 7 Local Revenue'!F17)</f>
        <v>28948300</v>
      </c>
      <c r="H17" s="906">
        <v>5.37</v>
      </c>
      <c r="I17" s="907">
        <v>153622</v>
      </c>
      <c r="J17" s="908">
        <v>32.52</v>
      </c>
      <c r="K17" s="907">
        <v>929238</v>
      </c>
      <c r="L17" s="908">
        <v>0</v>
      </c>
      <c r="M17" s="908">
        <v>0</v>
      </c>
      <c r="N17" s="908">
        <v>0</v>
      </c>
      <c r="O17" s="907">
        <v>0</v>
      </c>
      <c r="P17" s="387">
        <f t="shared" si="2"/>
        <v>1082860</v>
      </c>
      <c r="Q17" s="908">
        <v>0</v>
      </c>
      <c r="R17" s="907">
        <v>0</v>
      </c>
      <c r="S17" s="908">
        <v>0</v>
      </c>
      <c r="T17" s="908">
        <v>0</v>
      </c>
      <c r="U17" s="908">
        <v>0</v>
      </c>
      <c r="V17" s="907">
        <v>0</v>
      </c>
      <c r="W17" s="387">
        <f t="shared" si="3"/>
        <v>0</v>
      </c>
      <c r="X17" s="909">
        <f t="shared" si="4"/>
        <v>37.89</v>
      </c>
      <c r="Y17" s="387">
        <f t="shared" si="5"/>
        <v>1082860</v>
      </c>
      <c r="Z17" s="387">
        <f t="shared" si="6"/>
        <v>0</v>
      </c>
      <c r="AA17" s="910">
        <f t="shared" si="7"/>
        <v>0</v>
      </c>
      <c r="AB17" s="911">
        <f t="shared" si="8"/>
        <v>37.41</v>
      </c>
      <c r="AC17" s="912">
        <f t="shared" si="9"/>
        <v>37.41</v>
      </c>
      <c r="AD17" s="844">
        <f t="shared" si="10"/>
        <v>1082860</v>
      </c>
      <c r="AE17" s="844">
        <f>IF('[1]Table 8 Membership'!AA18&gt;0,ROUND('Table 7 Local Revenue'!AD17*'[1]Table 8 Membership'!AA18,0),'Table 7 Local Revenue'!AD17)</f>
        <v>1082860</v>
      </c>
      <c r="AF17" s="913">
        <v>0.02</v>
      </c>
      <c r="AG17" s="914">
        <v>1746563</v>
      </c>
      <c r="AH17" s="915">
        <v>0</v>
      </c>
      <c r="AI17" s="915">
        <f t="shared" si="11"/>
        <v>1746563</v>
      </c>
      <c r="AJ17" s="844">
        <f>IF('[1]Table 8 Membership'!AA18&gt;0,ROUND('[1]Table 8 Membership'!AA18*'Table 7 Local Revenue'!AI17,0),'Table 7 Local Revenue'!AI17)</f>
        <v>1746563</v>
      </c>
      <c r="AK17" s="844">
        <v>74742250</v>
      </c>
      <c r="AL17" s="844">
        <f t="shared" si="12"/>
        <v>87328150</v>
      </c>
      <c r="AM17" s="934">
        <f t="shared" si="13"/>
        <v>0.1683907027149972</v>
      </c>
      <c r="AN17" s="935">
        <f t="shared" si="14"/>
        <v>85953587.5</v>
      </c>
      <c r="AO17" s="916">
        <f t="shared" si="15"/>
        <v>0.02</v>
      </c>
      <c r="AP17" s="916">
        <f t="shared" si="16"/>
        <v>0</v>
      </c>
      <c r="AQ17" s="917">
        <f>'[8]04-05 Other Revenue'!O12</f>
        <v>460106</v>
      </c>
      <c r="AR17" s="918">
        <f t="shared" si="17"/>
        <v>3289529</v>
      </c>
      <c r="AS17" s="918">
        <f>ROUND(AR17/'[1]Table 3 Levels 1&amp;2'!D18,2)</f>
        <v>1901.46</v>
      </c>
      <c r="AT17" s="918">
        <v>2582559.5</v>
      </c>
    </row>
    <row r="18" spans="1:46" ht="12.75">
      <c r="A18" s="835">
        <v>12</v>
      </c>
      <c r="B18" s="434" t="s">
        <v>295</v>
      </c>
      <c r="C18" s="905"/>
      <c r="D18" s="387">
        <v>162836370</v>
      </c>
      <c r="E18" s="387">
        <v>12818906</v>
      </c>
      <c r="F18" s="387">
        <f t="shared" si="1"/>
        <v>150017464</v>
      </c>
      <c r="G18" s="936">
        <f>IF('[1]Table 8 Membership'!AA19&gt;0,ROUND('[1]Table 8 Membership'!AA19*'Table 7 Local Revenue'!F18,0),'Table 7 Local Revenue'!F18)</f>
        <v>135015718</v>
      </c>
      <c r="H18" s="906">
        <v>4.45</v>
      </c>
      <c r="I18" s="907">
        <v>667224</v>
      </c>
      <c r="J18" s="908">
        <v>44.2</v>
      </c>
      <c r="K18" s="907">
        <v>6623825</v>
      </c>
      <c r="L18" s="908">
        <v>0</v>
      </c>
      <c r="M18" s="908">
        <v>0</v>
      </c>
      <c r="N18" s="908">
        <v>0</v>
      </c>
      <c r="O18" s="907">
        <v>0</v>
      </c>
      <c r="P18" s="387">
        <f t="shared" si="2"/>
        <v>7291049</v>
      </c>
      <c r="Q18" s="908">
        <v>0</v>
      </c>
      <c r="R18" s="907">
        <v>0</v>
      </c>
      <c r="S18" s="908">
        <v>3.5</v>
      </c>
      <c r="T18" s="908">
        <v>30</v>
      </c>
      <c r="U18" s="908">
        <v>4</v>
      </c>
      <c r="V18" s="907">
        <v>1515944</v>
      </c>
      <c r="W18" s="387">
        <f t="shared" si="3"/>
        <v>1515944</v>
      </c>
      <c r="X18" s="909">
        <f t="shared" si="4"/>
        <v>48.650000000000006</v>
      </c>
      <c r="Y18" s="387">
        <f t="shared" si="5"/>
        <v>7291049</v>
      </c>
      <c r="Z18" s="387">
        <f t="shared" si="6"/>
        <v>1515944</v>
      </c>
      <c r="AA18" s="910">
        <f t="shared" si="7"/>
        <v>11.23</v>
      </c>
      <c r="AB18" s="911">
        <f t="shared" si="8"/>
        <v>54</v>
      </c>
      <c r="AC18" s="912">
        <f t="shared" si="9"/>
        <v>58.71</v>
      </c>
      <c r="AD18" s="937">
        <f t="shared" si="10"/>
        <v>8806993</v>
      </c>
      <c r="AE18" s="937">
        <f>IF('[1]Table 8 Membership'!AA19&gt;0,ROUND('Table 7 Local Revenue'!AD18*'[1]Table 8 Membership'!AA19,0),'Table 7 Local Revenue'!AD18)</f>
        <v>7926294</v>
      </c>
      <c r="AF18" s="913">
        <v>0</v>
      </c>
      <c r="AG18" s="914">
        <v>0</v>
      </c>
      <c r="AH18" s="915">
        <v>0</v>
      </c>
      <c r="AI18" s="915">
        <f t="shared" si="11"/>
        <v>0</v>
      </c>
      <c r="AJ18" s="937">
        <f>IF('[1]Table 8 Membership'!AA19&gt;0,ROUND('[1]Table 8 Membership'!AA19*'Table 7 Local Revenue'!AI18,0),'Table 7 Local Revenue'!AI18)</f>
        <v>0</v>
      </c>
      <c r="AK18" s="937">
        <v>30914400</v>
      </c>
      <c r="AL18" s="937">
        <f>31892442*0.9</f>
        <v>28703197.8</v>
      </c>
      <c r="AM18" s="913">
        <f t="shared" si="13"/>
        <v>-0.07152660895893173</v>
      </c>
      <c r="AN18" s="844">
        <f t="shared" si="14"/>
        <v>28703197.8</v>
      </c>
      <c r="AO18" s="916">
        <f t="shared" si="15"/>
        <v>0</v>
      </c>
      <c r="AP18" s="916">
        <f t="shared" si="16"/>
        <v>0</v>
      </c>
      <c r="AQ18" s="917">
        <f>'[8]04-05 Other Revenue'!O13</f>
        <v>1184320</v>
      </c>
      <c r="AR18" s="918">
        <f t="shared" si="17"/>
        <v>9110614</v>
      </c>
      <c r="AS18" s="918">
        <f>ROUND(AR18/'[1]Table 3 Levels 1&amp;2'!D19,2)</f>
        <v>5545.11</v>
      </c>
      <c r="AT18" s="918">
        <v>9700590</v>
      </c>
    </row>
    <row r="19" spans="1:46" ht="12.75">
      <c r="A19" s="835">
        <v>13</v>
      </c>
      <c r="B19" s="434" t="s">
        <v>296</v>
      </c>
      <c r="C19" s="905"/>
      <c r="D19" s="387">
        <v>43114590</v>
      </c>
      <c r="E19" s="387">
        <v>13231470</v>
      </c>
      <c r="F19" s="387">
        <f t="shared" si="1"/>
        <v>29883120</v>
      </c>
      <c r="G19" s="387">
        <f>IF('[1]Table 8 Membership'!AA20&gt;0,ROUND('[1]Table 8 Membership'!AA20*'Table 7 Local Revenue'!F19,0),'Table 7 Local Revenue'!F19)</f>
        <v>29883120</v>
      </c>
      <c r="H19" s="906">
        <v>4.12</v>
      </c>
      <c r="I19" s="907">
        <v>121104</v>
      </c>
      <c r="J19" s="908">
        <v>12.67</v>
      </c>
      <c r="K19" s="907">
        <v>372310</v>
      </c>
      <c r="L19" s="908">
        <v>3.31</v>
      </c>
      <c r="M19" s="908">
        <v>5.18</v>
      </c>
      <c r="N19" s="908">
        <v>4</v>
      </c>
      <c r="O19" s="907">
        <v>118461</v>
      </c>
      <c r="P19" s="387">
        <f t="shared" si="2"/>
        <v>611875</v>
      </c>
      <c r="Q19" s="908">
        <v>0</v>
      </c>
      <c r="R19" s="907">
        <v>0</v>
      </c>
      <c r="S19" s="908">
        <v>6</v>
      </c>
      <c r="T19" s="908">
        <v>25</v>
      </c>
      <c r="U19" s="908">
        <v>3</v>
      </c>
      <c r="V19" s="907">
        <v>292111</v>
      </c>
      <c r="W19" s="387">
        <f t="shared" si="3"/>
        <v>292111</v>
      </c>
      <c r="X19" s="909">
        <f t="shared" si="4"/>
        <v>16.79</v>
      </c>
      <c r="Y19" s="387">
        <f t="shared" si="5"/>
        <v>493414</v>
      </c>
      <c r="Z19" s="387">
        <f t="shared" si="6"/>
        <v>410572</v>
      </c>
      <c r="AA19" s="910">
        <f t="shared" si="7"/>
        <v>9.78</v>
      </c>
      <c r="AB19" s="911">
        <f t="shared" si="8"/>
        <v>20.48</v>
      </c>
      <c r="AC19" s="912">
        <f t="shared" si="9"/>
        <v>30.25</v>
      </c>
      <c r="AD19" s="844">
        <f t="shared" si="10"/>
        <v>903986</v>
      </c>
      <c r="AE19" s="844">
        <f>IF('[1]Table 8 Membership'!AA20&gt;0,ROUND('Table 7 Local Revenue'!AD19*'[1]Table 8 Membership'!AA20,0),'Table 7 Local Revenue'!AD19)</f>
        <v>903986</v>
      </c>
      <c r="AF19" s="913">
        <v>0.02</v>
      </c>
      <c r="AG19" s="914">
        <v>1502140</v>
      </c>
      <c r="AH19" s="915">
        <v>0</v>
      </c>
      <c r="AI19" s="915">
        <f t="shared" si="11"/>
        <v>1502140</v>
      </c>
      <c r="AJ19" s="844">
        <f>IF('[1]Table 8 Membership'!AA20&gt;0,ROUND('[1]Table 8 Membership'!AA20*'Table 7 Local Revenue'!AI19,0),'Table 7 Local Revenue'!AI19)</f>
        <v>1502140</v>
      </c>
      <c r="AK19" s="844">
        <v>75440500</v>
      </c>
      <c r="AL19" s="844">
        <f aca="true" t="shared" si="18" ref="AL19:AL50">ROUND(AJ19/AF19,0)</f>
        <v>75107000</v>
      </c>
      <c r="AM19" s="913">
        <f t="shared" si="13"/>
        <v>-0.0044207024078578485</v>
      </c>
      <c r="AN19" s="844">
        <f t="shared" si="14"/>
        <v>75107000</v>
      </c>
      <c r="AO19" s="916">
        <f t="shared" si="15"/>
        <v>0.02</v>
      </c>
      <c r="AP19" s="916">
        <f t="shared" si="16"/>
        <v>0</v>
      </c>
      <c r="AQ19" s="917">
        <f>'[8]04-05 Other Revenue'!O14</f>
        <v>85058</v>
      </c>
      <c r="AR19" s="918">
        <f t="shared" si="17"/>
        <v>2491184</v>
      </c>
      <c r="AS19" s="918">
        <f>ROUND(AR19/'[1]Table 3 Levels 1&amp;2'!D20,2)</f>
        <v>1419.48</v>
      </c>
      <c r="AT19" s="918">
        <v>2536336.5</v>
      </c>
    </row>
    <row r="20" spans="1:46" ht="12.75">
      <c r="A20" s="835">
        <v>14</v>
      </c>
      <c r="B20" s="434" t="s">
        <v>297</v>
      </c>
      <c r="C20" s="905"/>
      <c r="D20" s="387">
        <v>91711885</v>
      </c>
      <c r="E20" s="387">
        <v>17757250</v>
      </c>
      <c r="F20" s="387">
        <f t="shared" si="1"/>
        <v>73954635</v>
      </c>
      <c r="G20" s="387">
        <f>IF('[1]Table 8 Membership'!AA21&gt;0,ROUND('[1]Table 8 Membership'!AA21*'Table 7 Local Revenue'!F20,0),'Table 7 Local Revenue'!F20)</f>
        <v>73954635</v>
      </c>
      <c r="H20" s="906">
        <v>6.29</v>
      </c>
      <c r="I20" s="907">
        <v>442913</v>
      </c>
      <c r="J20" s="908">
        <v>12.22</v>
      </c>
      <c r="K20" s="907">
        <v>430508</v>
      </c>
      <c r="L20" s="908">
        <v>4.06</v>
      </c>
      <c r="M20" s="908">
        <v>11.87</v>
      </c>
      <c r="N20" s="908">
        <v>5</v>
      </c>
      <c r="O20" s="907">
        <v>934525</v>
      </c>
      <c r="P20" s="387">
        <f t="shared" si="2"/>
        <v>1807946</v>
      </c>
      <c r="Q20" s="908">
        <v>0</v>
      </c>
      <c r="R20" s="907">
        <v>0</v>
      </c>
      <c r="S20" s="908">
        <v>0</v>
      </c>
      <c r="T20" s="908">
        <v>35.42</v>
      </c>
      <c r="U20" s="908">
        <v>2</v>
      </c>
      <c r="V20" s="907">
        <v>1512473</v>
      </c>
      <c r="W20" s="387">
        <f t="shared" si="3"/>
        <v>1512473</v>
      </c>
      <c r="X20" s="909">
        <f t="shared" si="4"/>
        <v>18.51</v>
      </c>
      <c r="Y20" s="387">
        <f t="shared" si="5"/>
        <v>873421</v>
      </c>
      <c r="Z20" s="387">
        <f t="shared" si="6"/>
        <v>2446998</v>
      </c>
      <c r="AA20" s="910">
        <f t="shared" si="7"/>
        <v>20.45</v>
      </c>
      <c r="AB20" s="911">
        <f t="shared" si="8"/>
        <v>24.45</v>
      </c>
      <c r="AC20" s="912">
        <f t="shared" si="9"/>
        <v>44.9</v>
      </c>
      <c r="AD20" s="844">
        <f t="shared" si="10"/>
        <v>3320419</v>
      </c>
      <c r="AE20" s="844">
        <f>IF('[1]Table 8 Membership'!AA21&gt;0,ROUND('Table 7 Local Revenue'!AD20*'[1]Table 8 Membership'!AA21,0),'Table 7 Local Revenue'!AD20)</f>
        <v>3320419</v>
      </c>
      <c r="AF20" s="913">
        <v>0.02</v>
      </c>
      <c r="AG20" s="914">
        <v>2641655</v>
      </c>
      <c r="AH20" s="915">
        <v>0</v>
      </c>
      <c r="AI20" s="915">
        <f t="shared" si="11"/>
        <v>2641655</v>
      </c>
      <c r="AJ20" s="844">
        <f>IF('[1]Table 8 Membership'!AA21&gt;0,ROUND('[1]Table 8 Membership'!AA21*'Table 7 Local Revenue'!AI20,0),'Table 7 Local Revenue'!AI20)</f>
        <v>2641655</v>
      </c>
      <c r="AK20" s="844">
        <v>122996950</v>
      </c>
      <c r="AL20" s="844">
        <f t="shared" si="18"/>
        <v>132082750</v>
      </c>
      <c r="AM20" s="913">
        <f t="shared" si="13"/>
        <v>0.07387012442178444</v>
      </c>
      <c r="AN20" s="844">
        <f t="shared" si="14"/>
        <v>132082750</v>
      </c>
      <c r="AO20" s="916">
        <f t="shared" si="15"/>
        <v>0.02</v>
      </c>
      <c r="AP20" s="916">
        <f t="shared" si="16"/>
        <v>0</v>
      </c>
      <c r="AQ20" s="917">
        <f>'[8]04-05 Other Revenue'!O15</f>
        <v>192427</v>
      </c>
      <c r="AR20" s="918">
        <f t="shared" si="17"/>
        <v>6154501</v>
      </c>
      <c r="AS20" s="918">
        <f>ROUND(AR20/'[1]Table 3 Levels 1&amp;2'!D21,2)</f>
        <v>2398.48</v>
      </c>
      <c r="AT20" s="918">
        <v>5641645.5</v>
      </c>
    </row>
    <row r="21" spans="1:46" ht="12.75">
      <c r="A21" s="838">
        <v>15</v>
      </c>
      <c r="B21" s="919" t="s">
        <v>298</v>
      </c>
      <c r="C21" s="920"/>
      <c r="D21" s="399">
        <v>124006710</v>
      </c>
      <c r="E21" s="399">
        <v>25093550</v>
      </c>
      <c r="F21" s="399">
        <f t="shared" si="1"/>
        <v>98913160</v>
      </c>
      <c r="G21" s="399">
        <f>IF('[1]Table 8 Membership'!AA22&gt;0,ROUND('[1]Table 8 Membership'!AA22*'Table 7 Local Revenue'!F21,0),'Table 7 Local Revenue'!F21)</f>
        <v>98913160</v>
      </c>
      <c r="H21" s="921">
        <v>2.97</v>
      </c>
      <c r="I21" s="922">
        <v>284865</v>
      </c>
      <c r="J21" s="923">
        <v>36.69</v>
      </c>
      <c r="K21" s="922">
        <v>3527182</v>
      </c>
      <c r="L21" s="923">
        <v>0</v>
      </c>
      <c r="M21" s="923">
        <v>0</v>
      </c>
      <c r="N21" s="923">
        <v>0</v>
      </c>
      <c r="O21" s="922">
        <v>0</v>
      </c>
      <c r="P21" s="399">
        <f t="shared" si="2"/>
        <v>3812047</v>
      </c>
      <c r="Q21" s="923">
        <v>0</v>
      </c>
      <c r="R21" s="922">
        <v>0</v>
      </c>
      <c r="S21" s="923">
        <v>0</v>
      </c>
      <c r="T21" s="923">
        <v>0</v>
      </c>
      <c r="U21" s="923">
        <v>0</v>
      </c>
      <c r="V21" s="922">
        <v>0</v>
      </c>
      <c r="W21" s="399">
        <f t="shared" si="3"/>
        <v>0</v>
      </c>
      <c r="X21" s="924">
        <f t="shared" si="4"/>
        <v>39.66</v>
      </c>
      <c r="Y21" s="399">
        <f t="shared" si="5"/>
        <v>3812047</v>
      </c>
      <c r="Z21" s="399">
        <f t="shared" si="6"/>
        <v>0</v>
      </c>
      <c r="AA21" s="925">
        <f t="shared" si="7"/>
        <v>0</v>
      </c>
      <c r="AB21" s="926">
        <f t="shared" si="8"/>
        <v>38.54</v>
      </c>
      <c r="AC21" s="927">
        <f t="shared" si="9"/>
        <v>38.54</v>
      </c>
      <c r="AD21" s="847">
        <f t="shared" si="10"/>
        <v>3812047</v>
      </c>
      <c r="AE21" s="847">
        <f>IF('[1]Table 8 Membership'!AA22&gt;0,ROUND('Table 7 Local Revenue'!AD21*'[1]Table 8 Membership'!AA22,0),'Table 7 Local Revenue'!AD21)</f>
        <v>3812047</v>
      </c>
      <c r="AF21" s="928">
        <v>0.02</v>
      </c>
      <c r="AG21" s="929">
        <v>3345883</v>
      </c>
      <c r="AH21" s="930">
        <v>0</v>
      </c>
      <c r="AI21" s="930">
        <f t="shared" si="11"/>
        <v>3345883</v>
      </c>
      <c r="AJ21" s="847">
        <f>IF('[1]Table 8 Membership'!AA22&gt;0,ROUND('[1]Table 8 Membership'!AA22*'Table 7 Local Revenue'!AI21,0),'Table 7 Local Revenue'!AI21)</f>
        <v>3345883</v>
      </c>
      <c r="AK21" s="847">
        <v>172586800</v>
      </c>
      <c r="AL21" s="847">
        <f t="shared" si="18"/>
        <v>167294150</v>
      </c>
      <c r="AM21" s="928">
        <f t="shared" si="13"/>
        <v>-0.0306665979089942</v>
      </c>
      <c r="AN21" s="847">
        <f t="shared" si="14"/>
        <v>167294150</v>
      </c>
      <c r="AO21" s="931">
        <f t="shared" si="15"/>
        <v>0.02</v>
      </c>
      <c r="AP21" s="931">
        <f t="shared" si="16"/>
        <v>0</v>
      </c>
      <c r="AQ21" s="932">
        <f>'[8]04-05 Other Revenue'!O16</f>
        <v>218856</v>
      </c>
      <c r="AR21" s="933">
        <f t="shared" si="17"/>
        <v>7376786</v>
      </c>
      <c r="AS21" s="933">
        <f>ROUND(AR21/'[1]Table 3 Levels 1&amp;2'!D22,2)</f>
        <v>1877.04</v>
      </c>
      <c r="AT21" s="933">
        <v>7347878</v>
      </c>
    </row>
    <row r="22" spans="1:46" ht="12.75">
      <c r="A22" s="835">
        <v>16</v>
      </c>
      <c r="B22" s="434" t="s">
        <v>299</v>
      </c>
      <c r="C22" s="905"/>
      <c r="D22" s="387">
        <v>205043138</v>
      </c>
      <c r="E22" s="387">
        <v>33441125</v>
      </c>
      <c r="F22" s="387">
        <f t="shared" si="1"/>
        <v>171602013</v>
      </c>
      <c r="G22" s="387">
        <f>IF('[1]Table 8 Membership'!AA23&gt;0,ROUND('[1]Table 8 Membership'!AA23*'Table 7 Local Revenue'!F22,0),'Table 7 Local Revenue'!F22)</f>
        <v>171602013</v>
      </c>
      <c r="H22" s="906">
        <v>4.56</v>
      </c>
      <c r="I22" s="907">
        <v>771864</v>
      </c>
      <c r="J22" s="908">
        <v>44</v>
      </c>
      <c r="K22" s="907">
        <v>7447685</v>
      </c>
      <c r="L22" s="908">
        <v>0</v>
      </c>
      <c r="M22" s="908">
        <v>0</v>
      </c>
      <c r="N22" s="908">
        <v>0</v>
      </c>
      <c r="O22" s="907">
        <v>0</v>
      </c>
      <c r="P22" s="387">
        <f t="shared" si="2"/>
        <v>8219549</v>
      </c>
      <c r="Q22" s="908">
        <v>0</v>
      </c>
      <c r="R22" s="907">
        <v>0</v>
      </c>
      <c r="S22" s="908">
        <v>10.25</v>
      </c>
      <c r="T22" s="908">
        <v>34</v>
      </c>
      <c r="U22" s="908">
        <v>5</v>
      </c>
      <c r="V22" s="907">
        <v>2818817</v>
      </c>
      <c r="W22" s="387">
        <f t="shared" si="3"/>
        <v>2818817</v>
      </c>
      <c r="X22" s="909">
        <f t="shared" si="4"/>
        <v>48.56</v>
      </c>
      <c r="Y22" s="387">
        <f t="shared" si="5"/>
        <v>8219549</v>
      </c>
      <c r="Z22" s="387">
        <f t="shared" si="6"/>
        <v>2818817</v>
      </c>
      <c r="AA22" s="910">
        <f t="shared" si="7"/>
        <v>16.43</v>
      </c>
      <c r="AB22" s="911">
        <f t="shared" si="8"/>
        <v>47.9</v>
      </c>
      <c r="AC22" s="912">
        <f t="shared" si="9"/>
        <v>64.33</v>
      </c>
      <c r="AD22" s="844">
        <f t="shared" si="10"/>
        <v>11038366</v>
      </c>
      <c r="AE22" s="844">
        <f>IF('[1]Table 8 Membership'!AA23&gt;0,ROUND('Table 7 Local Revenue'!AD22*'[1]Table 8 Membership'!AA23,0),'Table 7 Local Revenue'!AD22)</f>
        <v>11038366</v>
      </c>
      <c r="AF22" s="913">
        <v>0.025</v>
      </c>
      <c r="AG22" s="914">
        <v>7472721</v>
      </c>
      <c r="AH22" s="915">
        <v>824481</v>
      </c>
      <c r="AI22" s="915">
        <f t="shared" si="11"/>
        <v>8297202</v>
      </c>
      <c r="AJ22" s="844">
        <f>IF('[1]Table 8 Membership'!AA23&gt;0,ROUND('[1]Table 8 Membership'!AA23*'Table 7 Local Revenue'!AI22,0),'Table 7 Local Revenue'!AI22)</f>
        <v>8297202</v>
      </c>
      <c r="AK22" s="844">
        <v>322755000</v>
      </c>
      <c r="AL22" s="844">
        <f t="shared" si="18"/>
        <v>331888080</v>
      </c>
      <c r="AM22" s="913">
        <f t="shared" si="13"/>
        <v>0.028297253334572663</v>
      </c>
      <c r="AN22" s="844">
        <f t="shared" si="14"/>
        <v>331888080</v>
      </c>
      <c r="AO22" s="916">
        <f t="shared" si="15"/>
        <v>0.022515786044500302</v>
      </c>
      <c r="AP22" s="916">
        <f t="shared" si="16"/>
        <v>0.0024842139554996975</v>
      </c>
      <c r="AQ22" s="917">
        <f>'[8]04-05 Other Revenue'!O17</f>
        <v>445266</v>
      </c>
      <c r="AR22" s="918">
        <f t="shared" si="17"/>
        <v>19780834</v>
      </c>
      <c r="AS22" s="918">
        <f>ROUND(AR22/'[1]Table 3 Levels 1&amp;2'!D23,2)</f>
        <v>4174.05</v>
      </c>
      <c r="AT22" s="918">
        <v>18274152</v>
      </c>
    </row>
    <row r="23" spans="1:46" s="759" customFormat="1" ht="12.75">
      <c r="A23" s="382">
        <v>17</v>
      </c>
      <c r="B23" s="938" t="s">
        <v>300</v>
      </c>
      <c r="C23" s="939"/>
      <c r="D23" s="844">
        <v>2711924010</v>
      </c>
      <c r="E23" s="844">
        <v>557026200</v>
      </c>
      <c r="F23" s="844">
        <f t="shared" si="1"/>
        <v>2154897810</v>
      </c>
      <c r="G23" s="844">
        <f>IF('[1]Table 8 Membership'!AA24&gt;0,ROUND('[1]Table 8 Membership'!AA24*'Table 7 Local Revenue'!F23,0),'Table 7 Local Revenue'!F23)</f>
        <v>2154897810</v>
      </c>
      <c r="H23" s="906">
        <v>5.25</v>
      </c>
      <c r="I23" s="907">
        <v>11127702</v>
      </c>
      <c r="J23" s="908">
        <v>38.2</v>
      </c>
      <c r="K23" s="907">
        <v>80967276</v>
      </c>
      <c r="L23" s="908">
        <v>0</v>
      </c>
      <c r="M23" s="908">
        <v>0</v>
      </c>
      <c r="N23" s="908">
        <v>0</v>
      </c>
      <c r="O23" s="907">
        <v>0</v>
      </c>
      <c r="P23" s="844">
        <f t="shared" si="2"/>
        <v>92094978</v>
      </c>
      <c r="Q23" s="908">
        <v>0</v>
      </c>
      <c r="R23" s="907">
        <v>0</v>
      </c>
      <c r="S23" s="908">
        <v>0</v>
      </c>
      <c r="T23" s="908">
        <v>0</v>
      </c>
      <c r="U23" s="908">
        <v>0</v>
      </c>
      <c r="V23" s="907">
        <v>0</v>
      </c>
      <c r="W23" s="844">
        <f t="shared" si="3"/>
        <v>0</v>
      </c>
      <c r="X23" s="940">
        <f t="shared" si="4"/>
        <v>43.45</v>
      </c>
      <c r="Y23" s="844">
        <f t="shared" si="5"/>
        <v>92094978</v>
      </c>
      <c r="Z23" s="844">
        <f t="shared" si="6"/>
        <v>0</v>
      </c>
      <c r="AA23" s="941">
        <f t="shared" si="7"/>
        <v>0</v>
      </c>
      <c r="AB23" s="942">
        <f t="shared" si="8"/>
        <v>42.74</v>
      </c>
      <c r="AC23" s="912">
        <f t="shared" si="9"/>
        <v>42.74</v>
      </c>
      <c r="AD23" s="844">
        <f t="shared" si="10"/>
        <v>92094978</v>
      </c>
      <c r="AE23" s="844">
        <f>IF('[1]Table 8 Membership'!AA24&gt;0,ROUND('Table 7 Local Revenue'!AD23*'[1]Table 8 Membership'!AA24,0),'Table 7 Local Revenue'!AD23)</f>
        <v>92094978</v>
      </c>
      <c r="AF23" s="913">
        <v>0.02</v>
      </c>
      <c r="AG23" s="914">
        <v>128856908</v>
      </c>
      <c r="AH23" s="915">
        <v>0</v>
      </c>
      <c r="AI23" s="915">
        <f t="shared" si="11"/>
        <v>128856908</v>
      </c>
      <c r="AJ23" s="844">
        <f>IF('[1]Table 8 Membership'!AA24&gt;0,ROUND('[1]Table 8 Membership'!AA24*'Table 7 Local Revenue'!AI23,0),'Table 7 Local Revenue'!AI23)</f>
        <v>128856908</v>
      </c>
      <c r="AK23" s="844">
        <v>6171938850</v>
      </c>
      <c r="AL23" s="844">
        <f t="shared" si="18"/>
        <v>6442845400</v>
      </c>
      <c r="AM23" s="913">
        <f t="shared" si="13"/>
        <v>0.043893265403950006</v>
      </c>
      <c r="AN23" s="844">
        <f t="shared" si="14"/>
        <v>6442845400</v>
      </c>
      <c r="AO23" s="916">
        <f t="shared" si="15"/>
        <v>0.02</v>
      </c>
      <c r="AP23" s="916">
        <f t="shared" si="16"/>
        <v>0</v>
      </c>
      <c r="AQ23" s="917">
        <f>'[8]04-05 Other Revenue'!O18</f>
        <v>3745686</v>
      </c>
      <c r="AR23" s="918">
        <f t="shared" si="17"/>
        <v>224697572</v>
      </c>
      <c r="AS23" s="918">
        <f>ROUND(AR23/'[1]Table 3 Levels 1&amp;2'!D24,2)</f>
        <v>4836.47</v>
      </c>
      <c r="AT23" s="918">
        <v>213682566.5</v>
      </c>
    </row>
    <row r="24" spans="1:46" ht="12.75">
      <c r="A24" s="835">
        <v>18</v>
      </c>
      <c r="B24" s="434" t="s">
        <v>301</v>
      </c>
      <c r="C24" s="905"/>
      <c r="D24" s="387">
        <v>33804490</v>
      </c>
      <c r="E24" s="387">
        <v>5092067</v>
      </c>
      <c r="F24" s="387">
        <f t="shared" si="1"/>
        <v>28712423</v>
      </c>
      <c r="G24" s="387">
        <f>IF('[1]Table 8 Membership'!AA25&gt;0,ROUND('[1]Table 8 Membership'!AA25*'Table 7 Local Revenue'!F24,0),'Table 7 Local Revenue'!F24)</f>
        <v>28712423</v>
      </c>
      <c r="H24" s="906">
        <v>6.48</v>
      </c>
      <c r="I24" s="907">
        <v>174603</v>
      </c>
      <c r="J24" s="908">
        <v>6.72</v>
      </c>
      <c r="K24" s="907">
        <v>181071</v>
      </c>
      <c r="L24" s="908">
        <v>0</v>
      </c>
      <c r="M24" s="908">
        <v>0</v>
      </c>
      <c r="N24" s="908">
        <v>9</v>
      </c>
      <c r="O24" s="907">
        <v>0</v>
      </c>
      <c r="P24" s="844">
        <f t="shared" si="2"/>
        <v>355674</v>
      </c>
      <c r="Q24" s="908">
        <v>0</v>
      </c>
      <c r="R24" s="907">
        <v>0</v>
      </c>
      <c r="S24" s="908">
        <v>0</v>
      </c>
      <c r="T24" s="908">
        <v>0</v>
      </c>
      <c r="U24" s="908">
        <v>0</v>
      </c>
      <c r="V24" s="907">
        <v>0</v>
      </c>
      <c r="W24" s="387">
        <f t="shared" si="3"/>
        <v>0</v>
      </c>
      <c r="X24" s="909">
        <f t="shared" si="4"/>
        <v>13.2</v>
      </c>
      <c r="Y24" s="387">
        <f t="shared" si="5"/>
        <v>355674</v>
      </c>
      <c r="Z24" s="387">
        <f t="shared" si="6"/>
        <v>0</v>
      </c>
      <c r="AA24" s="910">
        <f t="shared" si="7"/>
        <v>0</v>
      </c>
      <c r="AB24" s="911">
        <f t="shared" si="8"/>
        <v>12.39</v>
      </c>
      <c r="AC24" s="912">
        <f t="shared" si="9"/>
        <v>12.39</v>
      </c>
      <c r="AD24" s="844">
        <f t="shared" si="10"/>
        <v>355674</v>
      </c>
      <c r="AE24" s="844">
        <f>IF('[1]Table 8 Membership'!AA25&gt;0,ROUND('Table 7 Local Revenue'!AD24*'[1]Table 8 Membership'!AA25,0),'Table 7 Local Revenue'!AD24)</f>
        <v>355674</v>
      </c>
      <c r="AF24" s="913">
        <v>0.03</v>
      </c>
      <c r="AG24" s="914">
        <v>1369753</v>
      </c>
      <c r="AH24" s="915">
        <v>0</v>
      </c>
      <c r="AI24" s="915">
        <f t="shared" si="11"/>
        <v>1369753</v>
      </c>
      <c r="AJ24" s="844">
        <f>IF('[1]Table 8 Membership'!AA25&gt;0,ROUND('[1]Table 8 Membership'!AA25*'Table 7 Local Revenue'!AI24,0),'Table 7 Local Revenue'!AI24)</f>
        <v>1369753</v>
      </c>
      <c r="AK24" s="844">
        <v>46911533</v>
      </c>
      <c r="AL24" s="844">
        <f t="shared" si="18"/>
        <v>45658433</v>
      </c>
      <c r="AM24" s="913">
        <f t="shared" si="13"/>
        <v>-0.02671198146519748</v>
      </c>
      <c r="AN24" s="844">
        <f t="shared" si="14"/>
        <v>45658433</v>
      </c>
      <c r="AO24" s="916">
        <f t="shared" si="15"/>
        <v>0.03000000021901759</v>
      </c>
      <c r="AP24" s="916">
        <f t="shared" si="16"/>
        <v>0</v>
      </c>
      <c r="AQ24" s="917">
        <f>'[8]04-05 Other Revenue'!O19</f>
        <v>114525</v>
      </c>
      <c r="AR24" s="918">
        <f t="shared" si="17"/>
        <v>1839952</v>
      </c>
      <c r="AS24" s="918">
        <f>ROUND(AR24/'[1]Table 3 Levels 1&amp;2'!D25,2)</f>
        <v>1252.52</v>
      </c>
      <c r="AT24" s="918">
        <v>1827580</v>
      </c>
    </row>
    <row r="25" spans="1:46" ht="12.75">
      <c r="A25" s="835">
        <v>19</v>
      </c>
      <c r="B25" s="434" t="s">
        <v>302</v>
      </c>
      <c r="C25" s="905"/>
      <c r="D25" s="387">
        <v>92421330</v>
      </c>
      <c r="E25" s="387">
        <v>29411970</v>
      </c>
      <c r="F25" s="387">
        <f t="shared" si="1"/>
        <v>63009360</v>
      </c>
      <c r="G25" s="387">
        <f>IF('[1]Table 8 Membership'!AA26&gt;0,ROUND('[1]Table 8 Membership'!AA26*'Table 7 Local Revenue'!F25,0),'Table 7 Local Revenue'!F25)</f>
        <v>63009360</v>
      </c>
      <c r="H25" s="906">
        <v>3.34</v>
      </c>
      <c r="I25" s="907">
        <v>201926</v>
      </c>
      <c r="J25" s="908">
        <v>15.51</v>
      </c>
      <c r="K25" s="907">
        <v>937186</v>
      </c>
      <c r="L25" s="908">
        <v>0</v>
      </c>
      <c r="M25" s="908">
        <v>0</v>
      </c>
      <c r="N25" s="908">
        <v>0</v>
      </c>
      <c r="O25" s="907">
        <v>0</v>
      </c>
      <c r="P25" s="844">
        <f t="shared" si="2"/>
        <v>1139112</v>
      </c>
      <c r="Q25" s="908">
        <v>0</v>
      </c>
      <c r="R25" s="907">
        <v>1797</v>
      </c>
      <c r="S25" s="908">
        <v>0</v>
      </c>
      <c r="T25" s="908">
        <v>0</v>
      </c>
      <c r="U25" s="908">
        <v>0</v>
      </c>
      <c r="V25" s="907">
        <v>0</v>
      </c>
      <c r="W25" s="387">
        <f t="shared" si="3"/>
        <v>1797</v>
      </c>
      <c r="X25" s="909">
        <f t="shared" si="4"/>
        <v>18.85</v>
      </c>
      <c r="Y25" s="387">
        <f t="shared" si="5"/>
        <v>1140909</v>
      </c>
      <c r="Z25" s="387">
        <f t="shared" si="6"/>
        <v>0</v>
      </c>
      <c r="AA25" s="910">
        <f t="shared" si="7"/>
        <v>0.03</v>
      </c>
      <c r="AB25" s="911">
        <f t="shared" si="8"/>
        <v>18.08</v>
      </c>
      <c r="AC25" s="912">
        <f t="shared" si="9"/>
        <v>18.11</v>
      </c>
      <c r="AD25" s="844">
        <f t="shared" si="10"/>
        <v>1140909</v>
      </c>
      <c r="AE25" s="844">
        <f>IF('[1]Table 8 Membership'!AA26&gt;0,ROUND('Table 7 Local Revenue'!AD25*'[1]Table 8 Membership'!AA26,0),'Table 7 Local Revenue'!AD25)</f>
        <v>1140909</v>
      </c>
      <c r="AF25" s="913">
        <v>0.02</v>
      </c>
      <c r="AG25" s="914">
        <v>2112549</v>
      </c>
      <c r="AH25" s="915">
        <v>0</v>
      </c>
      <c r="AI25" s="915">
        <f t="shared" si="11"/>
        <v>2112549</v>
      </c>
      <c r="AJ25" s="844">
        <f>IF('[1]Table 8 Membership'!AA26&gt;0,ROUND('[1]Table 8 Membership'!AA26*'Table 7 Local Revenue'!AI25,0),'Table 7 Local Revenue'!AI25)</f>
        <v>2112549</v>
      </c>
      <c r="AK25" s="844">
        <v>140044600</v>
      </c>
      <c r="AL25" s="844">
        <f t="shared" si="18"/>
        <v>105627450</v>
      </c>
      <c r="AM25" s="913">
        <f t="shared" si="13"/>
        <v>-0.24575849407974318</v>
      </c>
      <c r="AN25" s="844">
        <f t="shared" si="14"/>
        <v>105627450</v>
      </c>
      <c r="AO25" s="916">
        <f t="shared" si="15"/>
        <v>0.02</v>
      </c>
      <c r="AP25" s="916">
        <f t="shared" si="16"/>
        <v>0</v>
      </c>
      <c r="AQ25" s="917">
        <f>'[8]04-05 Other Revenue'!O20</f>
        <v>123489</v>
      </c>
      <c r="AR25" s="918">
        <f t="shared" si="17"/>
        <v>3376947</v>
      </c>
      <c r="AS25" s="918">
        <f>ROUND(AR25/'[1]Table 3 Levels 1&amp;2'!D26,2)</f>
        <v>1508.91</v>
      </c>
      <c r="AT25" s="918">
        <v>3940963</v>
      </c>
    </row>
    <row r="26" spans="1:46" ht="12.75">
      <c r="A26" s="838">
        <v>20</v>
      </c>
      <c r="B26" s="919" t="s">
        <v>303</v>
      </c>
      <c r="C26" s="920"/>
      <c r="D26" s="399">
        <v>151253420</v>
      </c>
      <c r="E26" s="399">
        <v>42887160</v>
      </c>
      <c r="F26" s="399">
        <f t="shared" si="1"/>
        <v>108366260</v>
      </c>
      <c r="G26" s="399">
        <f>IF('[1]Table 8 Membership'!AA27&gt;0,ROUND('[1]Table 8 Membership'!AA27*'Table 7 Local Revenue'!F26,0),'Table 7 Local Revenue'!F26)</f>
        <v>108366260</v>
      </c>
      <c r="H26" s="921">
        <v>4.62</v>
      </c>
      <c r="I26" s="922">
        <v>498059</v>
      </c>
      <c r="J26" s="923">
        <v>10.35</v>
      </c>
      <c r="K26" s="922">
        <v>1115783</v>
      </c>
      <c r="L26" s="923">
        <v>2.08</v>
      </c>
      <c r="M26" s="923">
        <v>12.32</v>
      </c>
      <c r="N26" s="923">
        <v>3</v>
      </c>
      <c r="O26" s="922">
        <v>1493714</v>
      </c>
      <c r="P26" s="847">
        <f t="shared" si="2"/>
        <v>3107556</v>
      </c>
      <c r="Q26" s="923">
        <v>0</v>
      </c>
      <c r="R26" s="922">
        <v>0</v>
      </c>
      <c r="S26" s="923">
        <v>16.25</v>
      </c>
      <c r="T26" s="923">
        <v>36.5</v>
      </c>
      <c r="U26" s="923">
        <v>2</v>
      </c>
      <c r="V26" s="922">
        <v>656829</v>
      </c>
      <c r="W26" s="399">
        <f t="shared" si="3"/>
        <v>656829</v>
      </c>
      <c r="X26" s="924">
        <f t="shared" si="4"/>
        <v>14.969999999999999</v>
      </c>
      <c r="Y26" s="399">
        <f t="shared" si="5"/>
        <v>1613842</v>
      </c>
      <c r="Z26" s="399">
        <f t="shared" si="6"/>
        <v>2150543</v>
      </c>
      <c r="AA26" s="925">
        <f t="shared" si="7"/>
        <v>6.06</v>
      </c>
      <c r="AB26" s="926">
        <f t="shared" si="8"/>
        <v>28.68</v>
      </c>
      <c r="AC26" s="927">
        <f t="shared" si="9"/>
        <v>34.74</v>
      </c>
      <c r="AD26" s="847">
        <f t="shared" si="10"/>
        <v>3764385</v>
      </c>
      <c r="AE26" s="847">
        <f>IF('[1]Table 8 Membership'!AA27&gt;0,ROUND('Table 7 Local Revenue'!AD26*'[1]Table 8 Membership'!AA27,0),'Table 7 Local Revenue'!AD26)</f>
        <v>3764385</v>
      </c>
      <c r="AF26" s="928">
        <v>0.02</v>
      </c>
      <c r="AG26" s="929">
        <v>5173526</v>
      </c>
      <c r="AH26" s="930">
        <v>0</v>
      </c>
      <c r="AI26" s="930">
        <f t="shared" si="11"/>
        <v>5173526</v>
      </c>
      <c r="AJ26" s="847">
        <f>IF('[1]Table 8 Membership'!AA27&gt;0,ROUND('[1]Table 8 Membership'!AA27*'Table 7 Local Revenue'!AI26,0),'Table 7 Local Revenue'!AI26)</f>
        <v>5173526</v>
      </c>
      <c r="AK26" s="847">
        <v>236116900</v>
      </c>
      <c r="AL26" s="847">
        <f t="shared" si="18"/>
        <v>258676300</v>
      </c>
      <c r="AM26" s="928">
        <f t="shared" si="13"/>
        <v>0.09554335161947324</v>
      </c>
      <c r="AN26" s="847">
        <f t="shared" si="14"/>
        <v>258676300</v>
      </c>
      <c r="AO26" s="931">
        <f t="shared" si="15"/>
        <v>0.02</v>
      </c>
      <c r="AP26" s="931">
        <f t="shared" si="16"/>
        <v>0</v>
      </c>
      <c r="AQ26" s="932">
        <f>'[8]04-05 Other Revenue'!O21</f>
        <v>232202</v>
      </c>
      <c r="AR26" s="933">
        <f t="shared" si="17"/>
        <v>9170113</v>
      </c>
      <c r="AS26" s="933">
        <f>ROUND(AR26/'[1]Table 3 Levels 1&amp;2'!D27,2)</f>
        <v>1566.47</v>
      </c>
      <c r="AT26" s="933">
        <v>8595341</v>
      </c>
    </row>
    <row r="27" spans="1:46" ht="12.75">
      <c r="A27" s="835">
        <v>21</v>
      </c>
      <c r="B27" s="434" t="s">
        <v>304</v>
      </c>
      <c r="C27" s="905"/>
      <c r="D27" s="387">
        <v>72120151</v>
      </c>
      <c r="E27" s="387">
        <v>25054889</v>
      </c>
      <c r="F27" s="387">
        <f t="shared" si="1"/>
        <v>47065262</v>
      </c>
      <c r="G27" s="387">
        <f>IF('[1]Table 8 Membership'!AA28&gt;0,ROUND('[1]Table 8 Membership'!AA28*'Table 7 Local Revenue'!F27,0),'Table 7 Local Revenue'!F27)</f>
        <v>47065262</v>
      </c>
      <c r="H27" s="906">
        <v>4.31</v>
      </c>
      <c r="I27" s="907">
        <v>206364</v>
      </c>
      <c r="J27" s="908">
        <v>9.49</v>
      </c>
      <c r="K27" s="907">
        <v>427942</v>
      </c>
      <c r="L27" s="908">
        <v>9.49</v>
      </c>
      <c r="M27" s="908">
        <v>9.49</v>
      </c>
      <c r="N27" s="908">
        <v>0</v>
      </c>
      <c r="O27" s="907">
        <v>0</v>
      </c>
      <c r="P27" s="844">
        <f t="shared" si="2"/>
        <v>634306</v>
      </c>
      <c r="Q27" s="908">
        <v>0</v>
      </c>
      <c r="R27" s="907">
        <v>0</v>
      </c>
      <c r="S27" s="908">
        <v>0</v>
      </c>
      <c r="T27" s="908">
        <v>0</v>
      </c>
      <c r="U27" s="908">
        <v>0</v>
      </c>
      <c r="V27" s="907">
        <v>0</v>
      </c>
      <c r="W27" s="387">
        <f t="shared" si="3"/>
        <v>0</v>
      </c>
      <c r="X27" s="909">
        <f t="shared" si="4"/>
        <v>13.8</v>
      </c>
      <c r="Y27" s="387">
        <f t="shared" si="5"/>
        <v>634306</v>
      </c>
      <c r="Z27" s="387">
        <f t="shared" si="6"/>
        <v>0</v>
      </c>
      <c r="AA27" s="910">
        <f t="shared" si="7"/>
        <v>0</v>
      </c>
      <c r="AB27" s="911">
        <f t="shared" si="8"/>
        <v>13.48</v>
      </c>
      <c r="AC27" s="912">
        <f t="shared" si="9"/>
        <v>13.48</v>
      </c>
      <c r="AD27" s="844">
        <f t="shared" si="10"/>
        <v>634306</v>
      </c>
      <c r="AE27" s="844">
        <f>IF('[1]Table 8 Membership'!AA28&gt;0,ROUND('Table 7 Local Revenue'!AD27*'[1]Table 8 Membership'!AA28,0),'Table 7 Local Revenue'!AD27)</f>
        <v>634306</v>
      </c>
      <c r="AF27" s="913">
        <v>0.015</v>
      </c>
      <c r="AG27" s="914">
        <v>2822291</v>
      </c>
      <c r="AH27" s="915">
        <v>0</v>
      </c>
      <c r="AI27" s="915">
        <f t="shared" si="11"/>
        <v>2822291</v>
      </c>
      <c r="AJ27" s="844">
        <f>IF('[1]Table 8 Membership'!AA28&gt;0,ROUND('[1]Table 8 Membership'!AA28*'Table 7 Local Revenue'!AI27,0),'Table 7 Local Revenue'!AI27)</f>
        <v>2822291</v>
      </c>
      <c r="AK27" s="844">
        <v>186915267</v>
      </c>
      <c r="AL27" s="844">
        <f t="shared" si="18"/>
        <v>188152733</v>
      </c>
      <c r="AM27" s="913">
        <f t="shared" si="13"/>
        <v>0.00662046509020582</v>
      </c>
      <c r="AN27" s="844">
        <f t="shared" si="14"/>
        <v>188152733</v>
      </c>
      <c r="AO27" s="916">
        <f t="shared" si="15"/>
        <v>0.015000000026574156</v>
      </c>
      <c r="AP27" s="916">
        <f t="shared" si="16"/>
        <v>0</v>
      </c>
      <c r="AQ27" s="917">
        <f>'[8]04-05 Other Revenue'!O22</f>
        <v>109695</v>
      </c>
      <c r="AR27" s="918">
        <f t="shared" si="17"/>
        <v>3566292</v>
      </c>
      <c r="AS27" s="918">
        <f>ROUND(AR27/'[1]Table 3 Levels 1&amp;2'!D28,2)</f>
        <v>1128.93</v>
      </c>
      <c r="AT27" s="918">
        <v>3477834.5</v>
      </c>
    </row>
    <row r="28" spans="1:46" ht="12.75">
      <c r="A28" s="835">
        <v>22</v>
      </c>
      <c r="B28" s="434" t="s">
        <v>305</v>
      </c>
      <c r="C28" s="905"/>
      <c r="D28" s="387">
        <v>53400517</v>
      </c>
      <c r="E28" s="387">
        <v>23292295</v>
      </c>
      <c r="F28" s="387">
        <f t="shared" si="1"/>
        <v>30108222</v>
      </c>
      <c r="G28" s="387">
        <f>IF('[1]Table 8 Membership'!AA29&gt;0,ROUND('[1]Table 8 Membership'!AA29*'Table 7 Local Revenue'!F28,0),'Table 7 Local Revenue'!F28)</f>
        <v>30108222</v>
      </c>
      <c r="H28" s="906">
        <v>5.93</v>
      </c>
      <c r="I28" s="907">
        <v>177693</v>
      </c>
      <c r="J28" s="908">
        <v>24.12</v>
      </c>
      <c r="K28" s="907">
        <v>572722</v>
      </c>
      <c r="L28" s="908">
        <v>2</v>
      </c>
      <c r="M28" s="908">
        <v>16.12</v>
      </c>
      <c r="N28" s="908">
        <v>8</v>
      </c>
      <c r="O28" s="907">
        <v>459655</v>
      </c>
      <c r="P28" s="844">
        <f t="shared" si="2"/>
        <v>1210070</v>
      </c>
      <c r="Q28" s="908">
        <v>0</v>
      </c>
      <c r="R28" s="907">
        <v>0</v>
      </c>
      <c r="S28" s="908">
        <v>16</v>
      </c>
      <c r="T28" s="908">
        <v>32</v>
      </c>
      <c r="U28" s="908">
        <v>3</v>
      </c>
      <c r="V28" s="907">
        <v>331965</v>
      </c>
      <c r="W28" s="387">
        <f t="shared" si="3"/>
        <v>331965</v>
      </c>
      <c r="X28" s="909">
        <f t="shared" si="4"/>
        <v>30.05</v>
      </c>
      <c r="Y28" s="387">
        <f t="shared" si="5"/>
        <v>750415</v>
      </c>
      <c r="Z28" s="387">
        <f t="shared" si="6"/>
        <v>791620</v>
      </c>
      <c r="AA28" s="910">
        <f t="shared" si="7"/>
        <v>11.03</v>
      </c>
      <c r="AB28" s="911">
        <f t="shared" si="8"/>
        <v>40.19</v>
      </c>
      <c r="AC28" s="912">
        <f t="shared" si="9"/>
        <v>51.22</v>
      </c>
      <c r="AD28" s="844">
        <f t="shared" si="10"/>
        <v>1542035</v>
      </c>
      <c r="AE28" s="844">
        <f>IF('[1]Table 8 Membership'!AA29&gt;0,ROUND('Table 7 Local Revenue'!AD28*'[1]Table 8 Membership'!AA29,0),'Table 7 Local Revenue'!AD28)</f>
        <v>1542035</v>
      </c>
      <c r="AF28" s="913">
        <v>0.01</v>
      </c>
      <c r="AG28" s="914">
        <v>855257</v>
      </c>
      <c r="AH28" s="915">
        <v>0</v>
      </c>
      <c r="AI28" s="915">
        <f t="shared" si="11"/>
        <v>855257</v>
      </c>
      <c r="AJ28" s="844">
        <f>IF('[1]Table 8 Membership'!AA29&gt;0,ROUND('[1]Table 8 Membership'!AA29*'Table 7 Local Revenue'!AI28,0),'Table 7 Local Revenue'!AI28)</f>
        <v>855257</v>
      </c>
      <c r="AK28" s="844">
        <v>78772600</v>
      </c>
      <c r="AL28" s="844">
        <f t="shared" si="18"/>
        <v>85525700</v>
      </c>
      <c r="AM28" s="913">
        <f t="shared" si="13"/>
        <v>0.08572904791767696</v>
      </c>
      <c r="AN28" s="844">
        <f t="shared" si="14"/>
        <v>85525700</v>
      </c>
      <c r="AO28" s="916">
        <f t="shared" si="15"/>
        <v>0.01</v>
      </c>
      <c r="AP28" s="916">
        <f t="shared" si="16"/>
        <v>0</v>
      </c>
      <c r="AQ28" s="917">
        <f>'[8]04-05 Other Revenue'!O23</f>
        <v>564262</v>
      </c>
      <c r="AR28" s="918">
        <f t="shared" si="17"/>
        <v>2961554</v>
      </c>
      <c r="AS28" s="918">
        <f>ROUND(AR28/'[1]Table 3 Levels 1&amp;2'!D29,2)</f>
        <v>835.42</v>
      </c>
      <c r="AT28" s="918">
        <v>2913133.5</v>
      </c>
    </row>
    <row r="29" spans="1:46" ht="12.75">
      <c r="A29" s="835">
        <v>23</v>
      </c>
      <c r="B29" s="434" t="s">
        <v>306</v>
      </c>
      <c r="C29" s="905"/>
      <c r="D29" s="387">
        <v>371541206</v>
      </c>
      <c r="E29" s="387">
        <v>93096717</v>
      </c>
      <c r="F29" s="387">
        <f t="shared" si="1"/>
        <v>278444489</v>
      </c>
      <c r="G29" s="387">
        <f>IF('[1]Table 8 Membership'!AA30&gt;0,ROUND('[1]Table 8 Membership'!AA30*'Table 7 Local Revenue'!F29,0),'Table 7 Local Revenue'!F29)</f>
        <v>278444489</v>
      </c>
      <c r="H29" s="906">
        <v>5.28</v>
      </c>
      <c r="I29" s="907">
        <v>1453870</v>
      </c>
      <c r="J29" s="908">
        <v>7.36</v>
      </c>
      <c r="K29" s="907">
        <v>2026608</v>
      </c>
      <c r="L29" s="908">
        <v>0</v>
      </c>
      <c r="M29" s="908">
        <v>0</v>
      </c>
      <c r="N29" s="908">
        <v>0</v>
      </c>
      <c r="O29" s="907">
        <v>0</v>
      </c>
      <c r="P29" s="844">
        <f t="shared" si="2"/>
        <v>3480478</v>
      </c>
      <c r="Q29" s="908">
        <v>23.84</v>
      </c>
      <c r="R29" s="907">
        <v>6564426</v>
      </c>
      <c r="S29" s="908">
        <v>0</v>
      </c>
      <c r="T29" s="908">
        <v>0</v>
      </c>
      <c r="U29" s="908">
        <v>0</v>
      </c>
      <c r="V29" s="907">
        <v>0</v>
      </c>
      <c r="W29" s="387">
        <f t="shared" si="3"/>
        <v>6564426</v>
      </c>
      <c r="X29" s="909">
        <f t="shared" si="4"/>
        <v>36.480000000000004</v>
      </c>
      <c r="Y29" s="387">
        <f t="shared" si="5"/>
        <v>10044904</v>
      </c>
      <c r="Z29" s="387">
        <f t="shared" si="6"/>
        <v>0</v>
      </c>
      <c r="AA29" s="910">
        <f t="shared" si="7"/>
        <v>23.58</v>
      </c>
      <c r="AB29" s="911">
        <f t="shared" si="8"/>
        <v>12.5</v>
      </c>
      <c r="AC29" s="912">
        <f t="shared" si="9"/>
        <v>36.08</v>
      </c>
      <c r="AD29" s="844">
        <f t="shared" si="10"/>
        <v>10044904</v>
      </c>
      <c r="AE29" s="844">
        <f>IF('[1]Table 8 Membership'!AA30&gt;0,ROUND('Table 7 Local Revenue'!AD29*'[1]Table 8 Membership'!AA30,0),'Table 7 Local Revenue'!AD29)</f>
        <v>10044904</v>
      </c>
      <c r="AF29" s="913">
        <v>0.02</v>
      </c>
      <c r="AG29" s="914">
        <v>19392624</v>
      </c>
      <c r="AH29" s="915">
        <v>484173</v>
      </c>
      <c r="AI29" s="915">
        <f t="shared" si="11"/>
        <v>19876797</v>
      </c>
      <c r="AJ29" s="844">
        <f>IF('[1]Table 8 Membership'!AA30&gt;0,ROUND('[1]Table 8 Membership'!AA30*'Table 7 Local Revenue'!AI29,0),'Table 7 Local Revenue'!AI29)</f>
        <v>19876797</v>
      </c>
      <c r="AK29" s="844">
        <v>965872950</v>
      </c>
      <c r="AL29" s="844">
        <f t="shared" si="18"/>
        <v>993839850</v>
      </c>
      <c r="AM29" s="913">
        <f t="shared" si="13"/>
        <v>0.028955050454617246</v>
      </c>
      <c r="AN29" s="844">
        <f t="shared" si="14"/>
        <v>993839850</v>
      </c>
      <c r="AO29" s="916">
        <f t="shared" si="15"/>
        <v>0.019512825934681528</v>
      </c>
      <c r="AP29" s="916">
        <f t="shared" si="16"/>
        <v>0.0004871740653184716</v>
      </c>
      <c r="AQ29" s="917">
        <f>'[8]04-05 Other Revenue'!O24</f>
        <v>548083</v>
      </c>
      <c r="AR29" s="918">
        <f t="shared" si="17"/>
        <v>30469784</v>
      </c>
      <c r="AS29" s="918">
        <f>ROUND(AR29/'[1]Table 3 Levels 1&amp;2'!D30,2)</f>
        <v>2234.18</v>
      </c>
      <c r="AT29" s="918">
        <v>29266831.5</v>
      </c>
    </row>
    <row r="30" spans="1:46" ht="12.75">
      <c r="A30" s="835">
        <v>24</v>
      </c>
      <c r="B30" s="434" t="s">
        <v>307</v>
      </c>
      <c r="C30" s="905"/>
      <c r="D30" s="387">
        <v>344903894</v>
      </c>
      <c r="E30" s="387">
        <v>39986085</v>
      </c>
      <c r="F30" s="387">
        <f t="shared" si="1"/>
        <v>304917809</v>
      </c>
      <c r="G30" s="387">
        <f>IF('[1]Table 8 Membership'!AA31&gt;0,ROUND('[1]Table 8 Membership'!AA31*'Table 7 Local Revenue'!F30,0),'Table 7 Local Revenue'!F30)</f>
        <v>304917809</v>
      </c>
      <c r="H30" s="906">
        <v>3.93</v>
      </c>
      <c r="I30" s="907">
        <v>1339316</v>
      </c>
      <c r="J30" s="908">
        <v>24.34</v>
      </c>
      <c r="K30" s="907">
        <v>7356125</v>
      </c>
      <c r="L30" s="908">
        <v>0</v>
      </c>
      <c r="M30" s="908">
        <v>0</v>
      </c>
      <c r="N30" s="908">
        <v>0</v>
      </c>
      <c r="O30" s="907">
        <v>0</v>
      </c>
      <c r="P30" s="844">
        <f t="shared" si="2"/>
        <v>8695441</v>
      </c>
      <c r="Q30" s="908">
        <v>11</v>
      </c>
      <c r="R30" s="907">
        <v>3324729</v>
      </c>
      <c r="S30" s="908">
        <v>0</v>
      </c>
      <c r="T30" s="908">
        <v>0</v>
      </c>
      <c r="U30" s="908">
        <v>0</v>
      </c>
      <c r="V30" s="907">
        <v>0</v>
      </c>
      <c r="W30" s="387">
        <f t="shared" si="3"/>
        <v>3324729</v>
      </c>
      <c r="X30" s="909">
        <f t="shared" si="4"/>
        <v>39.269999999999996</v>
      </c>
      <c r="Y30" s="387">
        <f t="shared" si="5"/>
        <v>12020170</v>
      </c>
      <c r="Z30" s="387">
        <f t="shared" si="6"/>
        <v>0</v>
      </c>
      <c r="AA30" s="910">
        <f t="shared" si="7"/>
        <v>10.9</v>
      </c>
      <c r="AB30" s="911">
        <f t="shared" si="8"/>
        <v>28.52</v>
      </c>
      <c r="AC30" s="912">
        <f t="shared" si="9"/>
        <v>39.42</v>
      </c>
      <c r="AD30" s="844">
        <f t="shared" si="10"/>
        <v>12020170</v>
      </c>
      <c r="AE30" s="844">
        <f>IF('[1]Table 8 Membership'!AA31&gt;0,ROUND('Table 7 Local Revenue'!AD30*'[1]Table 8 Membership'!AA31,0),'Table 7 Local Revenue'!AD30)</f>
        <v>12020170</v>
      </c>
      <c r="AF30" s="913">
        <v>0.02</v>
      </c>
      <c r="AG30" s="914">
        <v>11061136</v>
      </c>
      <c r="AH30" s="915">
        <v>0</v>
      </c>
      <c r="AI30" s="915">
        <f t="shared" si="11"/>
        <v>11061136</v>
      </c>
      <c r="AJ30" s="844">
        <f>IF('[1]Table 8 Membership'!AA31&gt;0,ROUND('[1]Table 8 Membership'!AA31*'Table 7 Local Revenue'!AI30,0),'Table 7 Local Revenue'!AI30)</f>
        <v>11061136</v>
      </c>
      <c r="AK30" s="844">
        <v>546437500</v>
      </c>
      <c r="AL30" s="844">
        <f t="shared" si="18"/>
        <v>553056800</v>
      </c>
      <c r="AM30" s="913">
        <f t="shared" si="13"/>
        <v>0.01211355370010294</v>
      </c>
      <c r="AN30" s="844">
        <f t="shared" si="14"/>
        <v>553056800</v>
      </c>
      <c r="AO30" s="916">
        <f t="shared" si="15"/>
        <v>0.02</v>
      </c>
      <c r="AP30" s="916">
        <f t="shared" si="16"/>
        <v>0</v>
      </c>
      <c r="AQ30" s="917">
        <f>'[8]04-05 Other Revenue'!O25</f>
        <v>153646</v>
      </c>
      <c r="AR30" s="918">
        <f t="shared" si="17"/>
        <v>23234952</v>
      </c>
      <c r="AS30" s="918">
        <f>ROUND(AR30/'[1]Table 3 Levels 1&amp;2'!D31,2)</f>
        <v>5621.81</v>
      </c>
      <c r="AT30" s="918">
        <v>22158879</v>
      </c>
    </row>
    <row r="31" spans="1:46" ht="12.75">
      <c r="A31" s="838">
        <v>25</v>
      </c>
      <c r="B31" s="919" t="s">
        <v>308</v>
      </c>
      <c r="C31" s="920"/>
      <c r="D31" s="399">
        <v>92324250</v>
      </c>
      <c r="E31" s="399">
        <v>17411340</v>
      </c>
      <c r="F31" s="399">
        <f t="shared" si="1"/>
        <v>74912910</v>
      </c>
      <c r="G31" s="399">
        <f>IF('[1]Table 8 Membership'!AA32&gt;0,ROUND('[1]Table 8 Membership'!AA32*'Table 7 Local Revenue'!F31,0),'Table 7 Local Revenue'!F31)</f>
        <v>74912910</v>
      </c>
      <c r="H31" s="921">
        <v>4.61</v>
      </c>
      <c r="I31" s="922">
        <v>328615</v>
      </c>
      <c r="J31" s="923">
        <v>19.83</v>
      </c>
      <c r="K31" s="922">
        <v>1413515</v>
      </c>
      <c r="L31" s="923">
        <v>0</v>
      </c>
      <c r="M31" s="923">
        <v>0</v>
      </c>
      <c r="N31" s="923">
        <v>0</v>
      </c>
      <c r="O31" s="922">
        <v>0</v>
      </c>
      <c r="P31" s="847">
        <f t="shared" si="2"/>
        <v>1742130</v>
      </c>
      <c r="Q31" s="923">
        <v>0</v>
      </c>
      <c r="R31" s="922">
        <v>456121</v>
      </c>
      <c r="S31" s="923">
        <v>5</v>
      </c>
      <c r="T31" s="923">
        <v>12</v>
      </c>
      <c r="U31" s="923">
        <v>3</v>
      </c>
      <c r="V31" s="922">
        <v>0</v>
      </c>
      <c r="W31" s="399">
        <f t="shared" si="3"/>
        <v>456121</v>
      </c>
      <c r="X31" s="924">
        <f t="shared" si="4"/>
        <v>24.439999999999998</v>
      </c>
      <c r="Y31" s="399">
        <f t="shared" si="5"/>
        <v>2198251</v>
      </c>
      <c r="Z31" s="399">
        <f t="shared" si="6"/>
        <v>0</v>
      </c>
      <c r="AA31" s="925">
        <f t="shared" si="7"/>
        <v>6.09</v>
      </c>
      <c r="AB31" s="926">
        <f t="shared" si="8"/>
        <v>23.26</v>
      </c>
      <c r="AC31" s="927">
        <f t="shared" si="9"/>
        <v>29.34</v>
      </c>
      <c r="AD31" s="847">
        <f t="shared" si="10"/>
        <v>2198251</v>
      </c>
      <c r="AE31" s="847">
        <f>IF('[1]Table 8 Membership'!AA32&gt;0,ROUND('Table 7 Local Revenue'!AD31*'[1]Table 8 Membership'!AA32,0),'Table 7 Local Revenue'!AD31)</f>
        <v>2198251</v>
      </c>
      <c r="AF31" s="928">
        <v>0.03</v>
      </c>
      <c r="AG31" s="929">
        <v>9112631</v>
      </c>
      <c r="AH31" s="930">
        <v>0</v>
      </c>
      <c r="AI31" s="930">
        <f t="shared" si="11"/>
        <v>9112631</v>
      </c>
      <c r="AJ31" s="847">
        <f>IF('[1]Table 8 Membership'!AA32&gt;0,ROUND('[1]Table 8 Membership'!AA32*'Table 7 Local Revenue'!AI31,0),'Table 7 Local Revenue'!AI31)</f>
        <v>9112631</v>
      </c>
      <c r="AK31" s="847">
        <v>216217200</v>
      </c>
      <c r="AL31" s="847">
        <f t="shared" si="18"/>
        <v>303754367</v>
      </c>
      <c r="AM31" s="943">
        <f t="shared" si="13"/>
        <v>0.4048575552731235</v>
      </c>
      <c r="AN31" s="944">
        <f t="shared" si="14"/>
        <v>248649779.99999997</v>
      </c>
      <c r="AO31" s="931">
        <f t="shared" si="15"/>
        <v>0.029999999967078663</v>
      </c>
      <c r="AP31" s="931">
        <f t="shared" si="16"/>
        <v>0</v>
      </c>
      <c r="AQ31" s="932">
        <f>'[8]04-05 Other Revenue'!O26</f>
        <v>161233</v>
      </c>
      <c r="AR31" s="933">
        <f t="shared" si="17"/>
        <v>11472115</v>
      </c>
      <c r="AS31" s="933">
        <f>ROUND(AR31/'[1]Table 3 Levels 1&amp;2'!D32,2)</f>
        <v>5247.99</v>
      </c>
      <c r="AT31" s="933">
        <v>8566770</v>
      </c>
    </row>
    <row r="32" spans="1:46" ht="12.75">
      <c r="A32" s="835">
        <v>26</v>
      </c>
      <c r="B32" s="434" t="s">
        <v>309</v>
      </c>
      <c r="C32" s="905"/>
      <c r="D32" s="387">
        <v>3210148630</v>
      </c>
      <c r="E32" s="387">
        <v>783759710</v>
      </c>
      <c r="F32" s="387">
        <f t="shared" si="1"/>
        <v>2426388920</v>
      </c>
      <c r="G32" s="936">
        <f>IF('[1]Table 8 Membership'!AA33&gt;0,ROUND('[1]Table 8 Membership'!AA33*'Table 7 Local Revenue'!F32,0),'Table 7 Local Revenue'!F32)</f>
        <v>2183750028</v>
      </c>
      <c r="H32" s="906">
        <v>2.91</v>
      </c>
      <c r="I32" s="907">
        <v>6871278</v>
      </c>
      <c r="J32" s="908">
        <v>20</v>
      </c>
      <c r="K32" s="907">
        <v>47154701</v>
      </c>
      <c r="L32" s="908">
        <v>0</v>
      </c>
      <c r="M32" s="908">
        <v>0</v>
      </c>
      <c r="N32" s="908">
        <v>0</v>
      </c>
      <c r="O32" s="907">
        <v>0</v>
      </c>
      <c r="P32" s="844">
        <f t="shared" si="2"/>
        <v>54025979</v>
      </c>
      <c r="Q32" s="908">
        <v>0</v>
      </c>
      <c r="R32" s="907">
        <v>0</v>
      </c>
      <c r="S32" s="908">
        <v>0</v>
      </c>
      <c r="T32" s="908">
        <v>0</v>
      </c>
      <c r="U32" s="908">
        <v>0</v>
      </c>
      <c r="V32" s="907">
        <v>0</v>
      </c>
      <c r="W32" s="387">
        <f t="shared" si="3"/>
        <v>0</v>
      </c>
      <c r="X32" s="909">
        <f t="shared" si="4"/>
        <v>22.91</v>
      </c>
      <c r="Y32" s="387">
        <f t="shared" si="5"/>
        <v>54025979</v>
      </c>
      <c r="Z32" s="387">
        <f t="shared" si="6"/>
        <v>0</v>
      </c>
      <c r="AA32" s="910">
        <f t="shared" si="7"/>
        <v>0</v>
      </c>
      <c r="AB32" s="911">
        <f t="shared" si="8"/>
        <v>24.74</v>
      </c>
      <c r="AC32" s="912">
        <f t="shared" si="9"/>
        <v>22.27</v>
      </c>
      <c r="AD32" s="937">
        <f t="shared" si="10"/>
        <v>54025979</v>
      </c>
      <c r="AE32" s="937">
        <f>IF('[1]Table 8 Membership'!AA33&gt;0,ROUND('Table 7 Local Revenue'!AD32*'[1]Table 8 Membership'!AA33,0),'Table 7 Local Revenue'!AD32)</f>
        <v>48623381</v>
      </c>
      <c r="AF32" s="913">
        <v>0.02</v>
      </c>
      <c r="AG32" s="914">
        <v>156047799</v>
      </c>
      <c r="AH32" s="915">
        <v>0</v>
      </c>
      <c r="AI32" s="915">
        <f t="shared" si="11"/>
        <v>156047799</v>
      </c>
      <c r="AJ32" s="937">
        <f>IF('[1]Table 8 Membership'!AA33&gt;0,ROUND('[1]Table 8 Membership'!AA33*'Table 7 Local Revenue'!AI32,0),'Table 7 Local Revenue'!AI32)</f>
        <v>140443019</v>
      </c>
      <c r="AK32" s="937">
        <v>7526910800</v>
      </c>
      <c r="AL32" s="937">
        <f t="shared" si="18"/>
        <v>7022150950</v>
      </c>
      <c r="AM32" s="913">
        <f t="shared" si="13"/>
        <v>-0.0670606924158049</v>
      </c>
      <c r="AN32" s="844">
        <f t="shared" si="14"/>
        <v>7022150950</v>
      </c>
      <c r="AO32" s="916">
        <f t="shared" si="15"/>
        <v>0.022222222238045167</v>
      </c>
      <c r="AP32" s="916">
        <f t="shared" si="16"/>
        <v>0</v>
      </c>
      <c r="AQ32" s="917">
        <f>'[8]04-05 Other Revenue'!O27</f>
        <v>2240249</v>
      </c>
      <c r="AR32" s="918">
        <f t="shared" si="17"/>
        <v>191306649</v>
      </c>
      <c r="AS32" s="918">
        <f>ROUND(AR32/'[1]Table 3 Levels 1&amp;2'!D33,2)</f>
        <v>4278.16</v>
      </c>
      <c r="AT32" s="918">
        <v>199282063</v>
      </c>
    </row>
    <row r="33" spans="1:46" ht="12.75">
      <c r="A33" s="835">
        <v>27</v>
      </c>
      <c r="B33" s="434" t="s">
        <v>310</v>
      </c>
      <c r="C33" s="905"/>
      <c r="D33" s="387">
        <v>153627950</v>
      </c>
      <c r="E33" s="387">
        <v>38982050</v>
      </c>
      <c r="F33" s="387">
        <f t="shared" si="1"/>
        <v>114645900</v>
      </c>
      <c r="G33" s="387">
        <f>IF('[1]Table 8 Membership'!AA34&gt;0,ROUND('[1]Table 8 Membership'!AA34*'Table 7 Local Revenue'!F33,0),'Table 7 Local Revenue'!F33)</f>
        <v>114645900</v>
      </c>
      <c r="H33" s="906">
        <v>6.48</v>
      </c>
      <c r="I33" s="907">
        <v>712617</v>
      </c>
      <c r="J33" s="908">
        <v>10.77</v>
      </c>
      <c r="K33" s="907">
        <v>1184396</v>
      </c>
      <c r="L33" s="908">
        <v>4.02</v>
      </c>
      <c r="M33" s="908">
        <v>22.55</v>
      </c>
      <c r="N33" s="908">
        <v>7</v>
      </c>
      <c r="O33" s="907">
        <v>1365690</v>
      </c>
      <c r="P33" s="844">
        <f t="shared" si="2"/>
        <v>3262703</v>
      </c>
      <c r="Q33" s="908">
        <v>0</v>
      </c>
      <c r="R33" s="907">
        <v>0</v>
      </c>
      <c r="S33" s="908">
        <v>7.25</v>
      </c>
      <c r="T33" s="908">
        <v>22.5</v>
      </c>
      <c r="U33" s="908">
        <v>7</v>
      </c>
      <c r="V33" s="907">
        <v>2039321</v>
      </c>
      <c r="W33" s="387">
        <f t="shared" si="3"/>
        <v>2039321</v>
      </c>
      <c r="X33" s="909">
        <f t="shared" si="4"/>
        <v>17.25</v>
      </c>
      <c r="Y33" s="387">
        <f t="shared" si="5"/>
        <v>1897013</v>
      </c>
      <c r="Z33" s="387">
        <f t="shared" si="6"/>
        <v>3405011</v>
      </c>
      <c r="AA33" s="910">
        <f t="shared" si="7"/>
        <v>17.79</v>
      </c>
      <c r="AB33" s="911">
        <f t="shared" si="8"/>
        <v>28.46</v>
      </c>
      <c r="AC33" s="912">
        <f t="shared" si="9"/>
        <v>46.25</v>
      </c>
      <c r="AD33" s="844">
        <f t="shared" si="10"/>
        <v>5302024</v>
      </c>
      <c r="AE33" s="844">
        <f>IF('[1]Table 8 Membership'!AA34&gt;0,ROUND('Table 7 Local Revenue'!AD33*'[1]Table 8 Membership'!AA34,0),'Table 7 Local Revenue'!AD33)</f>
        <v>5302024</v>
      </c>
      <c r="AF33" s="913">
        <v>0.025</v>
      </c>
      <c r="AG33" s="914">
        <v>7304887</v>
      </c>
      <c r="AH33" s="915">
        <v>1073956</v>
      </c>
      <c r="AI33" s="915">
        <f t="shared" si="11"/>
        <v>8378843</v>
      </c>
      <c r="AJ33" s="844">
        <f>IF('[1]Table 8 Membership'!AA34&gt;0,ROUND('[1]Table 8 Membership'!AA34*'Table 7 Local Revenue'!AI33,0),'Table 7 Local Revenue'!AI33)</f>
        <v>8378843</v>
      </c>
      <c r="AK33" s="844">
        <v>319913400</v>
      </c>
      <c r="AL33" s="844">
        <f t="shared" si="18"/>
        <v>335153720</v>
      </c>
      <c r="AM33" s="913">
        <f t="shared" si="13"/>
        <v>0.04763889227522198</v>
      </c>
      <c r="AN33" s="844">
        <f t="shared" si="14"/>
        <v>335153720</v>
      </c>
      <c r="AO33" s="916">
        <f t="shared" si="15"/>
        <v>0.021795631568702265</v>
      </c>
      <c r="AP33" s="916">
        <f t="shared" si="16"/>
        <v>0.003204368431297734</v>
      </c>
      <c r="AQ33" s="917">
        <f>'[8]04-05 Other Revenue'!O28</f>
        <v>307626</v>
      </c>
      <c r="AR33" s="918">
        <f t="shared" si="17"/>
        <v>13988493</v>
      </c>
      <c r="AS33" s="918">
        <f>ROUND(AR33/'[1]Table 3 Levels 1&amp;2'!D34,2)</f>
        <v>2473.21</v>
      </c>
      <c r="AT33" s="918">
        <v>13542987</v>
      </c>
    </row>
    <row r="34" spans="1:46" ht="12.75">
      <c r="A34" s="835">
        <v>28</v>
      </c>
      <c r="B34" s="434" t="s">
        <v>311</v>
      </c>
      <c r="C34" s="905"/>
      <c r="D34" s="387">
        <v>1213764199</v>
      </c>
      <c r="E34" s="387">
        <v>288630372</v>
      </c>
      <c r="F34" s="387">
        <f t="shared" si="1"/>
        <v>925133827</v>
      </c>
      <c r="G34" s="387">
        <f>IF('[1]Table 8 Membership'!AA35&gt;0,ROUND('[1]Table 8 Membership'!AA35*'Table 7 Local Revenue'!F34,0),'Table 7 Local Revenue'!F34)</f>
        <v>925133827</v>
      </c>
      <c r="H34" s="906">
        <v>4.59</v>
      </c>
      <c r="I34" s="907">
        <v>4119536</v>
      </c>
      <c r="J34" s="908">
        <v>28.97</v>
      </c>
      <c r="K34" s="907">
        <v>25992312</v>
      </c>
      <c r="L34" s="908">
        <v>0</v>
      </c>
      <c r="M34" s="908">
        <v>0</v>
      </c>
      <c r="N34" s="908">
        <v>0</v>
      </c>
      <c r="O34" s="907">
        <v>0</v>
      </c>
      <c r="P34" s="844">
        <f t="shared" si="2"/>
        <v>30111848</v>
      </c>
      <c r="Q34" s="908">
        <v>0.72</v>
      </c>
      <c r="R34" s="907">
        <v>663287</v>
      </c>
      <c r="S34" s="908">
        <v>0</v>
      </c>
      <c r="T34" s="908">
        <v>0</v>
      </c>
      <c r="U34" s="908">
        <v>0</v>
      </c>
      <c r="V34" s="907">
        <v>0</v>
      </c>
      <c r="W34" s="387">
        <f t="shared" si="3"/>
        <v>663287</v>
      </c>
      <c r="X34" s="909">
        <f t="shared" si="4"/>
        <v>34.28</v>
      </c>
      <c r="Y34" s="387">
        <f t="shared" si="5"/>
        <v>30775135</v>
      </c>
      <c r="Z34" s="387">
        <f t="shared" si="6"/>
        <v>0</v>
      </c>
      <c r="AA34" s="910">
        <f t="shared" si="7"/>
        <v>0.72</v>
      </c>
      <c r="AB34" s="911">
        <f t="shared" si="8"/>
        <v>32.55</v>
      </c>
      <c r="AC34" s="912">
        <f t="shared" si="9"/>
        <v>33.27</v>
      </c>
      <c r="AD34" s="844">
        <f t="shared" si="10"/>
        <v>30775135</v>
      </c>
      <c r="AE34" s="844">
        <f>IF('[1]Table 8 Membership'!AA35&gt;0,ROUND('Table 7 Local Revenue'!AD34*'[1]Table 8 Membership'!AA35,0),'Table 7 Local Revenue'!AD34)</f>
        <v>30775135</v>
      </c>
      <c r="AF34" s="913">
        <v>0.02</v>
      </c>
      <c r="AG34" s="914">
        <v>66004476</v>
      </c>
      <c r="AH34" s="915">
        <v>9422041</v>
      </c>
      <c r="AI34" s="915">
        <f t="shared" si="11"/>
        <v>75426517</v>
      </c>
      <c r="AJ34" s="844">
        <f>IF('[1]Table 8 Membership'!AA35&gt;0,ROUND('[1]Table 8 Membership'!AA35*'Table 7 Local Revenue'!AI34,0),'Table 7 Local Revenue'!AI34)</f>
        <v>75426517</v>
      </c>
      <c r="AK34" s="844">
        <v>3564209500</v>
      </c>
      <c r="AL34" s="844">
        <f t="shared" si="18"/>
        <v>3771325850</v>
      </c>
      <c r="AM34" s="913">
        <f t="shared" si="13"/>
        <v>0.05811003814450301</v>
      </c>
      <c r="AN34" s="844">
        <f t="shared" si="14"/>
        <v>3771325850</v>
      </c>
      <c r="AO34" s="916">
        <f t="shared" si="15"/>
        <v>0.01750166350648274</v>
      </c>
      <c r="AP34" s="916">
        <f t="shared" si="16"/>
        <v>0.00249833649351726</v>
      </c>
      <c r="AQ34" s="917">
        <f>'[8]04-05 Other Revenue'!O29</f>
        <v>2109558</v>
      </c>
      <c r="AR34" s="918">
        <f t="shared" si="17"/>
        <v>108311210</v>
      </c>
      <c r="AS34" s="918">
        <f>ROUND(AR34/'[1]Table 3 Levels 1&amp;2'!D35,2)</f>
        <v>3695.37</v>
      </c>
      <c r="AT34" s="918">
        <v>100837871.5</v>
      </c>
    </row>
    <row r="35" spans="1:46" ht="12.75">
      <c r="A35" s="835">
        <v>29</v>
      </c>
      <c r="B35" s="434" t="s">
        <v>312</v>
      </c>
      <c r="C35" s="905"/>
      <c r="D35" s="387">
        <v>577193220</v>
      </c>
      <c r="E35" s="387">
        <v>141480420</v>
      </c>
      <c r="F35" s="387">
        <f t="shared" si="1"/>
        <v>435712800</v>
      </c>
      <c r="G35" s="387">
        <f>IF('[1]Table 8 Membership'!AA36&gt;0,ROUND('[1]Table 8 Membership'!AA36*'Table 7 Local Revenue'!F35,0),'Table 7 Local Revenue'!F35)</f>
        <v>435712800</v>
      </c>
      <c r="H35" s="906">
        <v>3.63</v>
      </c>
      <c r="I35" s="907">
        <v>1643715</v>
      </c>
      <c r="J35" s="908">
        <v>22.47</v>
      </c>
      <c r="K35" s="907">
        <v>9398035</v>
      </c>
      <c r="L35" s="908">
        <v>0</v>
      </c>
      <c r="M35" s="908">
        <v>0</v>
      </c>
      <c r="N35" s="908">
        <v>0</v>
      </c>
      <c r="O35" s="907">
        <v>0</v>
      </c>
      <c r="P35" s="844">
        <f t="shared" si="2"/>
        <v>11041750</v>
      </c>
      <c r="Q35" s="908">
        <v>17.2</v>
      </c>
      <c r="R35" s="907">
        <v>7193868</v>
      </c>
      <c r="S35" s="908">
        <v>0</v>
      </c>
      <c r="T35" s="908">
        <v>0</v>
      </c>
      <c r="U35" s="908">
        <v>0</v>
      </c>
      <c r="V35" s="907">
        <v>0</v>
      </c>
      <c r="W35" s="387">
        <f t="shared" si="3"/>
        <v>7193868</v>
      </c>
      <c r="X35" s="909">
        <f t="shared" si="4"/>
        <v>43.3</v>
      </c>
      <c r="Y35" s="387">
        <f t="shared" si="5"/>
        <v>18235618</v>
      </c>
      <c r="Z35" s="387">
        <f t="shared" si="6"/>
        <v>0</v>
      </c>
      <c r="AA35" s="910">
        <f t="shared" si="7"/>
        <v>16.51</v>
      </c>
      <c r="AB35" s="911">
        <f t="shared" si="8"/>
        <v>25.34</v>
      </c>
      <c r="AC35" s="912">
        <f t="shared" si="9"/>
        <v>41.85</v>
      </c>
      <c r="AD35" s="844">
        <f t="shared" si="10"/>
        <v>18235618</v>
      </c>
      <c r="AE35" s="844">
        <f>IF('[1]Table 8 Membership'!AA36&gt;0,ROUND('Table 7 Local Revenue'!AD35*'[1]Table 8 Membership'!AA36,0),'Table 7 Local Revenue'!AD35)</f>
        <v>18235618</v>
      </c>
      <c r="AF35" s="913">
        <v>0.02</v>
      </c>
      <c r="AG35" s="914">
        <v>20180611</v>
      </c>
      <c r="AH35" s="915">
        <v>0</v>
      </c>
      <c r="AI35" s="915">
        <f t="shared" si="11"/>
        <v>20180611</v>
      </c>
      <c r="AJ35" s="844">
        <f>IF('[1]Table 8 Membership'!AA36&gt;0,ROUND('[1]Table 8 Membership'!AA36*'Table 7 Local Revenue'!AI35,0),'Table 7 Local Revenue'!AI35)</f>
        <v>20180611</v>
      </c>
      <c r="AK35" s="844">
        <v>1002894900</v>
      </c>
      <c r="AL35" s="844">
        <f t="shared" si="18"/>
        <v>1009030550</v>
      </c>
      <c r="AM35" s="913">
        <f t="shared" si="13"/>
        <v>0.006117939177873973</v>
      </c>
      <c r="AN35" s="844">
        <f t="shared" si="14"/>
        <v>1009030550</v>
      </c>
      <c r="AO35" s="916">
        <f t="shared" si="15"/>
        <v>0.02</v>
      </c>
      <c r="AP35" s="916">
        <f t="shared" si="16"/>
        <v>0</v>
      </c>
      <c r="AQ35" s="917">
        <f>'[8]04-05 Other Revenue'!O30</f>
        <v>1052746</v>
      </c>
      <c r="AR35" s="918">
        <f t="shared" si="17"/>
        <v>39468975</v>
      </c>
      <c r="AS35" s="918">
        <f>ROUND(AR35/'[1]Table 3 Levels 1&amp;2'!D36,2)</f>
        <v>2757.37</v>
      </c>
      <c r="AT35" s="918">
        <v>37818209</v>
      </c>
    </row>
    <row r="36" spans="1:46" ht="12.75">
      <c r="A36" s="838">
        <v>30</v>
      </c>
      <c r="B36" s="919" t="s">
        <v>313</v>
      </c>
      <c r="C36" s="920"/>
      <c r="D36" s="399">
        <v>58797768</v>
      </c>
      <c r="E36" s="399">
        <v>17583252</v>
      </c>
      <c r="F36" s="399">
        <f t="shared" si="1"/>
        <v>41214516</v>
      </c>
      <c r="G36" s="399">
        <f>IF('[1]Table 8 Membership'!AA37&gt;0,ROUND('[1]Table 8 Membership'!AA37*'Table 7 Local Revenue'!F36,0),'Table 7 Local Revenue'!F36)</f>
        <v>41214516</v>
      </c>
      <c r="H36" s="921">
        <v>5.38</v>
      </c>
      <c r="I36" s="922">
        <v>214081</v>
      </c>
      <c r="J36" s="923">
        <v>46</v>
      </c>
      <c r="K36" s="922">
        <v>1821509</v>
      </c>
      <c r="L36" s="923">
        <v>0</v>
      </c>
      <c r="M36" s="923">
        <v>0</v>
      </c>
      <c r="N36" s="923">
        <v>0</v>
      </c>
      <c r="O36" s="922">
        <v>0</v>
      </c>
      <c r="P36" s="847">
        <f t="shared" si="2"/>
        <v>2035590</v>
      </c>
      <c r="Q36" s="923">
        <v>1.43</v>
      </c>
      <c r="R36" s="922">
        <v>65830</v>
      </c>
      <c r="S36" s="923">
        <v>0</v>
      </c>
      <c r="T36" s="923">
        <v>0</v>
      </c>
      <c r="U36" s="923">
        <v>0</v>
      </c>
      <c r="V36" s="922">
        <v>0</v>
      </c>
      <c r="W36" s="399">
        <f t="shared" si="3"/>
        <v>65830</v>
      </c>
      <c r="X36" s="924">
        <f t="shared" si="4"/>
        <v>52.81</v>
      </c>
      <c r="Y36" s="399">
        <f t="shared" si="5"/>
        <v>2101420</v>
      </c>
      <c r="Z36" s="399">
        <f t="shared" si="6"/>
        <v>0</v>
      </c>
      <c r="AA36" s="925">
        <f t="shared" si="7"/>
        <v>1.6</v>
      </c>
      <c r="AB36" s="926">
        <f t="shared" si="8"/>
        <v>49.39</v>
      </c>
      <c r="AC36" s="927">
        <f t="shared" si="9"/>
        <v>50.99</v>
      </c>
      <c r="AD36" s="847">
        <f t="shared" si="10"/>
        <v>2101420</v>
      </c>
      <c r="AE36" s="847">
        <f>IF('[1]Table 8 Membership'!AA37&gt;0,ROUND('Table 7 Local Revenue'!AD36*'[1]Table 8 Membership'!AA37,0),'Table 7 Local Revenue'!AD36)</f>
        <v>2101420</v>
      </c>
      <c r="AF36" s="928">
        <v>0.02</v>
      </c>
      <c r="AG36" s="929">
        <v>2769318</v>
      </c>
      <c r="AH36" s="930">
        <v>0</v>
      </c>
      <c r="AI36" s="930">
        <f t="shared" si="11"/>
        <v>2769318</v>
      </c>
      <c r="AJ36" s="847">
        <f>IF('[1]Table 8 Membership'!AA37&gt;0,ROUND('[1]Table 8 Membership'!AA37*'Table 7 Local Revenue'!AI36,0),'Table 7 Local Revenue'!AI36)</f>
        <v>2769318</v>
      </c>
      <c r="AK36" s="847">
        <v>129467150</v>
      </c>
      <c r="AL36" s="847">
        <f t="shared" si="18"/>
        <v>138465900</v>
      </c>
      <c r="AM36" s="928">
        <f t="shared" si="13"/>
        <v>0.0695060484454937</v>
      </c>
      <c r="AN36" s="847">
        <f t="shared" si="14"/>
        <v>138465900</v>
      </c>
      <c r="AO36" s="931">
        <f t="shared" si="15"/>
        <v>0.02</v>
      </c>
      <c r="AP36" s="931">
        <f t="shared" si="16"/>
        <v>0</v>
      </c>
      <c r="AQ36" s="932">
        <f>'[8]04-05 Other Revenue'!O31</f>
        <v>65614</v>
      </c>
      <c r="AR36" s="933">
        <f t="shared" si="17"/>
        <v>4936352</v>
      </c>
      <c r="AS36" s="933">
        <f>ROUND(AR36/'[1]Table 3 Levels 1&amp;2'!D37,2)</f>
        <v>1961.2</v>
      </c>
      <c r="AT36" s="933">
        <v>4727852</v>
      </c>
    </row>
    <row r="37" spans="1:46" ht="12.75">
      <c r="A37" s="835">
        <v>31</v>
      </c>
      <c r="B37" s="434" t="s">
        <v>314</v>
      </c>
      <c r="C37" s="905"/>
      <c r="D37" s="387">
        <v>248687570</v>
      </c>
      <c r="E37" s="387">
        <v>49095530</v>
      </c>
      <c r="F37" s="387">
        <f t="shared" si="1"/>
        <v>199592040</v>
      </c>
      <c r="G37" s="387">
        <f>IF('[1]Table 8 Membership'!AA38&gt;0,ROUND('[1]Table 8 Membership'!AA38*'Table 7 Local Revenue'!F37,0),'Table 7 Local Revenue'!F37)</f>
        <v>199592040</v>
      </c>
      <c r="H37" s="906">
        <v>4.79</v>
      </c>
      <c r="I37" s="907">
        <v>874265</v>
      </c>
      <c r="J37" s="908">
        <v>31.1</v>
      </c>
      <c r="K37" s="907">
        <v>5668635</v>
      </c>
      <c r="L37" s="908">
        <v>4.94</v>
      </c>
      <c r="M37" s="908">
        <v>11.61</v>
      </c>
      <c r="N37" s="908">
        <v>3</v>
      </c>
      <c r="O37" s="907">
        <v>512755</v>
      </c>
      <c r="P37" s="844">
        <f t="shared" si="2"/>
        <v>7055655</v>
      </c>
      <c r="Q37" s="908">
        <v>0</v>
      </c>
      <c r="R37" s="907">
        <v>0</v>
      </c>
      <c r="S37" s="908">
        <v>16.95</v>
      </c>
      <c r="T37" s="908">
        <v>22</v>
      </c>
      <c r="U37" s="908">
        <v>3</v>
      </c>
      <c r="V37" s="907">
        <v>3164492</v>
      </c>
      <c r="W37" s="387">
        <f t="shared" si="3"/>
        <v>3164492</v>
      </c>
      <c r="X37" s="909">
        <f t="shared" si="4"/>
        <v>35.89</v>
      </c>
      <c r="Y37" s="387">
        <f t="shared" si="5"/>
        <v>6542900</v>
      </c>
      <c r="Z37" s="387">
        <f t="shared" si="6"/>
        <v>3677247</v>
      </c>
      <c r="AA37" s="910">
        <f t="shared" si="7"/>
        <v>15.85</v>
      </c>
      <c r="AB37" s="911">
        <f t="shared" si="8"/>
        <v>35.35</v>
      </c>
      <c r="AC37" s="912">
        <f t="shared" si="9"/>
        <v>51.21</v>
      </c>
      <c r="AD37" s="844">
        <f t="shared" si="10"/>
        <v>10220147</v>
      </c>
      <c r="AE37" s="844">
        <f>IF('[1]Table 8 Membership'!AA38&gt;0,ROUND('Table 7 Local Revenue'!AD37*'[1]Table 8 Membership'!AA38,0),'Table 7 Local Revenue'!AD37)</f>
        <v>10220147</v>
      </c>
      <c r="AF37" s="913">
        <v>0.02</v>
      </c>
      <c r="AG37" s="914">
        <v>10272536</v>
      </c>
      <c r="AH37" s="915">
        <v>0</v>
      </c>
      <c r="AI37" s="915">
        <f t="shared" si="11"/>
        <v>10272536</v>
      </c>
      <c r="AJ37" s="844">
        <f>IF('[1]Table 8 Membership'!AA38&gt;0,ROUND('[1]Table 8 Membership'!AA38*'Table 7 Local Revenue'!AI37,0),'Table 7 Local Revenue'!AI37)</f>
        <v>10272536</v>
      </c>
      <c r="AK37" s="844">
        <v>678479750</v>
      </c>
      <c r="AL37" s="844">
        <f t="shared" si="18"/>
        <v>513626800</v>
      </c>
      <c r="AM37" s="913">
        <f t="shared" si="13"/>
        <v>-0.24297401654212966</v>
      </c>
      <c r="AN37" s="844">
        <f t="shared" si="14"/>
        <v>513626800</v>
      </c>
      <c r="AO37" s="916">
        <f t="shared" si="15"/>
        <v>0.02</v>
      </c>
      <c r="AP37" s="916">
        <f t="shared" si="16"/>
        <v>0</v>
      </c>
      <c r="AQ37" s="917">
        <f>'[8]04-05 Other Revenue'!O32</f>
        <v>282590</v>
      </c>
      <c r="AR37" s="918">
        <f t="shared" si="17"/>
        <v>20775273</v>
      </c>
      <c r="AS37" s="918">
        <f>ROUND(AR37/'[1]Table 3 Levels 1&amp;2'!D38,2)</f>
        <v>3143.48</v>
      </c>
      <c r="AT37" s="918">
        <v>22041656.5</v>
      </c>
    </row>
    <row r="38" spans="1:46" ht="12.75">
      <c r="A38" s="835">
        <v>32</v>
      </c>
      <c r="B38" s="434" t="s">
        <v>315</v>
      </c>
      <c r="C38" s="905"/>
      <c r="D38" s="387">
        <v>372049770</v>
      </c>
      <c r="E38" s="387">
        <v>168748450</v>
      </c>
      <c r="F38" s="387">
        <f t="shared" si="1"/>
        <v>203301320</v>
      </c>
      <c r="G38" s="387">
        <f>IF('[1]Table 8 Membership'!AA39&gt;0,ROUND('[1]Table 8 Membership'!AA39*'Table 7 Local Revenue'!F38,0),'Table 7 Local Revenue'!F38)</f>
        <v>203301320</v>
      </c>
      <c r="H38" s="906">
        <v>3.29</v>
      </c>
      <c r="I38" s="907">
        <v>649473</v>
      </c>
      <c r="J38" s="908">
        <v>19.18</v>
      </c>
      <c r="K38" s="907">
        <v>3786310</v>
      </c>
      <c r="L38" s="908">
        <v>0</v>
      </c>
      <c r="M38" s="908">
        <v>0</v>
      </c>
      <c r="N38" s="908">
        <v>0</v>
      </c>
      <c r="O38" s="907">
        <v>0</v>
      </c>
      <c r="P38" s="844">
        <f t="shared" si="2"/>
        <v>4435783</v>
      </c>
      <c r="Q38" s="908">
        <v>0</v>
      </c>
      <c r="R38" s="907">
        <v>0</v>
      </c>
      <c r="S38" s="908">
        <v>6.37</v>
      </c>
      <c r="T38" s="908">
        <v>69.25</v>
      </c>
      <c r="U38" s="908">
        <v>10</v>
      </c>
      <c r="V38" s="907">
        <v>2993590</v>
      </c>
      <c r="W38" s="387">
        <f t="shared" si="3"/>
        <v>2993590</v>
      </c>
      <c r="X38" s="909">
        <f t="shared" si="4"/>
        <v>22.47</v>
      </c>
      <c r="Y38" s="387">
        <f t="shared" si="5"/>
        <v>4435783</v>
      </c>
      <c r="Z38" s="387">
        <f t="shared" si="6"/>
        <v>2993590</v>
      </c>
      <c r="AA38" s="910">
        <f t="shared" si="7"/>
        <v>14.72</v>
      </c>
      <c r="AB38" s="911">
        <f t="shared" si="8"/>
        <v>21.82</v>
      </c>
      <c r="AC38" s="912">
        <f t="shared" si="9"/>
        <v>36.54</v>
      </c>
      <c r="AD38" s="844">
        <f t="shared" si="10"/>
        <v>7429373</v>
      </c>
      <c r="AE38" s="844">
        <f>IF('[1]Table 8 Membership'!AA39&gt;0,ROUND('Table 7 Local Revenue'!AD38*'[1]Table 8 Membership'!AA39,0),'Table 7 Local Revenue'!AD38)</f>
        <v>7429373</v>
      </c>
      <c r="AF38" s="913">
        <v>0.025</v>
      </c>
      <c r="AG38" s="914">
        <v>22519499</v>
      </c>
      <c r="AH38" s="915">
        <v>334926</v>
      </c>
      <c r="AI38" s="915">
        <f t="shared" si="11"/>
        <v>22854425</v>
      </c>
      <c r="AJ38" s="844">
        <f>IF('[1]Table 8 Membership'!AA39&gt;0,ROUND('[1]Table 8 Membership'!AA39*'Table 7 Local Revenue'!AI38,0),'Table 7 Local Revenue'!AI38)</f>
        <v>22854425</v>
      </c>
      <c r="AK38" s="844">
        <v>846153040</v>
      </c>
      <c r="AL38" s="844">
        <f t="shared" si="18"/>
        <v>914177000</v>
      </c>
      <c r="AM38" s="913">
        <f t="shared" si="13"/>
        <v>0.08039202931895156</v>
      </c>
      <c r="AN38" s="844">
        <f t="shared" si="14"/>
        <v>914177000</v>
      </c>
      <c r="AO38" s="916">
        <f t="shared" si="15"/>
        <v>0.024633631123950832</v>
      </c>
      <c r="AP38" s="916">
        <f t="shared" si="16"/>
        <v>0.0003663688760491677</v>
      </c>
      <c r="AQ38" s="917">
        <f>'[8]04-05 Other Revenue'!O33</f>
        <v>724187</v>
      </c>
      <c r="AR38" s="918">
        <f t="shared" si="17"/>
        <v>31007985</v>
      </c>
      <c r="AS38" s="918">
        <f>ROUND(AR38/'[1]Table 3 Levels 1&amp;2'!D39,2)</f>
        <v>1395.5</v>
      </c>
      <c r="AT38" s="918">
        <v>28561681</v>
      </c>
    </row>
    <row r="39" spans="1:46" ht="12.75">
      <c r="A39" s="835">
        <v>33</v>
      </c>
      <c r="B39" s="434" t="s">
        <v>316</v>
      </c>
      <c r="C39" s="905"/>
      <c r="D39" s="387">
        <v>55072747</v>
      </c>
      <c r="E39" s="387">
        <v>10267943</v>
      </c>
      <c r="F39" s="387">
        <f aca="true" t="shared" si="19" ref="F39:F70">D39-E39</f>
        <v>44804804</v>
      </c>
      <c r="G39" s="387">
        <f>IF('[1]Table 8 Membership'!AA40&gt;0,ROUND('[1]Table 8 Membership'!AA40*'Table 7 Local Revenue'!F39,0),'Table 7 Local Revenue'!F39)</f>
        <v>44804804</v>
      </c>
      <c r="H39" s="906">
        <v>4.76</v>
      </c>
      <c r="I39" s="907">
        <v>200720</v>
      </c>
      <c r="J39" s="908">
        <v>5.27</v>
      </c>
      <c r="K39" s="907">
        <v>245994</v>
      </c>
      <c r="L39" s="908">
        <v>0</v>
      </c>
      <c r="M39" s="908">
        <v>0</v>
      </c>
      <c r="N39" s="908">
        <v>0</v>
      </c>
      <c r="O39" s="907">
        <v>0</v>
      </c>
      <c r="P39" s="844">
        <f aca="true" t="shared" si="20" ref="P39:P70">I39+K39+O39</f>
        <v>446714</v>
      </c>
      <c r="Q39" s="908">
        <v>0</v>
      </c>
      <c r="R39" s="907">
        <v>0</v>
      </c>
      <c r="S39" s="908">
        <v>0</v>
      </c>
      <c r="T39" s="908">
        <v>0</v>
      </c>
      <c r="U39" s="908">
        <v>0</v>
      </c>
      <c r="V39" s="907">
        <v>0</v>
      </c>
      <c r="W39" s="387">
        <f aca="true" t="shared" si="21" ref="W39:W70">R39+V39</f>
        <v>0</v>
      </c>
      <c r="X39" s="909">
        <f aca="true" t="shared" si="22" ref="X39:X74">H39+J39+Q39</f>
        <v>10.03</v>
      </c>
      <c r="Y39" s="387">
        <f aca="true" t="shared" si="23" ref="Y39:Y74">I39+K39+R39</f>
        <v>446714</v>
      </c>
      <c r="Z39" s="387">
        <f aca="true" t="shared" si="24" ref="Z39:Z74">O39+V39</f>
        <v>0</v>
      </c>
      <c r="AA39" s="910">
        <f aca="true" t="shared" si="25" ref="AA39:AA74">ROUND((W39/G39)*1000,2)</f>
        <v>0</v>
      </c>
      <c r="AB39" s="911">
        <f aca="true" t="shared" si="26" ref="AB39:AB74">ROUND((P39/G39)*1000,2)</f>
        <v>9.97</v>
      </c>
      <c r="AC39" s="912">
        <f aca="true" t="shared" si="27" ref="AC39:AC74">ROUND((AE39/G39)*1000,2)</f>
        <v>9.97</v>
      </c>
      <c r="AD39" s="844">
        <f aca="true" t="shared" si="28" ref="AD39:AD74">P39+W39</f>
        <v>446714</v>
      </c>
      <c r="AE39" s="844">
        <f>IF('[1]Table 8 Membership'!AA40&gt;0,ROUND('Table 7 Local Revenue'!AD39*'[1]Table 8 Membership'!AA40,0),'Table 7 Local Revenue'!AD39)</f>
        <v>446714</v>
      </c>
      <c r="AF39" s="913">
        <v>0.02</v>
      </c>
      <c r="AG39" s="914">
        <v>1395439</v>
      </c>
      <c r="AH39" s="915">
        <v>345466</v>
      </c>
      <c r="AI39" s="915">
        <f aca="true" t="shared" si="29" ref="AI39:AI70">AG39+AH39</f>
        <v>1740905</v>
      </c>
      <c r="AJ39" s="844">
        <f>IF('[1]Table 8 Membership'!AA40&gt;0,ROUND('[1]Table 8 Membership'!AA40*'Table 7 Local Revenue'!AI39,0),'Table 7 Local Revenue'!AI39)</f>
        <v>1740905</v>
      </c>
      <c r="AK39" s="844">
        <v>99884800</v>
      </c>
      <c r="AL39" s="844">
        <f t="shared" si="18"/>
        <v>87045250</v>
      </c>
      <c r="AM39" s="913">
        <f aca="true" t="shared" si="30" ref="AM39:AM70">(AL39-AK39)/AK39</f>
        <v>-0.12854358220670212</v>
      </c>
      <c r="AN39" s="844">
        <f aca="true" t="shared" si="31" ref="AN39:AN74">IF((AL39-AK39)/AK39&gt;0.15,AK39*1.15,AL39)</f>
        <v>87045250</v>
      </c>
      <c r="AO39" s="916">
        <f aca="true" t="shared" si="32" ref="AO39:AO74">AG39/AL39</f>
        <v>0.016031190673816205</v>
      </c>
      <c r="AP39" s="916">
        <f aca="true" t="shared" si="33" ref="AP39:AP74">AH39/AL39</f>
        <v>0.0039688093261837955</v>
      </c>
      <c r="AQ39" s="917">
        <f>'[8]04-05 Other Revenue'!O34</f>
        <v>14617</v>
      </c>
      <c r="AR39" s="918">
        <f aca="true" t="shared" si="34" ref="AR39:AR70">+AQ39+AJ39+AE39</f>
        <v>2202236</v>
      </c>
      <c r="AS39" s="918">
        <f>ROUND(AR39/'[1]Table 3 Levels 1&amp;2'!D40,2)</f>
        <v>1017.67</v>
      </c>
      <c r="AT39" s="918">
        <v>1966365</v>
      </c>
    </row>
    <row r="40" spans="1:46" ht="12.75">
      <c r="A40" s="835">
        <v>34</v>
      </c>
      <c r="B40" s="434" t="s">
        <v>317</v>
      </c>
      <c r="C40" s="905"/>
      <c r="D40" s="387">
        <v>166083470</v>
      </c>
      <c r="E40" s="387">
        <v>33934790</v>
      </c>
      <c r="F40" s="387">
        <f t="shared" si="19"/>
        <v>132148680</v>
      </c>
      <c r="G40" s="387">
        <f>IF('[1]Table 8 Membership'!AA41&gt;0,ROUND('[1]Table 8 Membership'!AA41*'Table 7 Local Revenue'!F40,0),'Table 7 Local Revenue'!F40)</f>
        <v>132148680</v>
      </c>
      <c r="H40" s="906">
        <v>5.57</v>
      </c>
      <c r="I40" s="907">
        <v>654818</v>
      </c>
      <c r="J40" s="908">
        <v>23.29</v>
      </c>
      <c r="K40" s="907">
        <v>2817389</v>
      </c>
      <c r="L40" s="908">
        <v>5</v>
      </c>
      <c r="M40" s="908">
        <v>10</v>
      </c>
      <c r="N40" s="908">
        <v>2</v>
      </c>
      <c r="O40" s="907">
        <v>260062</v>
      </c>
      <c r="P40" s="844">
        <f t="shared" si="20"/>
        <v>3732269</v>
      </c>
      <c r="Q40" s="908">
        <v>10</v>
      </c>
      <c r="R40" s="907">
        <v>1266751</v>
      </c>
      <c r="S40" s="908">
        <v>0</v>
      </c>
      <c r="T40" s="908">
        <v>0</v>
      </c>
      <c r="U40" s="908">
        <v>0</v>
      </c>
      <c r="V40" s="907">
        <v>0</v>
      </c>
      <c r="W40" s="387">
        <f t="shared" si="21"/>
        <v>1266751</v>
      </c>
      <c r="X40" s="909">
        <f t="shared" si="22"/>
        <v>38.86</v>
      </c>
      <c r="Y40" s="387">
        <f t="shared" si="23"/>
        <v>4738958</v>
      </c>
      <c r="Z40" s="387">
        <f t="shared" si="24"/>
        <v>260062</v>
      </c>
      <c r="AA40" s="910">
        <f t="shared" si="25"/>
        <v>9.59</v>
      </c>
      <c r="AB40" s="911">
        <f t="shared" si="26"/>
        <v>28.24</v>
      </c>
      <c r="AC40" s="912">
        <f t="shared" si="27"/>
        <v>37.83</v>
      </c>
      <c r="AD40" s="844">
        <f t="shared" si="28"/>
        <v>4999020</v>
      </c>
      <c r="AE40" s="844">
        <f>IF('[1]Table 8 Membership'!AA41&gt;0,ROUND('Table 7 Local Revenue'!AD40*'[1]Table 8 Membership'!AA41,0),'Table 7 Local Revenue'!AD40)</f>
        <v>4999020</v>
      </c>
      <c r="AF40" s="913">
        <v>0.02</v>
      </c>
      <c r="AG40" s="914">
        <v>5858805</v>
      </c>
      <c r="AH40" s="915">
        <v>0</v>
      </c>
      <c r="AI40" s="915">
        <f t="shared" si="29"/>
        <v>5858805</v>
      </c>
      <c r="AJ40" s="844">
        <f>IF('[1]Table 8 Membership'!AA41&gt;0,ROUND('[1]Table 8 Membership'!AA41*'Table 7 Local Revenue'!AI40,0),'Table 7 Local Revenue'!AI40)</f>
        <v>5858805</v>
      </c>
      <c r="AK40" s="844">
        <v>291344947</v>
      </c>
      <c r="AL40" s="844">
        <f t="shared" si="18"/>
        <v>292940250</v>
      </c>
      <c r="AM40" s="913">
        <f t="shared" si="30"/>
        <v>0.005475650140587473</v>
      </c>
      <c r="AN40" s="844">
        <f t="shared" si="31"/>
        <v>292940250</v>
      </c>
      <c r="AO40" s="916">
        <f t="shared" si="32"/>
        <v>0.02</v>
      </c>
      <c r="AP40" s="916">
        <f t="shared" si="33"/>
        <v>0</v>
      </c>
      <c r="AQ40" s="917">
        <f>'[8]04-05 Other Revenue'!O35</f>
        <v>311894</v>
      </c>
      <c r="AR40" s="918">
        <f t="shared" si="34"/>
        <v>11169719</v>
      </c>
      <c r="AS40" s="918">
        <f>ROUND(AR40/'[1]Table 3 Levels 1&amp;2'!D41,2)</f>
        <v>2294.52</v>
      </c>
      <c r="AT40" s="918">
        <v>10274412.5</v>
      </c>
    </row>
    <row r="41" spans="1:46" ht="12.75">
      <c r="A41" s="838">
        <v>35</v>
      </c>
      <c r="B41" s="919" t="s">
        <v>318</v>
      </c>
      <c r="C41" s="920"/>
      <c r="D41" s="399">
        <v>182800230</v>
      </c>
      <c r="E41" s="399">
        <v>43365750</v>
      </c>
      <c r="F41" s="399">
        <f t="shared" si="19"/>
        <v>139434480</v>
      </c>
      <c r="G41" s="399">
        <f>IF('[1]Table 8 Membership'!AA42&gt;0,ROUND('[1]Table 8 Membership'!AA42*'Table 7 Local Revenue'!F41,0),'Table 7 Local Revenue'!F41)</f>
        <v>139434480</v>
      </c>
      <c r="H41" s="921">
        <v>4.65</v>
      </c>
      <c r="I41" s="922">
        <v>622626</v>
      </c>
      <c r="J41" s="923">
        <v>7</v>
      </c>
      <c r="K41" s="922">
        <v>937286</v>
      </c>
      <c r="L41" s="923">
        <v>7</v>
      </c>
      <c r="M41" s="923">
        <v>20</v>
      </c>
      <c r="N41" s="923">
        <v>5</v>
      </c>
      <c r="O41" s="922">
        <v>996267</v>
      </c>
      <c r="P41" s="847">
        <f t="shared" si="20"/>
        <v>2556179</v>
      </c>
      <c r="Q41" s="923">
        <v>0</v>
      </c>
      <c r="R41" s="922">
        <v>0</v>
      </c>
      <c r="S41" s="923">
        <v>35</v>
      </c>
      <c r="T41" s="923">
        <v>39</v>
      </c>
      <c r="U41" s="923">
        <v>3</v>
      </c>
      <c r="V41" s="922">
        <v>4011484</v>
      </c>
      <c r="W41" s="399">
        <f t="shared" si="21"/>
        <v>4011484</v>
      </c>
      <c r="X41" s="924">
        <f t="shared" si="22"/>
        <v>11.65</v>
      </c>
      <c r="Y41" s="399">
        <f t="shared" si="23"/>
        <v>1559912</v>
      </c>
      <c r="Z41" s="399">
        <f t="shared" si="24"/>
        <v>5007751</v>
      </c>
      <c r="AA41" s="925">
        <f t="shared" si="25"/>
        <v>28.77</v>
      </c>
      <c r="AB41" s="926">
        <f t="shared" si="26"/>
        <v>18.33</v>
      </c>
      <c r="AC41" s="927">
        <f t="shared" si="27"/>
        <v>47.1</v>
      </c>
      <c r="AD41" s="847">
        <f t="shared" si="28"/>
        <v>6567663</v>
      </c>
      <c r="AE41" s="847">
        <f>IF('[1]Table 8 Membership'!AA42&gt;0,ROUND('Table 7 Local Revenue'!AD41*'[1]Table 8 Membership'!AA42,0),'Table 7 Local Revenue'!AD41)</f>
        <v>6567663</v>
      </c>
      <c r="AF41" s="928">
        <v>0.02</v>
      </c>
      <c r="AG41" s="929">
        <v>9039452</v>
      </c>
      <c r="AH41" s="930">
        <v>0</v>
      </c>
      <c r="AI41" s="930">
        <f t="shared" si="29"/>
        <v>9039452</v>
      </c>
      <c r="AJ41" s="847">
        <f>IF('[1]Table 8 Membership'!AA42&gt;0,ROUND('[1]Table 8 Membership'!AA42*'Table 7 Local Revenue'!AI41,0),'Table 7 Local Revenue'!AI41)</f>
        <v>9039452</v>
      </c>
      <c r="AK41" s="847">
        <v>445042467</v>
      </c>
      <c r="AL41" s="847">
        <f t="shared" si="18"/>
        <v>451972600</v>
      </c>
      <c r="AM41" s="928">
        <f t="shared" si="30"/>
        <v>0.015571846540208937</v>
      </c>
      <c r="AN41" s="847">
        <f t="shared" si="31"/>
        <v>451972600</v>
      </c>
      <c r="AO41" s="931">
        <f t="shared" si="32"/>
        <v>0.02</v>
      </c>
      <c r="AP41" s="931">
        <f t="shared" si="33"/>
        <v>0</v>
      </c>
      <c r="AQ41" s="932">
        <f>'[8]04-05 Other Revenue'!O36</f>
        <v>681572</v>
      </c>
      <c r="AR41" s="933">
        <f t="shared" si="34"/>
        <v>16288687</v>
      </c>
      <c r="AS41" s="933">
        <f>ROUND(AR41/'[1]Table 3 Levels 1&amp;2'!D42,2)</f>
        <v>2489.1</v>
      </c>
      <c r="AT41" s="933">
        <v>13297123.5</v>
      </c>
    </row>
    <row r="42" spans="1:46" ht="12.75">
      <c r="A42" s="835">
        <v>36</v>
      </c>
      <c r="B42" s="434" t="s">
        <v>522</v>
      </c>
      <c r="C42" s="905"/>
      <c r="D42" s="387">
        <v>2604609957</v>
      </c>
      <c r="E42" s="387">
        <v>465989854</v>
      </c>
      <c r="F42" s="387">
        <f t="shared" si="19"/>
        <v>2138620103</v>
      </c>
      <c r="G42" s="936">
        <f>IF('[1]Table 8 Membership'!AA43&gt;0,ROUND('[1]Table 8 Membership'!AA43*'Table 7 Local Revenue'!F42,0),'Table 7 Local Revenue'!F42)</f>
        <v>748517036</v>
      </c>
      <c r="H42" s="906">
        <v>27.65</v>
      </c>
      <c r="I42" s="907">
        <v>56664467</v>
      </c>
      <c r="J42" s="908">
        <v>14.26</v>
      </c>
      <c r="K42" s="907">
        <v>35761119</v>
      </c>
      <c r="L42" s="908">
        <v>0</v>
      </c>
      <c r="M42" s="908">
        <v>0</v>
      </c>
      <c r="N42" s="908">
        <v>7</v>
      </c>
      <c r="O42" s="907">
        <v>0</v>
      </c>
      <c r="P42" s="844">
        <f t="shared" si="20"/>
        <v>92425586</v>
      </c>
      <c r="Q42" s="908">
        <v>10.89</v>
      </c>
      <c r="R42" s="907">
        <v>15779978</v>
      </c>
      <c r="S42" s="908">
        <v>0</v>
      </c>
      <c r="T42" s="908">
        <v>0</v>
      </c>
      <c r="U42" s="908">
        <v>7</v>
      </c>
      <c r="V42" s="907">
        <v>0</v>
      </c>
      <c r="W42" s="387">
        <f t="shared" si="21"/>
        <v>15779978</v>
      </c>
      <c r="X42" s="909">
        <f t="shared" si="22"/>
        <v>52.8</v>
      </c>
      <c r="Y42" s="387">
        <f t="shared" si="23"/>
        <v>108205564</v>
      </c>
      <c r="Z42" s="387">
        <f t="shared" si="24"/>
        <v>0</v>
      </c>
      <c r="AA42" s="910">
        <f t="shared" si="25"/>
        <v>21.08</v>
      </c>
      <c r="AB42" s="911">
        <f t="shared" si="26"/>
        <v>123.48</v>
      </c>
      <c r="AC42" s="912">
        <f t="shared" si="27"/>
        <v>50.6</v>
      </c>
      <c r="AD42" s="937">
        <f t="shared" si="28"/>
        <v>108205564</v>
      </c>
      <c r="AE42" s="937">
        <f>IF('[1]Table 8 Membership'!AA43&gt;0,ROUND('Table 7 Local Revenue'!AD42*'[1]Table 8 Membership'!AA43,0),'Table 7 Local Revenue'!AD42)</f>
        <v>37871947</v>
      </c>
      <c r="AF42" s="913">
        <v>0.015</v>
      </c>
      <c r="AG42" s="914">
        <v>90053680</v>
      </c>
      <c r="AH42" s="915">
        <v>0</v>
      </c>
      <c r="AI42" s="915">
        <f t="shared" si="29"/>
        <v>90053680</v>
      </c>
      <c r="AJ42" s="937">
        <f>IF('[1]Table 8 Membership'!AA43&gt;0,ROUND('[1]Table 8 Membership'!AA43*'Table 7 Local Revenue'!AI42,0),'Table 7 Local Revenue'!AI42)</f>
        <v>31518788</v>
      </c>
      <c r="AK42" s="937">
        <v>6178357667</v>
      </c>
      <c r="AL42" s="937">
        <f t="shared" si="18"/>
        <v>2101252533</v>
      </c>
      <c r="AM42" s="913">
        <f t="shared" si="30"/>
        <v>-0.6599011183468282</v>
      </c>
      <c r="AN42" s="844">
        <f t="shared" si="31"/>
        <v>2101252533</v>
      </c>
      <c r="AO42" s="916">
        <f t="shared" si="32"/>
        <v>0.04285714286394152</v>
      </c>
      <c r="AP42" s="916">
        <f t="shared" si="33"/>
        <v>0</v>
      </c>
      <c r="AQ42" s="917">
        <f>'[8]04-05 Other Revenue'!O37</f>
        <v>2850361</v>
      </c>
      <c r="AR42" s="945">
        <f t="shared" si="34"/>
        <v>72241096</v>
      </c>
      <c r="AS42" s="945">
        <f>ROUND(AR42/'[1]Table 3 Levels 1&amp;2'!D43,2)</f>
        <v>3300.94</v>
      </c>
      <c r="AT42" s="945">
        <v>196228687</v>
      </c>
    </row>
    <row r="43" spans="1:46" ht="12.75">
      <c r="A43" s="835">
        <v>37</v>
      </c>
      <c r="B43" s="434" t="s">
        <v>320</v>
      </c>
      <c r="C43" s="905"/>
      <c r="D43" s="387">
        <v>493749241</v>
      </c>
      <c r="E43" s="387">
        <v>136296941</v>
      </c>
      <c r="F43" s="387">
        <f t="shared" si="19"/>
        <v>357452300</v>
      </c>
      <c r="G43" s="387">
        <f>IF('[1]Table 8 Membership'!AA44&gt;0,ROUND('[1]Table 8 Membership'!AA44*'Table 7 Local Revenue'!F43,0),'Table 7 Local Revenue'!F43)</f>
        <v>357452300</v>
      </c>
      <c r="H43" s="906">
        <v>5.17</v>
      </c>
      <c r="I43" s="907">
        <v>1799817</v>
      </c>
      <c r="J43" s="908">
        <v>24.09</v>
      </c>
      <c r="K43" s="907">
        <v>8386340</v>
      </c>
      <c r="L43" s="908">
        <v>0</v>
      </c>
      <c r="M43" s="908">
        <v>0</v>
      </c>
      <c r="N43" s="908">
        <v>0</v>
      </c>
      <c r="O43" s="907">
        <v>0</v>
      </c>
      <c r="P43" s="844">
        <f t="shared" si="20"/>
        <v>10186157</v>
      </c>
      <c r="Q43" s="908">
        <v>0</v>
      </c>
      <c r="R43" s="907">
        <v>5407616</v>
      </c>
      <c r="S43" s="908">
        <v>8</v>
      </c>
      <c r="T43" s="908">
        <v>30</v>
      </c>
      <c r="U43" s="908">
        <v>2</v>
      </c>
      <c r="V43" s="907">
        <v>0</v>
      </c>
      <c r="W43" s="387">
        <f t="shared" si="21"/>
        <v>5407616</v>
      </c>
      <c r="X43" s="909">
        <f t="shared" si="22"/>
        <v>29.259999999999998</v>
      </c>
      <c r="Y43" s="387">
        <f t="shared" si="23"/>
        <v>15593773</v>
      </c>
      <c r="Z43" s="387">
        <f t="shared" si="24"/>
        <v>0</v>
      </c>
      <c r="AA43" s="910">
        <f t="shared" si="25"/>
        <v>15.13</v>
      </c>
      <c r="AB43" s="911">
        <f t="shared" si="26"/>
        <v>28.5</v>
      </c>
      <c r="AC43" s="912">
        <f t="shared" si="27"/>
        <v>43.62</v>
      </c>
      <c r="AD43" s="844">
        <f t="shared" si="28"/>
        <v>15593773</v>
      </c>
      <c r="AE43" s="844">
        <f>IF('[1]Table 8 Membership'!AA44&gt;0,ROUND('Table 7 Local Revenue'!AD43*'[1]Table 8 Membership'!AA44,0),'Table 7 Local Revenue'!AD43)</f>
        <v>15593773</v>
      </c>
      <c r="AF43" s="913">
        <v>0.03</v>
      </c>
      <c r="AG43" s="914">
        <v>28853074</v>
      </c>
      <c r="AH43" s="915">
        <v>0</v>
      </c>
      <c r="AI43" s="915">
        <f t="shared" si="29"/>
        <v>28853074</v>
      </c>
      <c r="AJ43" s="844">
        <f>IF('[1]Table 8 Membership'!AA44&gt;0,ROUND('[1]Table 8 Membership'!AA44*'Table 7 Local Revenue'!AI43,0),'Table 7 Local Revenue'!AI43)</f>
        <v>28853074</v>
      </c>
      <c r="AK43" s="844">
        <v>1003892900</v>
      </c>
      <c r="AL43" s="844">
        <f t="shared" si="18"/>
        <v>961769133</v>
      </c>
      <c r="AM43" s="913">
        <f t="shared" si="30"/>
        <v>-0.04196041928377021</v>
      </c>
      <c r="AN43" s="844">
        <f t="shared" si="31"/>
        <v>961769133</v>
      </c>
      <c r="AO43" s="916">
        <f t="shared" si="32"/>
        <v>0.030000000010397505</v>
      </c>
      <c r="AP43" s="916">
        <f t="shared" si="33"/>
        <v>0</v>
      </c>
      <c r="AQ43" s="917">
        <f>'[8]04-05 Other Revenue'!O38</f>
        <v>1026336</v>
      </c>
      <c r="AR43" s="918">
        <f t="shared" si="34"/>
        <v>45473183</v>
      </c>
      <c r="AS43" s="918">
        <f>ROUND(AR43/'[1]Table 3 Levels 1&amp;2'!D44,2)</f>
        <v>2524.46</v>
      </c>
      <c r="AT43" s="918">
        <v>46604235</v>
      </c>
    </row>
    <row r="44" spans="1:46" ht="12.75">
      <c r="A44" s="835">
        <v>38</v>
      </c>
      <c r="B44" s="434" t="s">
        <v>321</v>
      </c>
      <c r="C44" s="905"/>
      <c r="D44" s="387">
        <v>623690095</v>
      </c>
      <c r="E44" s="387">
        <v>34108705</v>
      </c>
      <c r="F44" s="387">
        <f t="shared" si="19"/>
        <v>589581390</v>
      </c>
      <c r="G44" s="936">
        <f>IF('[1]Table 8 Membership'!AA45&gt;0,ROUND('[1]Table 8 Membership'!AA45*'Table 7 Local Revenue'!F44,0),'Table 7 Local Revenue'!F44)</f>
        <v>442186043</v>
      </c>
      <c r="H44" s="906">
        <v>6.03</v>
      </c>
      <c r="I44" s="907">
        <v>3390478</v>
      </c>
      <c r="J44" s="908">
        <v>18.38</v>
      </c>
      <c r="K44" s="907">
        <v>10244081</v>
      </c>
      <c r="L44" s="908">
        <v>0</v>
      </c>
      <c r="M44" s="908">
        <v>0</v>
      </c>
      <c r="N44" s="908">
        <v>0</v>
      </c>
      <c r="O44" s="907">
        <v>0</v>
      </c>
      <c r="P44" s="844">
        <f t="shared" si="20"/>
        <v>13634559</v>
      </c>
      <c r="Q44" s="908">
        <v>0</v>
      </c>
      <c r="R44" s="907">
        <v>0</v>
      </c>
      <c r="S44" s="908">
        <v>0</v>
      </c>
      <c r="T44" s="908">
        <v>0</v>
      </c>
      <c r="U44" s="908">
        <v>0</v>
      </c>
      <c r="V44" s="907">
        <v>0</v>
      </c>
      <c r="W44" s="387">
        <f t="shared" si="21"/>
        <v>0</v>
      </c>
      <c r="X44" s="909">
        <f t="shared" si="22"/>
        <v>24.41</v>
      </c>
      <c r="Y44" s="387">
        <f t="shared" si="23"/>
        <v>13634559</v>
      </c>
      <c r="Z44" s="387">
        <f t="shared" si="24"/>
        <v>0</v>
      </c>
      <c r="AA44" s="910">
        <f t="shared" si="25"/>
        <v>0</v>
      </c>
      <c r="AB44" s="911">
        <f t="shared" si="26"/>
        <v>30.83</v>
      </c>
      <c r="AC44" s="912">
        <f t="shared" si="27"/>
        <v>23.13</v>
      </c>
      <c r="AD44" s="937">
        <f t="shared" si="28"/>
        <v>13634559</v>
      </c>
      <c r="AE44" s="937">
        <f>IF('[1]Table 8 Membership'!AA45&gt;0,ROUND('Table 7 Local Revenue'!AD44*'[1]Table 8 Membership'!AA45,0),'Table 7 Local Revenue'!AD44)</f>
        <v>10225919</v>
      </c>
      <c r="AF44" s="913">
        <v>0.02</v>
      </c>
      <c r="AG44" s="914">
        <v>10725769</v>
      </c>
      <c r="AH44" s="915">
        <v>1226031</v>
      </c>
      <c r="AI44" s="915">
        <f t="shared" si="29"/>
        <v>11951800</v>
      </c>
      <c r="AJ44" s="937">
        <f>IF('[1]Table 8 Membership'!AA45&gt;0,ROUND('[1]Table 8 Membership'!AA45*'Table 7 Local Revenue'!AI44,0),'Table 7 Local Revenue'!AI44)</f>
        <v>8963850</v>
      </c>
      <c r="AK44" s="937">
        <v>624657700</v>
      </c>
      <c r="AL44" s="937">
        <f t="shared" si="18"/>
        <v>448192500</v>
      </c>
      <c r="AM44" s="913">
        <f t="shared" si="30"/>
        <v>-0.28249903907371987</v>
      </c>
      <c r="AN44" s="844">
        <f t="shared" si="31"/>
        <v>448192500</v>
      </c>
      <c r="AO44" s="916">
        <f t="shared" si="32"/>
        <v>0.023931165737936265</v>
      </c>
      <c r="AP44" s="916">
        <f t="shared" si="33"/>
        <v>0.0027355009287304004</v>
      </c>
      <c r="AQ44" s="917">
        <f>'[8]04-05 Other Revenue'!O39</f>
        <v>1637187</v>
      </c>
      <c r="AR44" s="945">
        <f t="shared" si="34"/>
        <v>20826956</v>
      </c>
      <c r="AS44" s="945">
        <f>ROUND(AR44/'[1]Table 3 Levels 1&amp;2'!D45,2)</f>
        <v>5786.87</v>
      </c>
      <c r="AT44" s="945">
        <v>25565466</v>
      </c>
    </row>
    <row r="45" spans="1:46" ht="12.75">
      <c r="A45" s="835">
        <v>39</v>
      </c>
      <c r="B45" s="434" t="s">
        <v>322</v>
      </c>
      <c r="C45" s="905"/>
      <c r="D45" s="387">
        <v>278105433</v>
      </c>
      <c r="E45" s="387">
        <v>34806740</v>
      </c>
      <c r="F45" s="387">
        <f t="shared" si="19"/>
        <v>243298693</v>
      </c>
      <c r="G45" s="387">
        <f>IF('[1]Table 8 Membership'!AA46&gt;0,ROUND('[1]Table 8 Membership'!AA46*'Table 7 Local Revenue'!F45,0),'Table 7 Local Revenue'!F45)</f>
        <v>243298693</v>
      </c>
      <c r="H45" s="906">
        <v>4.54</v>
      </c>
      <c r="I45" s="907">
        <v>1093353</v>
      </c>
      <c r="J45" s="908">
        <v>11.96</v>
      </c>
      <c r="K45" s="907">
        <v>2880294</v>
      </c>
      <c r="L45" s="908">
        <v>0</v>
      </c>
      <c r="M45" s="908">
        <v>0</v>
      </c>
      <c r="N45" s="908">
        <v>0</v>
      </c>
      <c r="O45" s="907">
        <v>0</v>
      </c>
      <c r="P45" s="844">
        <f t="shared" si="20"/>
        <v>3973647</v>
      </c>
      <c r="Q45" s="908">
        <v>0</v>
      </c>
      <c r="R45" s="907">
        <v>0</v>
      </c>
      <c r="S45" s="908">
        <v>2.56</v>
      </c>
      <c r="T45" s="908">
        <v>12.28</v>
      </c>
      <c r="U45" s="908">
        <v>2</v>
      </c>
      <c r="V45" s="907">
        <v>781844</v>
      </c>
      <c r="W45" s="387">
        <f t="shared" si="21"/>
        <v>781844</v>
      </c>
      <c r="X45" s="909">
        <f t="shared" si="22"/>
        <v>16.5</v>
      </c>
      <c r="Y45" s="387">
        <f t="shared" si="23"/>
        <v>3973647</v>
      </c>
      <c r="Z45" s="387">
        <f t="shared" si="24"/>
        <v>781844</v>
      </c>
      <c r="AA45" s="910">
        <f t="shared" si="25"/>
        <v>3.21</v>
      </c>
      <c r="AB45" s="911">
        <f t="shared" si="26"/>
        <v>16.33</v>
      </c>
      <c r="AC45" s="912">
        <f t="shared" si="27"/>
        <v>19.55</v>
      </c>
      <c r="AD45" s="844">
        <f t="shared" si="28"/>
        <v>4755491</v>
      </c>
      <c r="AE45" s="844">
        <f>IF('[1]Table 8 Membership'!AA46&gt;0,ROUND('Table 7 Local Revenue'!AD45*'[1]Table 8 Membership'!AA46,0),'Table 7 Local Revenue'!AD45)</f>
        <v>4755491</v>
      </c>
      <c r="AF45" s="913">
        <v>0.02</v>
      </c>
      <c r="AG45" s="914">
        <v>5389958</v>
      </c>
      <c r="AH45" s="915">
        <v>0</v>
      </c>
      <c r="AI45" s="915">
        <f t="shared" si="29"/>
        <v>5389958</v>
      </c>
      <c r="AJ45" s="844">
        <f>IF('[1]Table 8 Membership'!AA46&gt;0,ROUND('[1]Table 8 Membership'!AA46*'Table 7 Local Revenue'!AI45,0),'Table 7 Local Revenue'!AI45)</f>
        <v>5389958</v>
      </c>
      <c r="AK45" s="844">
        <v>240264950</v>
      </c>
      <c r="AL45" s="844">
        <f t="shared" si="18"/>
        <v>269497900</v>
      </c>
      <c r="AM45" s="913">
        <f t="shared" si="30"/>
        <v>0.12166964012020896</v>
      </c>
      <c r="AN45" s="844">
        <f t="shared" si="31"/>
        <v>269497900</v>
      </c>
      <c r="AO45" s="916">
        <f t="shared" si="32"/>
        <v>0.02</v>
      </c>
      <c r="AP45" s="916">
        <f t="shared" si="33"/>
        <v>0</v>
      </c>
      <c r="AQ45" s="917">
        <f>'[8]04-05 Other Revenue'!O40</f>
        <v>153823</v>
      </c>
      <c r="AR45" s="918">
        <f t="shared" si="34"/>
        <v>10299272</v>
      </c>
      <c r="AS45" s="918">
        <f>ROUND(AR45/'[1]Table 3 Levels 1&amp;2'!D46,2)</f>
        <v>3552.7</v>
      </c>
      <c r="AT45" s="918">
        <v>9311662.5</v>
      </c>
    </row>
    <row r="46" spans="1:46" ht="12.75">
      <c r="A46" s="838">
        <v>40</v>
      </c>
      <c r="B46" s="919" t="s">
        <v>323</v>
      </c>
      <c r="C46" s="920"/>
      <c r="D46" s="399">
        <v>607400819</v>
      </c>
      <c r="E46" s="399">
        <v>155441656</v>
      </c>
      <c r="F46" s="399">
        <f t="shared" si="19"/>
        <v>451959163</v>
      </c>
      <c r="G46" s="399">
        <f>IF('[1]Table 8 Membership'!AA47&gt;0,ROUND('[1]Table 8 Membership'!AA47*'Table 7 Local Revenue'!F46,0),'Table 7 Local Revenue'!F46)</f>
        <v>451959163</v>
      </c>
      <c r="H46" s="921">
        <v>4.78</v>
      </c>
      <c r="I46" s="922">
        <v>2140082</v>
      </c>
      <c r="J46" s="923">
        <v>20.99</v>
      </c>
      <c r="K46" s="922">
        <v>9400704</v>
      </c>
      <c r="L46" s="923">
        <v>3.04</v>
      </c>
      <c r="M46" s="923">
        <v>24.15</v>
      </c>
      <c r="N46" s="923">
        <v>13</v>
      </c>
      <c r="O46" s="922">
        <v>4470730</v>
      </c>
      <c r="P46" s="847">
        <f t="shared" si="20"/>
        <v>16011516</v>
      </c>
      <c r="Q46" s="923">
        <v>0</v>
      </c>
      <c r="R46" s="922">
        <v>0</v>
      </c>
      <c r="S46" s="923">
        <v>1</v>
      </c>
      <c r="T46" s="923">
        <v>55</v>
      </c>
      <c r="U46" s="923">
        <v>13</v>
      </c>
      <c r="V46" s="922">
        <v>7832955</v>
      </c>
      <c r="W46" s="399">
        <f t="shared" si="21"/>
        <v>7832955</v>
      </c>
      <c r="X46" s="924">
        <f t="shared" si="22"/>
        <v>25.77</v>
      </c>
      <c r="Y46" s="399">
        <f t="shared" si="23"/>
        <v>11540786</v>
      </c>
      <c r="Z46" s="399">
        <f t="shared" si="24"/>
        <v>12303685</v>
      </c>
      <c r="AA46" s="925">
        <f t="shared" si="25"/>
        <v>17.33</v>
      </c>
      <c r="AB46" s="926">
        <f t="shared" si="26"/>
        <v>35.43</v>
      </c>
      <c r="AC46" s="927">
        <f t="shared" si="27"/>
        <v>52.76</v>
      </c>
      <c r="AD46" s="847">
        <f t="shared" si="28"/>
        <v>23844471</v>
      </c>
      <c r="AE46" s="847">
        <f>IF('[1]Table 8 Membership'!AA47&gt;0,ROUND('Table 7 Local Revenue'!AD46*'[1]Table 8 Membership'!AA47,0),'Table 7 Local Revenue'!AD46)</f>
        <v>23844471</v>
      </c>
      <c r="AF46" s="928">
        <v>0.015</v>
      </c>
      <c r="AG46" s="929">
        <v>30259719</v>
      </c>
      <c r="AH46" s="930">
        <v>0</v>
      </c>
      <c r="AI46" s="930">
        <f t="shared" si="29"/>
        <v>30259719</v>
      </c>
      <c r="AJ46" s="847">
        <f>IF('[1]Table 8 Membership'!AA47&gt;0,ROUND('[1]Table 8 Membership'!AA47*'Table 7 Local Revenue'!AI46,0),'Table 7 Local Revenue'!AI46)</f>
        <v>30259719</v>
      </c>
      <c r="AK46" s="847">
        <v>1869636933</v>
      </c>
      <c r="AL46" s="847">
        <f t="shared" si="18"/>
        <v>2017314600</v>
      </c>
      <c r="AM46" s="928">
        <f t="shared" si="30"/>
        <v>0.07898735010708093</v>
      </c>
      <c r="AN46" s="847">
        <f t="shared" si="31"/>
        <v>2017314600</v>
      </c>
      <c r="AO46" s="931">
        <f t="shared" si="32"/>
        <v>0.015</v>
      </c>
      <c r="AP46" s="931">
        <f t="shared" si="33"/>
        <v>0</v>
      </c>
      <c r="AQ46" s="932">
        <f>'[8]04-05 Other Revenue'!O41</f>
        <v>1222202</v>
      </c>
      <c r="AR46" s="933">
        <f t="shared" si="34"/>
        <v>55326392</v>
      </c>
      <c r="AS46" s="933">
        <f>ROUND(AR46/'[1]Table 3 Levels 1&amp;2'!D47,2)</f>
        <v>2445.15</v>
      </c>
      <c r="AT46" s="933">
        <v>53498759.5</v>
      </c>
    </row>
    <row r="47" spans="1:46" ht="12.75">
      <c r="A47" s="835">
        <v>41</v>
      </c>
      <c r="B47" s="434" t="s">
        <v>324</v>
      </c>
      <c r="C47" s="905"/>
      <c r="D47" s="387">
        <v>35903280</v>
      </c>
      <c r="E47" s="387">
        <v>9219680</v>
      </c>
      <c r="F47" s="387">
        <f t="shared" si="19"/>
        <v>26683600</v>
      </c>
      <c r="G47" s="387">
        <f>IF('[1]Table 8 Membership'!AA48&gt;0,ROUND('[1]Table 8 Membership'!AA48*'Table 7 Local Revenue'!F47,0),'Table 7 Local Revenue'!F47)</f>
        <v>26683600</v>
      </c>
      <c r="H47" s="906">
        <v>4.63</v>
      </c>
      <c r="I47" s="907">
        <v>123545</v>
      </c>
      <c r="J47" s="908">
        <v>37.13</v>
      </c>
      <c r="K47" s="907">
        <v>986117</v>
      </c>
      <c r="L47" s="908">
        <v>0</v>
      </c>
      <c r="M47" s="908">
        <v>0</v>
      </c>
      <c r="N47" s="908">
        <v>0</v>
      </c>
      <c r="O47" s="907">
        <v>0</v>
      </c>
      <c r="P47" s="844">
        <f t="shared" si="20"/>
        <v>1109662</v>
      </c>
      <c r="Q47" s="908">
        <v>42</v>
      </c>
      <c r="R47" s="907">
        <v>1114434</v>
      </c>
      <c r="S47" s="908">
        <v>0</v>
      </c>
      <c r="T47" s="908">
        <v>0</v>
      </c>
      <c r="U47" s="908">
        <v>0</v>
      </c>
      <c r="V47" s="907">
        <v>0</v>
      </c>
      <c r="W47" s="387">
        <f t="shared" si="21"/>
        <v>1114434</v>
      </c>
      <c r="X47" s="909">
        <f t="shared" si="22"/>
        <v>83.76</v>
      </c>
      <c r="Y47" s="387">
        <f t="shared" si="23"/>
        <v>2224096</v>
      </c>
      <c r="Z47" s="387">
        <f t="shared" si="24"/>
        <v>0</v>
      </c>
      <c r="AA47" s="910">
        <f t="shared" si="25"/>
        <v>41.76</v>
      </c>
      <c r="AB47" s="911">
        <f t="shared" si="26"/>
        <v>41.59</v>
      </c>
      <c r="AC47" s="912">
        <f t="shared" si="27"/>
        <v>83.35</v>
      </c>
      <c r="AD47" s="844">
        <f t="shared" si="28"/>
        <v>2224096</v>
      </c>
      <c r="AE47" s="844">
        <f>IF('[1]Table 8 Membership'!AA48&gt;0,ROUND('Table 7 Local Revenue'!AD47*'[1]Table 8 Membership'!AA48,0),'Table 7 Local Revenue'!AD47)</f>
        <v>2224096</v>
      </c>
      <c r="AF47" s="913">
        <v>0.02</v>
      </c>
      <c r="AG47" s="914">
        <v>1229023</v>
      </c>
      <c r="AH47" s="915">
        <v>0</v>
      </c>
      <c r="AI47" s="915">
        <f t="shared" si="29"/>
        <v>1229023</v>
      </c>
      <c r="AJ47" s="844">
        <f>IF('[1]Table 8 Membership'!AA48&gt;0,ROUND('[1]Table 8 Membership'!AA48*'Table 7 Local Revenue'!AI47,0),'Table 7 Local Revenue'!AI47)</f>
        <v>1229023</v>
      </c>
      <c r="AK47" s="844">
        <v>66670100</v>
      </c>
      <c r="AL47" s="844">
        <f t="shared" si="18"/>
        <v>61451150</v>
      </c>
      <c r="AM47" s="913">
        <f t="shared" si="30"/>
        <v>-0.0782802185687437</v>
      </c>
      <c r="AN47" s="844">
        <f t="shared" si="31"/>
        <v>61451150</v>
      </c>
      <c r="AO47" s="916">
        <f t="shared" si="32"/>
        <v>0.02</v>
      </c>
      <c r="AP47" s="916">
        <f t="shared" si="33"/>
        <v>0</v>
      </c>
      <c r="AQ47" s="917">
        <f>'[8]04-05 Other Revenue'!O42</f>
        <v>47140</v>
      </c>
      <c r="AR47" s="918">
        <f t="shared" si="34"/>
        <v>3500259</v>
      </c>
      <c r="AS47" s="918">
        <f>ROUND(AR47/'[1]Table 3 Levels 1&amp;2'!D48,2)</f>
        <v>2410.65</v>
      </c>
      <c r="AT47" s="918">
        <v>3599258.5</v>
      </c>
    </row>
    <row r="48" spans="1:46" ht="12.75">
      <c r="A48" s="835">
        <v>42</v>
      </c>
      <c r="B48" s="434" t="s">
        <v>325</v>
      </c>
      <c r="C48" s="905"/>
      <c r="D48" s="387">
        <v>85142370</v>
      </c>
      <c r="E48" s="387">
        <v>24228570</v>
      </c>
      <c r="F48" s="387">
        <f t="shared" si="19"/>
        <v>60913800</v>
      </c>
      <c r="G48" s="387">
        <f>IF('[1]Table 8 Membership'!AA49&gt;0,ROUND('[1]Table 8 Membership'!AA49*'Table 7 Local Revenue'!F48,0),'Table 7 Local Revenue'!F48)</f>
        <v>60913800</v>
      </c>
      <c r="H48" s="906">
        <v>6.99</v>
      </c>
      <c r="I48" s="907">
        <v>470867</v>
      </c>
      <c r="J48" s="908">
        <v>7.48</v>
      </c>
      <c r="K48" s="907">
        <v>429932</v>
      </c>
      <c r="L48" s="908">
        <v>0</v>
      </c>
      <c r="M48" s="908">
        <v>0</v>
      </c>
      <c r="N48" s="908">
        <v>4</v>
      </c>
      <c r="O48" s="907">
        <v>0</v>
      </c>
      <c r="P48" s="844">
        <f t="shared" si="20"/>
        <v>900799</v>
      </c>
      <c r="Q48" s="908">
        <v>0</v>
      </c>
      <c r="R48" s="907">
        <v>0</v>
      </c>
      <c r="S48" s="908">
        <v>15</v>
      </c>
      <c r="T48" s="908">
        <v>40</v>
      </c>
      <c r="U48" s="908">
        <v>4</v>
      </c>
      <c r="V48" s="907">
        <v>852408</v>
      </c>
      <c r="W48" s="387">
        <f t="shared" si="21"/>
        <v>852408</v>
      </c>
      <c r="X48" s="909">
        <f t="shared" si="22"/>
        <v>14.47</v>
      </c>
      <c r="Y48" s="387">
        <f t="shared" si="23"/>
        <v>900799</v>
      </c>
      <c r="Z48" s="387">
        <f t="shared" si="24"/>
        <v>852408</v>
      </c>
      <c r="AA48" s="910">
        <f t="shared" si="25"/>
        <v>13.99</v>
      </c>
      <c r="AB48" s="911">
        <f t="shared" si="26"/>
        <v>14.79</v>
      </c>
      <c r="AC48" s="912">
        <f t="shared" si="27"/>
        <v>28.78</v>
      </c>
      <c r="AD48" s="844">
        <f t="shared" si="28"/>
        <v>1753207</v>
      </c>
      <c r="AE48" s="844">
        <f>IF('[1]Table 8 Membership'!AA49&gt;0,ROUND('Table 7 Local Revenue'!AD48*'[1]Table 8 Membership'!AA49,0),'Table 7 Local Revenue'!AD48)</f>
        <v>1753207</v>
      </c>
      <c r="AF48" s="913">
        <v>0.02</v>
      </c>
      <c r="AG48" s="914">
        <v>3262035</v>
      </c>
      <c r="AH48" s="915">
        <v>0</v>
      </c>
      <c r="AI48" s="915">
        <f t="shared" si="29"/>
        <v>3262035</v>
      </c>
      <c r="AJ48" s="844">
        <f>IF('[1]Table 8 Membership'!AA49&gt;0,ROUND('[1]Table 8 Membership'!AA49*'Table 7 Local Revenue'!AI48,0),'Table 7 Local Revenue'!AI48)</f>
        <v>3262035</v>
      </c>
      <c r="AK48" s="844">
        <v>155898400</v>
      </c>
      <c r="AL48" s="844">
        <f t="shared" si="18"/>
        <v>163101750</v>
      </c>
      <c r="AM48" s="913">
        <f t="shared" si="30"/>
        <v>0.04620541326915478</v>
      </c>
      <c r="AN48" s="844">
        <f t="shared" si="31"/>
        <v>163101750</v>
      </c>
      <c r="AO48" s="916">
        <f t="shared" si="32"/>
        <v>0.02</v>
      </c>
      <c r="AP48" s="916">
        <f t="shared" si="33"/>
        <v>0</v>
      </c>
      <c r="AQ48" s="917">
        <f>'[8]04-05 Other Revenue'!O43</f>
        <v>234791</v>
      </c>
      <c r="AR48" s="918">
        <f t="shared" si="34"/>
        <v>5250033</v>
      </c>
      <c r="AS48" s="918">
        <f>ROUND(AR48/'[1]Table 3 Levels 1&amp;2'!D49,2)</f>
        <v>1578.01</v>
      </c>
      <c r="AT48" s="918">
        <v>5449440.5</v>
      </c>
    </row>
    <row r="49" spans="1:46" ht="12.75">
      <c r="A49" s="835">
        <v>43</v>
      </c>
      <c r="B49" s="434" t="s">
        <v>326</v>
      </c>
      <c r="C49" s="905"/>
      <c r="D49" s="387">
        <v>105283060</v>
      </c>
      <c r="E49" s="387">
        <v>28088840</v>
      </c>
      <c r="F49" s="387">
        <f t="shared" si="19"/>
        <v>77194220</v>
      </c>
      <c r="G49" s="387">
        <f>IF('[1]Table 8 Membership'!AA50&gt;0,ROUND('[1]Table 8 Membership'!AA50*'Table 7 Local Revenue'!F49,0),'Table 7 Local Revenue'!F49)</f>
        <v>77194220</v>
      </c>
      <c r="H49" s="906">
        <v>4.8</v>
      </c>
      <c r="I49" s="907">
        <v>366888</v>
      </c>
      <c r="J49" s="908">
        <v>8.1</v>
      </c>
      <c r="K49" s="907">
        <v>619127</v>
      </c>
      <c r="L49" s="908">
        <v>7.23</v>
      </c>
      <c r="M49" s="908">
        <v>11.24</v>
      </c>
      <c r="N49" s="908">
        <v>7</v>
      </c>
      <c r="O49" s="907">
        <v>612837</v>
      </c>
      <c r="P49" s="844">
        <f t="shared" si="20"/>
        <v>1598852</v>
      </c>
      <c r="Q49" s="908">
        <v>0</v>
      </c>
      <c r="R49" s="907">
        <v>0</v>
      </c>
      <c r="S49" s="908">
        <v>15</v>
      </c>
      <c r="T49" s="908">
        <v>56</v>
      </c>
      <c r="U49" s="908">
        <v>7</v>
      </c>
      <c r="V49" s="907">
        <v>2027204</v>
      </c>
      <c r="W49" s="387">
        <f t="shared" si="21"/>
        <v>2027204</v>
      </c>
      <c r="X49" s="909">
        <f t="shared" si="22"/>
        <v>12.899999999999999</v>
      </c>
      <c r="Y49" s="387">
        <f t="shared" si="23"/>
        <v>986015</v>
      </c>
      <c r="Z49" s="387">
        <f t="shared" si="24"/>
        <v>2640041</v>
      </c>
      <c r="AA49" s="910">
        <f t="shared" si="25"/>
        <v>26.26</v>
      </c>
      <c r="AB49" s="911">
        <f t="shared" si="26"/>
        <v>20.71</v>
      </c>
      <c r="AC49" s="912">
        <f t="shared" si="27"/>
        <v>46.97</v>
      </c>
      <c r="AD49" s="844">
        <f t="shared" si="28"/>
        <v>3626056</v>
      </c>
      <c r="AE49" s="844">
        <f>IF('[1]Table 8 Membership'!AA50&gt;0,ROUND('Table 7 Local Revenue'!AD49*'[1]Table 8 Membership'!AA50,0),'Table 7 Local Revenue'!AD49)</f>
        <v>3626056</v>
      </c>
      <c r="AF49" s="913">
        <v>0.015</v>
      </c>
      <c r="AG49" s="914">
        <v>2994363</v>
      </c>
      <c r="AH49" s="915">
        <v>595631</v>
      </c>
      <c r="AI49" s="915">
        <f t="shared" si="29"/>
        <v>3589994</v>
      </c>
      <c r="AJ49" s="844">
        <f>IF('[1]Table 8 Membership'!AA50&gt;0,ROUND('[1]Table 8 Membership'!AA50*'Table 7 Local Revenue'!AI49,0),'Table 7 Local Revenue'!AI49)</f>
        <v>3589994</v>
      </c>
      <c r="AK49" s="844">
        <v>220008667</v>
      </c>
      <c r="AL49" s="844">
        <f t="shared" si="18"/>
        <v>239332933</v>
      </c>
      <c r="AM49" s="913">
        <f t="shared" si="30"/>
        <v>0.08783411246248767</v>
      </c>
      <c r="AN49" s="844">
        <f t="shared" si="31"/>
        <v>239332933</v>
      </c>
      <c r="AO49" s="916">
        <f t="shared" si="32"/>
        <v>0.012511286944367159</v>
      </c>
      <c r="AP49" s="916">
        <f t="shared" si="33"/>
        <v>0.002488713076524241</v>
      </c>
      <c r="AQ49" s="917">
        <f>'[8]04-05 Other Revenue'!O44</f>
        <v>163248</v>
      </c>
      <c r="AR49" s="918">
        <f t="shared" si="34"/>
        <v>7379298</v>
      </c>
      <c r="AS49" s="918">
        <f>ROUND(AR49/'[1]Table 3 Levels 1&amp;2'!D50,2)</f>
        <v>1832</v>
      </c>
      <c r="AT49" s="918">
        <v>7045842</v>
      </c>
    </row>
    <row r="50" spans="1:46" ht="12.75">
      <c r="A50" s="835">
        <v>44</v>
      </c>
      <c r="B50" s="434" t="s">
        <v>327</v>
      </c>
      <c r="C50" s="905"/>
      <c r="D50" s="387">
        <v>415911140</v>
      </c>
      <c r="E50" s="387">
        <v>124249179</v>
      </c>
      <c r="F50" s="387">
        <f t="shared" si="19"/>
        <v>291661961</v>
      </c>
      <c r="G50" s="936">
        <f>IF('[1]Table 8 Membership'!AA51&gt;0,ROUND('[1]Table 8 Membership'!AA51*'Table 7 Local Revenue'!F50,0),'Table 7 Local Revenue'!F50)</f>
        <v>102081686</v>
      </c>
      <c r="H50" s="906">
        <v>3.75</v>
      </c>
      <c r="I50" s="907">
        <v>1082513</v>
      </c>
      <c r="J50" s="908">
        <v>31.25</v>
      </c>
      <c r="K50" s="907">
        <v>9020945</v>
      </c>
      <c r="L50" s="908">
        <v>0</v>
      </c>
      <c r="M50" s="908">
        <v>0</v>
      </c>
      <c r="N50" s="908">
        <v>0</v>
      </c>
      <c r="O50" s="907">
        <v>0</v>
      </c>
      <c r="P50" s="844">
        <f t="shared" si="20"/>
        <v>10103458</v>
      </c>
      <c r="Q50" s="908">
        <v>10.5</v>
      </c>
      <c r="R50" s="907">
        <v>3031077</v>
      </c>
      <c r="S50" s="908">
        <v>0</v>
      </c>
      <c r="T50" s="908">
        <v>0</v>
      </c>
      <c r="U50" s="908">
        <v>0</v>
      </c>
      <c r="V50" s="907">
        <v>0</v>
      </c>
      <c r="W50" s="387">
        <f t="shared" si="21"/>
        <v>3031077</v>
      </c>
      <c r="X50" s="909">
        <f t="shared" si="22"/>
        <v>45.5</v>
      </c>
      <c r="Y50" s="387">
        <f t="shared" si="23"/>
        <v>13134535</v>
      </c>
      <c r="Z50" s="387">
        <f t="shared" si="24"/>
        <v>0</v>
      </c>
      <c r="AA50" s="910">
        <f t="shared" si="25"/>
        <v>29.69</v>
      </c>
      <c r="AB50" s="911">
        <f t="shared" si="26"/>
        <v>98.97</v>
      </c>
      <c r="AC50" s="912">
        <f t="shared" si="27"/>
        <v>45.03</v>
      </c>
      <c r="AD50" s="937">
        <f t="shared" si="28"/>
        <v>13134535</v>
      </c>
      <c r="AE50" s="937">
        <f>IF('[1]Table 8 Membership'!AA51&gt;0,ROUND('Table 7 Local Revenue'!AD50*'[1]Table 8 Membership'!AA51,0),'Table 7 Local Revenue'!AD50)</f>
        <v>4597087</v>
      </c>
      <c r="AF50" s="913">
        <v>0.02</v>
      </c>
      <c r="AG50" s="914">
        <v>14954933</v>
      </c>
      <c r="AH50" s="915">
        <v>620195</v>
      </c>
      <c r="AI50" s="915">
        <f t="shared" si="29"/>
        <v>15575128</v>
      </c>
      <c r="AJ50" s="937">
        <f>IF('[1]Table 8 Membership'!AA51&gt;0,ROUND('[1]Table 8 Membership'!AA51*'Table 7 Local Revenue'!AI50,0),'Table 7 Local Revenue'!AI50)</f>
        <v>5451295</v>
      </c>
      <c r="AK50" s="937">
        <v>756503900</v>
      </c>
      <c r="AL50" s="937">
        <f t="shared" si="18"/>
        <v>272564750</v>
      </c>
      <c r="AM50" s="913">
        <f t="shared" si="30"/>
        <v>-0.639704765566972</v>
      </c>
      <c r="AN50" s="844">
        <f t="shared" si="31"/>
        <v>272564750</v>
      </c>
      <c r="AO50" s="916">
        <f t="shared" si="32"/>
        <v>0.05486745076169974</v>
      </c>
      <c r="AP50" s="916">
        <f t="shared" si="33"/>
        <v>0.002275404284669973</v>
      </c>
      <c r="AQ50" s="917">
        <f>'[8]04-05 Other Revenue'!O45</f>
        <v>538220</v>
      </c>
      <c r="AR50" s="945">
        <f t="shared" si="34"/>
        <v>10586602</v>
      </c>
      <c r="AS50" s="945">
        <f>ROUND(AR50/'[1]Table 3 Levels 1&amp;2'!D51,2)</f>
        <v>3528.87</v>
      </c>
      <c r="AT50" s="945">
        <v>27272330</v>
      </c>
    </row>
    <row r="51" spans="1:46" ht="12.75">
      <c r="A51" s="838">
        <v>45</v>
      </c>
      <c r="B51" s="919" t="s">
        <v>328</v>
      </c>
      <c r="C51" s="920"/>
      <c r="D51" s="399">
        <v>848075721</v>
      </c>
      <c r="E51" s="399">
        <v>87570698</v>
      </c>
      <c r="F51" s="399">
        <f t="shared" si="19"/>
        <v>760505023</v>
      </c>
      <c r="G51" s="399">
        <f>IF('[1]Table 8 Membership'!AA52&gt;0,ROUND('[1]Table 8 Membership'!AA52*'Table 7 Local Revenue'!F51,0),'Table 7 Local Revenue'!F51)</f>
        <v>760505023</v>
      </c>
      <c r="H51" s="921">
        <v>4.1</v>
      </c>
      <c r="I51" s="922">
        <v>3093145</v>
      </c>
      <c r="J51" s="923">
        <v>47.87</v>
      </c>
      <c r="K51" s="922">
        <v>35248093</v>
      </c>
      <c r="L51" s="923">
        <v>0</v>
      </c>
      <c r="M51" s="923">
        <v>0</v>
      </c>
      <c r="N51" s="923">
        <v>0</v>
      </c>
      <c r="O51" s="922">
        <v>0</v>
      </c>
      <c r="P51" s="847">
        <f t="shared" si="20"/>
        <v>38341238</v>
      </c>
      <c r="Q51" s="923">
        <v>6.36</v>
      </c>
      <c r="R51" s="922">
        <v>4798198</v>
      </c>
      <c r="S51" s="923">
        <v>0</v>
      </c>
      <c r="T51" s="923">
        <v>0</v>
      </c>
      <c r="U51" s="923">
        <v>0</v>
      </c>
      <c r="V51" s="922">
        <v>0</v>
      </c>
      <c r="W51" s="399">
        <f t="shared" si="21"/>
        <v>4798198</v>
      </c>
      <c r="X51" s="924">
        <f t="shared" si="22"/>
        <v>58.33</v>
      </c>
      <c r="Y51" s="399">
        <f t="shared" si="23"/>
        <v>43139436</v>
      </c>
      <c r="Z51" s="399">
        <f t="shared" si="24"/>
        <v>0</v>
      </c>
      <c r="AA51" s="925">
        <f t="shared" si="25"/>
        <v>6.31</v>
      </c>
      <c r="AB51" s="926">
        <f t="shared" si="26"/>
        <v>50.42</v>
      </c>
      <c r="AC51" s="927">
        <f t="shared" si="27"/>
        <v>56.72</v>
      </c>
      <c r="AD51" s="847">
        <f t="shared" si="28"/>
        <v>43139436</v>
      </c>
      <c r="AE51" s="847">
        <f>IF('[1]Table 8 Membership'!AA52&gt;0,ROUND('Table 7 Local Revenue'!AD51*'[1]Table 8 Membership'!AA52,0),'Table 7 Local Revenue'!AD51)</f>
        <v>43139436</v>
      </c>
      <c r="AF51" s="928">
        <v>0.03</v>
      </c>
      <c r="AG51" s="929">
        <v>30022182</v>
      </c>
      <c r="AH51" s="930">
        <v>1339022</v>
      </c>
      <c r="AI51" s="930">
        <f t="shared" si="29"/>
        <v>31361204</v>
      </c>
      <c r="AJ51" s="847">
        <f>IF('[1]Table 8 Membership'!AA52&gt;0,ROUND('[1]Table 8 Membership'!AA52*'Table 7 Local Revenue'!AI51,0),'Table 7 Local Revenue'!AI51)</f>
        <v>31361204</v>
      </c>
      <c r="AK51" s="847">
        <v>962053700</v>
      </c>
      <c r="AL51" s="847">
        <f aca="true" t="shared" si="35" ref="AL51:AL74">ROUND(AJ51/AF51,0)</f>
        <v>1045373467</v>
      </c>
      <c r="AM51" s="928">
        <f t="shared" si="30"/>
        <v>0.08660614994776279</v>
      </c>
      <c r="AN51" s="847">
        <f t="shared" si="31"/>
        <v>1045373467</v>
      </c>
      <c r="AO51" s="931">
        <f t="shared" si="32"/>
        <v>0.028719097000000672</v>
      </c>
      <c r="AP51" s="931">
        <f t="shared" si="33"/>
        <v>0.00128090299043337</v>
      </c>
      <c r="AQ51" s="932">
        <f>'[8]04-05 Other Revenue'!O46</f>
        <v>288432</v>
      </c>
      <c r="AR51" s="933">
        <f t="shared" si="34"/>
        <v>74789072</v>
      </c>
      <c r="AS51" s="933">
        <f>ROUND(AR51/'[1]Table 3 Levels 1&amp;2'!D52,2)</f>
        <v>7896.64</v>
      </c>
      <c r="AT51" s="933">
        <v>70250055</v>
      </c>
    </row>
    <row r="52" spans="1:46" s="759" customFormat="1" ht="12.75">
      <c r="A52" s="382">
        <v>46</v>
      </c>
      <c r="B52" s="938" t="s">
        <v>329</v>
      </c>
      <c r="C52" s="939"/>
      <c r="D52" s="844">
        <v>46828410</v>
      </c>
      <c r="E52" s="844">
        <v>13276770</v>
      </c>
      <c r="F52" s="844">
        <f t="shared" si="19"/>
        <v>33551640</v>
      </c>
      <c r="G52" s="844">
        <f>IF('[1]Table 8 Membership'!AA53&gt;0,ROUND('[1]Table 8 Membership'!AA53*'Table 7 Local Revenue'!F52,0),'Table 7 Local Revenue'!F52)</f>
        <v>33551640</v>
      </c>
      <c r="H52" s="946">
        <v>3.38</v>
      </c>
      <c r="I52" s="947">
        <v>113022</v>
      </c>
      <c r="J52" s="948">
        <v>14.48</v>
      </c>
      <c r="K52" s="947">
        <v>471231</v>
      </c>
      <c r="L52" s="948">
        <v>0</v>
      </c>
      <c r="M52" s="948">
        <v>0</v>
      </c>
      <c r="N52" s="948">
        <v>6</v>
      </c>
      <c r="O52" s="947">
        <v>0</v>
      </c>
      <c r="P52" s="844">
        <f t="shared" si="20"/>
        <v>584253</v>
      </c>
      <c r="Q52" s="948">
        <v>0</v>
      </c>
      <c r="R52" s="947">
        <v>0</v>
      </c>
      <c r="S52" s="948">
        <v>0</v>
      </c>
      <c r="T52" s="948">
        <v>0</v>
      </c>
      <c r="U52" s="948">
        <v>6</v>
      </c>
      <c r="V52" s="947">
        <v>0</v>
      </c>
      <c r="W52" s="844">
        <f t="shared" si="21"/>
        <v>0</v>
      </c>
      <c r="X52" s="940">
        <f t="shared" si="22"/>
        <v>17.86</v>
      </c>
      <c r="Y52" s="844">
        <f t="shared" si="23"/>
        <v>584253</v>
      </c>
      <c r="Z52" s="844">
        <f t="shared" si="24"/>
        <v>0</v>
      </c>
      <c r="AA52" s="941">
        <f t="shared" si="25"/>
        <v>0</v>
      </c>
      <c r="AB52" s="942">
        <f t="shared" si="26"/>
        <v>17.41</v>
      </c>
      <c r="AC52" s="912">
        <f t="shared" si="27"/>
        <v>17.41</v>
      </c>
      <c r="AD52" s="844">
        <f t="shared" si="28"/>
        <v>584253</v>
      </c>
      <c r="AE52" s="844">
        <f>IF('[1]Table 8 Membership'!AA53&gt;0,ROUND('Table 7 Local Revenue'!AD52*'[1]Table 8 Membership'!AA53,0),'Table 7 Local Revenue'!AD52)</f>
        <v>584253</v>
      </c>
      <c r="AF52" s="913">
        <v>0.02</v>
      </c>
      <c r="AG52" s="914">
        <v>980975</v>
      </c>
      <c r="AH52" s="915">
        <v>0</v>
      </c>
      <c r="AI52" s="915">
        <f t="shared" si="29"/>
        <v>980975</v>
      </c>
      <c r="AJ52" s="844">
        <f>IF('[1]Table 8 Membership'!AA53&gt;0,ROUND('[1]Table 8 Membership'!AA53*'Table 7 Local Revenue'!AI52,0),'Table 7 Local Revenue'!AI52)</f>
        <v>980975</v>
      </c>
      <c r="AK52" s="844">
        <v>53382950</v>
      </c>
      <c r="AL52" s="844">
        <f t="shared" si="35"/>
        <v>49048750</v>
      </c>
      <c r="AM52" s="913">
        <f t="shared" si="30"/>
        <v>-0.08119071726084827</v>
      </c>
      <c r="AN52" s="844">
        <f t="shared" si="31"/>
        <v>49048750</v>
      </c>
      <c r="AO52" s="916">
        <f t="shared" si="32"/>
        <v>0.02</v>
      </c>
      <c r="AP52" s="916">
        <f t="shared" si="33"/>
        <v>0</v>
      </c>
      <c r="AQ52" s="917">
        <f>'[8]04-05 Other Revenue'!O47</f>
        <v>78643</v>
      </c>
      <c r="AR52" s="918">
        <f t="shared" si="34"/>
        <v>1643871</v>
      </c>
      <c r="AS52" s="918">
        <f>ROUND(AR52/'[1]Table 3 Levels 1&amp;2'!D53,2)</f>
        <v>1143.16</v>
      </c>
      <c r="AT52" s="918">
        <v>1641909</v>
      </c>
    </row>
    <row r="53" spans="1:46" ht="12.75">
      <c r="A53" s="835">
        <v>47</v>
      </c>
      <c r="B53" s="434" t="s">
        <v>330</v>
      </c>
      <c r="C53" s="905"/>
      <c r="D53" s="387">
        <v>268215130</v>
      </c>
      <c r="E53" s="387">
        <v>31940619</v>
      </c>
      <c r="F53" s="387">
        <f t="shared" si="19"/>
        <v>236274511</v>
      </c>
      <c r="G53" s="387">
        <f>IF('[1]Table 8 Membership'!AA54&gt;0,ROUND('[1]Table 8 Membership'!AA54*'Table 7 Local Revenue'!F53,0),'Table 7 Local Revenue'!F53)</f>
        <v>236274511</v>
      </c>
      <c r="H53" s="906">
        <v>4.02</v>
      </c>
      <c r="I53" s="907">
        <v>983495</v>
      </c>
      <c r="J53" s="908">
        <v>31.04</v>
      </c>
      <c r="K53" s="907">
        <v>7665802</v>
      </c>
      <c r="L53" s="908">
        <v>0</v>
      </c>
      <c r="M53" s="908">
        <v>0</v>
      </c>
      <c r="N53" s="908">
        <v>0</v>
      </c>
      <c r="O53" s="907">
        <v>0</v>
      </c>
      <c r="P53" s="844">
        <f t="shared" si="20"/>
        <v>8649297</v>
      </c>
      <c r="Q53" s="908">
        <v>10</v>
      </c>
      <c r="R53" s="907">
        <v>2323514</v>
      </c>
      <c r="S53" s="908">
        <v>0</v>
      </c>
      <c r="T53" s="908">
        <v>0</v>
      </c>
      <c r="U53" s="908">
        <v>0</v>
      </c>
      <c r="V53" s="907">
        <v>0</v>
      </c>
      <c r="W53" s="387">
        <f t="shared" si="21"/>
        <v>2323514</v>
      </c>
      <c r="X53" s="909">
        <f t="shared" si="22"/>
        <v>45.06</v>
      </c>
      <c r="Y53" s="387">
        <f t="shared" si="23"/>
        <v>10972811</v>
      </c>
      <c r="Z53" s="387">
        <f t="shared" si="24"/>
        <v>0</v>
      </c>
      <c r="AA53" s="910">
        <f t="shared" si="25"/>
        <v>9.83</v>
      </c>
      <c r="AB53" s="911">
        <f t="shared" si="26"/>
        <v>36.61</v>
      </c>
      <c r="AC53" s="912">
        <f t="shared" si="27"/>
        <v>46.44</v>
      </c>
      <c r="AD53" s="844">
        <f t="shared" si="28"/>
        <v>10972811</v>
      </c>
      <c r="AE53" s="844">
        <f>IF('[1]Table 8 Membership'!AA54&gt;0,ROUND('Table 7 Local Revenue'!AD53*'[1]Table 8 Membership'!AA54,0),'Table 7 Local Revenue'!AD53)</f>
        <v>10972811</v>
      </c>
      <c r="AF53" s="913">
        <v>0.025</v>
      </c>
      <c r="AG53" s="914">
        <v>10206332</v>
      </c>
      <c r="AH53" s="915">
        <v>0</v>
      </c>
      <c r="AI53" s="915">
        <f t="shared" si="29"/>
        <v>10206332</v>
      </c>
      <c r="AJ53" s="844">
        <f>IF('[1]Table 8 Membership'!AA54&gt;0,ROUND('[1]Table 8 Membership'!AA54*'Table 7 Local Revenue'!AI53,0),'Table 7 Local Revenue'!AI53)</f>
        <v>10206332</v>
      </c>
      <c r="AK53" s="844">
        <v>330936280</v>
      </c>
      <c r="AL53" s="844">
        <f t="shared" si="35"/>
        <v>408253280</v>
      </c>
      <c r="AM53" s="934">
        <f t="shared" si="30"/>
        <v>0.23363107846622316</v>
      </c>
      <c r="AN53" s="935">
        <f t="shared" si="31"/>
        <v>380576722</v>
      </c>
      <c r="AO53" s="916">
        <f t="shared" si="32"/>
        <v>0.025</v>
      </c>
      <c r="AP53" s="916">
        <f t="shared" si="33"/>
        <v>0</v>
      </c>
      <c r="AQ53" s="917">
        <f>'[8]04-05 Other Revenue'!O48</f>
        <v>86478</v>
      </c>
      <c r="AR53" s="918">
        <f t="shared" si="34"/>
        <v>21265621</v>
      </c>
      <c r="AS53" s="918">
        <f>ROUND(AR53/'[1]Table 3 Levels 1&amp;2'!D54,2)</f>
        <v>5580.06</v>
      </c>
      <c r="AT53" s="918">
        <v>19742479</v>
      </c>
    </row>
    <row r="54" spans="1:46" ht="12.75">
      <c r="A54" s="835">
        <v>48</v>
      </c>
      <c r="B54" s="434" t="s">
        <v>331</v>
      </c>
      <c r="C54" s="905"/>
      <c r="D54" s="387">
        <v>267275555</v>
      </c>
      <c r="E54" s="387">
        <v>73278332</v>
      </c>
      <c r="F54" s="387">
        <f t="shared" si="19"/>
        <v>193997223</v>
      </c>
      <c r="G54" s="387">
        <f>IF('[1]Table 8 Membership'!AA55&gt;0,ROUND('[1]Table 8 Membership'!AA55*'Table 7 Local Revenue'!F54,0),'Table 7 Local Revenue'!F54)</f>
        <v>193997223</v>
      </c>
      <c r="H54" s="906">
        <v>3.87</v>
      </c>
      <c r="I54" s="907">
        <v>717481</v>
      </c>
      <c r="J54" s="908">
        <v>18.6</v>
      </c>
      <c r="K54" s="907">
        <v>3448053</v>
      </c>
      <c r="L54" s="908">
        <v>0</v>
      </c>
      <c r="M54" s="908">
        <v>0</v>
      </c>
      <c r="N54" s="908">
        <v>0</v>
      </c>
      <c r="O54" s="907">
        <v>0</v>
      </c>
      <c r="P54" s="844">
        <f t="shared" si="20"/>
        <v>4165534</v>
      </c>
      <c r="Q54" s="908">
        <v>24.12</v>
      </c>
      <c r="R54" s="907">
        <v>4471482</v>
      </c>
      <c r="S54" s="908">
        <v>0</v>
      </c>
      <c r="T54" s="908">
        <v>0</v>
      </c>
      <c r="U54" s="908">
        <v>0</v>
      </c>
      <c r="V54" s="907">
        <v>0</v>
      </c>
      <c r="W54" s="387">
        <f t="shared" si="21"/>
        <v>4471482</v>
      </c>
      <c r="X54" s="909">
        <f t="shared" si="22"/>
        <v>46.59</v>
      </c>
      <c r="Y54" s="387">
        <f t="shared" si="23"/>
        <v>8637016</v>
      </c>
      <c r="Z54" s="387">
        <f t="shared" si="24"/>
        <v>0</v>
      </c>
      <c r="AA54" s="910">
        <f t="shared" si="25"/>
        <v>23.05</v>
      </c>
      <c r="AB54" s="911">
        <f t="shared" si="26"/>
        <v>21.47</v>
      </c>
      <c r="AC54" s="912">
        <f t="shared" si="27"/>
        <v>44.52</v>
      </c>
      <c r="AD54" s="844">
        <f t="shared" si="28"/>
        <v>8637016</v>
      </c>
      <c r="AE54" s="844">
        <f>IF('[1]Table 8 Membership'!AA55&gt;0,ROUND('Table 7 Local Revenue'!AD54*'[1]Table 8 Membership'!AA55,0),'Table 7 Local Revenue'!AD54)</f>
        <v>8637016</v>
      </c>
      <c r="AF54" s="913">
        <v>0.0225</v>
      </c>
      <c r="AG54" s="914">
        <v>14497535</v>
      </c>
      <c r="AH54" s="915">
        <v>0</v>
      </c>
      <c r="AI54" s="915">
        <f t="shared" si="29"/>
        <v>14497535</v>
      </c>
      <c r="AJ54" s="844">
        <f>IF('[1]Table 8 Membership'!AA55&gt;0,ROUND('[1]Table 8 Membership'!AA55*'Table 7 Local Revenue'!AI54,0),'Table 7 Local Revenue'!AI54)</f>
        <v>14497535</v>
      </c>
      <c r="AK54" s="844">
        <v>554307111</v>
      </c>
      <c r="AL54" s="844">
        <f t="shared" si="35"/>
        <v>644334889</v>
      </c>
      <c r="AM54" s="934">
        <f t="shared" si="30"/>
        <v>0.16241497937413255</v>
      </c>
      <c r="AN54" s="935">
        <f t="shared" si="31"/>
        <v>637453177.65</v>
      </c>
      <c r="AO54" s="916">
        <f t="shared" si="32"/>
        <v>0.02249999999612003</v>
      </c>
      <c r="AP54" s="916">
        <f t="shared" si="33"/>
        <v>0</v>
      </c>
      <c r="AQ54" s="917">
        <f>'[8]04-05 Other Revenue'!O49</f>
        <v>211788</v>
      </c>
      <c r="AR54" s="918">
        <f t="shared" si="34"/>
        <v>23346339</v>
      </c>
      <c r="AS54" s="918">
        <f>ROUND(AR54/'[1]Table 3 Levels 1&amp;2'!D55,2)</f>
        <v>3561.61</v>
      </c>
      <c r="AT54" s="918">
        <v>20474685</v>
      </c>
    </row>
    <row r="55" spans="1:46" ht="12.75">
      <c r="A55" s="835">
        <v>49</v>
      </c>
      <c r="B55" s="434" t="s">
        <v>332</v>
      </c>
      <c r="C55" s="905"/>
      <c r="D55" s="387">
        <v>429198810</v>
      </c>
      <c r="E55" s="387">
        <v>101319040</v>
      </c>
      <c r="F55" s="387">
        <f t="shared" si="19"/>
        <v>327879770</v>
      </c>
      <c r="G55" s="387">
        <f>IF('[1]Table 8 Membership'!AA56&gt;0,ROUND('[1]Table 8 Membership'!AA56*'Table 7 Local Revenue'!F55,0),'Table 7 Local Revenue'!F55)</f>
        <v>327879770</v>
      </c>
      <c r="H55" s="906">
        <v>4.45</v>
      </c>
      <c r="I55" s="907">
        <v>1405450</v>
      </c>
      <c r="J55" s="908">
        <v>16.15</v>
      </c>
      <c r="K55" s="907">
        <v>5110166</v>
      </c>
      <c r="L55" s="908">
        <v>0</v>
      </c>
      <c r="M55" s="908">
        <v>0</v>
      </c>
      <c r="N55" s="908">
        <v>0</v>
      </c>
      <c r="O55" s="907">
        <v>0</v>
      </c>
      <c r="P55" s="844">
        <f t="shared" si="20"/>
        <v>6515616</v>
      </c>
      <c r="Q55" s="908">
        <v>8</v>
      </c>
      <c r="R55" s="907">
        <v>2459094</v>
      </c>
      <c r="S55" s="908">
        <v>0</v>
      </c>
      <c r="T55" s="908">
        <v>0</v>
      </c>
      <c r="U55" s="908">
        <v>0</v>
      </c>
      <c r="V55" s="907">
        <v>0</v>
      </c>
      <c r="W55" s="387">
        <f t="shared" si="21"/>
        <v>2459094</v>
      </c>
      <c r="X55" s="909">
        <f t="shared" si="22"/>
        <v>28.599999999999998</v>
      </c>
      <c r="Y55" s="387">
        <f t="shared" si="23"/>
        <v>8974710</v>
      </c>
      <c r="Z55" s="387">
        <f t="shared" si="24"/>
        <v>0</v>
      </c>
      <c r="AA55" s="910">
        <f t="shared" si="25"/>
        <v>7.5</v>
      </c>
      <c r="AB55" s="911">
        <f t="shared" si="26"/>
        <v>19.87</v>
      </c>
      <c r="AC55" s="912">
        <f t="shared" si="27"/>
        <v>27.37</v>
      </c>
      <c r="AD55" s="844">
        <f t="shared" si="28"/>
        <v>8974710</v>
      </c>
      <c r="AE55" s="844">
        <f>IF('[1]Table 8 Membership'!AA56&gt;0,ROUND('Table 7 Local Revenue'!AD55*'[1]Table 8 Membership'!AA56,0),'Table 7 Local Revenue'!AD55)</f>
        <v>8974710</v>
      </c>
      <c r="AF55" s="913">
        <v>0.02</v>
      </c>
      <c r="AG55" s="914">
        <v>17925437</v>
      </c>
      <c r="AH55" s="915">
        <v>0</v>
      </c>
      <c r="AI55" s="915">
        <f t="shared" si="29"/>
        <v>17925437</v>
      </c>
      <c r="AJ55" s="844">
        <f>IF('[1]Table 8 Membership'!AA56&gt;0,ROUND('[1]Table 8 Membership'!AA56*'Table 7 Local Revenue'!AI55,0),'Table 7 Local Revenue'!AI55)</f>
        <v>17925437</v>
      </c>
      <c r="AK55" s="844">
        <v>803385550</v>
      </c>
      <c r="AL55" s="844">
        <f t="shared" si="35"/>
        <v>896271850</v>
      </c>
      <c r="AM55" s="913">
        <f t="shared" si="30"/>
        <v>0.11561858437707773</v>
      </c>
      <c r="AN55" s="844">
        <f t="shared" si="31"/>
        <v>896271850</v>
      </c>
      <c r="AO55" s="916">
        <f t="shared" si="32"/>
        <v>0.02</v>
      </c>
      <c r="AP55" s="916">
        <f t="shared" si="33"/>
        <v>0</v>
      </c>
      <c r="AQ55" s="917">
        <f>'[8]04-05 Other Revenue'!O50</f>
        <v>483200</v>
      </c>
      <c r="AR55" s="918">
        <f t="shared" si="34"/>
        <v>27383347</v>
      </c>
      <c r="AS55" s="918">
        <f>ROUND(AR55/'[1]Table 3 Levels 1&amp;2'!D56,2)</f>
        <v>1840.28</v>
      </c>
      <c r="AT55" s="918">
        <v>25367569.5</v>
      </c>
    </row>
    <row r="56" spans="1:46" ht="12.75">
      <c r="A56" s="838">
        <v>50</v>
      </c>
      <c r="B56" s="919" t="s">
        <v>333</v>
      </c>
      <c r="C56" s="920"/>
      <c r="D56" s="399">
        <v>201321537</v>
      </c>
      <c r="E56" s="399">
        <v>67329710</v>
      </c>
      <c r="F56" s="399">
        <f t="shared" si="19"/>
        <v>133991827</v>
      </c>
      <c r="G56" s="399">
        <f>IF('[1]Table 8 Membership'!AA57&gt;0,ROUND('[1]Table 8 Membership'!AA57*'Table 7 Local Revenue'!F56,0),'Table 7 Local Revenue'!F56)</f>
        <v>133991827</v>
      </c>
      <c r="H56" s="921">
        <v>2.93</v>
      </c>
      <c r="I56" s="922">
        <v>369995</v>
      </c>
      <c r="J56" s="923">
        <v>11.2</v>
      </c>
      <c r="K56" s="922">
        <v>1414318</v>
      </c>
      <c r="L56" s="923">
        <v>0</v>
      </c>
      <c r="M56" s="923">
        <v>0</v>
      </c>
      <c r="N56" s="923">
        <v>0</v>
      </c>
      <c r="O56" s="922">
        <v>0</v>
      </c>
      <c r="P56" s="847">
        <f t="shared" si="20"/>
        <v>1784313</v>
      </c>
      <c r="Q56" s="923">
        <v>22.39</v>
      </c>
      <c r="R56" s="922">
        <v>2827338</v>
      </c>
      <c r="S56" s="923">
        <v>0</v>
      </c>
      <c r="T56" s="923">
        <v>0</v>
      </c>
      <c r="U56" s="923">
        <v>0</v>
      </c>
      <c r="V56" s="922">
        <v>0</v>
      </c>
      <c r="W56" s="399">
        <f t="shared" si="21"/>
        <v>2827338</v>
      </c>
      <c r="X56" s="924">
        <f t="shared" si="22"/>
        <v>36.519999999999996</v>
      </c>
      <c r="Y56" s="399">
        <f t="shared" si="23"/>
        <v>4611651</v>
      </c>
      <c r="Z56" s="399">
        <f t="shared" si="24"/>
        <v>0</v>
      </c>
      <c r="AA56" s="925">
        <f t="shared" si="25"/>
        <v>21.1</v>
      </c>
      <c r="AB56" s="926">
        <f t="shared" si="26"/>
        <v>13.32</v>
      </c>
      <c r="AC56" s="927">
        <f t="shared" si="27"/>
        <v>34.42</v>
      </c>
      <c r="AD56" s="847">
        <f t="shared" si="28"/>
        <v>4611651</v>
      </c>
      <c r="AE56" s="847">
        <f>IF('[1]Table 8 Membership'!AA57&gt;0,ROUND('Table 7 Local Revenue'!AD56*'[1]Table 8 Membership'!AA57,0),'Table 7 Local Revenue'!AD56)</f>
        <v>4611651</v>
      </c>
      <c r="AF56" s="928">
        <v>0.02</v>
      </c>
      <c r="AG56" s="929">
        <v>8541960</v>
      </c>
      <c r="AH56" s="930">
        <v>0</v>
      </c>
      <c r="AI56" s="930">
        <f t="shared" si="29"/>
        <v>8541960</v>
      </c>
      <c r="AJ56" s="847">
        <f>IF('[1]Table 8 Membership'!AA57&gt;0,ROUND('[1]Table 8 Membership'!AA57*'Table 7 Local Revenue'!AI56,0),'Table 7 Local Revenue'!AI56)</f>
        <v>8541960</v>
      </c>
      <c r="AK56" s="847">
        <v>395688100</v>
      </c>
      <c r="AL56" s="847">
        <f t="shared" si="35"/>
        <v>427098000</v>
      </c>
      <c r="AM56" s="928">
        <f t="shared" si="30"/>
        <v>0.07938045142120777</v>
      </c>
      <c r="AN56" s="847">
        <f t="shared" si="31"/>
        <v>427098000</v>
      </c>
      <c r="AO56" s="931">
        <f t="shared" si="32"/>
        <v>0.02</v>
      </c>
      <c r="AP56" s="931">
        <f t="shared" si="33"/>
        <v>0</v>
      </c>
      <c r="AQ56" s="932">
        <f>'[8]04-05 Other Revenue'!O51</f>
        <v>601474</v>
      </c>
      <c r="AR56" s="933">
        <f t="shared" si="34"/>
        <v>13755085</v>
      </c>
      <c r="AS56" s="933">
        <f>ROUND(AR56/'[1]Table 3 Levels 1&amp;2'!D57,2)</f>
        <v>1691.27</v>
      </c>
      <c r="AT56" s="933">
        <v>12717191</v>
      </c>
    </row>
    <row r="57" spans="1:46" ht="12.75">
      <c r="A57" s="835">
        <v>51</v>
      </c>
      <c r="B57" s="434" t="s">
        <v>334</v>
      </c>
      <c r="C57" s="905"/>
      <c r="D57" s="387">
        <v>372300073</v>
      </c>
      <c r="E57" s="387">
        <v>63123334</v>
      </c>
      <c r="F57" s="387">
        <f t="shared" si="19"/>
        <v>309176739</v>
      </c>
      <c r="G57" s="387">
        <f>IF('[1]Table 8 Membership'!AA58&gt;0,ROUND('[1]Table 8 Membership'!AA58*'Table 7 Local Revenue'!F57,0),'Table 7 Local Revenue'!F57)</f>
        <v>309176739</v>
      </c>
      <c r="H57" s="906">
        <v>8.6</v>
      </c>
      <c r="I57" s="907">
        <v>2598176</v>
      </c>
      <c r="J57" s="908">
        <v>11.45</v>
      </c>
      <c r="K57" s="907">
        <v>3459211</v>
      </c>
      <c r="L57" s="908">
        <v>10.34</v>
      </c>
      <c r="M57" s="908">
        <v>13.77</v>
      </c>
      <c r="N57" s="908">
        <v>3</v>
      </c>
      <c r="O57" s="907">
        <v>3689599</v>
      </c>
      <c r="P57" s="844">
        <f t="shared" si="20"/>
        <v>9746986</v>
      </c>
      <c r="Q57" s="908">
        <v>0</v>
      </c>
      <c r="R57" s="907">
        <v>0</v>
      </c>
      <c r="S57" s="908">
        <v>8.9</v>
      </c>
      <c r="T57" s="908">
        <v>23.3</v>
      </c>
      <c r="U57" s="908">
        <v>2</v>
      </c>
      <c r="V57" s="907">
        <v>1969272</v>
      </c>
      <c r="W57" s="387">
        <f t="shared" si="21"/>
        <v>1969272</v>
      </c>
      <c r="X57" s="909">
        <f t="shared" si="22"/>
        <v>20.049999999999997</v>
      </c>
      <c r="Y57" s="387">
        <f t="shared" si="23"/>
        <v>6057387</v>
      </c>
      <c r="Z57" s="387">
        <f t="shared" si="24"/>
        <v>5658871</v>
      </c>
      <c r="AA57" s="910">
        <f t="shared" si="25"/>
        <v>6.37</v>
      </c>
      <c r="AB57" s="911">
        <f t="shared" si="26"/>
        <v>31.53</v>
      </c>
      <c r="AC57" s="912">
        <f t="shared" si="27"/>
        <v>37.9</v>
      </c>
      <c r="AD57" s="844">
        <f t="shared" si="28"/>
        <v>11716258</v>
      </c>
      <c r="AE57" s="844">
        <f>IF('[1]Table 8 Membership'!AA58&gt;0,ROUND('Table 7 Local Revenue'!AD57*'[1]Table 8 Membership'!AA58,0),'Table 7 Local Revenue'!AD57)</f>
        <v>11716258</v>
      </c>
      <c r="AF57" s="913">
        <v>0.0175</v>
      </c>
      <c r="AG57" s="914">
        <v>12279802</v>
      </c>
      <c r="AH57" s="915">
        <v>0</v>
      </c>
      <c r="AI57" s="915">
        <f t="shared" si="29"/>
        <v>12279802</v>
      </c>
      <c r="AJ57" s="844">
        <f>IF('[1]Table 8 Membership'!AA58&gt;0,ROUND('[1]Table 8 Membership'!AA58*'Table 7 Local Revenue'!AI57,0),'Table 7 Local Revenue'!AI57)</f>
        <v>12279802</v>
      </c>
      <c r="AK57" s="844">
        <v>687506686</v>
      </c>
      <c r="AL57" s="844">
        <f t="shared" si="35"/>
        <v>701702971</v>
      </c>
      <c r="AM57" s="913">
        <f t="shared" si="30"/>
        <v>0.020648941005353364</v>
      </c>
      <c r="AN57" s="844">
        <f t="shared" si="31"/>
        <v>701702971</v>
      </c>
      <c r="AO57" s="916">
        <f t="shared" si="32"/>
        <v>0.017500000010688282</v>
      </c>
      <c r="AP57" s="916">
        <f t="shared" si="33"/>
        <v>0</v>
      </c>
      <c r="AQ57" s="917">
        <f>'[8]04-05 Other Revenue'!O52</f>
        <v>563459</v>
      </c>
      <c r="AR57" s="918">
        <f t="shared" si="34"/>
        <v>24559519</v>
      </c>
      <c r="AS57" s="918">
        <f>ROUND(AR57/'[1]Table 3 Levels 1&amp;2'!D58,2)</f>
        <v>2546.88</v>
      </c>
      <c r="AT57" s="918">
        <v>23729587.5</v>
      </c>
    </row>
    <row r="58" spans="1:46" ht="12.75">
      <c r="A58" s="835">
        <v>52</v>
      </c>
      <c r="B58" s="434" t="s">
        <v>335</v>
      </c>
      <c r="C58" s="905"/>
      <c r="D58" s="387">
        <v>1290943410</v>
      </c>
      <c r="E58" s="387">
        <v>421714159</v>
      </c>
      <c r="F58" s="387">
        <f t="shared" si="19"/>
        <v>869229251</v>
      </c>
      <c r="G58" s="387">
        <f>IF('[1]Table 8 Membership'!AA59&gt;0,ROUND('[1]Table 8 Membership'!AA59*'Table 7 Local Revenue'!F58,0),'Table 7 Local Revenue'!F58)</f>
        <v>869229251</v>
      </c>
      <c r="H58" s="906">
        <v>3.7</v>
      </c>
      <c r="I58" s="907">
        <v>3005660</v>
      </c>
      <c r="J58" s="908">
        <v>46.99</v>
      </c>
      <c r="K58" s="907">
        <v>38281343</v>
      </c>
      <c r="L58" s="908">
        <v>46.99</v>
      </c>
      <c r="M58" s="908">
        <v>56.73</v>
      </c>
      <c r="N58" s="908">
        <v>0</v>
      </c>
      <c r="O58" s="907">
        <v>0</v>
      </c>
      <c r="P58" s="844">
        <f t="shared" si="20"/>
        <v>41287003</v>
      </c>
      <c r="Q58" s="908">
        <v>23.9</v>
      </c>
      <c r="R58" s="907">
        <v>20117762</v>
      </c>
      <c r="S58" s="908">
        <v>23.9</v>
      </c>
      <c r="T58" s="908">
        <v>25.9</v>
      </c>
      <c r="U58" s="908">
        <v>0</v>
      </c>
      <c r="V58" s="907">
        <v>0</v>
      </c>
      <c r="W58" s="387">
        <f t="shared" si="21"/>
        <v>20117762</v>
      </c>
      <c r="X58" s="909">
        <f t="shared" si="22"/>
        <v>74.59</v>
      </c>
      <c r="Y58" s="387">
        <f t="shared" si="23"/>
        <v>61404765</v>
      </c>
      <c r="Z58" s="387">
        <f t="shared" si="24"/>
        <v>0</v>
      </c>
      <c r="AA58" s="910">
        <f t="shared" si="25"/>
        <v>23.14</v>
      </c>
      <c r="AB58" s="911">
        <f t="shared" si="26"/>
        <v>47.5</v>
      </c>
      <c r="AC58" s="912">
        <f t="shared" si="27"/>
        <v>70.64</v>
      </c>
      <c r="AD58" s="844">
        <f t="shared" si="28"/>
        <v>61404765</v>
      </c>
      <c r="AE58" s="844">
        <f>IF('[1]Table 8 Membership'!AA59&gt;0,ROUND('Table 7 Local Revenue'!AD58*'[1]Table 8 Membership'!AA59,0),'Table 7 Local Revenue'!AD58)</f>
        <v>61404765</v>
      </c>
      <c r="AF58" s="913">
        <v>0.02</v>
      </c>
      <c r="AG58" s="914">
        <v>65696266</v>
      </c>
      <c r="AH58" s="915">
        <v>0</v>
      </c>
      <c r="AI58" s="915">
        <f t="shared" si="29"/>
        <v>65696266</v>
      </c>
      <c r="AJ58" s="844">
        <f>IF('[1]Table 8 Membership'!AA59&gt;0,ROUND('[1]Table 8 Membership'!AA59*'Table 7 Local Revenue'!AI58,0),'Table 7 Local Revenue'!AI58)</f>
        <v>65696266</v>
      </c>
      <c r="AK58" s="844">
        <v>3032441900</v>
      </c>
      <c r="AL58" s="844">
        <f t="shared" si="35"/>
        <v>3284813300</v>
      </c>
      <c r="AM58" s="913">
        <f t="shared" si="30"/>
        <v>0.08322382038053228</v>
      </c>
      <c r="AN58" s="844">
        <f t="shared" si="31"/>
        <v>3284813300</v>
      </c>
      <c r="AO58" s="916">
        <f t="shared" si="32"/>
        <v>0.02</v>
      </c>
      <c r="AP58" s="916">
        <f t="shared" si="33"/>
        <v>0</v>
      </c>
      <c r="AQ58" s="917">
        <f>'[8]04-05 Other Revenue'!O53</f>
        <v>1768679</v>
      </c>
      <c r="AR58" s="918">
        <f t="shared" si="34"/>
        <v>128869710</v>
      </c>
      <c r="AS58" s="918">
        <f>ROUND(AR58/'[1]Table 3 Levels 1&amp;2'!D59,2)</f>
        <v>3763.72</v>
      </c>
      <c r="AT58" s="918">
        <v>117102048</v>
      </c>
    </row>
    <row r="59" spans="1:46" ht="12.75">
      <c r="A59" s="835">
        <v>53</v>
      </c>
      <c r="B59" s="434" t="s">
        <v>336</v>
      </c>
      <c r="C59" s="905"/>
      <c r="D59" s="387">
        <v>456602905</v>
      </c>
      <c r="E59" s="387">
        <v>152156595</v>
      </c>
      <c r="F59" s="387">
        <f t="shared" si="19"/>
        <v>304446310</v>
      </c>
      <c r="G59" s="387">
        <f>IF('[1]Table 8 Membership'!AA60&gt;0,ROUND('[1]Table 8 Membership'!AA60*'Table 7 Local Revenue'!F59,0),'Table 7 Local Revenue'!F59)</f>
        <v>304446310</v>
      </c>
      <c r="H59" s="906">
        <v>4.06</v>
      </c>
      <c r="I59" s="907">
        <v>1242708</v>
      </c>
      <c r="J59" s="908">
        <v>0</v>
      </c>
      <c r="K59" s="907">
        <v>0</v>
      </c>
      <c r="L59" s="908">
        <v>0</v>
      </c>
      <c r="M59" s="908">
        <v>3</v>
      </c>
      <c r="N59" s="908">
        <v>1</v>
      </c>
      <c r="O59" s="907">
        <v>473138</v>
      </c>
      <c r="P59" s="844">
        <f t="shared" si="20"/>
        <v>1715846</v>
      </c>
      <c r="Q59" s="908">
        <v>0</v>
      </c>
      <c r="R59" s="907">
        <v>0</v>
      </c>
      <c r="S59" s="908">
        <v>7</v>
      </c>
      <c r="T59" s="908">
        <v>38</v>
      </c>
      <c r="U59" s="908">
        <v>8</v>
      </c>
      <c r="V59" s="907">
        <v>3006730</v>
      </c>
      <c r="W59" s="387">
        <f t="shared" si="21"/>
        <v>3006730</v>
      </c>
      <c r="X59" s="909">
        <f t="shared" si="22"/>
        <v>4.06</v>
      </c>
      <c r="Y59" s="387">
        <f t="shared" si="23"/>
        <v>1242708</v>
      </c>
      <c r="Z59" s="387">
        <f t="shared" si="24"/>
        <v>3479868</v>
      </c>
      <c r="AA59" s="910">
        <f t="shared" si="25"/>
        <v>9.88</v>
      </c>
      <c r="AB59" s="911">
        <f t="shared" si="26"/>
        <v>5.64</v>
      </c>
      <c r="AC59" s="912">
        <f t="shared" si="27"/>
        <v>15.51</v>
      </c>
      <c r="AD59" s="844">
        <f t="shared" si="28"/>
        <v>4722576</v>
      </c>
      <c r="AE59" s="844">
        <f>IF('[1]Table 8 Membership'!AA60&gt;0,ROUND('Table 7 Local Revenue'!AD59*'[1]Table 8 Membership'!AA60,0),'Table 7 Local Revenue'!AD59)</f>
        <v>4722576</v>
      </c>
      <c r="AF59" s="913">
        <v>0.02</v>
      </c>
      <c r="AG59" s="914">
        <v>19824189</v>
      </c>
      <c r="AH59" s="915">
        <v>4551246</v>
      </c>
      <c r="AI59" s="915">
        <f t="shared" si="29"/>
        <v>24375435</v>
      </c>
      <c r="AJ59" s="844">
        <f>IF('[1]Table 8 Membership'!AA60&gt;0,ROUND('[1]Table 8 Membership'!AA60*'Table 7 Local Revenue'!AI59,0),'Table 7 Local Revenue'!AI59)</f>
        <v>24375435</v>
      </c>
      <c r="AK59" s="844">
        <v>1148252500</v>
      </c>
      <c r="AL59" s="844">
        <f t="shared" si="35"/>
        <v>1218771750</v>
      </c>
      <c r="AM59" s="913">
        <f t="shared" si="30"/>
        <v>0.061414410158044504</v>
      </c>
      <c r="AN59" s="844">
        <f t="shared" si="31"/>
        <v>1218771750</v>
      </c>
      <c r="AO59" s="916">
        <f t="shared" si="32"/>
        <v>0.016265710950389194</v>
      </c>
      <c r="AP59" s="916">
        <f t="shared" si="33"/>
        <v>0.003734289049610807</v>
      </c>
      <c r="AQ59" s="917">
        <f>'[8]04-05 Other Revenue'!O54</f>
        <v>220096</v>
      </c>
      <c r="AR59" s="918">
        <f t="shared" si="34"/>
        <v>29318107</v>
      </c>
      <c r="AS59" s="918">
        <f>ROUND(AR59/'[1]Table 3 Levels 1&amp;2'!D60,2)</f>
        <v>1581.86</v>
      </c>
      <c r="AT59" s="918">
        <v>27180859.5</v>
      </c>
    </row>
    <row r="60" spans="1:46" ht="12.75">
      <c r="A60" s="835">
        <v>54</v>
      </c>
      <c r="B60" s="434" t="s">
        <v>337</v>
      </c>
      <c r="C60" s="905"/>
      <c r="D60" s="387">
        <v>44513775</v>
      </c>
      <c r="E60" s="387">
        <v>6152899</v>
      </c>
      <c r="F60" s="387">
        <f t="shared" si="19"/>
        <v>38360876</v>
      </c>
      <c r="G60" s="387">
        <f>IF('[1]Table 8 Membership'!AA61&gt;0,ROUND('[1]Table 8 Membership'!AA61*'Table 7 Local Revenue'!F60,0),'Table 7 Local Revenue'!F60)</f>
        <v>38360876</v>
      </c>
      <c r="H60" s="906">
        <v>4.36</v>
      </c>
      <c r="I60" s="907">
        <v>161646</v>
      </c>
      <c r="J60" s="908">
        <v>28.65</v>
      </c>
      <c r="K60" s="907">
        <v>1062192</v>
      </c>
      <c r="L60" s="908">
        <v>0</v>
      </c>
      <c r="M60" s="908">
        <v>0</v>
      </c>
      <c r="N60" s="908">
        <v>0</v>
      </c>
      <c r="O60" s="907">
        <v>0</v>
      </c>
      <c r="P60" s="844">
        <f t="shared" si="20"/>
        <v>1223838</v>
      </c>
      <c r="Q60" s="908">
        <v>0</v>
      </c>
      <c r="R60" s="907">
        <v>0</v>
      </c>
      <c r="S60" s="908">
        <v>0</v>
      </c>
      <c r="T60" s="908">
        <v>0</v>
      </c>
      <c r="U60" s="908">
        <v>0</v>
      </c>
      <c r="V60" s="907">
        <v>0</v>
      </c>
      <c r="W60" s="387">
        <f t="shared" si="21"/>
        <v>0</v>
      </c>
      <c r="X60" s="909">
        <f t="shared" si="22"/>
        <v>33.01</v>
      </c>
      <c r="Y60" s="387">
        <f t="shared" si="23"/>
        <v>1223838</v>
      </c>
      <c r="Z60" s="387">
        <f t="shared" si="24"/>
        <v>0</v>
      </c>
      <c r="AA60" s="910">
        <f t="shared" si="25"/>
        <v>0</v>
      </c>
      <c r="AB60" s="911">
        <f t="shared" si="26"/>
        <v>31.9</v>
      </c>
      <c r="AC60" s="912">
        <f t="shared" si="27"/>
        <v>31.9</v>
      </c>
      <c r="AD60" s="844">
        <f t="shared" si="28"/>
        <v>1223838</v>
      </c>
      <c r="AE60" s="844">
        <f>IF('[1]Table 8 Membership'!AA61&gt;0,ROUND('Table 7 Local Revenue'!AD60*'[1]Table 8 Membership'!AA61,0),'Table 7 Local Revenue'!AD60)</f>
        <v>1223838</v>
      </c>
      <c r="AF60" s="913">
        <v>0.015</v>
      </c>
      <c r="AG60" s="914">
        <v>676341</v>
      </c>
      <c r="AH60" s="915">
        <v>0</v>
      </c>
      <c r="AI60" s="915">
        <f t="shared" si="29"/>
        <v>676341</v>
      </c>
      <c r="AJ60" s="844">
        <f>IF('[1]Table 8 Membership'!AA61&gt;0,ROUND('[1]Table 8 Membership'!AA61*'Table 7 Local Revenue'!AI60,0),'Table 7 Local Revenue'!AI60)</f>
        <v>676341</v>
      </c>
      <c r="AK60" s="844">
        <v>40356133</v>
      </c>
      <c r="AL60" s="844">
        <f t="shared" si="35"/>
        <v>45089400</v>
      </c>
      <c r="AM60" s="913">
        <f t="shared" si="30"/>
        <v>0.11728742691971998</v>
      </c>
      <c r="AN60" s="844">
        <f t="shared" si="31"/>
        <v>45089400</v>
      </c>
      <c r="AO60" s="916">
        <f t="shared" si="32"/>
        <v>0.015</v>
      </c>
      <c r="AP60" s="916">
        <f t="shared" si="33"/>
        <v>0</v>
      </c>
      <c r="AQ60" s="917">
        <f>'[8]04-05 Other Revenue'!O55</f>
        <v>59175</v>
      </c>
      <c r="AR60" s="918">
        <f t="shared" si="34"/>
        <v>1959354</v>
      </c>
      <c r="AS60" s="918">
        <f>ROUND(AR60/'[1]Table 3 Levels 1&amp;2'!D61,2)</f>
        <v>2477.06</v>
      </c>
      <c r="AT60" s="918">
        <v>1891199</v>
      </c>
    </row>
    <row r="61" spans="1:46" ht="12.75">
      <c r="A61" s="838">
        <v>55</v>
      </c>
      <c r="B61" s="919" t="s">
        <v>338</v>
      </c>
      <c r="C61" s="920"/>
      <c r="D61" s="399">
        <v>613656650</v>
      </c>
      <c r="E61" s="399">
        <v>151796400</v>
      </c>
      <c r="F61" s="399">
        <f t="shared" si="19"/>
        <v>461860250</v>
      </c>
      <c r="G61" s="399">
        <f>IF('[1]Table 8 Membership'!AA62&gt;0,ROUND('[1]Table 8 Membership'!AA62*'Table 7 Local Revenue'!F61,0),'Table 7 Local Revenue'!F61)</f>
        <v>461860250</v>
      </c>
      <c r="H61" s="921">
        <v>3.86</v>
      </c>
      <c r="I61" s="922">
        <v>1771548</v>
      </c>
      <c r="J61" s="923">
        <v>5.41</v>
      </c>
      <c r="K61" s="922">
        <v>2482921</v>
      </c>
      <c r="L61" s="923">
        <v>0</v>
      </c>
      <c r="M61" s="923">
        <v>0</v>
      </c>
      <c r="N61" s="923">
        <v>0</v>
      </c>
      <c r="O61" s="922">
        <v>0</v>
      </c>
      <c r="P61" s="847">
        <f t="shared" si="20"/>
        <v>4254469</v>
      </c>
      <c r="Q61" s="923">
        <v>0</v>
      </c>
      <c r="R61" s="922">
        <v>37</v>
      </c>
      <c r="S61" s="923">
        <v>0</v>
      </c>
      <c r="T61" s="923">
        <v>0</v>
      </c>
      <c r="U61" s="923">
        <v>0</v>
      </c>
      <c r="V61" s="922">
        <v>0</v>
      </c>
      <c r="W61" s="399">
        <f t="shared" si="21"/>
        <v>37</v>
      </c>
      <c r="X61" s="924">
        <f t="shared" si="22"/>
        <v>9.27</v>
      </c>
      <c r="Y61" s="399">
        <f t="shared" si="23"/>
        <v>4254506</v>
      </c>
      <c r="Z61" s="399">
        <f t="shared" si="24"/>
        <v>0</v>
      </c>
      <c r="AA61" s="925">
        <f t="shared" si="25"/>
        <v>0</v>
      </c>
      <c r="AB61" s="926">
        <f t="shared" si="26"/>
        <v>9.21</v>
      </c>
      <c r="AC61" s="927">
        <f t="shared" si="27"/>
        <v>9.21</v>
      </c>
      <c r="AD61" s="847">
        <f t="shared" si="28"/>
        <v>4254506</v>
      </c>
      <c r="AE61" s="847">
        <f>IF('[1]Table 8 Membership'!AA62&gt;0,ROUND('Table 7 Local Revenue'!AD61*'[1]Table 8 Membership'!AA62,0),'Table 7 Local Revenue'!AD61)</f>
        <v>4254506</v>
      </c>
      <c r="AF61" s="928">
        <v>0.0208</v>
      </c>
      <c r="AG61" s="929">
        <v>36696743</v>
      </c>
      <c r="AH61" s="930">
        <v>0</v>
      </c>
      <c r="AI61" s="930">
        <f t="shared" si="29"/>
        <v>36696743</v>
      </c>
      <c r="AJ61" s="847">
        <f>IF('[1]Table 8 Membership'!AA62&gt;0,ROUND('[1]Table 8 Membership'!AA62*'Table 7 Local Revenue'!AI61,0),'Table 7 Local Revenue'!AI61)</f>
        <v>36696743</v>
      </c>
      <c r="AK61" s="847">
        <v>1636640913</v>
      </c>
      <c r="AL61" s="847">
        <f t="shared" si="35"/>
        <v>1764266490</v>
      </c>
      <c r="AM61" s="928">
        <f t="shared" si="30"/>
        <v>0.07798019466961718</v>
      </c>
      <c r="AN61" s="847">
        <f t="shared" si="31"/>
        <v>1764266490</v>
      </c>
      <c r="AO61" s="931">
        <f t="shared" si="32"/>
        <v>0.020800000004534462</v>
      </c>
      <c r="AP61" s="931">
        <f t="shared" si="33"/>
        <v>0</v>
      </c>
      <c r="AQ61" s="932">
        <f>'[8]04-05 Other Revenue'!O56</f>
        <v>840390</v>
      </c>
      <c r="AR61" s="933">
        <f t="shared" si="34"/>
        <v>41791639</v>
      </c>
      <c r="AS61" s="933">
        <f>ROUND(AR61/'[1]Table 3 Levels 1&amp;2'!D62,2)</f>
        <v>2220.36</v>
      </c>
      <c r="AT61" s="933">
        <v>38370932</v>
      </c>
    </row>
    <row r="62" spans="1:46" ht="12.75">
      <c r="A62" s="835">
        <v>56</v>
      </c>
      <c r="B62" s="434" t="s">
        <v>339</v>
      </c>
      <c r="C62" s="905"/>
      <c r="D62" s="387">
        <v>129785200</v>
      </c>
      <c r="E62" s="387">
        <v>30514840</v>
      </c>
      <c r="F62" s="387">
        <f t="shared" si="19"/>
        <v>99270360</v>
      </c>
      <c r="G62" s="387">
        <f>IF('[1]Table 8 Membership'!AA63&gt;0,ROUND('[1]Table 8 Membership'!AA63*'Table 7 Local Revenue'!F62,0),'Table 7 Local Revenue'!F62)</f>
        <v>99270360</v>
      </c>
      <c r="H62" s="906">
        <v>3.27</v>
      </c>
      <c r="I62" s="907">
        <v>310421</v>
      </c>
      <c r="J62" s="908">
        <v>2.98</v>
      </c>
      <c r="K62" s="907">
        <v>282855</v>
      </c>
      <c r="L62" s="908">
        <v>1.56</v>
      </c>
      <c r="M62" s="908">
        <v>1.64</v>
      </c>
      <c r="N62" s="908">
        <v>9</v>
      </c>
      <c r="O62" s="907">
        <v>155425</v>
      </c>
      <c r="P62" s="844">
        <f t="shared" si="20"/>
        <v>748701</v>
      </c>
      <c r="Q62" s="908">
        <v>0</v>
      </c>
      <c r="R62" s="907">
        <v>0</v>
      </c>
      <c r="S62" s="908">
        <v>0</v>
      </c>
      <c r="T62" s="908">
        <v>0</v>
      </c>
      <c r="U62" s="908">
        <v>0</v>
      </c>
      <c r="V62" s="907">
        <v>0</v>
      </c>
      <c r="W62" s="387">
        <f t="shared" si="21"/>
        <v>0</v>
      </c>
      <c r="X62" s="909">
        <f t="shared" si="22"/>
        <v>6.25</v>
      </c>
      <c r="Y62" s="387">
        <f t="shared" si="23"/>
        <v>593276</v>
      </c>
      <c r="Z62" s="387">
        <f t="shared" si="24"/>
        <v>155425</v>
      </c>
      <c r="AA62" s="910">
        <f t="shared" si="25"/>
        <v>0</v>
      </c>
      <c r="AB62" s="911">
        <f t="shared" si="26"/>
        <v>7.54</v>
      </c>
      <c r="AC62" s="912">
        <f t="shared" si="27"/>
        <v>7.54</v>
      </c>
      <c r="AD62" s="844">
        <f t="shared" si="28"/>
        <v>748701</v>
      </c>
      <c r="AE62" s="844">
        <f>IF('[1]Table 8 Membership'!AA63&gt;0,ROUND('Table 7 Local Revenue'!AD62*'[1]Table 8 Membership'!AA63,0),'Table 7 Local Revenue'!AD62)</f>
        <v>748701</v>
      </c>
      <c r="AF62" s="913">
        <v>0.02</v>
      </c>
      <c r="AG62" s="914">
        <v>3336573</v>
      </c>
      <c r="AH62" s="915">
        <v>0</v>
      </c>
      <c r="AI62" s="915">
        <f t="shared" si="29"/>
        <v>3336573</v>
      </c>
      <c r="AJ62" s="844">
        <f>IF('[1]Table 8 Membership'!AA63&gt;0,ROUND('[1]Table 8 Membership'!AA63*'Table 7 Local Revenue'!AI62,0),'Table 7 Local Revenue'!AI62)</f>
        <v>3336573</v>
      </c>
      <c r="AK62" s="844">
        <v>166880750</v>
      </c>
      <c r="AL62" s="844">
        <f t="shared" si="35"/>
        <v>166828650</v>
      </c>
      <c r="AM62" s="913">
        <f t="shared" si="30"/>
        <v>-0.0003121989804096638</v>
      </c>
      <c r="AN62" s="844">
        <f t="shared" si="31"/>
        <v>166828650</v>
      </c>
      <c r="AO62" s="916">
        <f t="shared" si="32"/>
        <v>0.02</v>
      </c>
      <c r="AP62" s="916">
        <f t="shared" si="33"/>
        <v>0</v>
      </c>
      <c r="AQ62" s="917">
        <f>'[8]04-05 Other Revenue'!O57</f>
        <v>155612</v>
      </c>
      <c r="AR62" s="918">
        <f t="shared" si="34"/>
        <v>4240886</v>
      </c>
      <c r="AS62" s="918">
        <f>ROUND(AR62/'[1]Table 3 Levels 1&amp;2'!D63,2)</f>
        <v>1395.03</v>
      </c>
      <c r="AT62" s="918">
        <v>4253752</v>
      </c>
    </row>
    <row r="63" spans="1:46" ht="12.75">
      <c r="A63" s="835">
        <v>57</v>
      </c>
      <c r="B63" s="434" t="s">
        <v>340</v>
      </c>
      <c r="C63" s="905"/>
      <c r="D63" s="387">
        <v>286037320</v>
      </c>
      <c r="E63" s="387">
        <v>76541620</v>
      </c>
      <c r="F63" s="387">
        <f t="shared" si="19"/>
        <v>209495700</v>
      </c>
      <c r="G63" s="387">
        <f>IF('[1]Table 8 Membership'!AA64&gt;0,ROUND('[1]Table 8 Membership'!AA64*'Table 7 Local Revenue'!F63,0),'Table 7 Local Revenue'!F63)</f>
        <v>209495700</v>
      </c>
      <c r="H63" s="906">
        <v>4.51</v>
      </c>
      <c r="I63" s="907">
        <v>923161</v>
      </c>
      <c r="J63" s="908">
        <v>35</v>
      </c>
      <c r="K63" s="907">
        <v>7141528</v>
      </c>
      <c r="L63" s="908">
        <v>0</v>
      </c>
      <c r="M63" s="908">
        <v>0</v>
      </c>
      <c r="N63" s="908">
        <v>0</v>
      </c>
      <c r="O63" s="907">
        <v>0</v>
      </c>
      <c r="P63" s="844">
        <f t="shared" si="20"/>
        <v>8064689</v>
      </c>
      <c r="Q63" s="908">
        <v>1</v>
      </c>
      <c r="R63" s="907">
        <v>215796</v>
      </c>
      <c r="S63" s="908">
        <v>0</v>
      </c>
      <c r="T63" s="908">
        <v>0</v>
      </c>
      <c r="U63" s="908">
        <v>0</v>
      </c>
      <c r="V63" s="907">
        <v>0</v>
      </c>
      <c r="W63" s="387">
        <f t="shared" si="21"/>
        <v>215796</v>
      </c>
      <c r="X63" s="909">
        <f t="shared" si="22"/>
        <v>40.51</v>
      </c>
      <c r="Y63" s="387">
        <f t="shared" si="23"/>
        <v>8280485</v>
      </c>
      <c r="Z63" s="387">
        <f t="shared" si="24"/>
        <v>0</v>
      </c>
      <c r="AA63" s="910">
        <f t="shared" si="25"/>
        <v>1.03</v>
      </c>
      <c r="AB63" s="911">
        <f t="shared" si="26"/>
        <v>38.5</v>
      </c>
      <c r="AC63" s="912">
        <f t="shared" si="27"/>
        <v>39.53</v>
      </c>
      <c r="AD63" s="844">
        <f t="shared" si="28"/>
        <v>8280485</v>
      </c>
      <c r="AE63" s="844">
        <f>IF('[1]Table 8 Membership'!AA64&gt;0,ROUND('Table 7 Local Revenue'!AD63*'[1]Table 8 Membership'!AA64,0),'Table 7 Local Revenue'!AD63)</f>
        <v>8280485</v>
      </c>
      <c r="AF63" s="913">
        <v>0.01</v>
      </c>
      <c r="AG63" s="914">
        <v>5879987</v>
      </c>
      <c r="AH63" s="915">
        <v>0</v>
      </c>
      <c r="AI63" s="915">
        <f t="shared" si="29"/>
        <v>5879987</v>
      </c>
      <c r="AJ63" s="844">
        <f>IF('[1]Table 8 Membership'!AA64&gt;0,ROUND('[1]Table 8 Membership'!AA64*'Table 7 Local Revenue'!AI63,0),'Table 7 Local Revenue'!AI63)</f>
        <v>5879987</v>
      </c>
      <c r="AK63" s="844">
        <v>566385200</v>
      </c>
      <c r="AL63" s="844">
        <f t="shared" si="35"/>
        <v>587998700</v>
      </c>
      <c r="AM63" s="913">
        <f t="shared" si="30"/>
        <v>0.0381604250958535</v>
      </c>
      <c r="AN63" s="844">
        <f t="shared" si="31"/>
        <v>587998700</v>
      </c>
      <c r="AO63" s="916">
        <f t="shared" si="32"/>
        <v>0.01</v>
      </c>
      <c r="AP63" s="916">
        <f t="shared" si="33"/>
        <v>0</v>
      </c>
      <c r="AQ63" s="917">
        <f>'[8]04-05 Other Revenue'!O58</f>
        <v>2226835</v>
      </c>
      <c r="AR63" s="918">
        <f t="shared" si="34"/>
        <v>16387307</v>
      </c>
      <c r="AS63" s="918">
        <f>ROUND(AR63/'[1]Table 3 Levels 1&amp;2'!D64,2)</f>
        <v>1918.89</v>
      </c>
      <c r="AT63" s="918">
        <v>15774992</v>
      </c>
    </row>
    <row r="64" spans="1:46" ht="12.75">
      <c r="A64" s="835">
        <v>58</v>
      </c>
      <c r="B64" s="434" t="s">
        <v>341</v>
      </c>
      <c r="C64" s="905"/>
      <c r="D64" s="387">
        <v>127785310</v>
      </c>
      <c r="E64" s="387">
        <v>37745930</v>
      </c>
      <c r="F64" s="387">
        <f t="shared" si="19"/>
        <v>90039380</v>
      </c>
      <c r="G64" s="387">
        <f>IF('[1]Table 8 Membership'!AA65&gt;0,ROUND('[1]Table 8 Membership'!AA65*'Table 7 Local Revenue'!F64,0),'Table 7 Local Revenue'!F64)</f>
        <v>90039380</v>
      </c>
      <c r="H64" s="906">
        <v>3.7</v>
      </c>
      <c r="I64" s="907">
        <v>327139</v>
      </c>
      <c r="J64" s="908">
        <v>7.17</v>
      </c>
      <c r="K64" s="907">
        <v>633942</v>
      </c>
      <c r="L64" s="908">
        <v>12.59</v>
      </c>
      <c r="M64" s="908">
        <v>14.53</v>
      </c>
      <c r="N64" s="908">
        <v>9</v>
      </c>
      <c r="O64" s="907">
        <v>1183155</v>
      </c>
      <c r="P64" s="844">
        <f t="shared" si="20"/>
        <v>2144236</v>
      </c>
      <c r="Q64" s="908">
        <v>0</v>
      </c>
      <c r="R64" s="907">
        <v>0</v>
      </c>
      <c r="S64" s="908">
        <v>12.56</v>
      </c>
      <c r="T64" s="908">
        <v>98</v>
      </c>
      <c r="U64" s="908">
        <v>9</v>
      </c>
      <c r="V64" s="907">
        <v>2355518</v>
      </c>
      <c r="W64" s="387">
        <f t="shared" si="21"/>
        <v>2355518</v>
      </c>
      <c r="X64" s="909">
        <f t="shared" si="22"/>
        <v>10.870000000000001</v>
      </c>
      <c r="Y64" s="387">
        <f t="shared" si="23"/>
        <v>961081</v>
      </c>
      <c r="Z64" s="387">
        <f t="shared" si="24"/>
        <v>3538673</v>
      </c>
      <c r="AA64" s="910">
        <f t="shared" si="25"/>
        <v>26.16</v>
      </c>
      <c r="AB64" s="911">
        <f t="shared" si="26"/>
        <v>23.81</v>
      </c>
      <c r="AC64" s="912">
        <f t="shared" si="27"/>
        <v>49.98</v>
      </c>
      <c r="AD64" s="844">
        <f t="shared" si="28"/>
        <v>4499754</v>
      </c>
      <c r="AE64" s="844">
        <f>IF('[1]Table 8 Membership'!AA65&gt;0,ROUND('Table 7 Local Revenue'!AD64*'[1]Table 8 Membership'!AA65,0),'Table 7 Local Revenue'!AD64)</f>
        <v>4499754</v>
      </c>
      <c r="AF64" s="913">
        <v>0.02</v>
      </c>
      <c r="AG64" s="914">
        <v>9283498</v>
      </c>
      <c r="AH64" s="915">
        <v>0</v>
      </c>
      <c r="AI64" s="915">
        <f t="shared" si="29"/>
        <v>9283498</v>
      </c>
      <c r="AJ64" s="844">
        <f>IF('[1]Table 8 Membership'!AA65&gt;0,ROUND('[1]Table 8 Membership'!AA65*'Table 7 Local Revenue'!AI64,0),'Table 7 Local Revenue'!AI64)</f>
        <v>9283498</v>
      </c>
      <c r="AK64" s="844">
        <v>417675800</v>
      </c>
      <c r="AL64" s="844">
        <f t="shared" si="35"/>
        <v>464174900</v>
      </c>
      <c r="AM64" s="913">
        <f t="shared" si="30"/>
        <v>0.11132821197684903</v>
      </c>
      <c r="AN64" s="844">
        <f t="shared" si="31"/>
        <v>464174900</v>
      </c>
      <c r="AO64" s="916">
        <f t="shared" si="32"/>
        <v>0.02</v>
      </c>
      <c r="AP64" s="916">
        <f t="shared" si="33"/>
        <v>0</v>
      </c>
      <c r="AQ64" s="917">
        <f>'[8]04-05 Other Revenue'!O59</f>
        <v>648211</v>
      </c>
      <c r="AR64" s="918">
        <f t="shared" si="34"/>
        <v>14431463</v>
      </c>
      <c r="AS64" s="918">
        <f>ROUND(AR64/'[1]Table 3 Levels 1&amp;2'!D65,2)</f>
        <v>1563.2</v>
      </c>
      <c r="AT64" s="918">
        <v>13145621</v>
      </c>
    </row>
    <row r="65" spans="1:46" ht="12.75">
      <c r="A65" s="835">
        <v>59</v>
      </c>
      <c r="B65" s="434" t="s">
        <v>342</v>
      </c>
      <c r="C65" s="905"/>
      <c r="D65" s="387">
        <v>88206270</v>
      </c>
      <c r="E65" s="387">
        <v>33218440</v>
      </c>
      <c r="F65" s="387">
        <f t="shared" si="19"/>
        <v>54987830</v>
      </c>
      <c r="G65" s="387">
        <f>IF('[1]Table 8 Membership'!AA66&gt;0,ROUND('[1]Table 8 Membership'!AA66*'Table 7 Local Revenue'!F65,0),'Table 7 Local Revenue'!F65)</f>
        <v>54987830</v>
      </c>
      <c r="H65" s="906">
        <v>3.91</v>
      </c>
      <c r="I65" s="907">
        <v>193999</v>
      </c>
      <c r="J65" s="908">
        <v>15.07</v>
      </c>
      <c r="K65" s="907">
        <v>747716</v>
      </c>
      <c r="L65" s="908">
        <v>5.12</v>
      </c>
      <c r="M65" s="908">
        <v>5.12</v>
      </c>
      <c r="N65" s="908">
        <v>1</v>
      </c>
      <c r="O65" s="907">
        <v>13767</v>
      </c>
      <c r="P65" s="844">
        <f t="shared" si="20"/>
        <v>955482</v>
      </c>
      <c r="Q65" s="908">
        <v>0</v>
      </c>
      <c r="R65" s="907">
        <v>0</v>
      </c>
      <c r="S65" s="908">
        <v>24</v>
      </c>
      <c r="T65" s="908">
        <v>46.5</v>
      </c>
      <c r="U65" s="908">
        <v>3</v>
      </c>
      <c r="V65" s="907">
        <v>2052598</v>
      </c>
      <c r="W65" s="387">
        <f t="shared" si="21"/>
        <v>2052598</v>
      </c>
      <c r="X65" s="909">
        <f t="shared" si="22"/>
        <v>18.98</v>
      </c>
      <c r="Y65" s="387">
        <f t="shared" si="23"/>
        <v>941715</v>
      </c>
      <c r="Z65" s="387">
        <f t="shared" si="24"/>
        <v>2066365</v>
      </c>
      <c r="AA65" s="910">
        <f t="shared" si="25"/>
        <v>37.33</v>
      </c>
      <c r="AB65" s="911">
        <f t="shared" si="26"/>
        <v>17.38</v>
      </c>
      <c r="AC65" s="912">
        <f t="shared" si="27"/>
        <v>54.7</v>
      </c>
      <c r="AD65" s="844">
        <f t="shared" si="28"/>
        <v>3008080</v>
      </c>
      <c r="AE65" s="844">
        <f>IF('[1]Table 8 Membership'!AA66&gt;0,ROUND('Table 7 Local Revenue'!AD65*'[1]Table 8 Membership'!AA66,0),'Table 7 Local Revenue'!AD65)</f>
        <v>3008080</v>
      </c>
      <c r="AF65" s="913">
        <v>0.02</v>
      </c>
      <c r="AG65" s="914">
        <v>3496128</v>
      </c>
      <c r="AH65" s="915">
        <v>0</v>
      </c>
      <c r="AI65" s="915">
        <f t="shared" si="29"/>
        <v>3496128</v>
      </c>
      <c r="AJ65" s="844">
        <f>IF('[1]Table 8 Membership'!AA66&gt;0,ROUND('[1]Table 8 Membership'!AA66*'Table 7 Local Revenue'!AI65,0),'Table 7 Local Revenue'!AI65)</f>
        <v>3496128</v>
      </c>
      <c r="AK65" s="844">
        <v>171575900</v>
      </c>
      <c r="AL65" s="844">
        <f t="shared" si="35"/>
        <v>174806400</v>
      </c>
      <c r="AM65" s="913">
        <f t="shared" si="30"/>
        <v>0.01882840189094156</v>
      </c>
      <c r="AN65" s="844">
        <f t="shared" si="31"/>
        <v>174806400</v>
      </c>
      <c r="AO65" s="916">
        <f t="shared" si="32"/>
        <v>0.02</v>
      </c>
      <c r="AP65" s="916">
        <f t="shared" si="33"/>
        <v>0</v>
      </c>
      <c r="AQ65" s="917">
        <f>'[8]04-05 Other Revenue'!O60</f>
        <v>146504</v>
      </c>
      <c r="AR65" s="918">
        <f t="shared" si="34"/>
        <v>6650712</v>
      </c>
      <c r="AS65" s="918">
        <f>ROUND(AR65/'[1]Table 3 Levels 1&amp;2'!D66,2)</f>
        <v>1412.04</v>
      </c>
      <c r="AT65" s="918">
        <v>6360426</v>
      </c>
    </row>
    <row r="66" spans="1:46" ht="12.75">
      <c r="A66" s="838">
        <v>60</v>
      </c>
      <c r="B66" s="919" t="s">
        <v>343</v>
      </c>
      <c r="C66" s="920"/>
      <c r="D66" s="399">
        <v>169007200</v>
      </c>
      <c r="E66" s="399">
        <v>44481710</v>
      </c>
      <c r="F66" s="399">
        <f t="shared" si="19"/>
        <v>124525490</v>
      </c>
      <c r="G66" s="399">
        <f>IF('[1]Table 8 Membership'!AA67&gt;0,ROUND('[1]Table 8 Membership'!AA67*'Table 7 Local Revenue'!F66,0),'Table 7 Local Revenue'!F66)</f>
        <v>124525490</v>
      </c>
      <c r="H66" s="921">
        <v>5.63</v>
      </c>
      <c r="I66" s="922">
        <v>698591</v>
      </c>
      <c r="J66" s="923">
        <v>13.66</v>
      </c>
      <c r="K66" s="922">
        <v>2248954</v>
      </c>
      <c r="L66" s="923">
        <v>0</v>
      </c>
      <c r="M66" s="923">
        <v>0</v>
      </c>
      <c r="N66" s="923">
        <v>0</v>
      </c>
      <c r="O66" s="922">
        <v>0</v>
      </c>
      <c r="P66" s="847">
        <f t="shared" si="20"/>
        <v>2947545</v>
      </c>
      <c r="Q66" s="923">
        <v>0</v>
      </c>
      <c r="R66" s="922">
        <v>0</v>
      </c>
      <c r="S66" s="923">
        <v>18.5</v>
      </c>
      <c r="T66" s="923">
        <v>81.79</v>
      </c>
      <c r="U66" s="923">
        <v>7</v>
      </c>
      <c r="V66" s="922">
        <v>3717073</v>
      </c>
      <c r="W66" s="399">
        <f t="shared" si="21"/>
        <v>3717073</v>
      </c>
      <c r="X66" s="924">
        <f t="shared" si="22"/>
        <v>19.29</v>
      </c>
      <c r="Y66" s="399">
        <f t="shared" si="23"/>
        <v>2947545</v>
      </c>
      <c r="Z66" s="399">
        <f t="shared" si="24"/>
        <v>3717073</v>
      </c>
      <c r="AA66" s="925">
        <f t="shared" si="25"/>
        <v>29.85</v>
      </c>
      <c r="AB66" s="926">
        <f t="shared" si="26"/>
        <v>23.67</v>
      </c>
      <c r="AC66" s="927">
        <f t="shared" si="27"/>
        <v>53.52</v>
      </c>
      <c r="AD66" s="847">
        <f t="shared" si="28"/>
        <v>6664618</v>
      </c>
      <c r="AE66" s="847">
        <f>IF('[1]Table 8 Membership'!AA67&gt;0,ROUND('Table 7 Local Revenue'!AD66*'[1]Table 8 Membership'!AA67,0),'Table 7 Local Revenue'!AD66)</f>
        <v>6664618</v>
      </c>
      <c r="AF66" s="928">
        <v>0.0213</v>
      </c>
      <c r="AG66" s="929">
        <v>11886974</v>
      </c>
      <c r="AH66" s="930">
        <v>0</v>
      </c>
      <c r="AI66" s="930">
        <f t="shared" si="29"/>
        <v>11886974</v>
      </c>
      <c r="AJ66" s="847">
        <f>IF('[1]Table 8 Membership'!AA67&gt;0,ROUND('[1]Table 8 Membership'!AA67*'Table 7 Local Revenue'!AI66,0),'Table 7 Local Revenue'!AI66)</f>
        <v>11886974</v>
      </c>
      <c r="AK66" s="847">
        <v>467112906</v>
      </c>
      <c r="AL66" s="847">
        <f t="shared" si="35"/>
        <v>558073897</v>
      </c>
      <c r="AM66" s="943">
        <f t="shared" si="30"/>
        <v>0.19473020298009064</v>
      </c>
      <c r="AN66" s="944">
        <f t="shared" si="31"/>
        <v>537179841.9</v>
      </c>
      <c r="AO66" s="931">
        <f t="shared" si="32"/>
        <v>0.02129999998906955</v>
      </c>
      <c r="AP66" s="931">
        <f t="shared" si="33"/>
        <v>0</v>
      </c>
      <c r="AQ66" s="932">
        <f>'[8]04-05 Other Revenue'!O61</f>
        <v>478886</v>
      </c>
      <c r="AR66" s="933">
        <f t="shared" si="34"/>
        <v>19030478</v>
      </c>
      <c r="AS66" s="933">
        <f>ROUND(AR66/'[1]Table 3 Levels 1&amp;2'!D67,2)</f>
        <v>2693.63</v>
      </c>
      <c r="AT66" s="933">
        <v>14557908</v>
      </c>
    </row>
    <row r="67" spans="1:46" ht="12.75">
      <c r="A67" s="835">
        <v>61</v>
      </c>
      <c r="B67" s="434" t="s">
        <v>344</v>
      </c>
      <c r="C67" s="905"/>
      <c r="D67" s="387">
        <v>238638480</v>
      </c>
      <c r="E67" s="387">
        <v>31959310</v>
      </c>
      <c r="F67" s="387">
        <f t="shared" si="19"/>
        <v>206679170</v>
      </c>
      <c r="G67" s="387">
        <f>IF('[1]Table 8 Membership'!AA68&gt;0,ROUND('[1]Table 8 Membership'!AA68*'Table 7 Local Revenue'!F67,0),'Table 7 Local Revenue'!F67)</f>
        <v>206679170</v>
      </c>
      <c r="H67" s="906">
        <v>4.39</v>
      </c>
      <c r="I67" s="907">
        <v>897695</v>
      </c>
      <c r="J67" s="908">
        <v>15</v>
      </c>
      <c r="K67" s="907">
        <v>3067296</v>
      </c>
      <c r="L67" s="908">
        <v>0</v>
      </c>
      <c r="M67" s="908">
        <v>0</v>
      </c>
      <c r="N67" s="908">
        <v>0</v>
      </c>
      <c r="O67" s="907">
        <v>0</v>
      </c>
      <c r="P67" s="844">
        <f t="shared" si="20"/>
        <v>3964991</v>
      </c>
      <c r="Q67" s="908">
        <v>8</v>
      </c>
      <c r="R67" s="907">
        <v>1641755</v>
      </c>
      <c r="S67" s="908">
        <v>0</v>
      </c>
      <c r="T67" s="908">
        <v>0</v>
      </c>
      <c r="U67" s="908">
        <v>0</v>
      </c>
      <c r="V67" s="907">
        <v>0</v>
      </c>
      <c r="W67" s="387">
        <f t="shared" si="21"/>
        <v>1641755</v>
      </c>
      <c r="X67" s="909">
        <f t="shared" si="22"/>
        <v>27.39</v>
      </c>
      <c r="Y67" s="387">
        <f t="shared" si="23"/>
        <v>5606746</v>
      </c>
      <c r="Z67" s="387">
        <f t="shared" si="24"/>
        <v>0</v>
      </c>
      <c r="AA67" s="910">
        <f t="shared" si="25"/>
        <v>7.94</v>
      </c>
      <c r="AB67" s="911">
        <f t="shared" si="26"/>
        <v>19.18</v>
      </c>
      <c r="AC67" s="912">
        <f t="shared" si="27"/>
        <v>27.13</v>
      </c>
      <c r="AD67" s="844">
        <f t="shared" si="28"/>
        <v>5606746</v>
      </c>
      <c r="AE67" s="844">
        <f>IF('[1]Table 8 Membership'!AA68&gt;0,ROUND('Table 7 Local Revenue'!AD67*'[1]Table 8 Membership'!AA68,0),'Table 7 Local Revenue'!AD67)</f>
        <v>5606746</v>
      </c>
      <c r="AF67" s="913">
        <v>0.02</v>
      </c>
      <c r="AG67" s="914">
        <v>7185096</v>
      </c>
      <c r="AH67" s="915">
        <v>0</v>
      </c>
      <c r="AI67" s="915">
        <f t="shared" si="29"/>
        <v>7185096</v>
      </c>
      <c r="AJ67" s="844">
        <f>IF('[1]Table 8 Membership'!AA68&gt;0,ROUND('[1]Table 8 Membership'!AA68*'Table 7 Local Revenue'!AI67,0),'Table 7 Local Revenue'!AI67)</f>
        <v>7185096</v>
      </c>
      <c r="AK67" s="844">
        <v>337650200</v>
      </c>
      <c r="AL67" s="844">
        <f t="shared" si="35"/>
        <v>359254800</v>
      </c>
      <c r="AM67" s="913">
        <f t="shared" si="30"/>
        <v>0.0639851538663386</v>
      </c>
      <c r="AN67" s="844">
        <f t="shared" si="31"/>
        <v>359254800</v>
      </c>
      <c r="AO67" s="916">
        <f t="shared" si="32"/>
        <v>0.02</v>
      </c>
      <c r="AP67" s="916">
        <f t="shared" si="33"/>
        <v>0</v>
      </c>
      <c r="AQ67" s="917">
        <f>'[8]04-05 Other Revenue'!O62</f>
        <v>131527</v>
      </c>
      <c r="AR67" s="918">
        <f t="shared" si="34"/>
        <v>12923369</v>
      </c>
      <c r="AS67" s="918">
        <f>ROUND(AR67/'[1]Table 3 Levels 1&amp;2'!D68,2)</f>
        <v>3849.68</v>
      </c>
      <c r="AT67" s="918">
        <v>12212379.5</v>
      </c>
    </row>
    <row r="68" spans="1:46" ht="12.75">
      <c r="A68" s="835">
        <v>62</v>
      </c>
      <c r="B68" s="434" t="s">
        <v>345</v>
      </c>
      <c r="C68" s="905"/>
      <c r="D68" s="387">
        <v>54562680</v>
      </c>
      <c r="E68" s="387">
        <v>14831670</v>
      </c>
      <c r="F68" s="387">
        <f t="shared" si="19"/>
        <v>39731010</v>
      </c>
      <c r="G68" s="387">
        <f>IF('[1]Table 8 Membership'!AA69&gt;0,ROUND('[1]Table 8 Membership'!AA69*'Table 7 Local Revenue'!F68,0),'Table 7 Local Revenue'!F68)</f>
        <v>39731010</v>
      </c>
      <c r="H68" s="906">
        <v>6.78</v>
      </c>
      <c r="I68" s="907">
        <v>269286</v>
      </c>
      <c r="J68" s="908">
        <v>18.33</v>
      </c>
      <c r="K68" s="907">
        <v>728028</v>
      </c>
      <c r="L68" s="908">
        <v>5</v>
      </c>
      <c r="M68" s="908">
        <v>5</v>
      </c>
      <c r="N68" s="908">
        <v>1</v>
      </c>
      <c r="O68" s="907">
        <v>88033</v>
      </c>
      <c r="P68" s="844">
        <f t="shared" si="20"/>
        <v>1085347</v>
      </c>
      <c r="Q68" s="908">
        <v>0</v>
      </c>
      <c r="R68" s="907">
        <v>0</v>
      </c>
      <c r="S68" s="908">
        <v>0</v>
      </c>
      <c r="T68" s="908">
        <v>0</v>
      </c>
      <c r="U68" s="908">
        <v>0</v>
      </c>
      <c r="V68" s="907">
        <v>0</v>
      </c>
      <c r="W68" s="387">
        <f t="shared" si="21"/>
        <v>0</v>
      </c>
      <c r="X68" s="909">
        <f t="shared" si="22"/>
        <v>25.11</v>
      </c>
      <c r="Y68" s="387">
        <f t="shared" si="23"/>
        <v>997314</v>
      </c>
      <c r="Z68" s="387">
        <f t="shared" si="24"/>
        <v>88033</v>
      </c>
      <c r="AA68" s="910">
        <f t="shared" si="25"/>
        <v>0</v>
      </c>
      <c r="AB68" s="911">
        <f t="shared" si="26"/>
        <v>27.32</v>
      </c>
      <c r="AC68" s="912">
        <f t="shared" si="27"/>
        <v>27.32</v>
      </c>
      <c r="AD68" s="844">
        <f t="shared" si="28"/>
        <v>1085347</v>
      </c>
      <c r="AE68" s="844">
        <f>IF('[1]Table 8 Membership'!AA69&gt;0,ROUND('Table 7 Local Revenue'!AD68*'[1]Table 8 Membership'!AA69,0),'Table 7 Local Revenue'!AD68)</f>
        <v>1085347</v>
      </c>
      <c r="AF68" s="913">
        <v>0.02</v>
      </c>
      <c r="AG68" s="914">
        <v>1791088</v>
      </c>
      <c r="AH68" s="915">
        <v>0</v>
      </c>
      <c r="AI68" s="915">
        <f t="shared" si="29"/>
        <v>1791088</v>
      </c>
      <c r="AJ68" s="844">
        <f>IF('[1]Table 8 Membership'!AA69&gt;0,ROUND('[1]Table 8 Membership'!AA69*'Table 7 Local Revenue'!AI68,0),'Table 7 Local Revenue'!AI68)</f>
        <v>1791088</v>
      </c>
      <c r="AK68" s="844">
        <v>92644400</v>
      </c>
      <c r="AL68" s="844">
        <f t="shared" si="35"/>
        <v>89554400</v>
      </c>
      <c r="AM68" s="913">
        <f t="shared" si="30"/>
        <v>-0.03335333814024377</v>
      </c>
      <c r="AN68" s="844">
        <f t="shared" si="31"/>
        <v>89554400</v>
      </c>
      <c r="AO68" s="916">
        <f t="shared" si="32"/>
        <v>0.02</v>
      </c>
      <c r="AP68" s="916">
        <f t="shared" si="33"/>
        <v>0</v>
      </c>
      <c r="AQ68" s="917">
        <f>'[8]04-05 Other Revenue'!O63</f>
        <v>100719</v>
      </c>
      <c r="AR68" s="918">
        <f t="shared" si="34"/>
        <v>2977154</v>
      </c>
      <c r="AS68" s="918">
        <f>ROUND(AR68/'[1]Table 3 Levels 1&amp;2'!D69,2)</f>
        <v>1367.55</v>
      </c>
      <c r="AT68" s="918">
        <v>2313801.5</v>
      </c>
    </row>
    <row r="69" spans="1:46" ht="12.75">
      <c r="A69" s="835">
        <v>63</v>
      </c>
      <c r="B69" s="434" t="s">
        <v>346</v>
      </c>
      <c r="C69" s="905"/>
      <c r="D69" s="387">
        <v>294558931</v>
      </c>
      <c r="E69" s="387">
        <v>14449194</v>
      </c>
      <c r="F69" s="387">
        <f t="shared" si="19"/>
        <v>280109737</v>
      </c>
      <c r="G69" s="387">
        <f>IF('[1]Table 8 Membership'!AA70&gt;0,ROUND('[1]Table 8 Membership'!AA70*'Table 7 Local Revenue'!F69,0),'Table 7 Local Revenue'!F69)</f>
        <v>280109737</v>
      </c>
      <c r="H69" s="906">
        <v>4.46</v>
      </c>
      <c r="I69" s="907">
        <v>1209044</v>
      </c>
      <c r="J69" s="908">
        <v>18.5</v>
      </c>
      <c r="K69" s="907">
        <v>5015085</v>
      </c>
      <c r="L69" s="908">
        <v>0</v>
      </c>
      <c r="M69" s="908">
        <v>0</v>
      </c>
      <c r="N69" s="908">
        <v>0</v>
      </c>
      <c r="O69" s="907">
        <v>0</v>
      </c>
      <c r="P69" s="844">
        <f t="shared" si="20"/>
        <v>6224129</v>
      </c>
      <c r="Q69" s="908">
        <v>6</v>
      </c>
      <c r="R69" s="907">
        <v>1626517</v>
      </c>
      <c r="S69" s="908">
        <v>0</v>
      </c>
      <c r="T69" s="908">
        <v>0</v>
      </c>
      <c r="U69" s="908">
        <v>0</v>
      </c>
      <c r="V69" s="907">
        <v>0</v>
      </c>
      <c r="W69" s="387">
        <f t="shared" si="21"/>
        <v>1626517</v>
      </c>
      <c r="X69" s="909">
        <f t="shared" si="22"/>
        <v>28.96</v>
      </c>
      <c r="Y69" s="387">
        <f t="shared" si="23"/>
        <v>7850646</v>
      </c>
      <c r="Z69" s="387">
        <f t="shared" si="24"/>
        <v>0</v>
      </c>
      <c r="AA69" s="910">
        <f t="shared" si="25"/>
        <v>5.81</v>
      </c>
      <c r="AB69" s="911">
        <f t="shared" si="26"/>
        <v>22.22</v>
      </c>
      <c r="AC69" s="912">
        <f t="shared" si="27"/>
        <v>28.03</v>
      </c>
      <c r="AD69" s="844">
        <f t="shared" si="28"/>
        <v>7850646</v>
      </c>
      <c r="AE69" s="844">
        <f>IF('[1]Table 8 Membership'!AA70&gt;0,ROUND('Table 7 Local Revenue'!AD69*'[1]Table 8 Membership'!AA70,0),'Table 7 Local Revenue'!AD69)</f>
        <v>7850646</v>
      </c>
      <c r="AF69" s="913">
        <v>0.02</v>
      </c>
      <c r="AG69" s="914">
        <v>3141868</v>
      </c>
      <c r="AH69" s="915">
        <v>0</v>
      </c>
      <c r="AI69" s="915">
        <f t="shared" si="29"/>
        <v>3141868</v>
      </c>
      <c r="AJ69" s="844">
        <f>IF('[1]Table 8 Membership'!AA70&gt;0,ROUND('[1]Table 8 Membership'!AA70*'Table 7 Local Revenue'!AI69,0),'Table 7 Local Revenue'!AI69)</f>
        <v>3141868</v>
      </c>
      <c r="AK69" s="844">
        <v>144484250</v>
      </c>
      <c r="AL69" s="844">
        <f t="shared" si="35"/>
        <v>157093400</v>
      </c>
      <c r="AM69" s="913">
        <f t="shared" si="30"/>
        <v>0.0872700657684142</v>
      </c>
      <c r="AN69" s="844">
        <f t="shared" si="31"/>
        <v>157093400</v>
      </c>
      <c r="AO69" s="916">
        <f t="shared" si="32"/>
        <v>0.02</v>
      </c>
      <c r="AP69" s="916">
        <f t="shared" si="33"/>
        <v>0</v>
      </c>
      <c r="AQ69" s="917">
        <f>'[8]04-05 Other Revenue'!O64</f>
        <v>54368</v>
      </c>
      <c r="AR69" s="918">
        <f t="shared" si="34"/>
        <v>11046882</v>
      </c>
      <c r="AS69" s="918">
        <f>ROUND(AR69/'[1]Table 3 Levels 1&amp;2'!D70,2)</f>
        <v>4843</v>
      </c>
      <c r="AT69" s="918">
        <v>10682801.5</v>
      </c>
    </row>
    <row r="70" spans="1:46" ht="12.75">
      <c r="A70" s="835">
        <v>64</v>
      </c>
      <c r="B70" s="434" t="s">
        <v>347</v>
      </c>
      <c r="C70" s="905"/>
      <c r="D70" s="387">
        <v>66218778</v>
      </c>
      <c r="E70" s="387">
        <v>15002963</v>
      </c>
      <c r="F70" s="387">
        <f t="shared" si="19"/>
        <v>51215815</v>
      </c>
      <c r="G70" s="387">
        <f>IF('[1]Table 8 Membership'!AA71&gt;0,ROUND('[1]Table 8 Membership'!AA71*'Table 7 Local Revenue'!F70,0),'Table 7 Local Revenue'!F70)</f>
        <v>51215815</v>
      </c>
      <c r="H70" s="906">
        <v>4.4</v>
      </c>
      <c r="I70" s="907">
        <v>220437</v>
      </c>
      <c r="J70" s="908">
        <v>15.37</v>
      </c>
      <c r="K70" s="907">
        <v>771466</v>
      </c>
      <c r="L70" s="908">
        <v>2.78</v>
      </c>
      <c r="M70" s="908">
        <v>2.78</v>
      </c>
      <c r="N70" s="908">
        <v>1</v>
      </c>
      <c r="O70" s="907">
        <v>88618</v>
      </c>
      <c r="P70" s="844">
        <f t="shared" si="20"/>
        <v>1080521</v>
      </c>
      <c r="Q70" s="908">
        <v>0</v>
      </c>
      <c r="R70" s="907">
        <v>0</v>
      </c>
      <c r="S70" s="908">
        <v>16</v>
      </c>
      <c r="T70" s="908">
        <v>70</v>
      </c>
      <c r="U70" s="908">
        <v>4</v>
      </c>
      <c r="V70" s="907">
        <v>1207721</v>
      </c>
      <c r="W70" s="387">
        <f t="shared" si="21"/>
        <v>1207721</v>
      </c>
      <c r="X70" s="909">
        <f t="shared" si="22"/>
        <v>19.77</v>
      </c>
      <c r="Y70" s="387">
        <f t="shared" si="23"/>
        <v>991903</v>
      </c>
      <c r="Z70" s="387">
        <f t="shared" si="24"/>
        <v>1296339</v>
      </c>
      <c r="AA70" s="910">
        <f t="shared" si="25"/>
        <v>23.58</v>
      </c>
      <c r="AB70" s="911">
        <f t="shared" si="26"/>
        <v>21.1</v>
      </c>
      <c r="AC70" s="912">
        <f t="shared" si="27"/>
        <v>44.68</v>
      </c>
      <c r="AD70" s="844">
        <f t="shared" si="28"/>
        <v>2288242</v>
      </c>
      <c r="AE70" s="844">
        <f>IF('[1]Table 8 Membership'!AA71&gt;0,ROUND('Table 7 Local Revenue'!AD70*'[1]Table 8 Membership'!AA71,0),'Table 7 Local Revenue'!AD70)</f>
        <v>2288242</v>
      </c>
      <c r="AF70" s="913">
        <v>0.02</v>
      </c>
      <c r="AG70" s="914">
        <v>3302600</v>
      </c>
      <c r="AH70" s="915">
        <v>0</v>
      </c>
      <c r="AI70" s="915">
        <f t="shared" si="29"/>
        <v>3302600</v>
      </c>
      <c r="AJ70" s="844">
        <f>IF('[1]Table 8 Membership'!AA71&gt;0,ROUND('[1]Table 8 Membership'!AA71*'Table 7 Local Revenue'!AI70,0),'Table 7 Local Revenue'!AI70)</f>
        <v>3302600</v>
      </c>
      <c r="AK70" s="844">
        <v>156948550</v>
      </c>
      <c r="AL70" s="844">
        <f t="shared" si="35"/>
        <v>165130000</v>
      </c>
      <c r="AM70" s="913">
        <f t="shared" si="30"/>
        <v>0.05212822928278089</v>
      </c>
      <c r="AN70" s="844">
        <f t="shared" si="31"/>
        <v>165130000</v>
      </c>
      <c r="AO70" s="916">
        <f t="shared" si="32"/>
        <v>0.02</v>
      </c>
      <c r="AP70" s="916">
        <f t="shared" si="33"/>
        <v>0</v>
      </c>
      <c r="AQ70" s="917">
        <f>'[8]04-05 Other Revenue'!O65</f>
        <v>449221</v>
      </c>
      <c r="AR70" s="918">
        <f t="shared" si="34"/>
        <v>6040063</v>
      </c>
      <c r="AS70" s="918">
        <f>ROUND(AR70/'[1]Table 3 Levels 1&amp;2'!D71,2)</f>
        <v>2328.47</v>
      </c>
      <c r="AT70" s="918">
        <v>5890922</v>
      </c>
    </row>
    <row r="71" spans="1:46" ht="12.75">
      <c r="A71" s="838">
        <v>65</v>
      </c>
      <c r="B71" s="919" t="s">
        <v>348</v>
      </c>
      <c r="C71" s="920"/>
      <c r="D71" s="399">
        <v>369705751</v>
      </c>
      <c r="E71" s="399">
        <v>45405282</v>
      </c>
      <c r="F71" s="399">
        <f>D71-E71</f>
        <v>324300469</v>
      </c>
      <c r="G71" s="399">
        <f>IF('[1]Table 8 Membership'!AA72&gt;0,ROUND('[1]Table 8 Membership'!AA72*'Table 7 Local Revenue'!F71,0),'Table 7 Local Revenue'!F71)</f>
        <v>324300469</v>
      </c>
      <c r="H71" s="921">
        <v>6.44</v>
      </c>
      <c r="I71" s="922">
        <v>2110758</v>
      </c>
      <c r="J71" s="923">
        <v>20.55</v>
      </c>
      <c r="K71" s="922">
        <v>6684861</v>
      </c>
      <c r="L71" s="923">
        <v>0</v>
      </c>
      <c r="M71" s="923">
        <v>0</v>
      </c>
      <c r="N71" s="923">
        <v>0</v>
      </c>
      <c r="O71" s="922">
        <v>0</v>
      </c>
      <c r="P71" s="847">
        <f>I71+K71+O71</f>
        <v>8795619</v>
      </c>
      <c r="Q71" s="923">
        <v>15</v>
      </c>
      <c r="R71" s="922">
        <v>4890904</v>
      </c>
      <c r="S71" s="923">
        <v>0</v>
      </c>
      <c r="T71" s="923">
        <v>0</v>
      </c>
      <c r="U71" s="923">
        <v>0</v>
      </c>
      <c r="V71" s="922">
        <v>0</v>
      </c>
      <c r="W71" s="399">
        <f>R71+V71</f>
        <v>4890904</v>
      </c>
      <c r="X71" s="924">
        <f t="shared" si="22"/>
        <v>41.99</v>
      </c>
      <c r="Y71" s="399">
        <f t="shared" si="23"/>
        <v>13686523</v>
      </c>
      <c r="Z71" s="399">
        <f t="shared" si="24"/>
        <v>0</v>
      </c>
      <c r="AA71" s="925">
        <f t="shared" si="25"/>
        <v>15.08</v>
      </c>
      <c r="AB71" s="926">
        <f t="shared" si="26"/>
        <v>27.12</v>
      </c>
      <c r="AC71" s="927">
        <f t="shared" si="27"/>
        <v>42.2</v>
      </c>
      <c r="AD71" s="847">
        <f t="shared" si="28"/>
        <v>13686523</v>
      </c>
      <c r="AE71" s="847">
        <f>IF('[1]Table 8 Membership'!AA72&gt;0,ROUND('Table 7 Local Revenue'!AD71*'[1]Table 8 Membership'!AA72,0),'Table 7 Local Revenue'!AD71)</f>
        <v>13686523</v>
      </c>
      <c r="AF71" s="928">
        <v>0.02</v>
      </c>
      <c r="AG71" s="929">
        <v>22382430</v>
      </c>
      <c r="AH71" s="930">
        <v>0</v>
      </c>
      <c r="AI71" s="930">
        <f>AG71+AH71</f>
        <v>22382430</v>
      </c>
      <c r="AJ71" s="847">
        <f>IF('[1]Table 8 Membership'!AA72&gt;0,ROUND('[1]Table 8 Membership'!AA72*'Table 7 Local Revenue'!AI71,0),'Table 7 Local Revenue'!AI71)</f>
        <v>22382430</v>
      </c>
      <c r="AK71" s="847">
        <v>1108136750</v>
      </c>
      <c r="AL71" s="847">
        <f t="shared" si="35"/>
        <v>1119121500</v>
      </c>
      <c r="AM71" s="928">
        <f>(AL71-AK71)/AK71</f>
        <v>0.009912810851187816</v>
      </c>
      <c r="AN71" s="847">
        <f t="shared" si="31"/>
        <v>1119121500</v>
      </c>
      <c r="AO71" s="931">
        <f t="shared" si="32"/>
        <v>0.02</v>
      </c>
      <c r="AP71" s="931">
        <f t="shared" si="33"/>
        <v>0</v>
      </c>
      <c r="AQ71" s="932">
        <f>'[8]04-05 Other Revenue'!O66</f>
        <v>313001</v>
      </c>
      <c r="AR71" s="933">
        <f>+AQ71+AJ71+AE71</f>
        <v>36381954</v>
      </c>
      <c r="AS71" s="933">
        <f>ROUND(AR71/'[1]Table 3 Levels 1&amp;2'!D72,2)</f>
        <v>4149.87</v>
      </c>
      <c r="AT71" s="933">
        <v>35829288</v>
      </c>
    </row>
    <row r="72" spans="1:46" ht="12.75">
      <c r="A72" s="835">
        <v>66</v>
      </c>
      <c r="B72" s="434" t="s">
        <v>349</v>
      </c>
      <c r="C72" s="905"/>
      <c r="D72" s="844">
        <v>74743470</v>
      </c>
      <c r="E72" s="844">
        <v>19223350</v>
      </c>
      <c r="F72" s="844">
        <f>D72-E72</f>
        <v>55520120</v>
      </c>
      <c r="G72" s="937">
        <f>IF('[1]Table 8 Membership'!AA73&gt;0,ROUND('[1]Table 8 Membership'!AA73*'Table 7 Local Revenue'!F72,0),'Table 7 Local Revenue'!F72)</f>
        <v>49968108</v>
      </c>
      <c r="H72" s="906">
        <v>6.44</v>
      </c>
      <c r="I72" s="907">
        <v>360987</v>
      </c>
      <c r="J72" s="908">
        <v>56.37</v>
      </c>
      <c r="K72" s="907">
        <v>3026113</v>
      </c>
      <c r="L72" s="908">
        <v>0</v>
      </c>
      <c r="M72" s="908">
        <v>0</v>
      </c>
      <c r="N72" s="908">
        <v>0</v>
      </c>
      <c r="O72" s="907">
        <v>0</v>
      </c>
      <c r="P72" s="844">
        <f>I72+K72+O72</f>
        <v>3387100</v>
      </c>
      <c r="Q72" s="908">
        <v>0</v>
      </c>
      <c r="R72" s="907">
        <v>0</v>
      </c>
      <c r="S72" s="908">
        <v>0</v>
      </c>
      <c r="T72" s="908">
        <v>0</v>
      </c>
      <c r="U72" s="908">
        <v>0</v>
      </c>
      <c r="V72" s="907">
        <v>0</v>
      </c>
      <c r="W72" s="844">
        <f>R72+V72</f>
        <v>0</v>
      </c>
      <c r="X72" s="940">
        <f t="shared" si="22"/>
        <v>62.809999999999995</v>
      </c>
      <c r="Y72" s="844">
        <f t="shared" si="23"/>
        <v>3387100</v>
      </c>
      <c r="Z72" s="844">
        <f t="shared" si="24"/>
        <v>0</v>
      </c>
      <c r="AA72" s="941">
        <f t="shared" si="25"/>
        <v>0</v>
      </c>
      <c r="AB72" s="942">
        <f t="shared" si="26"/>
        <v>67.79</v>
      </c>
      <c r="AC72" s="912">
        <f t="shared" si="27"/>
        <v>61.01</v>
      </c>
      <c r="AD72" s="937">
        <f t="shared" si="28"/>
        <v>3387100</v>
      </c>
      <c r="AE72" s="937">
        <f>IF('[1]Table 8 Membership'!AA73&gt;0,ROUND('Table 7 Local Revenue'!AD72*'[1]Table 8 Membership'!AA73,0),'Table 7 Local Revenue'!AD72)</f>
        <v>3048390</v>
      </c>
      <c r="AF72" s="913">
        <v>0.01</v>
      </c>
      <c r="AG72" s="914">
        <v>2124049</v>
      </c>
      <c r="AH72" s="915">
        <v>0</v>
      </c>
      <c r="AI72" s="915">
        <f>AG72+AH72</f>
        <v>2124049</v>
      </c>
      <c r="AJ72" s="937">
        <f>IF('[1]Table 8 Membership'!AA73&gt;0,ROUND('[1]Table 8 Membership'!AA73*'Table 7 Local Revenue'!AI72,0),'Table 7 Local Revenue'!AI72)</f>
        <v>1911644</v>
      </c>
      <c r="AK72" s="937">
        <v>205434500</v>
      </c>
      <c r="AL72" s="937">
        <f t="shared" si="35"/>
        <v>191164400</v>
      </c>
      <c r="AM72" s="913">
        <f>(AL72-AK72)/AK72</f>
        <v>-0.06946301619250905</v>
      </c>
      <c r="AN72" s="844">
        <f t="shared" si="31"/>
        <v>191164400</v>
      </c>
      <c r="AO72" s="916">
        <f t="shared" si="32"/>
        <v>0.01111111169234439</v>
      </c>
      <c r="AP72" s="916">
        <f t="shared" si="33"/>
        <v>0</v>
      </c>
      <c r="AQ72" s="917">
        <f>'[8]04-05 Other Revenue'!O67</f>
        <v>211724</v>
      </c>
      <c r="AR72" s="918">
        <f>+AQ72+AJ72+AE72</f>
        <v>5171758</v>
      </c>
      <c r="AS72" s="918">
        <f>ROUND(AR72/'[1]Table 3 Levels 1&amp;2'!D73,2)</f>
        <v>2076.18</v>
      </c>
      <c r="AT72" s="918">
        <v>5625791</v>
      </c>
    </row>
    <row r="73" spans="1:46" s="759" customFormat="1" ht="12.75">
      <c r="A73" s="382">
        <v>67</v>
      </c>
      <c r="B73" s="938" t="s">
        <v>350</v>
      </c>
      <c r="C73" s="939"/>
      <c r="D73" s="844">
        <v>128756910</v>
      </c>
      <c r="E73" s="917">
        <v>27431400</v>
      </c>
      <c r="F73" s="917">
        <f>D73-E73</f>
        <v>101325510</v>
      </c>
      <c r="G73" s="844">
        <f>IF('[1]Table 8 Membership'!AA74&gt;0,ROUND('[1]Table 8 Membership'!AA74*'Table 7 Local Revenue'!F73,0),'Table 7 Local Revenue'!F73)</f>
        <v>101325510</v>
      </c>
      <c r="H73" s="946">
        <v>5</v>
      </c>
      <c r="I73" s="947">
        <v>500751</v>
      </c>
      <c r="J73" s="948">
        <v>39.2</v>
      </c>
      <c r="K73" s="947">
        <v>3805534</v>
      </c>
      <c r="L73" s="948">
        <v>0</v>
      </c>
      <c r="M73" s="948">
        <v>0</v>
      </c>
      <c r="N73" s="948">
        <v>1</v>
      </c>
      <c r="O73" s="947">
        <v>0</v>
      </c>
      <c r="P73" s="844">
        <f>I73+K73+O73</f>
        <v>4306285</v>
      </c>
      <c r="Q73" s="949">
        <v>36</v>
      </c>
      <c r="R73" s="844">
        <v>3584390</v>
      </c>
      <c r="S73" s="949">
        <v>0</v>
      </c>
      <c r="T73" s="949">
        <v>0</v>
      </c>
      <c r="U73" s="383">
        <v>1</v>
      </c>
      <c r="V73" s="844">
        <v>0</v>
      </c>
      <c r="W73" s="844">
        <f>R73+V73</f>
        <v>3584390</v>
      </c>
      <c r="X73" s="940">
        <f t="shared" si="22"/>
        <v>80.2</v>
      </c>
      <c r="Y73" s="844">
        <f t="shared" si="23"/>
        <v>7890675</v>
      </c>
      <c r="Z73" s="844">
        <f t="shared" si="24"/>
        <v>0</v>
      </c>
      <c r="AA73" s="941">
        <f t="shared" si="25"/>
        <v>35.38</v>
      </c>
      <c r="AB73" s="942">
        <f t="shared" si="26"/>
        <v>42.5</v>
      </c>
      <c r="AC73" s="912">
        <f t="shared" si="27"/>
        <v>77.87</v>
      </c>
      <c r="AD73" s="844">
        <f t="shared" si="28"/>
        <v>7890675</v>
      </c>
      <c r="AE73" s="844">
        <f>IF('[1]Table 8 Membership'!AA74&gt;0,ROUND('Table 7 Local Revenue'!AD73*'[1]Table 8 Membership'!AA74,0),'Table 7 Local Revenue'!AD73)</f>
        <v>7890675</v>
      </c>
      <c r="AF73" s="913">
        <v>0.02</v>
      </c>
      <c r="AG73" s="914">
        <v>5872816</v>
      </c>
      <c r="AH73" s="915">
        <v>0</v>
      </c>
      <c r="AI73" s="915">
        <f>AG73+AH73</f>
        <v>5872816</v>
      </c>
      <c r="AJ73" s="844">
        <f>IF('[1]Table 8 Membership'!AA74&gt;0,ROUND('[1]Table 8 Membership'!AA74*'Table 7 Local Revenue'!AI73,0),'Table 7 Local Revenue'!AI73)</f>
        <v>5872816</v>
      </c>
      <c r="AK73" s="844">
        <v>263103550</v>
      </c>
      <c r="AL73" s="844">
        <f t="shared" si="35"/>
        <v>293640800</v>
      </c>
      <c r="AM73" s="913">
        <f>(AL73-AK73)/AK73</f>
        <v>0.11606551869026473</v>
      </c>
      <c r="AN73" s="844">
        <f t="shared" si="31"/>
        <v>293640800</v>
      </c>
      <c r="AO73" s="916">
        <f t="shared" si="32"/>
        <v>0.02</v>
      </c>
      <c r="AP73" s="916">
        <f t="shared" si="33"/>
        <v>0</v>
      </c>
      <c r="AQ73" s="917">
        <f>'[8]04-05 Other Revenue'!O68</f>
        <v>52586</v>
      </c>
      <c r="AR73" s="918">
        <f>+AQ73+AJ73+AE73</f>
        <v>13816077</v>
      </c>
      <c r="AS73" s="918">
        <f>ROUND(AR73/'[1]Table 3 Levels 1&amp;2'!D74,2)</f>
        <v>4012.8</v>
      </c>
      <c r="AT73" s="918">
        <v>9049838</v>
      </c>
    </row>
    <row r="74" spans="1:46" s="759" customFormat="1" ht="12.75">
      <c r="A74" s="382">
        <v>68</v>
      </c>
      <c r="B74" s="938" t="s">
        <v>351</v>
      </c>
      <c r="C74" s="939"/>
      <c r="D74" s="844">
        <v>44354740</v>
      </c>
      <c r="E74" s="917">
        <v>18493000</v>
      </c>
      <c r="F74" s="917">
        <f>D74-E74</f>
        <v>25861740</v>
      </c>
      <c r="G74" s="844">
        <f>IF('[1]Table 8 Membership'!AA75&gt;0,ROUND('[1]Table 8 Membership'!AA75*'Table 7 Local Revenue'!F74,0),'Table 7 Local Revenue'!F74)</f>
        <v>25861740</v>
      </c>
      <c r="H74" s="946">
        <v>5</v>
      </c>
      <c r="I74" s="947">
        <v>120565</v>
      </c>
      <c r="J74" s="948">
        <v>38.2</v>
      </c>
      <c r="K74" s="947">
        <v>921118</v>
      </c>
      <c r="L74" s="948">
        <v>0</v>
      </c>
      <c r="M74" s="948">
        <v>0</v>
      </c>
      <c r="N74" s="948">
        <v>0</v>
      </c>
      <c r="O74" s="947">
        <v>0</v>
      </c>
      <c r="P74" s="844">
        <f>I74+K74+O74</f>
        <v>1041683</v>
      </c>
      <c r="Q74" s="949">
        <v>0</v>
      </c>
      <c r="R74" s="844">
        <v>0</v>
      </c>
      <c r="S74" s="949">
        <v>0</v>
      </c>
      <c r="T74" s="949">
        <v>0</v>
      </c>
      <c r="U74" s="383">
        <v>0</v>
      </c>
      <c r="V74" s="844">
        <v>0</v>
      </c>
      <c r="W74" s="844">
        <f>R74+V74</f>
        <v>0</v>
      </c>
      <c r="X74" s="940">
        <f t="shared" si="22"/>
        <v>43.2</v>
      </c>
      <c r="Y74" s="844">
        <f t="shared" si="23"/>
        <v>1041683</v>
      </c>
      <c r="Z74" s="844">
        <f t="shared" si="24"/>
        <v>0</v>
      </c>
      <c r="AA74" s="941">
        <f t="shared" si="25"/>
        <v>0</v>
      </c>
      <c r="AB74" s="942">
        <f t="shared" si="26"/>
        <v>40.28</v>
      </c>
      <c r="AC74" s="912">
        <f t="shared" si="27"/>
        <v>40.28</v>
      </c>
      <c r="AD74" s="844">
        <f t="shared" si="28"/>
        <v>1041683</v>
      </c>
      <c r="AE74" s="844">
        <f>IF('[1]Table 8 Membership'!AA75&gt;0,ROUND('Table 7 Local Revenue'!AD74*'[1]Table 8 Membership'!AA75,0),'Table 7 Local Revenue'!AD74)</f>
        <v>1041683</v>
      </c>
      <c r="AF74" s="913">
        <v>0.02</v>
      </c>
      <c r="AG74" s="914">
        <v>2683993</v>
      </c>
      <c r="AH74" s="915">
        <v>0</v>
      </c>
      <c r="AI74" s="915">
        <f>AG74+AH74</f>
        <v>2683993</v>
      </c>
      <c r="AJ74" s="844">
        <f>IF('[1]Table 8 Membership'!AA75&gt;0,ROUND('[1]Table 8 Membership'!AA75*'Table 7 Local Revenue'!AI74,0),'Table 7 Local Revenue'!AI74)</f>
        <v>2683993</v>
      </c>
      <c r="AK74" s="844">
        <v>124968900</v>
      </c>
      <c r="AL74" s="844">
        <f t="shared" si="35"/>
        <v>134199650</v>
      </c>
      <c r="AM74" s="913">
        <f>(AL74-AK74)/AK74</f>
        <v>0.07386437745711133</v>
      </c>
      <c r="AN74" s="844">
        <f t="shared" si="31"/>
        <v>134199650</v>
      </c>
      <c r="AO74" s="916">
        <f t="shared" si="32"/>
        <v>0.02</v>
      </c>
      <c r="AP74" s="916">
        <f t="shared" si="33"/>
        <v>0</v>
      </c>
      <c r="AQ74" s="917">
        <f>'[8]04-05 Other Revenue'!O69</f>
        <v>35451</v>
      </c>
      <c r="AR74" s="918">
        <f>+AQ74+AJ74+AE74</f>
        <v>3761127</v>
      </c>
      <c r="AS74" s="918">
        <f>ROUND(AR74/'[1]Table 3 Levels 1&amp;2'!D75,2)</f>
        <v>1723.71</v>
      </c>
      <c r="AT74" s="918">
        <v>3505418</v>
      </c>
    </row>
    <row r="75" spans="1:46" ht="12.75">
      <c r="A75" s="850"/>
      <c r="B75" s="897"/>
      <c r="C75" s="893"/>
      <c r="D75" s="833"/>
      <c r="E75" s="897"/>
      <c r="F75" s="897"/>
      <c r="G75" s="833"/>
      <c r="H75" s="950"/>
      <c r="I75" s="833"/>
      <c r="J75" s="833"/>
      <c r="K75" s="833"/>
      <c r="L75" s="909"/>
      <c r="M75" s="909"/>
      <c r="N75" s="833"/>
      <c r="O75" s="833"/>
      <c r="P75" s="833"/>
      <c r="Q75" s="833"/>
      <c r="R75" s="387"/>
      <c r="S75" s="909"/>
      <c r="T75" s="909"/>
      <c r="U75" s="833"/>
      <c r="V75" s="387"/>
      <c r="W75" s="833"/>
      <c r="X75" s="833"/>
      <c r="Y75" s="833"/>
      <c r="Z75" s="833"/>
      <c r="AA75" s="951"/>
      <c r="AB75" s="952"/>
      <c r="AC75" s="953"/>
      <c r="AD75" s="954"/>
      <c r="AE75" s="954"/>
      <c r="AF75" s="955"/>
      <c r="AG75" s="833"/>
      <c r="AH75" s="897"/>
      <c r="AI75" s="897"/>
      <c r="AJ75" s="956"/>
      <c r="AK75" s="957"/>
      <c r="AL75" s="957"/>
      <c r="AM75" s="833"/>
      <c r="AN75" s="833"/>
      <c r="AO75" s="958"/>
      <c r="AP75" s="833"/>
      <c r="AQ75" s="959"/>
      <c r="AR75" s="960"/>
      <c r="AS75" s="960"/>
      <c r="AT75" s="960"/>
    </row>
    <row r="76" spans="1:46" ht="13.5" thickBot="1">
      <c r="A76" s="852"/>
      <c r="B76" s="961" t="s">
        <v>352</v>
      </c>
      <c r="C76" s="962"/>
      <c r="D76" s="854">
        <f>SUM(D7:D75)</f>
        <v>27683241967</v>
      </c>
      <c r="E76" s="854">
        <f>SUM(E7:E75)</f>
        <v>6189508421</v>
      </c>
      <c r="F76" s="854">
        <f>SUM(F7:F75)</f>
        <v>21493733546</v>
      </c>
      <c r="G76" s="854">
        <f>SUM(G7:G75)</f>
        <v>19503462207</v>
      </c>
      <c r="H76" s="963"/>
      <c r="I76" s="854">
        <f>SUM(I7:I75)</f>
        <v>145654187</v>
      </c>
      <c r="J76" s="741"/>
      <c r="K76" s="854">
        <f>SUM(K7:K75)</f>
        <v>552486012</v>
      </c>
      <c r="L76" s="741"/>
      <c r="M76" s="741"/>
      <c r="N76" s="741"/>
      <c r="O76" s="854">
        <f>SUM(O7:O75)</f>
        <v>18406867</v>
      </c>
      <c r="P76" s="854">
        <f>SUM(P7:P75)</f>
        <v>716547066</v>
      </c>
      <c r="Q76" s="741"/>
      <c r="R76" s="964">
        <f>SUM(R7:R75)</f>
        <v>113827657</v>
      </c>
      <c r="S76" s="741"/>
      <c r="T76" s="741"/>
      <c r="U76" s="741"/>
      <c r="V76" s="854">
        <f>SUM(V7:V75)</f>
        <v>75377786</v>
      </c>
      <c r="W76" s="854">
        <f>SUM(W7:W75)</f>
        <v>189205443</v>
      </c>
      <c r="X76" s="741"/>
      <c r="Y76" s="854">
        <f>SUM(Y7:Y75)</f>
        <v>811967856</v>
      </c>
      <c r="Z76" s="854">
        <f>SUM(Z7:Z75)</f>
        <v>93784653</v>
      </c>
      <c r="AA76" s="965">
        <f>ROUND((W76/G76)*1000,2)</f>
        <v>9.7</v>
      </c>
      <c r="AB76" s="966">
        <f>ROUND((P76/G76)*1000,2)</f>
        <v>36.74</v>
      </c>
      <c r="AC76" s="967">
        <f>ROUND((AE76/G76)*1000,2)</f>
        <v>41.88</v>
      </c>
      <c r="AD76" s="854">
        <f>SUM(AD7:AD75)</f>
        <v>905752509</v>
      </c>
      <c r="AE76" s="854">
        <f>SUM(AE7:AE75)</f>
        <v>816850797</v>
      </c>
      <c r="AF76" s="424">
        <f>AJ76/AL76</f>
        <v>0.019583121186073867</v>
      </c>
      <c r="AG76" s="854">
        <f aca="true" t="shared" si="36" ref="AG76:AL76">SUM(AG7:AG75)</f>
        <v>1206525463</v>
      </c>
      <c r="AH76" s="968">
        <f t="shared" si="36"/>
        <v>21673042</v>
      </c>
      <c r="AI76" s="969">
        <f t="shared" si="36"/>
        <v>1228198505</v>
      </c>
      <c r="AJ76" s="969">
        <f t="shared" si="36"/>
        <v>1140734645</v>
      </c>
      <c r="AK76" s="969">
        <f t="shared" si="36"/>
        <v>60861243270</v>
      </c>
      <c r="AL76" s="969">
        <f t="shared" si="36"/>
        <v>58250910779.8</v>
      </c>
      <c r="AM76" s="970">
        <f>(AL76-AK76)/AK76</f>
        <v>-0.04288989757602756</v>
      </c>
      <c r="AN76" s="969">
        <f>SUM(AN7:AN75)</f>
        <v>58138979305.850006</v>
      </c>
      <c r="AO76" s="421">
        <f>ROUND(AG76/$AL76,4)</f>
        <v>0.0207</v>
      </c>
      <c r="AP76" s="421">
        <f>ROUND(AH76/$AL76,4)</f>
        <v>0.0004</v>
      </c>
      <c r="AQ76" s="971">
        <f>SUM(AQ7:AQ74)</f>
        <v>40609175</v>
      </c>
      <c r="AR76" s="972">
        <f>SUM(AR7:AR75)</f>
        <v>1998194617</v>
      </c>
      <c r="AS76" s="972">
        <f>ROUND(AR76/'[1]Table 3 Levels 1&amp;2'!D76,2)</f>
        <v>3094.39</v>
      </c>
      <c r="AT76" s="972">
        <f>SUM(AT7:AT75)</f>
        <v>2036534955</v>
      </c>
    </row>
    <row r="77" ht="13.5" thickTop="1"/>
    <row r="79" spans="9:44" ht="12.75">
      <c r="I79" s="229"/>
      <c r="AJ79" s="973"/>
      <c r="AK79" s="973"/>
      <c r="AL79" s="973"/>
      <c r="AM79" s="973"/>
      <c r="AN79" s="973"/>
      <c r="AR79" s="973"/>
    </row>
    <row r="80" spans="30:44" ht="12.75">
      <c r="AD80" s="229"/>
      <c r="AH80" s="974"/>
      <c r="AJ80" s="229"/>
      <c r="AK80" s="229"/>
      <c r="AL80" s="229"/>
      <c r="AM80" s="229"/>
      <c r="AN80" s="229"/>
      <c r="AR80" s="229"/>
    </row>
    <row r="81" ht="12.75">
      <c r="AQ81" t="s">
        <v>601</v>
      </c>
    </row>
    <row r="82" ht="12.75">
      <c r="AQ82" t="s">
        <v>602</v>
      </c>
    </row>
    <row r="83" ht="12.75">
      <c r="AQ83" t="s">
        <v>603</v>
      </c>
    </row>
    <row r="84" ht="12.75">
      <c r="AQ84" t="s">
        <v>604</v>
      </c>
    </row>
    <row r="85" ht="12.75">
      <c r="AQ85" t="s">
        <v>605</v>
      </c>
    </row>
    <row r="86" ht="12.75">
      <c r="AQ86" t="s">
        <v>606</v>
      </c>
    </row>
    <row r="87" ht="12.75">
      <c r="AQ87" t="s">
        <v>607</v>
      </c>
    </row>
    <row r="88" ht="12.75">
      <c r="AQ88" t="s">
        <v>608</v>
      </c>
    </row>
    <row r="89" ht="12.75">
      <c r="AQ89" t="s">
        <v>609</v>
      </c>
    </row>
  </sheetData>
  <sheetProtection/>
  <mergeCells count="15">
    <mergeCell ref="W3:W4"/>
    <mergeCell ref="X3:AC3"/>
    <mergeCell ref="AQ3:AQ4"/>
    <mergeCell ref="AD3:AD4"/>
    <mergeCell ref="AF3:AH3"/>
    <mergeCell ref="AJ3:AJ4"/>
    <mergeCell ref="AK3:AP3"/>
    <mergeCell ref="AI3:AI4"/>
    <mergeCell ref="AE3:AE4"/>
    <mergeCell ref="D2:E2"/>
    <mergeCell ref="D3:G3"/>
    <mergeCell ref="H3:I3"/>
    <mergeCell ref="J3:O3"/>
    <mergeCell ref="P3:P4"/>
    <mergeCell ref="Q3:V3"/>
  </mergeCells>
  <printOptions horizontalCentered="1"/>
  <pageMargins left="0.19" right="0.19" top="1.14" bottom="0.35" header="0.5" footer="0.25"/>
  <pageSetup firstPageNumber="23" useFirstPageNumber="1" fitToWidth="0" horizontalDpi="600" verticalDpi="600" orientation="portrait" paperSize="5" scale="82" r:id="rId1"/>
  <headerFooter alignWithMargins="0">
    <oddHeader>&amp;L&amp;"Arial,Bold"&amp;20Table 7: FY 2006-2007 Budget Letter
&amp;18FY 2004-2005 Local Property and Sales Tax Revenues</oddHeader>
    <oddFooter>&amp;R&amp;P</oddFooter>
  </headerFooter>
  <colBreaks count="2" manualBreakCount="2">
    <brk id="16" min="1" max="75" man="1"/>
    <brk id="36" min="1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State Department of Education</dc:creator>
  <cp:keywords/>
  <dc:description/>
  <cp:lastModifiedBy>ldoe</cp:lastModifiedBy>
  <cp:lastPrinted>2006-06-30T21:25:04Z</cp:lastPrinted>
  <dcterms:created xsi:type="dcterms:W3CDTF">2006-06-30T21:13:21Z</dcterms:created>
  <dcterms:modified xsi:type="dcterms:W3CDTF">2012-12-19T14:09:29Z</dcterms:modified>
  <cp:category/>
  <cp:version/>
  <cp:contentType/>
  <cp:contentStatus/>
</cp:coreProperties>
</file>